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omments5.xml" ContentType="application/vnd.openxmlformats-officedocument.spreadsheetml.comments+xml"/>
  <Override PartName="/xl/comments6.xml" ContentType="application/vnd.openxmlformats-officedocument.spreadsheetml.comments+xml"/>
  <Override PartName="/xl/drawings/drawing5.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6.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drawings/drawing7.xml" ContentType="application/vnd.openxmlformats-officedocument.drawing+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8.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drawings/drawing9.xml" ContentType="application/vnd.openxmlformats-officedocument.drawing+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drawings/drawing10.xml" ContentType="application/vnd.openxmlformats-officedocument.drawing+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drawings/drawing11.xml" ContentType="application/vnd.openxmlformats-officedocument.drawing+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omments7.xml" ContentType="application/vnd.openxmlformats-officedocument.spreadsheetml.comments+xml"/>
  <Override PartName="/xl/drawings/drawing12.xml" ContentType="application/vnd.openxmlformats-officedocument.drawing+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omments8.xml" ContentType="application/vnd.openxmlformats-officedocument.spreadsheetml.comments+xml"/>
  <Override PartName="/xl/drawings/drawing13.xml" ContentType="application/vnd.openxmlformats-officedocument.drawing+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codeName="ThisWorkbook"/>
  <mc:AlternateContent xmlns:mc="http://schemas.openxmlformats.org/markup-compatibility/2006">
    <mc:Choice Requires="x15">
      <x15ac:absPath xmlns:x15ac="http://schemas.microsoft.com/office/spreadsheetml/2010/11/ac" url="C:\Users\Acer\Documents\CHARM FILES\BPM\PRICELIST WITH AUTOMATED SAMPLE COMPUTATION\EMERALD ESTATES &amp; TSF PRICELIST\2025\September 2025\Form sir Charles\"/>
    </mc:Choice>
  </mc:AlternateContent>
  <xr:revisionPtr revIDLastSave="0" documentId="13_ncr:1_{D8771ACA-81A4-4B6A-BC3C-65CFDD24FCCD}" xr6:coauthVersionLast="47" xr6:coauthVersionMax="47" xr10:uidLastSave="{00000000-0000-0000-0000-000000000000}"/>
  <bookViews>
    <workbookView xWindow="0" yWindow="0" windowWidth="19200" windowHeight="6940" tabRatio="896" firstSheet="5" activeTab="5" xr2:uid="{00000000-000D-0000-FFFF-FFFF00000000}"/>
  </bookViews>
  <sheets>
    <sheet name="Construction Sched 2023" sheetId="36" state="hidden" r:id="rId1"/>
    <sheet name="Amort Computation" sheetId="37" state="hidden" r:id="rId2"/>
    <sheet name="INTERNAL PRICELIST" sheetId="22" state="hidden" r:id="rId3"/>
    <sheet name="Corrected and Updated TSF 2" sheetId="35" state="hidden" r:id="rId4"/>
    <sheet name="RECOVERIES" sheetId="40" state="hidden" r:id="rId5"/>
    <sheet name="Pricelist Link" sheetId="19" r:id="rId6"/>
    <sheet name="FORM" sheetId="4" r:id="rId7"/>
    <sheet name="STEP UP" sheetId="32" r:id="rId8"/>
    <sheet name="RA_Step Up" sheetId="25" state="hidden" r:id="rId9"/>
    <sheet name="Step-up with Lumpsum" sheetId="23" r:id="rId10"/>
    <sheet name="2.5% Lumpsum" sheetId="24" r:id="rId11"/>
    <sheet name="STANDARD COMP." sheetId="5" r:id="rId12"/>
    <sheet name="RA_Standard" sheetId="26" state="hidden" r:id="rId13"/>
    <sheet name="SPOT EQUITY_7DAYS" sheetId="6" r:id="rId14"/>
    <sheet name="RA_SE7D" sheetId="13" state="hidden" r:id="rId15"/>
    <sheet name="SPOT EQUITY_30DAYS" sheetId="7" r:id="rId16"/>
    <sheet name="RA_SE30D" sheetId="27" state="hidden" r:id="rId17"/>
    <sheet name="SPOT CASH_30 DAYS" sheetId="8" r:id="rId18"/>
    <sheet name="RA_SC30D" sheetId="28" state="hidden" r:id="rId19"/>
    <sheet name="SPOT CASH_60 DAYS" sheetId="9" state="hidden" r:id="rId20"/>
    <sheet name="SPOT CASH_60 DAYS (2)" sheetId="33" r:id="rId21"/>
    <sheet name="RA_SC60D" sheetId="29" state="hidden" r:id="rId22"/>
    <sheet name="DEFERRED" sheetId="20" r:id="rId23"/>
    <sheet name="RA_Deferred" sheetId="30" state="hidden" r:id="rId24"/>
    <sheet name="10% spread plus 5% lumpsum" sheetId="38" r:id="rId25"/>
    <sheet name="10% step up plus 5% lumpsum" sheetId="39" r:id="rId26"/>
    <sheet name="7% Step-up plus 3% Lumpsum" sheetId="34" state="hidden" r:id="rId27"/>
    <sheet name="SPECIAL PACKAGE" sheetId="10" r:id="rId28"/>
    <sheet name="RA_Special" sheetId="31" state="hidden" r:id="rId29"/>
  </sheets>
  <externalReferences>
    <externalReference r:id="rId30"/>
    <externalReference r:id="rId31"/>
    <externalReference r:id="rId32"/>
    <externalReference r:id="rId33"/>
    <externalReference r:id="rId34"/>
    <externalReference r:id="rId35"/>
    <externalReference r:id="rId36"/>
    <externalReference r:id="rId37"/>
  </externalReferences>
  <definedNames>
    <definedName name="_" localSheetId="24">DATE(YEAR('10% spread plus 5% lumpsum'!Loan_Start),MONTH('10% spread plus 5% lumpsum'!Loan_Start)+Payment_Number,DAY('10% spread plus 5% lumpsum'!Loan_Start))</definedName>
    <definedName name="_" localSheetId="25">DATE(YEAR('10% step up plus 5% lumpsum'!Loan_Start),MONTH('10% step up plus 5% lumpsum'!Loan_Start)+Payment_Number,DAY('10% step up plus 5% lumpsum'!Loan_Start))</definedName>
    <definedName name="_" localSheetId="4">DATE(YEAR(Loan_Start),MONTH(Loan_Start)+Payment_Number,DAY(Loan_Start))</definedName>
    <definedName name="_">DATE(YEAR(Loan_Start),MONTH(Loan_Start)+Payment_Number,DAY(Loan_Start))</definedName>
    <definedName name="_xlnm._FilterDatabase" localSheetId="3" hidden="1">'Corrected and Updated TSF 2'!$A$6:$JD$222</definedName>
    <definedName name="_xlnm._FilterDatabase" localSheetId="2" hidden="1">'INTERNAL PRICELIST'!$A$6:$AU$183</definedName>
    <definedName name="_xlnm._FilterDatabase" localSheetId="5" hidden="1">'Pricelist Link'!$A$6:$AS$219</definedName>
    <definedName name="Ancheta">#N/A</definedName>
    <definedName name="Beg_Bal" localSheetId="24">#REF!</definedName>
    <definedName name="Beg_Bal" localSheetId="25">#REF!</definedName>
    <definedName name="Beg_Bal" localSheetId="1">'Amort Computation'!$C$25:$C$384</definedName>
    <definedName name="Beg_Bal">#REF!</definedName>
    <definedName name="Calaca">#N/A</definedName>
    <definedName name="Data">'Amort Computation'!$A$25:$I$384</definedName>
    <definedName name="DocTemplates" localSheetId="24">OFFSET(#REF!,,,COUNTA(#REF!),1)</definedName>
    <definedName name="DocTemplates" localSheetId="25">OFFSET(#REF!,,,COUNTA(#REF!),1)</definedName>
    <definedName name="DocTemplates" localSheetId="26">OFFSET(#REF!,,,COUNTA(#REF!),1)</definedName>
    <definedName name="DocTemplates" localSheetId="1">OFFSET(#REF!,,,COUNTA(#REF!),1)</definedName>
    <definedName name="DocTemplates" localSheetId="0">OFFSET(#REF!,,,COUNTA(#REF!),1)</definedName>
    <definedName name="DocTemplates" localSheetId="7">OFFSET(#REF!,,,COUNTA(#REF!),1)</definedName>
    <definedName name="DocTemplates" localSheetId="9">OFFSET(#REF!,,,COUNTA(#REF!),1)</definedName>
    <definedName name="DocTemplates">OFFSET(#REF!,,,COUNTA(#REF!),1)</definedName>
    <definedName name="End_Bal" localSheetId="24">#REF!</definedName>
    <definedName name="End_Bal" localSheetId="25">#REF!</definedName>
    <definedName name="End_Bal" localSheetId="1">'Amort Computation'!$I$25:$I$384</definedName>
    <definedName name="End_Bal">#REF!</definedName>
    <definedName name="Extra_Pay" localSheetId="24">#REF!</definedName>
    <definedName name="Extra_Pay" localSheetId="25">#REF!</definedName>
    <definedName name="Extra_Pay" localSheetId="1">'Amort Computation'!$E$25:$E$384</definedName>
    <definedName name="Extra_Pay">#REF!</definedName>
    <definedName name="Full_Print" localSheetId="24">'[1]Amort Computation'!$A$1:$I$384</definedName>
    <definedName name="Full_Print" localSheetId="4">'[2]Amort Computation'!$A$1:$I$384</definedName>
    <definedName name="Full_Print">'Amort Computation'!$A$1:$I$384</definedName>
    <definedName name="Header_Row" localSheetId="24">ROW(#REF!)</definedName>
    <definedName name="Header_Row" localSheetId="25">ROW(#REF!)</definedName>
    <definedName name="Header_Row" localSheetId="1">ROW('Amort Computation'!$24:$24)</definedName>
    <definedName name="Header_Row">ROW(#REF!)</definedName>
    <definedName name="Int" localSheetId="24">#REF!</definedName>
    <definedName name="Int" localSheetId="25">#REF!</definedName>
    <definedName name="Int" localSheetId="1">'Amort Computation'!$H$25:$H$384</definedName>
    <definedName name="Int">#REF!</definedName>
    <definedName name="Interest_Rate" localSheetId="24">#REF!</definedName>
    <definedName name="Interest_Rate" localSheetId="25">#REF!</definedName>
    <definedName name="Interest_Rate" localSheetId="1">'Amort Computation'!$D$15</definedName>
    <definedName name="Interest_Rate">#REF!</definedName>
    <definedName name="Last_Row" localSheetId="24">IF('10% spread plus 5% lumpsum'!Values_Entered,'10% spread plus 5% lumpsum'!Header_Row+'10% spread plus 5% lumpsum'!Number_of_Payments,'10% spread plus 5% lumpsum'!Header_Row)</definedName>
    <definedName name="Last_Row" localSheetId="25">IF('10% step up plus 5% lumpsum'!Values_Entered,'10% step up plus 5% lumpsum'!Header_Row+'10% step up plus 5% lumpsum'!Number_of_Payments,'10% step up plus 5% lumpsum'!Header_Row)</definedName>
    <definedName name="Last_Row" localSheetId="1">IF('Amort Computation'!Values_Entered,'Amort Computation'!Header_Row+'Amort Computation'!Number_of_Payments,'Amort Computation'!Header_Row)</definedName>
    <definedName name="Last_Row" localSheetId="4">IF(RECOVERIES!Values_Entered,Header_Row+RECOVERIES!Number_of_Payments,Header_Row)</definedName>
    <definedName name="Last_Row">IF(Values_Entered,Header_Row+Number_of_Payments,Header_Row)</definedName>
    <definedName name="Loan_Amount" localSheetId="24">#REF!</definedName>
    <definedName name="Loan_Amount" localSheetId="25">#REF!</definedName>
    <definedName name="Loan_Amount" localSheetId="1">'Amort Computation'!$D$14</definedName>
    <definedName name="Loan_Amount">#REF!</definedName>
    <definedName name="Loan_Start" localSheetId="24">#REF!</definedName>
    <definedName name="Loan_Start" localSheetId="25">#REF!</definedName>
    <definedName name="Loan_Start" localSheetId="1">'Amort Computation'!$D$18</definedName>
    <definedName name="Loan_Start">#REF!</definedName>
    <definedName name="Loan_Years" localSheetId="24">#REF!</definedName>
    <definedName name="Loan_Years" localSheetId="25">#REF!</definedName>
    <definedName name="Loan_Years" localSheetId="1">'Amort Computation'!$D$16</definedName>
    <definedName name="Loan_Years">#REF!</definedName>
    <definedName name="Num_Pmt_Per_Year" localSheetId="24">#REF!</definedName>
    <definedName name="Num_Pmt_Per_Year" localSheetId="25">#REF!</definedName>
    <definedName name="Num_Pmt_Per_Year" localSheetId="1">'Amort Computation'!$D$17</definedName>
    <definedName name="Num_Pmt_Per_Year">#REF!</definedName>
    <definedName name="Number_of_Payments" localSheetId="24">MATCH(0.01,'10% spread plus 5% lumpsum'!End_Bal,-1)+1</definedName>
    <definedName name="Number_of_Payments" localSheetId="25">MATCH(0.01,'10% step up plus 5% lumpsum'!End_Bal,-1)+1</definedName>
    <definedName name="Number_of_Payments" localSheetId="1">MATCH(0.01,'Amort Computation'!End_Bal,-1)+1</definedName>
    <definedName name="Number_of_Payments" localSheetId="4">MATCH(0.01,End_Bal,-1)+1</definedName>
    <definedName name="Number_of_Payments">MATCH(0.01,End_Bal,-1)+1</definedName>
    <definedName name="Pay_Date">'Amort Computation'!$B$25:$B$384</definedName>
    <definedName name="Pay_Num" localSheetId="24">#REF!</definedName>
    <definedName name="Pay_Num" localSheetId="25">#REF!</definedName>
    <definedName name="Pay_Num" localSheetId="1">'Amort Computation'!$A$25:$A$384</definedName>
    <definedName name="Pay_Num">#REF!</definedName>
    <definedName name="Payment_Date" localSheetId="24">#N/A</definedName>
    <definedName name="Payment_Date" localSheetId="25">#N/A</definedName>
    <definedName name="Payment_Date" localSheetId="4">#N/A</definedName>
    <definedName name="Payment_Date">DATE(YEAR('Amort Computation'!Loan_Start),MONTH('Amort Computation'!Loan_Start)+Payment_Number,DAY('Amort Computation'!Loan_Start))</definedName>
    <definedName name="PAYOPILIN">#N/A</definedName>
    <definedName name="pricelist" localSheetId="24">'10% spread plus 5% lumpsum'!$AF$50:$BC$833</definedName>
    <definedName name="pricelist" localSheetId="10">'2.5% Lumpsum'!$AF$50:$BC$833</definedName>
    <definedName name="pricelist">'STANDARD COMP.'!$AF$50:$BC$833</definedName>
    <definedName name="Princ" localSheetId="24">#REF!</definedName>
    <definedName name="Princ" localSheetId="25">#REF!</definedName>
    <definedName name="Princ" localSheetId="1">'Amort Computation'!$G$25:$G$384</definedName>
    <definedName name="Princ">#REF!</definedName>
    <definedName name="_xlnm.Print_Area" localSheetId="24">'10% spread plus 5% lumpsum'!$A$1:$Q$71</definedName>
    <definedName name="_xlnm.Print_Area" localSheetId="25">'10% step up plus 5% lumpsum'!$A$1:$AD$69</definedName>
    <definedName name="_xlnm.Print_Area" localSheetId="10">'2.5% Lumpsum'!$A$1:$Q$86</definedName>
    <definedName name="_xlnm.Print_Area" localSheetId="26">'7% Step-up plus 3% Lumpsum'!$B$1:$Q$69</definedName>
    <definedName name="_xlnm.Print_Area" localSheetId="22">DEFERRED!$A$1:$R$66</definedName>
    <definedName name="_xlnm.Print_Area" localSheetId="5">'Pricelist Link'!$C$1:$Y$221</definedName>
    <definedName name="_xlnm.Print_Area" localSheetId="23">RA_Deferred!$A$1:$U$119</definedName>
    <definedName name="_xlnm.Print_Area" localSheetId="18">RA_SC30D!$A$1:$U$119</definedName>
    <definedName name="_xlnm.Print_Area" localSheetId="21">RA_SC60D!$A$1:$U$119</definedName>
    <definedName name="_xlnm.Print_Area" localSheetId="16">RA_SE30D!$A$1:$U$119</definedName>
    <definedName name="_xlnm.Print_Area" localSheetId="14">RA_SE7D!$A$1:$U$119</definedName>
    <definedName name="_xlnm.Print_Area" localSheetId="28">RA_Special!$A$1:$U$119</definedName>
    <definedName name="_xlnm.Print_Area" localSheetId="12">RA_Standard!$A$1:$U$119</definedName>
    <definedName name="_xlnm.Print_Area" localSheetId="8">'RA_Step Up'!$A$1:$U$119</definedName>
    <definedName name="_xlnm.Print_Area" localSheetId="27">'SPECIAL PACKAGE'!$A$1:$AD$69</definedName>
    <definedName name="_xlnm.Print_Area" localSheetId="17">'SPOT CASH_30 DAYS'!$A$1:$S$66</definedName>
    <definedName name="_xlnm.Print_Area" localSheetId="19">'SPOT CASH_60 DAYS'!$A$1:$S$56</definedName>
    <definedName name="_xlnm.Print_Area" localSheetId="20">'SPOT CASH_60 DAYS (2)'!$A$1:$S$56</definedName>
    <definedName name="_xlnm.Print_Area" localSheetId="15">'SPOT EQUITY_30DAYS'!$B$1:$S$79</definedName>
    <definedName name="_xlnm.Print_Area" localSheetId="13">'SPOT EQUITY_7DAYS'!$A$1:$P$82</definedName>
    <definedName name="_xlnm.Print_Area" localSheetId="11">'STANDARD COMP.'!$A$1:$Q$84</definedName>
    <definedName name="_xlnm.Print_Area" localSheetId="7">'STEP UP'!$A$1:$Q$80</definedName>
    <definedName name="_xlnm.Print_Area" localSheetId="9">'Step-up with Lumpsum'!$B$1:$Q$80</definedName>
    <definedName name="Print_Area_Reset" localSheetId="24">#N/A</definedName>
    <definedName name="Print_Area_Reset" localSheetId="25">#N/A</definedName>
    <definedName name="Print_Area_Reset" localSheetId="4">#N/A</definedName>
    <definedName name="Print_Area_Reset">OFFSET(Full_Print,0,0,'Amort Computation'!Last_Row)</definedName>
    <definedName name="_xlnm.Print_Titles" localSheetId="1">'Amort Computation'!$22:$24</definedName>
    <definedName name="_xlnm.Print_Titles" localSheetId="5">'Pricelist Link'!$6:$6</definedName>
    <definedName name="Sched_Pay" localSheetId="24">#REF!</definedName>
    <definedName name="Sched_Pay" localSheetId="25">#REF!</definedName>
    <definedName name="Sched_Pay" localSheetId="1">'Amort Computation'!$D$25:$D$384</definedName>
    <definedName name="Sched_Pay">#REF!</definedName>
    <definedName name="Scheduled_Extra_Payments" localSheetId="24">#REF!</definedName>
    <definedName name="Scheduled_Extra_Payments" localSheetId="25">#REF!</definedName>
    <definedName name="Scheduled_Extra_Payments" localSheetId="1">'Amort Computation'!$D$19</definedName>
    <definedName name="Scheduled_Extra_Payments">#REF!</definedName>
    <definedName name="Scheduled_Interest_Rate">'Amort Computation'!$D$15</definedName>
    <definedName name="Scheduled_Monthly_Payment" localSheetId="1">'Amort Computation'!$H$14</definedName>
    <definedName name="Scheduled_Monthly_Payment">'[3]Amortization Table'!$H$17</definedName>
    <definedName name="spread" localSheetId="25">#REF!</definedName>
    <definedName name="spread">#REF!</definedName>
    <definedName name="Total_Interest">'Amort Computation'!$H$18</definedName>
    <definedName name="Total_Pay" localSheetId="24">#REF!</definedName>
    <definedName name="Total_Pay" localSheetId="25">#REF!</definedName>
    <definedName name="Total_Pay" localSheetId="1">'Amort Computation'!$F$25:$F$384</definedName>
    <definedName name="Total_Pay">#REF!</definedName>
    <definedName name="Total_Payment" localSheetId="24">Scheduled_Payment+Extra_Payment</definedName>
    <definedName name="Total_Payment" localSheetId="25">Scheduled_Payment+Extra_Payment</definedName>
    <definedName name="Total_Payment" localSheetId="4">Scheduled_Payment+Extra_Payment</definedName>
    <definedName name="Total_Payment">Scheduled_Payment+Extra_Payment</definedName>
    <definedName name="Values_Entered" localSheetId="24">IF('10% spread plus 5% lumpsum'!Loan_Amount*'10% spread plus 5% lumpsum'!Interest_Rate*'10% spread plus 5% lumpsum'!Loan_Years*'10% spread plus 5% lumpsum'!Loan_Start&gt;0,1,0)</definedName>
    <definedName name="Values_Entered" localSheetId="25">IF('10% step up plus 5% lumpsum'!Loan_Amount*'10% step up plus 5% lumpsum'!Interest_Rate*'10% step up plus 5% lumpsum'!Loan_Years*'10% step up plus 5% lumpsum'!Loan_Start&gt;0,1,0)</definedName>
    <definedName name="Values_Entered" localSheetId="1">IF('Amort Computation'!Loan_Amount*'Amort Computation'!Interest_Rate*'Amort Computation'!Loan_Years*'Amort Computation'!Loan_Start&gt;0,1,0)</definedName>
    <definedName name="Values_Entered" localSheetId="4">IF(Loan_Amount*Interest_Rate*Loan_Years*Loan_Start&gt;0,1,0)</definedName>
    <definedName name="Values_Entered">IF(Loan_Amount*Interest_Rate*Loan_Years*Loan_Start&gt;0,1,0)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1" i="23" l="1"/>
  <c r="B32" i="23"/>
  <c r="B30" i="23"/>
  <c r="B30" i="32"/>
  <c r="B31" i="32"/>
  <c r="B29" i="32"/>
  <c r="IH5" i="35" l="1"/>
  <c r="N96" i="40" l="1"/>
  <c r="O95" i="40" l="1"/>
  <c r="O94" i="40"/>
  <c r="O93" i="40"/>
  <c r="H96" i="40"/>
  <c r="H98" i="40" s="1"/>
  <c r="H101" i="40" l="1"/>
  <c r="BY5" i="35"/>
  <c r="H91" i="40"/>
  <c r="H93" i="40" s="1"/>
  <c r="BV5" i="35" s="1"/>
  <c r="BW4" i="35"/>
  <c r="IG19" i="35"/>
  <c r="IH19" i="35" s="1"/>
  <c r="CQ209" i="35" s="1"/>
  <c r="IG18" i="35"/>
  <c r="IG17" i="35"/>
  <c r="IG16" i="35"/>
  <c r="IG15" i="35"/>
  <c r="IG14" i="35"/>
  <c r="IG13" i="35"/>
  <c r="IG12" i="35"/>
  <c r="IG11" i="35"/>
  <c r="IG10" i="35"/>
  <c r="IG8" i="35"/>
  <c r="IG9" i="35"/>
  <c r="IH13" i="35"/>
  <c r="IH9" i="35"/>
  <c r="BV182" i="35" l="1"/>
  <c r="BV185" i="35"/>
  <c r="BV184" i="35"/>
  <c r="BV131" i="35"/>
  <c r="BV130" i="35"/>
  <c r="BV127" i="35"/>
  <c r="BV75" i="35"/>
  <c r="BV61" i="35"/>
  <c r="BV51" i="35"/>
  <c r="BY218" i="35"/>
  <c r="BY210" i="35"/>
  <c r="BY207" i="35"/>
  <c r="BY206" i="35"/>
  <c r="BY196" i="35"/>
  <c r="BY193" i="35"/>
  <c r="BY191" i="35"/>
  <c r="BY188" i="35"/>
  <c r="BY186" i="35"/>
  <c r="BY185" i="35"/>
  <c r="BY184" i="35"/>
  <c r="BY182" i="35"/>
  <c r="BY180" i="35"/>
  <c r="BY176" i="35"/>
  <c r="BY170" i="35"/>
  <c r="BY169" i="35"/>
  <c r="BY168" i="35"/>
  <c r="BY167" i="35"/>
  <c r="BY151" i="35"/>
  <c r="BY150" i="35"/>
  <c r="BY148" i="35"/>
  <c r="BY142" i="35"/>
  <c r="BY131" i="35"/>
  <c r="BY130" i="35"/>
  <c r="BY127" i="35"/>
  <c r="BY126" i="35"/>
  <c r="BY115" i="35"/>
  <c r="BY114" i="35"/>
  <c r="BY112" i="35"/>
  <c r="BY96" i="35"/>
  <c r="BY92" i="35"/>
  <c r="BY80" i="35"/>
  <c r="BY78" i="35"/>
  <c r="BY77" i="35"/>
  <c r="BY61" i="35"/>
  <c r="BY51" i="35"/>
  <c r="BY46" i="35"/>
  <c r="BY43" i="35"/>
  <c r="BY42" i="35"/>
  <c r="BY36" i="35"/>
  <c r="BY35" i="35"/>
  <c r="BY26" i="35"/>
  <c r="BY18" i="35"/>
  <c r="BY14" i="35"/>
  <c r="BY220" i="35" s="1"/>
  <c r="CQ206" i="35"/>
  <c r="CQ207" i="35"/>
  <c r="CQ210" i="35"/>
  <c r="CQ218" i="35"/>
  <c r="CQ219" i="35"/>
  <c r="BV77" i="35"/>
  <c r="BV78" i="35"/>
  <c r="BV80" i="35"/>
  <c r="BV26" i="35"/>
  <c r="BV196" i="35"/>
  <c r="BV36" i="35"/>
  <c r="BV112" i="35"/>
  <c r="BV169" i="35"/>
  <c r="BV206" i="35"/>
  <c r="BV151" i="35"/>
  <c r="BV92" i="35"/>
  <c r="BV168" i="35"/>
  <c r="BV42" i="35"/>
  <c r="BV114" i="35"/>
  <c r="BV170" i="35"/>
  <c r="BV207" i="35"/>
  <c r="BV148" i="35"/>
  <c r="BV150" i="35"/>
  <c r="BV18" i="35"/>
  <c r="BV193" i="35"/>
  <c r="BV35" i="35"/>
  <c r="BV43" i="35"/>
  <c r="BV115" i="35"/>
  <c r="BV176" i="35"/>
  <c r="BV210" i="35"/>
  <c r="BV186" i="35"/>
  <c r="BV188" i="35"/>
  <c r="BV191" i="35"/>
  <c r="BV167" i="35"/>
  <c r="BV96" i="35"/>
  <c r="BV46" i="35"/>
  <c r="BV126" i="35"/>
  <c r="BV180" i="35"/>
  <c r="BV218" i="35"/>
  <c r="CQ203" i="35"/>
  <c r="CQ208" i="35"/>
  <c r="CQ217" i="35"/>
  <c r="CQ205" i="35"/>
  <c r="CQ216" i="35"/>
  <c r="CQ204" i="35"/>
  <c r="CQ215" i="35"/>
  <c r="CQ214" i="35"/>
  <c r="CQ212" i="35"/>
  <c r="CQ211" i="35"/>
  <c r="CQ213" i="35"/>
  <c r="CQ202" i="35"/>
  <c r="IH18" i="35"/>
  <c r="IH10" i="35"/>
  <c r="IH11" i="35"/>
  <c r="IH12" i="35"/>
  <c r="IH14" i="35"/>
  <c r="IH15" i="35"/>
  <c r="IH16" i="35"/>
  <c r="IH17" i="35"/>
  <c r="IH8" i="35"/>
  <c r="H86" i="40" l="1"/>
  <c r="H88" i="40" s="1"/>
  <c r="BT5" i="35" s="1"/>
  <c r="BT210" i="35" s="1"/>
  <c r="FQ37" i="35"/>
  <c r="FP37" i="35" s="1"/>
  <c r="FQ38" i="35"/>
  <c r="FP38" i="35" s="1"/>
  <c r="FQ39" i="35"/>
  <c r="FP39" i="35" s="1"/>
  <c r="FR42" i="35"/>
  <c r="FR43" i="35"/>
  <c r="FQ43" i="35"/>
  <c r="FQ42" i="35"/>
  <c r="FQ36" i="35"/>
  <c r="FP36" i="35" s="1"/>
  <c r="FP43" i="35" l="1"/>
  <c r="FP42" i="35"/>
  <c r="BT127" i="35"/>
  <c r="BT42" i="35"/>
  <c r="BT43" i="35"/>
  <c r="BT61" i="35"/>
  <c r="BT188" i="35"/>
  <c r="BT131" i="35"/>
  <c r="BT46" i="35"/>
  <c r="BT180" i="35"/>
  <c r="BT51" i="35"/>
  <c r="BT184" i="35"/>
  <c r="BT185" i="35"/>
  <c r="BT77" i="35"/>
  <c r="BT114" i="35"/>
  <c r="BT115" i="35"/>
  <c r="BT191" i="35"/>
  <c r="BT130" i="35"/>
  <c r="BT151" i="35"/>
  <c r="BT182" i="35"/>
  <c r="BT75" i="35"/>
  <c r="BT186" i="35"/>
  <c r="BT126" i="35"/>
  <c r="BT218" i="35"/>
  <c r="BT78" i="35"/>
  <c r="BT167" i="35"/>
  <c r="BT193" i="35"/>
  <c r="BT18" i="35"/>
  <c r="BT80" i="35"/>
  <c r="BT168" i="35"/>
  <c r="BT196" i="35"/>
  <c r="BT26" i="35"/>
  <c r="BT92" i="35"/>
  <c r="BT169" i="35"/>
  <c r="BT206" i="35"/>
  <c r="BT35" i="35"/>
  <c r="BT96" i="35"/>
  <c r="BT170" i="35"/>
  <c r="BT207" i="35"/>
  <c r="BT36" i="35"/>
  <c r="BT112" i="35"/>
  <c r="BT176" i="35"/>
  <c r="BR114" i="35"/>
  <c r="BR218" i="35"/>
  <c r="BR210" i="35"/>
  <c r="BR207" i="35"/>
  <c r="BR206" i="35"/>
  <c r="BR196" i="35"/>
  <c r="BR193" i="35"/>
  <c r="BR191" i="35"/>
  <c r="BR188" i="35"/>
  <c r="BR186" i="35"/>
  <c r="BR185" i="35"/>
  <c r="BR184" i="35"/>
  <c r="BR182" i="35"/>
  <c r="BR180" i="35"/>
  <c r="BR176" i="35"/>
  <c r="BR170" i="35"/>
  <c r="BR169" i="35"/>
  <c r="BR168" i="35"/>
  <c r="BR167" i="35"/>
  <c r="BR151" i="35"/>
  <c r="BR150" i="35"/>
  <c r="BR148" i="35"/>
  <c r="BR131" i="35"/>
  <c r="BR130" i="35"/>
  <c r="BR127" i="35"/>
  <c r="BR126" i="35"/>
  <c r="BR115" i="35"/>
  <c r="BR112" i="35"/>
  <c r="BR96" i="35"/>
  <c r="BR92" i="35"/>
  <c r="BR80" i="35"/>
  <c r="BR78" i="35"/>
  <c r="BR77" i="35"/>
  <c r="BR75" i="35"/>
  <c r="BR61" i="35"/>
  <c r="BR51" i="35"/>
  <c r="BR46" i="35"/>
  <c r="BR43" i="35"/>
  <c r="BR42" i="35"/>
  <c r="BR36" i="35"/>
  <c r="BR35" i="35"/>
  <c r="BR26" i="35"/>
  <c r="H81" i="40"/>
  <c r="H80" i="40"/>
  <c r="H79" i="40"/>
  <c r="H78" i="40"/>
  <c r="H83" i="40" s="1"/>
  <c r="FQ35" i="35"/>
  <c r="BT220" i="35" l="1"/>
  <c r="FQ34" i="35"/>
  <c r="BP218" i="35" l="1"/>
  <c r="BP210" i="35"/>
  <c r="BP207" i="35"/>
  <c r="BP206" i="35"/>
  <c r="BP193" i="35"/>
  <c r="BP191" i="35"/>
  <c r="BP188" i="35"/>
  <c r="BP186" i="35"/>
  <c r="BP185" i="35"/>
  <c r="BP184" i="35"/>
  <c r="BP180" i="35"/>
  <c r="BP176" i="35"/>
  <c r="BP170" i="35"/>
  <c r="BP169" i="35"/>
  <c r="BP168" i="35"/>
  <c r="BP150" i="35"/>
  <c r="BP148" i="35"/>
  <c r="BP131" i="35"/>
  <c r="BP130" i="35"/>
  <c r="BP127" i="35"/>
  <c r="BP126" i="35"/>
  <c r="BP115" i="35"/>
  <c r="BP114" i="35"/>
  <c r="BP112" i="35"/>
  <c r="BP96" i="35"/>
  <c r="BP92" i="35"/>
  <c r="BP80" i="35"/>
  <c r="BP78" i="35"/>
  <c r="BP77" i="35"/>
  <c r="BP75" i="35"/>
  <c r="BP51" i="35"/>
  <c r="BP46" i="35"/>
  <c r="BP43" i="35"/>
  <c r="BP42" i="35"/>
  <c r="BP36" i="35"/>
  <c r="BP35" i="35"/>
  <c r="BP26" i="35"/>
  <c r="H73" i="40"/>
  <c r="H72" i="40"/>
  <c r="H71" i="40"/>
  <c r="H67" i="40"/>
  <c r="H75" i="40" l="1"/>
  <c r="FQ33" i="35"/>
  <c r="F31" i="32" l="1"/>
  <c r="F32" i="23"/>
  <c r="E31" i="23"/>
  <c r="E32" i="23"/>
  <c r="E30" i="23"/>
  <c r="H63" i="40" l="1"/>
  <c r="BL220" i="35"/>
  <c r="FP31" i="35"/>
  <c r="FP32" i="35" s="1"/>
  <c r="FQ32" i="35" s="1"/>
  <c r="FQ31" i="35" l="1"/>
  <c r="BJ220" i="35"/>
  <c r="FQ30" i="35"/>
  <c r="BH220" i="35" l="1"/>
  <c r="FP28" i="35" l="1"/>
  <c r="FP29" i="35" s="1"/>
  <c r="FQ29" i="35" s="1"/>
  <c r="FQ28" i="35" l="1"/>
  <c r="BF220" i="35"/>
  <c r="H46" i="40"/>
  <c r="H45" i="40"/>
  <c r="H44" i="40"/>
  <c r="H43" i="40"/>
  <c r="H50" i="40" l="1"/>
  <c r="I51" i="40"/>
  <c r="BF5" i="35"/>
  <c r="BD220" i="35" l="1"/>
  <c r="G38" i="40"/>
  <c r="H37" i="40"/>
  <c r="H36" i="40"/>
  <c r="H35" i="40"/>
  <c r="H34" i="40"/>
  <c r="H33" i="40"/>
  <c r="H32" i="40"/>
  <c r="H31" i="40"/>
  <c r="H38" i="40" s="1"/>
  <c r="I39" i="40" s="1"/>
  <c r="BC219" i="35"/>
  <c r="BW219" i="35" s="1"/>
  <c r="BC218" i="35"/>
  <c r="BW218" i="35" s="1"/>
  <c r="BC217" i="35"/>
  <c r="BW217" i="35" s="1"/>
  <c r="BC216" i="35"/>
  <c r="BW216" i="35" s="1"/>
  <c r="BC215" i="35"/>
  <c r="BW215" i="35" s="1"/>
  <c r="BC214" i="35"/>
  <c r="BW214" i="35" s="1"/>
  <c r="BC213" i="35"/>
  <c r="BW213" i="35" s="1"/>
  <c r="BC212" i="35"/>
  <c r="BW212" i="35" s="1"/>
  <c r="BC211" i="35"/>
  <c r="BW211" i="35" s="1"/>
  <c r="BC210" i="35"/>
  <c r="BW210" i="35" s="1"/>
  <c r="BC209" i="35"/>
  <c r="BW209" i="35" s="1"/>
  <c r="BC208" i="35"/>
  <c r="BW208" i="35" s="1"/>
  <c r="BC207" i="35"/>
  <c r="BW207" i="35" s="1"/>
  <c r="BC206" i="35"/>
  <c r="BW206" i="35" s="1"/>
  <c r="BC205" i="35"/>
  <c r="BW205" i="35" s="1"/>
  <c r="BC204" i="35"/>
  <c r="BW204" i="35" s="1"/>
  <c r="BC203" i="35"/>
  <c r="BW203" i="35" s="1"/>
  <c r="BC202" i="35"/>
  <c r="BW202" i="35" s="1"/>
  <c r="BC201" i="35"/>
  <c r="BW201" i="35" s="1"/>
  <c r="BC200" i="35"/>
  <c r="BW200" i="35" s="1"/>
  <c r="BC199" i="35"/>
  <c r="BW199" i="35" s="1"/>
  <c r="BC198" i="35"/>
  <c r="BW198" i="35" s="1"/>
  <c r="BC197" i="35"/>
  <c r="BW197" i="35" s="1"/>
  <c r="BC196" i="35"/>
  <c r="BW196" i="35" s="1"/>
  <c r="BC195" i="35"/>
  <c r="BW195" i="35" s="1"/>
  <c r="BC194" i="35"/>
  <c r="BW194" i="35" s="1"/>
  <c r="BC193" i="35"/>
  <c r="BW193" i="35" s="1"/>
  <c r="BC192" i="35"/>
  <c r="BW192" i="35" s="1"/>
  <c r="BC191" i="35"/>
  <c r="BW191" i="35" s="1"/>
  <c r="BC190" i="35"/>
  <c r="BW190" i="35" s="1"/>
  <c r="BC189" i="35"/>
  <c r="BW189" i="35" s="1"/>
  <c r="BC188" i="35"/>
  <c r="BW188" i="35" s="1"/>
  <c r="BC187" i="35"/>
  <c r="BW187" i="35" s="1"/>
  <c r="BC186" i="35"/>
  <c r="BW186" i="35" s="1"/>
  <c r="BC185" i="35"/>
  <c r="BW185" i="35" s="1"/>
  <c r="BC184" i="35"/>
  <c r="BW184" i="35" s="1"/>
  <c r="BC183" i="35"/>
  <c r="BW183" i="35" s="1"/>
  <c r="BC182" i="35"/>
  <c r="BW182" i="35" s="1"/>
  <c r="BC181" i="35"/>
  <c r="BW181" i="35" s="1"/>
  <c r="BC180" i="35"/>
  <c r="BW180" i="35" s="1"/>
  <c r="BC179" i="35"/>
  <c r="BW179" i="35" s="1"/>
  <c r="BC178" i="35"/>
  <c r="BW178" i="35" s="1"/>
  <c r="BC177" i="35"/>
  <c r="BW177" i="35" s="1"/>
  <c r="BC176" i="35"/>
  <c r="BW176" i="35" s="1"/>
  <c r="BC175" i="35"/>
  <c r="BW175" i="35" s="1"/>
  <c r="BC174" i="35"/>
  <c r="BW174" i="35" s="1"/>
  <c r="BC173" i="35"/>
  <c r="BW173" i="35" s="1"/>
  <c r="BC172" i="35"/>
  <c r="BW172" i="35" s="1"/>
  <c r="BC171" i="35"/>
  <c r="BW171" i="35" s="1"/>
  <c r="BC170" i="35"/>
  <c r="BW170" i="35" s="1"/>
  <c r="BC169" i="35"/>
  <c r="BW169" i="35" s="1"/>
  <c r="BC168" i="35"/>
  <c r="BW168" i="35" s="1"/>
  <c r="BC167" i="35"/>
  <c r="BW167" i="35" s="1"/>
  <c r="BC166" i="35"/>
  <c r="BW166" i="35" s="1"/>
  <c r="BC165" i="35"/>
  <c r="BW165" i="35" s="1"/>
  <c r="BC164" i="35"/>
  <c r="BW164" i="35" s="1"/>
  <c r="BC163" i="35"/>
  <c r="BW163" i="35" s="1"/>
  <c r="BC162" i="35"/>
  <c r="BW162" i="35" s="1"/>
  <c r="BC161" i="35"/>
  <c r="BW161" i="35" s="1"/>
  <c r="BC160" i="35"/>
  <c r="BW160" i="35" s="1"/>
  <c r="BC159" i="35"/>
  <c r="BW159" i="35" s="1"/>
  <c r="BC158" i="35"/>
  <c r="BW158" i="35" s="1"/>
  <c r="BC157" i="35"/>
  <c r="BW157" i="35" s="1"/>
  <c r="BC156" i="35"/>
  <c r="BW156" i="35" s="1"/>
  <c r="BC155" i="35"/>
  <c r="BW155" i="35" s="1"/>
  <c r="BC154" i="35"/>
  <c r="BW154" i="35" s="1"/>
  <c r="BC153" i="35"/>
  <c r="BW153" i="35" s="1"/>
  <c r="BC152" i="35"/>
  <c r="BW152" i="35" s="1"/>
  <c r="BC151" i="35"/>
  <c r="BW151" i="35" s="1"/>
  <c r="BC150" i="35"/>
  <c r="BW150" i="35" s="1"/>
  <c r="BC149" i="35"/>
  <c r="BW149" i="35" s="1"/>
  <c r="BC148" i="35"/>
  <c r="BW148" i="35" s="1"/>
  <c r="BC147" i="35"/>
  <c r="BW147" i="35" s="1"/>
  <c r="BC146" i="35"/>
  <c r="BW146" i="35" s="1"/>
  <c r="BC145" i="35"/>
  <c r="BW145" i="35" s="1"/>
  <c r="BC144" i="35"/>
  <c r="BW144" i="35" s="1"/>
  <c r="BC143" i="35"/>
  <c r="BW143" i="35" s="1"/>
  <c r="BC142" i="35"/>
  <c r="BW142" i="35" s="1"/>
  <c r="BC141" i="35"/>
  <c r="BW141" i="35" s="1"/>
  <c r="BC140" i="35"/>
  <c r="BW140" i="35" s="1"/>
  <c r="BC139" i="35"/>
  <c r="BW139" i="35" s="1"/>
  <c r="BC138" i="35"/>
  <c r="BW138" i="35" s="1"/>
  <c r="BC137" i="35"/>
  <c r="BW137" i="35" s="1"/>
  <c r="BC136" i="35"/>
  <c r="BW136" i="35" s="1"/>
  <c r="BC135" i="35"/>
  <c r="BW135" i="35" s="1"/>
  <c r="BC134" i="35"/>
  <c r="BW134" i="35" s="1"/>
  <c r="BC133" i="35"/>
  <c r="BW133" i="35" s="1"/>
  <c r="BC132" i="35"/>
  <c r="BW132" i="35" s="1"/>
  <c r="BC131" i="35"/>
  <c r="BW131" i="35" s="1"/>
  <c r="BC130" i="35"/>
  <c r="BW130" i="35" s="1"/>
  <c r="BC129" i="35"/>
  <c r="BW129" i="35" s="1"/>
  <c r="BC128" i="35"/>
  <c r="BW128" i="35" s="1"/>
  <c r="BC127" i="35"/>
  <c r="BW127" i="35" s="1"/>
  <c r="BC126" i="35"/>
  <c r="BW126" i="35" s="1"/>
  <c r="BC125" i="35"/>
  <c r="BW125" i="35" s="1"/>
  <c r="BC124" i="35"/>
  <c r="BW124" i="35" s="1"/>
  <c r="BC123" i="35"/>
  <c r="BW123" i="35" s="1"/>
  <c r="BC122" i="35"/>
  <c r="BW122" i="35" s="1"/>
  <c r="BC121" i="35"/>
  <c r="BW121" i="35" s="1"/>
  <c r="BC120" i="35"/>
  <c r="BW120" i="35" s="1"/>
  <c r="BC119" i="35"/>
  <c r="BW119" i="35" s="1"/>
  <c r="BC118" i="35"/>
  <c r="BW118" i="35" s="1"/>
  <c r="BC117" i="35"/>
  <c r="BW117" i="35" s="1"/>
  <c r="BC116" i="35"/>
  <c r="BW116" i="35" s="1"/>
  <c r="BC115" i="35"/>
  <c r="BW115" i="35" s="1"/>
  <c r="BC114" i="35"/>
  <c r="BW114" i="35" s="1"/>
  <c r="BC113" i="35"/>
  <c r="BW113" i="35" s="1"/>
  <c r="BC112" i="35"/>
  <c r="BW112" i="35" s="1"/>
  <c r="BC111" i="35"/>
  <c r="BW111" i="35" s="1"/>
  <c r="BC110" i="35"/>
  <c r="BW110" i="35" s="1"/>
  <c r="BC109" i="35"/>
  <c r="BW109" i="35" s="1"/>
  <c r="BC108" i="35"/>
  <c r="BW108" i="35" s="1"/>
  <c r="BC107" i="35"/>
  <c r="BW107" i="35" s="1"/>
  <c r="BC106" i="35"/>
  <c r="BW106" i="35" s="1"/>
  <c r="BC105" i="35"/>
  <c r="BW105" i="35" s="1"/>
  <c r="BC104" i="35"/>
  <c r="BW104" i="35" s="1"/>
  <c r="BC103" i="35"/>
  <c r="BW103" i="35" s="1"/>
  <c r="BC102" i="35"/>
  <c r="BW102" i="35" s="1"/>
  <c r="BC101" i="35"/>
  <c r="BW101" i="35" s="1"/>
  <c r="BC100" i="35"/>
  <c r="BW100" i="35" s="1"/>
  <c r="BC99" i="35"/>
  <c r="BW99" i="35" s="1"/>
  <c r="BC98" i="35"/>
  <c r="BW98" i="35" s="1"/>
  <c r="BC97" i="35"/>
  <c r="BW97" i="35" s="1"/>
  <c r="BC96" i="35"/>
  <c r="BW96" i="35" s="1"/>
  <c r="BC95" i="35"/>
  <c r="BW95" i="35" s="1"/>
  <c r="BC94" i="35"/>
  <c r="BW94" i="35" s="1"/>
  <c r="BC93" i="35"/>
  <c r="BW93" i="35" s="1"/>
  <c r="BC92" i="35"/>
  <c r="BW92" i="35" s="1"/>
  <c r="BC91" i="35"/>
  <c r="BW91" i="35" s="1"/>
  <c r="BC90" i="35"/>
  <c r="BW90" i="35" s="1"/>
  <c r="BC89" i="35"/>
  <c r="BW89" i="35" s="1"/>
  <c r="BC88" i="35"/>
  <c r="BW88" i="35" s="1"/>
  <c r="BC87" i="35"/>
  <c r="BW87" i="35" s="1"/>
  <c r="BC86" i="35"/>
  <c r="BW86" i="35" s="1"/>
  <c r="BC85" i="35"/>
  <c r="BW85" i="35" s="1"/>
  <c r="BC84" i="35"/>
  <c r="BW84" i="35" s="1"/>
  <c r="BC83" i="35"/>
  <c r="BW83" i="35" s="1"/>
  <c r="BC82" i="35"/>
  <c r="BW82" i="35" s="1"/>
  <c r="BC81" i="35"/>
  <c r="BW81" i="35" s="1"/>
  <c r="BC80" i="35"/>
  <c r="BW80" i="35" s="1"/>
  <c r="BC79" i="35"/>
  <c r="BW79" i="35" s="1"/>
  <c r="BC78" i="35"/>
  <c r="BW78" i="35" s="1"/>
  <c r="BC77" i="35"/>
  <c r="BW77" i="35" s="1"/>
  <c r="BC76" i="35"/>
  <c r="BW76" i="35" s="1"/>
  <c r="BC75" i="35"/>
  <c r="BW75" i="35" s="1"/>
  <c r="BC74" i="35"/>
  <c r="BW74" i="35" s="1"/>
  <c r="BC73" i="35"/>
  <c r="BW73" i="35" s="1"/>
  <c r="BC72" i="35"/>
  <c r="BW72" i="35" s="1"/>
  <c r="BC71" i="35"/>
  <c r="BW71" i="35" s="1"/>
  <c r="BC70" i="35"/>
  <c r="BW70" i="35" s="1"/>
  <c r="BC69" i="35"/>
  <c r="BW69" i="35" s="1"/>
  <c r="BC68" i="35"/>
  <c r="BW68" i="35" s="1"/>
  <c r="BC67" i="35"/>
  <c r="BW67" i="35" s="1"/>
  <c r="BC66" i="35"/>
  <c r="BW66" i="35" s="1"/>
  <c r="BC65" i="35"/>
  <c r="BW65" i="35" s="1"/>
  <c r="BC64" i="35"/>
  <c r="BW64" i="35" s="1"/>
  <c r="BC63" i="35"/>
  <c r="BW63" i="35" s="1"/>
  <c r="BC62" i="35"/>
  <c r="BW62" i="35" s="1"/>
  <c r="BC61" i="35"/>
  <c r="BW61" i="35" s="1"/>
  <c r="BC60" i="35"/>
  <c r="BW60" i="35" s="1"/>
  <c r="BC59" i="35"/>
  <c r="BW59" i="35" s="1"/>
  <c r="BC58" i="35"/>
  <c r="BW58" i="35" s="1"/>
  <c r="BC57" i="35"/>
  <c r="BW57" i="35" s="1"/>
  <c r="BC56" i="35"/>
  <c r="BW56" i="35" s="1"/>
  <c r="BC55" i="35"/>
  <c r="BW55" i="35" s="1"/>
  <c r="BC54" i="35"/>
  <c r="BW54" i="35" s="1"/>
  <c r="BC53" i="35"/>
  <c r="BW53" i="35" s="1"/>
  <c r="BC52" i="35"/>
  <c r="BW52" i="35" s="1"/>
  <c r="BC51" i="35"/>
  <c r="BW51" i="35" s="1"/>
  <c r="BC50" i="35"/>
  <c r="BW50" i="35" s="1"/>
  <c r="BC49" i="35"/>
  <c r="BW49" i="35" s="1"/>
  <c r="BC48" i="35"/>
  <c r="BW48" i="35" s="1"/>
  <c r="BC47" i="35"/>
  <c r="BW47" i="35" s="1"/>
  <c r="BC46" i="35"/>
  <c r="BW46" i="35" s="1"/>
  <c r="BC45" i="35"/>
  <c r="BW45" i="35" s="1"/>
  <c r="BC44" i="35"/>
  <c r="BW44" i="35" s="1"/>
  <c r="BC43" i="35"/>
  <c r="BW43" i="35" s="1"/>
  <c r="BC41" i="35"/>
  <c r="BW41" i="35" s="1"/>
  <c r="BC40" i="35"/>
  <c r="BW40" i="35" s="1"/>
  <c r="BC39" i="35"/>
  <c r="BW39" i="35" s="1"/>
  <c r="BC38" i="35"/>
  <c r="BW38" i="35" s="1"/>
  <c r="BC37" i="35"/>
  <c r="BW37" i="35" s="1"/>
  <c r="BC36" i="35"/>
  <c r="BW36" i="35" s="1"/>
  <c r="BC35" i="35"/>
  <c r="BW35" i="35" s="1"/>
  <c r="BC34" i="35"/>
  <c r="BW34" i="35" s="1"/>
  <c r="BC33" i="35"/>
  <c r="BW33" i="35" s="1"/>
  <c r="BC32" i="35"/>
  <c r="BW32" i="35" s="1"/>
  <c r="BC31" i="35"/>
  <c r="BW31" i="35" s="1"/>
  <c r="BC30" i="35"/>
  <c r="BW30" i="35" s="1"/>
  <c r="BC29" i="35"/>
  <c r="BW29" i="35" s="1"/>
  <c r="BC28" i="35"/>
  <c r="BW28" i="35" s="1"/>
  <c r="BC27" i="35"/>
  <c r="BW27" i="35" s="1"/>
  <c r="BC26" i="35"/>
  <c r="BW26" i="35" s="1"/>
  <c r="BC25" i="35"/>
  <c r="BW25" i="35" s="1"/>
  <c r="BC24" i="35"/>
  <c r="BW24" i="35" s="1"/>
  <c r="BC23" i="35"/>
  <c r="BW23" i="35" s="1"/>
  <c r="BC22" i="35"/>
  <c r="BW22" i="35" s="1"/>
  <c r="BC21" i="35"/>
  <c r="BW21" i="35" s="1"/>
  <c r="BC20" i="35"/>
  <c r="BW20" i="35" s="1"/>
  <c r="BC19" i="35"/>
  <c r="BW19" i="35" s="1"/>
  <c r="BC18" i="35"/>
  <c r="BW18" i="35" s="1"/>
  <c r="BC17" i="35"/>
  <c r="BW17" i="35" s="1"/>
  <c r="BC16" i="35"/>
  <c r="BW16" i="35" s="1"/>
  <c r="BC15" i="35"/>
  <c r="BW15" i="35" s="1"/>
  <c r="BC14" i="35"/>
  <c r="BW14" i="35" s="1"/>
  <c r="BC13" i="35"/>
  <c r="BW13" i="35" s="1"/>
  <c r="BC12" i="35"/>
  <c r="BW12" i="35" s="1"/>
  <c r="BC11" i="35"/>
  <c r="BW11" i="35" s="1"/>
  <c r="BC10" i="35"/>
  <c r="BW10" i="35" s="1"/>
  <c r="BC9" i="35"/>
  <c r="BW9" i="35" s="1"/>
  <c r="BC8" i="35"/>
  <c r="BW8" i="35" s="1"/>
  <c r="BC7" i="35"/>
  <c r="BW7" i="35" s="1"/>
  <c r="FQ27" i="35"/>
  <c r="BC42" i="35" l="1"/>
  <c r="BC220" i="35" l="1"/>
  <c r="BW42" i="35"/>
  <c r="BW220" i="35" s="1"/>
  <c r="H25" i="40"/>
  <c r="CM219" i="35" l="1"/>
  <c r="CM218" i="35"/>
  <c r="CM217" i="35"/>
  <c r="CM216" i="35"/>
  <c r="CM215" i="35"/>
  <c r="CM214" i="35"/>
  <c r="CM213" i="35"/>
  <c r="CM212" i="35"/>
  <c r="CM211" i="35"/>
  <c r="CM210" i="35"/>
  <c r="CM209" i="35"/>
  <c r="CM208" i="35"/>
  <c r="CM207" i="35"/>
  <c r="CM206" i="35"/>
  <c r="CM205" i="35"/>
  <c r="CM204" i="35"/>
  <c r="CM203" i="35"/>
  <c r="CM202" i="35"/>
  <c r="CM201" i="35"/>
  <c r="CM200" i="35"/>
  <c r="CM199" i="35"/>
  <c r="CM198" i="35"/>
  <c r="CM197" i="35"/>
  <c r="CM196" i="35"/>
  <c r="CM195" i="35"/>
  <c r="CM194" i="35"/>
  <c r="CM193" i="35"/>
  <c r="CM192" i="35"/>
  <c r="CM191" i="35"/>
  <c r="CM190" i="35"/>
  <c r="CM189" i="35"/>
  <c r="CM188" i="35"/>
  <c r="CM187" i="35"/>
  <c r="CM186" i="35"/>
  <c r="CM185" i="35"/>
  <c r="CM184" i="35"/>
  <c r="CM183" i="35"/>
  <c r="CM182" i="35"/>
  <c r="CM181" i="35"/>
  <c r="CM180" i="35"/>
  <c r="CM179" i="35"/>
  <c r="CM178" i="35"/>
  <c r="CM177" i="35"/>
  <c r="CM176" i="35"/>
  <c r="CM175" i="35"/>
  <c r="CM174" i="35"/>
  <c r="CM173" i="35"/>
  <c r="CM172" i="35"/>
  <c r="CM171" i="35"/>
  <c r="CM170" i="35"/>
  <c r="CM169" i="35"/>
  <c r="CM168" i="35"/>
  <c r="CM167" i="35"/>
  <c r="CM166" i="35"/>
  <c r="CM165" i="35"/>
  <c r="CM164" i="35"/>
  <c r="CM163" i="35"/>
  <c r="CM162" i="35"/>
  <c r="CM161" i="35"/>
  <c r="CM160" i="35"/>
  <c r="CM159" i="35"/>
  <c r="CM158" i="35"/>
  <c r="CM157" i="35"/>
  <c r="CM156" i="35"/>
  <c r="CM155" i="35"/>
  <c r="CM154" i="35"/>
  <c r="CM153" i="35"/>
  <c r="CM152" i="35"/>
  <c r="CM151" i="35"/>
  <c r="CM150" i="35"/>
  <c r="CM149" i="35"/>
  <c r="CM148" i="35"/>
  <c r="CM147" i="35"/>
  <c r="CM146" i="35"/>
  <c r="CM145" i="35"/>
  <c r="CM144" i="35"/>
  <c r="CM143" i="35"/>
  <c r="CM142" i="35"/>
  <c r="CM141" i="35"/>
  <c r="CM140" i="35"/>
  <c r="CM139" i="35"/>
  <c r="CM138" i="35"/>
  <c r="CM137" i="35"/>
  <c r="CM136" i="35"/>
  <c r="CM135" i="35"/>
  <c r="CM134" i="35"/>
  <c r="CM133" i="35"/>
  <c r="CM132" i="35"/>
  <c r="CM131" i="35"/>
  <c r="CM130" i="35"/>
  <c r="CM129" i="35"/>
  <c r="CM128" i="35"/>
  <c r="CM127" i="35"/>
  <c r="CM126" i="35"/>
  <c r="CM125" i="35"/>
  <c r="CM124" i="35"/>
  <c r="CM123" i="35"/>
  <c r="CM122" i="35"/>
  <c r="CM121" i="35"/>
  <c r="CM120" i="35"/>
  <c r="CM119" i="35"/>
  <c r="CM118" i="35"/>
  <c r="CM117" i="35"/>
  <c r="CM116" i="35"/>
  <c r="CM115" i="35"/>
  <c r="CM114" i="35"/>
  <c r="CM113" i="35"/>
  <c r="CM112" i="35"/>
  <c r="CM111" i="35"/>
  <c r="CM110" i="35"/>
  <c r="CM109" i="35"/>
  <c r="CM108" i="35"/>
  <c r="CM107" i="35"/>
  <c r="CM106" i="35"/>
  <c r="CM105" i="35"/>
  <c r="CM104" i="35"/>
  <c r="CM103" i="35"/>
  <c r="CM102" i="35"/>
  <c r="CM101" i="35"/>
  <c r="CM100" i="35"/>
  <c r="CM99" i="35"/>
  <c r="CM98" i="35"/>
  <c r="CM97" i="35"/>
  <c r="CM96" i="35"/>
  <c r="CM95" i="35"/>
  <c r="CM94" i="35"/>
  <c r="CM93" i="35"/>
  <c r="CM92" i="35"/>
  <c r="CM91" i="35"/>
  <c r="CM90" i="35"/>
  <c r="CM89" i="35"/>
  <c r="CM88" i="35"/>
  <c r="CM87" i="35"/>
  <c r="CM86" i="35"/>
  <c r="CM85" i="35"/>
  <c r="CM84" i="35"/>
  <c r="CM83" i="35"/>
  <c r="CM82" i="35"/>
  <c r="CM81" i="35"/>
  <c r="CM80" i="35"/>
  <c r="CM79" i="35"/>
  <c r="CM78" i="35"/>
  <c r="CM77" i="35"/>
  <c r="CM76" i="35"/>
  <c r="CM75" i="35"/>
  <c r="CM74" i="35"/>
  <c r="CM73" i="35"/>
  <c r="CM72" i="35"/>
  <c r="CM71" i="35"/>
  <c r="CM70" i="35"/>
  <c r="CM69" i="35"/>
  <c r="CM68" i="35"/>
  <c r="CM67" i="35"/>
  <c r="CM66" i="35"/>
  <c r="CM65" i="35"/>
  <c r="CM64" i="35"/>
  <c r="CM63" i="35"/>
  <c r="CM62" i="35"/>
  <c r="CM61" i="35"/>
  <c r="CM60" i="35"/>
  <c r="CM59" i="35"/>
  <c r="CM58" i="35"/>
  <c r="CM57" i="35"/>
  <c r="CM56" i="35"/>
  <c r="CM55" i="35"/>
  <c r="CM54" i="35"/>
  <c r="CM53" i="35"/>
  <c r="CM52" i="35"/>
  <c r="CM51" i="35"/>
  <c r="CM50" i="35"/>
  <c r="CM49" i="35"/>
  <c r="CM48" i="35"/>
  <c r="CM47" i="35"/>
  <c r="CM46" i="35"/>
  <c r="CM45" i="35"/>
  <c r="CM44" i="35"/>
  <c r="CM43" i="35"/>
  <c r="CM42" i="35"/>
  <c r="CM41" i="35"/>
  <c r="CM40" i="35"/>
  <c r="CM39" i="35"/>
  <c r="CM38" i="35"/>
  <c r="CM37" i="35"/>
  <c r="CM36" i="35"/>
  <c r="CM35" i="35"/>
  <c r="CM34" i="35"/>
  <c r="CM33" i="35"/>
  <c r="CM32" i="35"/>
  <c r="CM31" i="35"/>
  <c r="CM30" i="35"/>
  <c r="CM29" i="35"/>
  <c r="CM28" i="35"/>
  <c r="CM27" i="35"/>
  <c r="CM26" i="35"/>
  <c r="CM25" i="35"/>
  <c r="CM24" i="35"/>
  <c r="CM23" i="35"/>
  <c r="CM22" i="35"/>
  <c r="CM21" i="35"/>
  <c r="CM20" i="35"/>
  <c r="CM19" i="35"/>
  <c r="CM18" i="35"/>
  <c r="CM17" i="35"/>
  <c r="CM16" i="35"/>
  <c r="CM15" i="35"/>
  <c r="CM14" i="35"/>
  <c r="CM13" i="35"/>
  <c r="CM12" i="35"/>
  <c r="CM11" i="35"/>
  <c r="CM10" i="35"/>
  <c r="CM9" i="35"/>
  <c r="CM8" i="35"/>
  <c r="CM7" i="35"/>
  <c r="BB220" i="35"/>
  <c r="G13" i="40" l="1"/>
  <c r="H11" i="40"/>
  <c r="H10" i="40"/>
  <c r="H9" i="40"/>
  <c r="H8" i="40"/>
  <c r="H7" i="40"/>
  <c r="H6" i="40"/>
  <c r="H5" i="40"/>
  <c r="H13" i="40" s="1"/>
  <c r="AY5" i="35" s="1"/>
  <c r="AY220" i="35" l="1"/>
  <c r="AM220" i="35"/>
  <c r="AN220" i="35"/>
  <c r="CC220" i="35" l="1"/>
  <c r="FI226" i="35" l="1"/>
  <c r="FI224" i="35"/>
  <c r="D49" i="5" l="1"/>
  <c r="D53" i="7" l="1"/>
  <c r="D52" i="7"/>
  <c r="D51" i="7"/>
  <c r="D50" i="7"/>
  <c r="D52" i="6"/>
  <c r="D51" i="6"/>
  <c r="D50" i="6"/>
  <c r="D49" i="6"/>
  <c r="D52" i="5"/>
  <c r="D51" i="5"/>
  <c r="D50" i="5"/>
  <c r="D53" i="24"/>
  <c r="D52" i="24"/>
  <c r="D51" i="24"/>
  <c r="D50" i="24"/>
  <c r="D56" i="23"/>
  <c r="D55" i="23"/>
  <c r="D54" i="23"/>
  <c r="D53" i="23"/>
  <c r="D55" i="32"/>
  <c r="D54" i="32"/>
  <c r="D53" i="32"/>
  <c r="D52" i="32"/>
  <c r="CD219" i="35" l="1"/>
  <c r="CD218" i="35"/>
  <c r="CD217" i="35"/>
  <c r="CD216" i="35"/>
  <c r="CE216" i="35" s="1"/>
  <c r="CD215" i="35"/>
  <c r="CD214" i="35"/>
  <c r="CE214" i="35" s="1"/>
  <c r="CF214" i="35" s="1"/>
  <c r="CD213" i="35"/>
  <c r="CD212" i="35"/>
  <c r="CD211" i="35"/>
  <c r="CD210" i="35"/>
  <c r="CE210" i="35" s="1"/>
  <c r="CF210" i="35" s="1"/>
  <c r="CD209" i="35"/>
  <c r="CD208" i="35"/>
  <c r="CE208" i="35" s="1"/>
  <c r="CF208" i="35" s="1"/>
  <c r="CD207" i="35"/>
  <c r="CD206" i="35"/>
  <c r="CD205" i="35"/>
  <c r="CE205" i="35" s="1"/>
  <c r="CD204" i="35"/>
  <c r="CE204" i="35" s="1"/>
  <c r="CD203" i="35"/>
  <c r="CD202" i="35"/>
  <c r="CD201" i="35"/>
  <c r="CD200" i="35"/>
  <c r="CD199" i="35"/>
  <c r="CD198" i="35"/>
  <c r="CD197" i="35"/>
  <c r="CD196" i="35"/>
  <c r="CE196" i="35" s="1"/>
  <c r="CF196" i="35" s="1"/>
  <c r="CD195" i="35"/>
  <c r="CD194" i="35"/>
  <c r="CD193" i="35"/>
  <c r="CD192" i="35"/>
  <c r="CE192" i="35" s="1"/>
  <c r="CD191" i="35"/>
  <c r="CD190" i="35"/>
  <c r="CE190" i="35" s="1"/>
  <c r="CF190" i="35" s="1"/>
  <c r="CD189" i="35"/>
  <c r="CD188" i="35"/>
  <c r="CD187" i="35"/>
  <c r="CD186" i="35"/>
  <c r="CE186" i="35" s="1"/>
  <c r="CD185" i="35"/>
  <c r="CD184" i="35"/>
  <c r="CD183" i="35"/>
  <c r="CD182" i="35"/>
  <c r="CD181" i="35"/>
  <c r="CD180" i="35"/>
  <c r="CE180" i="35" s="1"/>
  <c r="CD179" i="35"/>
  <c r="CD178" i="35"/>
  <c r="CE178" i="35" s="1"/>
  <c r="CF178" i="35" s="1"/>
  <c r="CD177" i="35"/>
  <c r="CE177" i="35" s="1"/>
  <c r="CD176" i="35"/>
  <c r="CD175" i="35"/>
  <c r="CD174" i="35"/>
  <c r="CE174" i="35" s="1"/>
  <c r="CF174" i="35" s="1"/>
  <c r="CD173" i="35"/>
  <c r="CD172" i="35"/>
  <c r="CE172" i="35" s="1"/>
  <c r="CF172" i="35" s="1"/>
  <c r="CD171" i="35"/>
  <c r="CE171" i="35" s="1"/>
  <c r="CD170" i="35"/>
  <c r="CD169" i="35"/>
  <c r="CE169" i="35" s="1"/>
  <c r="CF169" i="35" s="1"/>
  <c r="CD168" i="35"/>
  <c r="CE168" i="35" s="1"/>
  <c r="CF168" i="35" s="1"/>
  <c r="CD167" i="35"/>
  <c r="CD166" i="35"/>
  <c r="CE166" i="35" s="1"/>
  <c r="CF166" i="35" s="1"/>
  <c r="CD165" i="35"/>
  <c r="CD164" i="35"/>
  <c r="CD163" i="35"/>
  <c r="CD162" i="35"/>
  <c r="CE162" i="35" s="1"/>
  <c r="CD161" i="35"/>
  <c r="CD160" i="35"/>
  <c r="CD159" i="35"/>
  <c r="CD158" i="35"/>
  <c r="CD157" i="35"/>
  <c r="CD156" i="35"/>
  <c r="CE156" i="35" s="1"/>
  <c r="CF156" i="35" s="1"/>
  <c r="CD155" i="35"/>
  <c r="CD154" i="35"/>
  <c r="CE154" i="35" s="1"/>
  <c r="CF154" i="35" s="1"/>
  <c r="CD153" i="35"/>
  <c r="CE153" i="35" s="1"/>
  <c r="CF153" i="35" s="1"/>
  <c r="CD152" i="35"/>
  <c r="CD151" i="35"/>
  <c r="CE151" i="35" s="1"/>
  <c r="CF151" i="35" s="1"/>
  <c r="CD150" i="35"/>
  <c r="CE150" i="35" s="1"/>
  <c r="CF150" i="35" s="1"/>
  <c r="CD149" i="35"/>
  <c r="CD148" i="35"/>
  <c r="CE148" i="35" s="1"/>
  <c r="CF148" i="35" s="1"/>
  <c r="CD147" i="35"/>
  <c r="CD146" i="35"/>
  <c r="CD145" i="35"/>
  <c r="CD144" i="35"/>
  <c r="CD143" i="35"/>
  <c r="CD142" i="35"/>
  <c r="CE142" i="35" s="1"/>
  <c r="CF142" i="35" s="1"/>
  <c r="CD141" i="35"/>
  <c r="CD140" i="35"/>
  <c r="CD139" i="35"/>
  <c r="CE139" i="35" s="1"/>
  <c r="CF139" i="35" s="1"/>
  <c r="CD138" i="35"/>
  <c r="CD137" i="35"/>
  <c r="CD136" i="35"/>
  <c r="CE136" i="35" s="1"/>
  <c r="CF136" i="35" s="1"/>
  <c r="CD135" i="35"/>
  <c r="CD134" i="35"/>
  <c r="CD133" i="35"/>
  <c r="CD132" i="35"/>
  <c r="CE132" i="35" s="1"/>
  <c r="CF132" i="35" s="1"/>
  <c r="CD131" i="35"/>
  <c r="CD130" i="35"/>
  <c r="CE130" i="35" s="1"/>
  <c r="CF130" i="35" s="1"/>
  <c r="CD129" i="35"/>
  <c r="CD128" i="35"/>
  <c r="CD127" i="35"/>
  <c r="CD126" i="35"/>
  <c r="CE126" i="35" s="1"/>
  <c r="CD125" i="35"/>
  <c r="CD124" i="35"/>
  <c r="CE124" i="35" s="1"/>
  <c r="CF124" i="35" s="1"/>
  <c r="CD123" i="35"/>
  <c r="CD122" i="35"/>
  <c r="CD121" i="35"/>
  <c r="CE121" i="35" s="1"/>
  <c r="CD120" i="35"/>
  <c r="CE120" i="35" s="1"/>
  <c r="CF120" i="35" s="1"/>
  <c r="CD119" i="35"/>
  <c r="CD118" i="35"/>
  <c r="CE118" i="35" s="1"/>
  <c r="CF118" i="35" s="1"/>
  <c r="CD117" i="35"/>
  <c r="CE117" i="35" s="1"/>
  <c r="CD116" i="35"/>
  <c r="CD115" i="35"/>
  <c r="CE115" i="35" s="1"/>
  <c r="CF115" i="35" s="1"/>
  <c r="CD114" i="35"/>
  <c r="CD113" i="35"/>
  <c r="CD112" i="35"/>
  <c r="CE112" i="35" s="1"/>
  <c r="CF112" i="35" s="1"/>
  <c r="CD111" i="35"/>
  <c r="CE111" i="35" s="1"/>
  <c r="CF111" i="35" s="1"/>
  <c r="CD110" i="35"/>
  <c r="CE110" i="35" s="1"/>
  <c r="CD109" i="35"/>
  <c r="CE109" i="35" s="1"/>
  <c r="CD108" i="35"/>
  <c r="CE108" i="35" s="1"/>
  <c r="CD107" i="35"/>
  <c r="CE107" i="35" s="1"/>
  <c r="CD106" i="35"/>
  <c r="CE106" i="35" s="1"/>
  <c r="CD105" i="35"/>
  <c r="CE105" i="35" s="1"/>
  <c r="CF105" i="35" s="1"/>
  <c r="CD104" i="35"/>
  <c r="CE104" i="35" s="1"/>
  <c r="CD103" i="35"/>
  <c r="CE103" i="35" s="1"/>
  <c r="CF103" i="35" s="1"/>
  <c r="CD102" i="35"/>
  <c r="CD101" i="35"/>
  <c r="CE101" i="35" s="1"/>
  <c r="CD100" i="35"/>
  <c r="CE100" i="35" s="1"/>
  <c r="CD99" i="35"/>
  <c r="CE99" i="35" s="1"/>
  <c r="CD98" i="35"/>
  <c r="CE98" i="35" s="1"/>
  <c r="CD97" i="35"/>
  <c r="CE97" i="35" s="1"/>
  <c r="CD96" i="35"/>
  <c r="CD95" i="35"/>
  <c r="CE95" i="35" s="1"/>
  <c r="CD94" i="35"/>
  <c r="CE94" i="35" s="1"/>
  <c r="CF94" i="35" s="1"/>
  <c r="CD93" i="35"/>
  <c r="CE93" i="35" s="1"/>
  <c r="CF93" i="35" s="1"/>
  <c r="CD92" i="35"/>
  <c r="CE92" i="35" s="1"/>
  <c r="CD91" i="35"/>
  <c r="CD90" i="35"/>
  <c r="CE90" i="35" s="1"/>
  <c r="CD89" i="35"/>
  <c r="CE89" i="35" s="1"/>
  <c r="CF89" i="35" s="1"/>
  <c r="CD88" i="35"/>
  <c r="CD87" i="35"/>
  <c r="CD86" i="35"/>
  <c r="CE86" i="35" s="1"/>
  <c r="CF86" i="35" s="1"/>
  <c r="CD85" i="35"/>
  <c r="CE85" i="35" s="1"/>
  <c r="CD84" i="35"/>
  <c r="CD83" i="35"/>
  <c r="CE83" i="35" s="1"/>
  <c r="CF83" i="35" s="1"/>
  <c r="CD82" i="35"/>
  <c r="CD81" i="35"/>
  <c r="CE81" i="35" s="1"/>
  <c r="CD80" i="35"/>
  <c r="CE80" i="35" s="1"/>
  <c r="CD79" i="35"/>
  <c r="CD78" i="35"/>
  <c r="CE78" i="35" s="1"/>
  <c r="CD77" i="35"/>
  <c r="CE77" i="35" s="1"/>
  <c r="CF77" i="35" s="1"/>
  <c r="CD76" i="35"/>
  <c r="CD75" i="35"/>
  <c r="CD74" i="35"/>
  <c r="CE74" i="35" s="1"/>
  <c r="CF74" i="35" s="1"/>
  <c r="CD73" i="35"/>
  <c r="CE73" i="35" s="1"/>
  <c r="CD72" i="35"/>
  <c r="CE72" i="35" s="1"/>
  <c r="CD71" i="35"/>
  <c r="CE71" i="35" s="1"/>
  <c r="CF71" i="35" s="1"/>
  <c r="CD70" i="35"/>
  <c r="CD69" i="35"/>
  <c r="CD68" i="35"/>
  <c r="CE68" i="35" s="1"/>
  <c r="CF68" i="35" s="1"/>
  <c r="CD67" i="35"/>
  <c r="CE67" i="35" s="1"/>
  <c r="CD66" i="35"/>
  <c r="CD65" i="35"/>
  <c r="CE65" i="35" s="1"/>
  <c r="CF65" i="35" s="1"/>
  <c r="CD64" i="35"/>
  <c r="CE64" i="35" s="1"/>
  <c r="CD63" i="35"/>
  <c r="CE63" i="35" s="1"/>
  <c r="CD62" i="35"/>
  <c r="CD61" i="35"/>
  <c r="CD60" i="35"/>
  <c r="CE60" i="35" s="1"/>
  <c r="CD59" i="35"/>
  <c r="CE59" i="35" s="1"/>
  <c r="CF59" i="35" s="1"/>
  <c r="CD58" i="35"/>
  <c r="CD57" i="35"/>
  <c r="CD56" i="35"/>
  <c r="CE56" i="35" s="1"/>
  <c r="CF56" i="35" s="1"/>
  <c r="CD55" i="35"/>
  <c r="CD54" i="35"/>
  <c r="CE54" i="35" s="1"/>
  <c r="CD53" i="35"/>
  <c r="CE53" i="35" s="1"/>
  <c r="CF53" i="35" s="1"/>
  <c r="CD52" i="35"/>
  <c r="CE52" i="35" s="1"/>
  <c r="CF52" i="35" s="1"/>
  <c r="CD51" i="35"/>
  <c r="CE51" i="35" s="1"/>
  <c r="CD50" i="35"/>
  <c r="CE50" i="35" s="1"/>
  <c r="CF50" i="35" s="1"/>
  <c r="CD49" i="35"/>
  <c r="CE49" i="35" s="1"/>
  <c r="CD48" i="35"/>
  <c r="CD47" i="35"/>
  <c r="CE47" i="35" s="1"/>
  <c r="CF47" i="35" s="1"/>
  <c r="CD46" i="35"/>
  <c r="CE46" i="35" s="1"/>
  <c r="CD45" i="35"/>
  <c r="CE45" i="35" s="1"/>
  <c r="CD44" i="35"/>
  <c r="CE44" i="35" s="1"/>
  <c r="CF44" i="35" s="1"/>
  <c r="CD43" i="35"/>
  <c r="CD42" i="35"/>
  <c r="CD41" i="35"/>
  <c r="CE41" i="35" s="1"/>
  <c r="CF41" i="35" s="1"/>
  <c r="CD40" i="35"/>
  <c r="CD39" i="35"/>
  <c r="CD38" i="35"/>
  <c r="CE38" i="35" s="1"/>
  <c r="CF38" i="35" s="1"/>
  <c r="CD37" i="35"/>
  <c r="CD36" i="35"/>
  <c r="CE36" i="35" s="1"/>
  <c r="CD35" i="35"/>
  <c r="CE35" i="35" s="1"/>
  <c r="CD34" i="35"/>
  <c r="CE34" i="35" s="1"/>
  <c r="CF34" i="35" s="1"/>
  <c r="CD33" i="35"/>
  <c r="CE33" i="35" s="1"/>
  <c r="CD32" i="35"/>
  <c r="CD31" i="35"/>
  <c r="CE31" i="35" s="1"/>
  <c r="CD30" i="35"/>
  <c r="CE30" i="35" s="1"/>
  <c r="CD29" i="35"/>
  <c r="CE29" i="35" s="1"/>
  <c r="CF29" i="35" s="1"/>
  <c r="CD28" i="35"/>
  <c r="CE28" i="35" s="1"/>
  <c r="CD27" i="35"/>
  <c r="CE27" i="35" s="1"/>
  <c r="CD26" i="35"/>
  <c r="CE26" i="35" s="1"/>
  <c r="CD25" i="35"/>
  <c r="CD24" i="35"/>
  <c r="CE24" i="35" s="1"/>
  <c r="CD23" i="35"/>
  <c r="CE23" i="35" s="1"/>
  <c r="CF23" i="35" s="1"/>
  <c r="CD22" i="35"/>
  <c r="CD21" i="35"/>
  <c r="CE21" i="35" s="1"/>
  <c r="CD20" i="35"/>
  <c r="CE20" i="35" s="1"/>
  <c r="CF20" i="35" s="1"/>
  <c r="CD19" i="35"/>
  <c r="CE19" i="35" s="1"/>
  <c r="CD18" i="35"/>
  <c r="CE18" i="35" s="1"/>
  <c r="CD17" i="35"/>
  <c r="CD16" i="35"/>
  <c r="CD15" i="35"/>
  <c r="CE15" i="35" s="1"/>
  <c r="CD14" i="35"/>
  <c r="CE14" i="35" s="1"/>
  <c r="CD13" i="35"/>
  <c r="CE13" i="35" s="1"/>
  <c r="CD12" i="35"/>
  <c r="CE12" i="35" s="1"/>
  <c r="CD11" i="35"/>
  <c r="CE11" i="35" s="1"/>
  <c r="CF11" i="35" s="1"/>
  <c r="CD10" i="35"/>
  <c r="CD9" i="35"/>
  <c r="CE9" i="35" s="1"/>
  <c r="CD8" i="35"/>
  <c r="CE8" i="35" s="1"/>
  <c r="CD7" i="35"/>
  <c r="CE114" i="35" l="1"/>
  <c r="CF114" i="35" s="1"/>
  <c r="CE193" i="35"/>
  <c r="CD220" i="35"/>
  <c r="CE7" i="35"/>
  <c r="CE82" i="35"/>
  <c r="CF82" i="35" s="1"/>
  <c r="CF171" i="35"/>
  <c r="CE211" i="35"/>
  <c r="CF211" i="35" s="1"/>
  <c r="CF35" i="35"/>
  <c r="CE62" i="35"/>
  <c r="CF62" i="35" s="1"/>
  <c r="CE202" i="35"/>
  <c r="CF202" i="35" s="1"/>
  <c r="CF109" i="35"/>
  <c r="CF117" i="35"/>
  <c r="CF99" i="35"/>
  <c r="CF177" i="35"/>
  <c r="CE138" i="35"/>
  <c r="CF138" i="35" s="1"/>
  <c r="CE144" i="35"/>
  <c r="CF144" i="35" s="1"/>
  <c r="CF126" i="35"/>
  <c r="CF180" i="35"/>
  <c r="CF80" i="35"/>
  <c r="CF162" i="35"/>
  <c r="CF192" i="35"/>
  <c r="CF216" i="35"/>
  <c r="CE55" i="35"/>
  <c r="CF55" i="35" s="1"/>
  <c r="CE91" i="35"/>
  <c r="CF91" i="35" s="1"/>
  <c r="CE127" i="35"/>
  <c r="CF127" i="35" s="1"/>
  <c r="CE160" i="35"/>
  <c r="CF160" i="35" s="1"/>
  <c r="CE184" i="35"/>
  <c r="CF184" i="35" s="1"/>
  <c r="CF107" i="35"/>
  <c r="CE145" i="35"/>
  <c r="CF145" i="35" s="1"/>
  <c r="CE187" i="35"/>
  <c r="CF187" i="35" s="1"/>
  <c r="CF14" i="35"/>
  <c r="CE17" i="35"/>
  <c r="CF17" i="35" s="1"/>
  <c r="CF19" i="35"/>
  <c r="CE32" i="35"/>
  <c r="CF32" i="35" s="1"/>
  <c r="CE37" i="35"/>
  <c r="CF37" i="35" s="1"/>
  <c r="CF73" i="35"/>
  <c r="CF110" i="35"/>
  <c r="CF121" i="35"/>
  <c r="CE157" i="35"/>
  <c r="CF157" i="35" s="1"/>
  <c r="CE163" i="35"/>
  <c r="CF163" i="35" s="1"/>
  <c r="CE175" i="35"/>
  <c r="CF175" i="35" s="1"/>
  <c r="CE181" i="35"/>
  <c r="CF181" i="35" s="1"/>
  <c r="CE198" i="35"/>
  <c r="CF198" i="35" s="1"/>
  <c r="CE217" i="35"/>
  <c r="CF217" i="35" s="1"/>
  <c r="CF46" i="35"/>
  <c r="CF64" i="35"/>
  <c r="CE70" i="35"/>
  <c r="CF70" i="35" s="1"/>
  <c r="CE88" i="35"/>
  <c r="CF88" i="35" s="1"/>
  <c r="CF101" i="35"/>
  <c r="CE135" i="35"/>
  <c r="CF135" i="35" s="1"/>
  <c r="CE42" i="35"/>
  <c r="CF42" i="35" s="1"/>
  <c r="CE16" i="35"/>
  <c r="CF16" i="35" s="1"/>
  <c r="CF92" i="35"/>
  <c r="CF100" i="35"/>
  <c r="CE133" i="35"/>
  <c r="CF133" i="35" s="1"/>
  <c r="CE147" i="35"/>
  <c r="CF147" i="35" s="1"/>
  <c r="CE199" i="35"/>
  <c r="CF199" i="35" s="1"/>
  <c r="CF205" i="35"/>
  <c r="CF8" i="35"/>
  <c r="CE10" i="35"/>
  <c r="CF13" i="35"/>
  <c r="CF26" i="35"/>
  <c r="CF49" i="35"/>
  <c r="CF67" i="35"/>
  <c r="CF85" i="35"/>
  <c r="CE25" i="35"/>
  <c r="CF25" i="35" s="1"/>
  <c r="CF28" i="35"/>
  <c r="CE43" i="35"/>
  <c r="CF43" i="35" s="1"/>
  <c r="CE61" i="35"/>
  <c r="CF61" i="35" s="1"/>
  <c r="CE69" i="35"/>
  <c r="CF69" i="35" s="1"/>
  <c r="CE79" i="35"/>
  <c r="CF79" i="35" s="1"/>
  <c r="CE87" i="35"/>
  <c r="CF87" i="35" s="1"/>
  <c r="CE96" i="35"/>
  <c r="CF96" i="35" s="1"/>
  <c r="CF98" i="35"/>
  <c r="CE102" i="35"/>
  <c r="CF102" i="35" s="1"/>
  <c r="CF108" i="35"/>
  <c r="CE129" i="35"/>
  <c r="CE131" i="35"/>
  <c r="CE146" i="35"/>
  <c r="CF146" i="35" s="1"/>
  <c r="CE165" i="35"/>
  <c r="CF165" i="35" s="1"/>
  <c r="CE167" i="35"/>
  <c r="CE176" i="35"/>
  <c r="CF176" i="35" s="1"/>
  <c r="CF9" i="35"/>
  <c r="CE22" i="35"/>
  <c r="CF22" i="35" s="1"/>
  <c r="CF27" i="35"/>
  <c r="CE40" i="35"/>
  <c r="CF45" i="35"/>
  <c r="CE48" i="35"/>
  <c r="CE58" i="35"/>
  <c r="CF63" i="35"/>
  <c r="CE66" i="35"/>
  <c r="CE76" i="35"/>
  <c r="CF81" i="35"/>
  <c r="CE84" i="35"/>
  <c r="CF104" i="35"/>
  <c r="CE123" i="35"/>
  <c r="CE125" i="35"/>
  <c r="CE140" i="35"/>
  <c r="CF140" i="35" s="1"/>
  <c r="CE159" i="35"/>
  <c r="CE161" i="35"/>
  <c r="CF186" i="35"/>
  <c r="CE189" i="35"/>
  <c r="CF189" i="35" s="1"/>
  <c r="CE194" i="35"/>
  <c r="CF194" i="35" s="1"/>
  <c r="CF204" i="35"/>
  <c r="CE207" i="35"/>
  <c r="CE212" i="35"/>
  <c r="CF212" i="35" s="1"/>
  <c r="CF15" i="35"/>
  <c r="CF31" i="35"/>
  <c r="CF51" i="35"/>
  <c r="CF12" i="35"/>
  <c r="CF30" i="35"/>
  <c r="CF24" i="35"/>
  <c r="CF60" i="35"/>
  <c r="CF78" i="35"/>
  <c r="CF97" i="35"/>
  <c r="CE119" i="35"/>
  <c r="CE134" i="35"/>
  <c r="CF134" i="35" s="1"/>
  <c r="CE155" i="35"/>
  <c r="CF155" i="35" s="1"/>
  <c r="CE170" i="35"/>
  <c r="CF170" i="35" s="1"/>
  <c r="CE113" i="35"/>
  <c r="CE128" i="35"/>
  <c r="CF128" i="35" s="1"/>
  <c r="CE149" i="35"/>
  <c r="CF149" i="35" s="1"/>
  <c r="CE164" i="35"/>
  <c r="CF164" i="35" s="1"/>
  <c r="CE182" i="35"/>
  <c r="CF182" i="35" s="1"/>
  <c r="CE195" i="35"/>
  <c r="CF195" i="35" s="1"/>
  <c r="CE200" i="35"/>
  <c r="CF200" i="35" s="1"/>
  <c r="CE213" i="35"/>
  <c r="CF213" i="35" s="1"/>
  <c r="CE218" i="35"/>
  <c r="CF218" i="35" s="1"/>
  <c r="CF36" i="35"/>
  <c r="CE39" i="35"/>
  <c r="CF39" i="35" s="1"/>
  <c r="CF54" i="35"/>
  <c r="CE57" i="35"/>
  <c r="CF57" i="35" s="1"/>
  <c r="CF72" i="35"/>
  <c r="CE75" i="35"/>
  <c r="CF75" i="35" s="1"/>
  <c r="CF90" i="35"/>
  <c r="CF95" i="35"/>
  <c r="CE122" i="35"/>
  <c r="CF122" i="35" s="1"/>
  <c r="CE141" i="35"/>
  <c r="CE143" i="35"/>
  <c r="CE158" i="35"/>
  <c r="CF158" i="35" s="1"/>
  <c r="CF21" i="35"/>
  <c r="CF18" i="35"/>
  <c r="CF33" i="35"/>
  <c r="CF106" i="35"/>
  <c r="CE116" i="35"/>
  <c r="CE137" i="35"/>
  <c r="CE152" i="35"/>
  <c r="CF152" i="35" s="1"/>
  <c r="CE183" i="35"/>
  <c r="CF183" i="35" s="1"/>
  <c r="CE188" i="35"/>
  <c r="CF188" i="35" s="1"/>
  <c r="CE201" i="35"/>
  <c r="CE206" i="35"/>
  <c r="CF206" i="35" s="1"/>
  <c r="CE219" i="35"/>
  <c r="CE173" i="35"/>
  <c r="CE179" i="35"/>
  <c r="CE185" i="35"/>
  <c r="CE191" i="35"/>
  <c r="CE197" i="35"/>
  <c r="CE203" i="35"/>
  <c r="CE209" i="35"/>
  <c r="CE215" i="35"/>
  <c r="CF193" i="35" l="1"/>
  <c r="CE220" i="35"/>
  <c r="CF7" i="35"/>
  <c r="CF129" i="35"/>
  <c r="CF66" i="35"/>
  <c r="CF207" i="35"/>
  <c r="CF123" i="35"/>
  <c r="CF179" i="35"/>
  <c r="CF219" i="35"/>
  <c r="CF116" i="35"/>
  <c r="CF143" i="35"/>
  <c r="CF119" i="35"/>
  <c r="CF125" i="35"/>
  <c r="CF76" i="35"/>
  <c r="CF209" i="35"/>
  <c r="CF191" i="35"/>
  <c r="CF159" i="35"/>
  <c r="CF40" i="35"/>
  <c r="CF137" i="35"/>
  <c r="CF167" i="35"/>
  <c r="CF131" i="35"/>
  <c r="CF48" i="35"/>
  <c r="CF141" i="35"/>
  <c r="CF203" i="35"/>
  <c r="CF185" i="35"/>
  <c r="CF201" i="35"/>
  <c r="CF113" i="35"/>
  <c r="CF161" i="35"/>
  <c r="CF84" i="35"/>
  <c r="CF58" i="35"/>
  <c r="CF10" i="35"/>
  <c r="CF197" i="35"/>
  <c r="CF215" i="35"/>
  <c r="CF173" i="35"/>
  <c r="CF220" i="35" l="1"/>
  <c r="AT219" i="35" l="1"/>
  <c r="AT218" i="35"/>
  <c r="AT217" i="35"/>
  <c r="AT216" i="35"/>
  <c r="AT215" i="35"/>
  <c r="AT214" i="35"/>
  <c r="AT213" i="35"/>
  <c r="AT212" i="35"/>
  <c r="AT211" i="35"/>
  <c r="AT210" i="35"/>
  <c r="AT209" i="35"/>
  <c r="AT208" i="35"/>
  <c r="AT207" i="35"/>
  <c r="AT206" i="35"/>
  <c r="AT205" i="35"/>
  <c r="AT204" i="35"/>
  <c r="AT203" i="35"/>
  <c r="AT202" i="35"/>
  <c r="AT201" i="35"/>
  <c r="AT200" i="35"/>
  <c r="AT199" i="35"/>
  <c r="AT198" i="35"/>
  <c r="AT197" i="35"/>
  <c r="AT196" i="35"/>
  <c r="AT195" i="35"/>
  <c r="AT194" i="35"/>
  <c r="AT193" i="35"/>
  <c r="AT192" i="35"/>
  <c r="AT191" i="35"/>
  <c r="AT190" i="35"/>
  <c r="AT189" i="35"/>
  <c r="AT188" i="35"/>
  <c r="AT187" i="35"/>
  <c r="AT186" i="35"/>
  <c r="AT185" i="35"/>
  <c r="AT184" i="35"/>
  <c r="AT183" i="35"/>
  <c r="AT182" i="35"/>
  <c r="AT181" i="35"/>
  <c r="AT180" i="35"/>
  <c r="AT179" i="35"/>
  <c r="AT178" i="35"/>
  <c r="AT177" i="35"/>
  <c r="AT176" i="35"/>
  <c r="AT175" i="35"/>
  <c r="AT174" i="35"/>
  <c r="AT173" i="35"/>
  <c r="AT172" i="35"/>
  <c r="AT171" i="35"/>
  <c r="AT170" i="35"/>
  <c r="AT169" i="35"/>
  <c r="AT168" i="35"/>
  <c r="AT167" i="35"/>
  <c r="AT166" i="35"/>
  <c r="AT165" i="35"/>
  <c r="AT164" i="35"/>
  <c r="AT163" i="35"/>
  <c r="AT162" i="35"/>
  <c r="AT161" i="35"/>
  <c r="AT160" i="35"/>
  <c r="AT159" i="35"/>
  <c r="AT158" i="35"/>
  <c r="AT157" i="35"/>
  <c r="AT156" i="35"/>
  <c r="AT155" i="35"/>
  <c r="AT154" i="35"/>
  <c r="AT153" i="35"/>
  <c r="AT152" i="35"/>
  <c r="AT151" i="35"/>
  <c r="AT150" i="35"/>
  <c r="AT149" i="35"/>
  <c r="AT148" i="35"/>
  <c r="AT147" i="35"/>
  <c r="AT146" i="35"/>
  <c r="AT145" i="35"/>
  <c r="AT144" i="35"/>
  <c r="AT143" i="35"/>
  <c r="AT142" i="35"/>
  <c r="AT141" i="35"/>
  <c r="AT140" i="35"/>
  <c r="AT139" i="35"/>
  <c r="AT138" i="35"/>
  <c r="AT137" i="35"/>
  <c r="AT136" i="35"/>
  <c r="AT135" i="35"/>
  <c r="AT134" i="35"/>
  <c r="AT133" i="35"/>
  <c r="AT132" i="35"/>
  <c r="AT131" i="35"/>
  <c r="AT130" i="35"/>
  <c r="AT129" i="35"/>
  <c r="AT128" i="35"/>
  <c r="AT127" i="35"/>
  <c r="AT126" i="35"/>
  <c r="AT125" i="35"/>
  <c r="AT124" i="35"/>
  <c r="AT123" i="35"/>
  <c r="AT122" i="35"/>
  <c r="AT121" i="35"/>
  <c r="AT120" i="35"/>
  <c r="AT119" i="35"/>
  <c r="AT118" i="35"/>
  <c r="AT117" i="35"/>
  <c r="AT116" i="35"/>
  <c r="AT115" i="35"/>
  <c r="AT114" i="35"/>
  <c r="AT113" i="35"/>
  <c r="AT112" i="35"/>
  <c r="AT111" i="35"/>
  <c r="AT101" i="35"/>
  <c r="AT100" i="35"/>
  <c r="AT99" i="35"/>
  <c r="AT98" i="35"/>
  <c r="AT97" i="35"/>
  <c r="AT96" i="35"/>
  <c r="AT94" i="35"/>
  <c r="AT93" i="35"/>
  <c r="AT83" i="35"/>
  <c r="AT82" i="35"/>
  <c r="AT75" i="35"/>
  <c r="AT65" i="35"/>
  <c r="AT64" i="35"/>
  <c r="AT57" i="35"/>
  <c r="AT47" i="35"/>
  <c r="AT46" i="35"/>
  <c r="AT39" i="35"/>
  <c r="AT29" i="35"/>
  <c r="AT28" i="35"/>
  <c r="AT21" i="35"/>
  <c r="AT11" i="35"/>
  <c r="AT10" i="35"/>
  <c r="EB5" i="35" l="1"/>
  <c r="CI266" i="35" l="1"/>
  <c r="CJ266" i="35" s="1"/>
  <c r="CI265" i="35"/>
  <c r="CJ265" i="35" s="1"/>
  <c r="CI264" i="35"/>
  <c r="CJ264" i="35" s="1"/>
  <c r="CI263" i="35"/>
  <c r="CJ263" i="35" s="1"/>
  <c r="CK263" i="35" s="1"/>
  <c r="CI262" i="35"/>
  <c r="CJ262" i="35" s="1"/>
  <c r="CK262" i="35" s="1"/>
  <c r="CI261" i="35"/>
  <c r="CJ261" i="35" s="1"/>
  <c r="CK261" i="35" s="1"/>
  <c r="CI260" i="35"/>
  <c r="CJ260" i="35" s="1"/>
  <c r="CI259" i="35"/>
  <c r="CJ259" i="35" s="1"/>
  <c r="CI258" i="35"/>
  <c r="CJ258" i="35" s="1"/>
  <c r="CI257" i="35"/>
  <c r="CJ257" i="35" s="1"/>
  <c r="CK257" i="35" s="1"/>
  <c r="CI256" i="35"/>
  <c r="CJ256" i="35" s="1"/>
  <c r="CI255" i="35"/>
  <c r="CJ255" i="35" s="1"/>
  <c r="CI254" i="35"/>
  <c r="CJ254" i="35" s="1"/>
  <c r="CI253" i="35"/>
  <c r="CJ253" i="35" s="1"/>
  <c r="CI252" i="35"/>
  <c r="CJ252" i="35" s="1"/>
  <c r="CI251" i="35"/>
  <c r="CJ251" i="35" s="1"/>
  <c r="CK251" i="35" s="1"/>
  <c r="CI250" i="35"/>
  <c r="CJ250" i="35" s="1"/>
  <c r="CK250" i="35" s="1"/>
  <c r="CI249" i="35"/>
  <c r="CJ249" i="35" s="1"/>
  <c r="CK249" i="35" s="1"/>
  <c r="CI248" i="35"/>
  <c r="CJ248" i="35" s="1"/>
  <c r="CI247" i="35"/>
  <c r="CJ247" i="35" s="1"/>
  <c r="CI246" i="35"/>
  <c r="CJ246" i="35" s="1"/>
  <c r="CI245" i="35"/>
  <c r="CJ245" i="35" s="1"/>
  <c r="CK245" i="35" s="1"/>
  <c r="CI244" i="35"/>
  <c r="CJ244" i="35" s="1"/>
  <c r="CK244" i="35" s="1"/>
  <c r="CI243" i="35"/>
  <c r="CJ243" i="35" s="1"/>
  <c r="CK243" i="35" s="1"/>
  <c r="CI242" i="35"/>
  <c r="CJ242" i="35" s="1"/>
  <c r="CI241" i="35"/>
  <c r="CJ241" i="35" s="1"/>
  <c r="CI240" i="35"/>
  <c r="CJ240" i="35" s="1"/>
  <c r="CI239" i="35"/>
  <c r="CJ239" i="35" s="1"/>
  <c r="CK239" i="35" s="1"/>
  <c r="CI238" i="35"/>
  <c r="CJ238" i="35" s="1"/>
  <c r="CK238" i="35" s="1"/>
  <c r="CI237" i="35"/>
  <c r="CJ237" i="35" s="1"/>
  <c r="CK237" i="35" s="1"/>
  <c r="CI236" i="35"/>
  <c r="CJ236" i="35" s="1"/>
  <c r="CI235" i="35"/>
  <c r="CJ235" i="35" s="1"/>
  <c r="CI234" i="35"/>
  <c r="CJ234" i="35" s="1"/>
  <c r="CI233" i="35"/>
  <c r="CJ233" i="35" s="1"/>
  <c r="CK233" i="35" s="1"/>
  <c r="CI232" i="35"/>
  <c r="CJ232" i="35" s="1"/>
  <c r="CK232" i="35" s="1"/>
  <c r="CI231" i="35"/>
  <c r="CJ231" i="35" s="1"/>
  <c r="CK231" i="35" s="1"/>
  <c r="CI230" i="35"/>
  <c r="CJ230" i="35" s="1"/>
  <c r="CI229" i="35"/>
  <c r="CJ229" i="35" s="1"/>
  <c r="CH267" i="35"/>
  <c r="CK234" i="35" l="1"/>
  <c r="CL234" i="35" s="1"/>
  <c r="CK240" i="35"/>
  <c r="CL240" i="35" s="1"/>
  <c r="CK246" i="35"/>
  <c r="CL246" i="35" s="1"/>
  <c r="CK252" i="35"/>
  <c r="CL252" i="35" s="1"/>
  <c r="CK258" i="35"/>
  <c r="CL258" i="35" s="1"/>
  <c r="CK264" i="35"/>
  <c r="CL264" i="35" s="1"/>
  <c r="CK229" i="35"/>
  <c r="CL229" i="35"/>
  <c r="CJ267" i="35"/>
  <c r="CK241" i="35"/>
  <c r="CL241" i="35" s="1"/>
  <c r="CK253" i="35"/>
  <c r="CL253" i="35" s="1"/>
  <c r="CK265" i="35"/>
  <c r="CL265" i="35" s="1"/>
  <c r="CK236" i="35"/>
  <c r="CL236" i="35" s="1"/>
  <c r="CK248" i="35"/>
  <c r="CL248" i="35" s="1"/>
  <c r="CK260" i="35"/>
  <c r="CL260" i="35" s="1"/>
  <c r="CK235" i="35"/>
  <c r="CL235" i="35" s="1"/>
  <c r="CK247" i="35"/>
  <c r="CL247" i="35" s="1"/>
  <c r="CK259" i="35"/>
  <c r="CL259" i="35" s="1"/>
  <c r="CK230" i="35"/>
  <c r="CL230" i="35" s="1"/>
  <c r="CK242" i="35"/>
  <c r="CL242" i="35" s="1"/>
  <c r="CK254" i="35"/>
  <c r="CL254" i="35" s="1"/>
  <c r="CK266" i="35"/>
  <c r="CL266" i="35" s="1"/>
  <c r="CL237" i="35"/>
  <c r="CL249" i="35"/>
  <c r="CL244" i="35"/>
  <c r="CI267" i="35"/>
  <c r="CL233" i="35"/>
  <c r="CL239" i="35"/>
  <c r="CL245" i="35"/>
  <c r="CL251" i="35"/>
  <c r="CL257" i="35"/>
  <c r="CL263" i="35"/>
  <c r="CL231" i="35"/>
  <c r="CL261" i="35"/>
  <c r="CL262" i="35"/>
  <c r="CK255" i="35"/>
  <c r="CL255" i="35" s="1"/>
  <c r="CL232" i="35"/>
  <c r="CL238" i="35"/>
  <c r="CL250" i="35"/>
  <c r="CM229" i="35"/>
  <c r="CK256" i="35"/>
  <c r="CL256" i="35" s="1"/>
  <c r="CL243" i="35"/>
  <c r="FP16" i="35"/>
  <c r="CL267" i="35" l="1"/>
  <c r="CK267" i="35"/>
  <c r="FQ16" i="35"/>
  <c r="FP17" i="35"/>
  <c r="FQ15" i="35"/>
  <c r="FQ17" i="35" l="1"/>
  <c r="FP18" i="35"/>
  <c r="HL219" i="35"/>
  <c r="HL218" i="35"/>
  <c r="HL217" i="35"/>
  <c r="HL216" i="35"/>
  <c r="HL215" i="35"/>
  <c r="HL214" i="35"/>
  <c r="HL213" i="35"/>
  <c r="HL212" i="35"/>
  <c r="HL211" i="35"/>
  <c r="HL210" i="35"/>
  <c r="HL209" i="35"/>
  <c r="HL208" i="35"/>
  <c r="HL207" i="35"/>
  <c r="HL206" i="35"/>
  <c r="HL205" i="35"/>
  <c r="HL204" i="35"/>
  <c r="HL203" i="35"/>
  <c r="HL202" i="35"/>
  <c r="HL201" i="35"/>
  <c r="HL200" i="35"/>
  <c r="HL199" i="35"/>
  <c r="HL198" i="35"/>
  <c r="HL197" i="35"/>
  <c r="HL196" i="35"/>
  <c r="HL195" i="35"/>
  <c r="HL194" i="35"/>
  <c r="HL193" i="35"/>
  <c r="HL192" i="35"/>
  <c r="HL191" i="35"/>
  <c r="HL190" i="35"/>
  <c r="HL189" i="35"/>
  <c r="HL188" i="35"/>
  <c r="HL187" i="35"/>
  <c r="HL186" i="35"/>
  <c r="HL185" i="35"/>
  <c r="HL184" i="35"/>
  <c r="HL183" i="35"/>
  <c r="HL182" i="35"/>
  <c r="HL181" i="35"/>
  <c r="HL180" i="35"/>
  <c r="HL179" i="35"/>
  <c r="HL178" i="35"/>
  <c r="HL177" i="35"/>
  <c r="HL176" i="35"/>
  <c r="HL175" i="35"/>
  <c r="HL174" i="35"/>
  <c r="HL173" i="35"/>
  <c r="HL172" i="35"/>
  <c r="HL171" i="35"/>
  <c r="HL170" i="35"/>
  <c r="HL169" i="35"/>
  <c r="HL168" i="35"/>
  <c r="HL167" i="35"/>
  <c r="HL166" i="35"/>
  <c r="HL165" i="35"/>
  <c r="HL164" i="35"/>
  <c r="HL163" i="35"/>
  <c r="HL162" i="35"/>
  <c r="HL161" i="35"/>
  <c r="HL160" i="35"/>
  <c r="HL159" i="35"/>
  <c r="HL158" i="35"/>
  <c r="HL157" i="35"/>
  <c r="HL156" i="35"/>
  <c r="HL155" i="35"/>
  <c r="HL154" i="35"/>
  <c r="HL153" i="35"/>
  <c r="HL152" i="35"/>
  <c r="HL151" i="35"/>
  <c r="HL150" i="35"/>
  <c r="HL149" i="35"/>
  <c r="HL148" i="35"/>
  <c r="HL147" i="35"/>
  <c r="HL146" i="35"/>
  <c r="HL145" i="35"/>
  <c r="HL144" i="35"/>
  <c r="HL143" i="35"/>
  <c r="HL142" i="35"/>
  <c r="HL141" i="35"/>
  <c r="HL140" i="35"/>
  <c r="HL139" i="35"/>
  <c r="HL138" i="35"/>
  <c r="HL137" i="35"/>
  <c r="HL136" i="35"/>
  <c r="HL135" i="35"/>
  <c r="HL134" i="35"/>
  <c r="HL133" i="35"/>
  <c r="HL132" i="35"/>
  <c r="HL131" i="35"/>
  <c r="HL130" i="35"/>
  <c r="HL129" i="35"/>
  <c r="HL128" i="35"/>
  <c r="HL127" i="35"/>
  <c r="HL126" i="35"/>
  <c r="HL125" i="35"/>
  <c r="HL124" i="35"/>
  <c r="HL123" i="35"/>
  <c r="HL122" i="35"/>
  <c r="HL121" i="35"/>
  <c r="HL120" i="35"/>
  <c r="HL119" i="35"/>
  <c r="HL118" i="35"/>
  <c r="HL117" i="35"/>
  <c r="HL116" i="35"/>
  <c r="HL115" i="35"/>
  <c r="HL114" i="35"/>
  <c r="HL113" i="35"/>
  <c r="HL112" i="35"/>
  <c r="HL111" i="35"/>
  <c r="HL110" i="35"/>
  <c r="HL109" i="35"/>
  <c r="HL108" i="35"/>
  <c r="HL107" i="35"/>
  <c r="HL106" i="35"/>
  <c r="HL105" i="35"/>
  <c r="HL104" i="35"/>
  <c r="HL103" i="35"/>
  <c r="HL102" i="35"/>
  <c r="HL101" i="35"/>
  <c r="HL100" i="35"/>
  <c r="HL99" i="35"/>
  <c r="HL98" i="35"/>
  <c r="HL97" i="35"/>
  <c r="HL96" i="35"/>
  <c r="HL95" i="35"/>
  <c r="HL94" i="35"/>
  <c r="HL93" i="35"/>
  <c r="HL92" i="35"/>
  <c r="HL91" i="35"/>
  <c r="HL90" i="35"/>
  <c r="HL89" i="35"/>
  <c r="HL88" i="35"/>
  <c r="HL87" i="35"/>
  <c r="HL86" i="35"/>
  <c r="HL85" i="35"/>
  <c r="HL84" i="35"/>
  <c r="HL83" i="35"/>
  <c r="HL82" i="35"/>
  <c r="HL81" i="35"/>
  <c r="HL80" i="35"/>
  <c r="HL79" i="35"/>
  <c r="HL78" i="35"/>
  <c r="HL77" i="35"/>
  <c r="HL76" i="35"/>
  <c r="HL75" i="35"/>
  <c r="HL74" i="35"/>
  <c r="HL73" i="35"/>
  <c r="HL72" i="35"/>
  <c r="HL71" i="35"/>
  <c r="HL70" i="35"/>
  <c r="HL69" i="35"/>
  <c r="HL68" i="35"/>
  <c r="HL67" i="35"/>
  <c r="HL66" i="35"/>
  <c r="HL65" i="35"/>
  <c r="HL64" i="35"/>
  <c r="HL63" i="35"/>
  <c r="HL62" i="35"/>
  <c r="HL61" i="35"/>
  <c r="HL60" i="35"/>
  <c r="HL59" i="35"/>
  <c r="HL58" i="35"/>
  <c r="HL57" i="35"/>
  <c r="HL56" i="35"/>
  <c r="HL55" i="35"/>
  <c r="HL54" i="35"/>
  <c r="HL53" i="35"/>
  <c r="HL52" i="35"/>
  <c r="HL51" i="35"/>
  <c r="HL50" i="35"/>
  <c r="HL49" i="35"/>
  <c r="HL48" i="35"/>
  <c r="HL47" i="35"/>
  <c r="HL46" i="35"/>
  <c r="HL45" i="35"/>
  <c r="HL44" i="35"/>
  <c r="HL43" i="35"/>
  <c r="HL42" i="35"/>
  <c r="HL41" i="35"/>
  <c r="HL40" i="35"/>
  <c r="HL39" i="35"/>
  <c r="HL38" i="35"/>
  <c r="HL37" i="35"/>
  <c r="HL36" i="35"/>
  <c r="HL35" i="35"/>
  <c r="HL34" i="35"/>
  <c r="HL33" i="35"/>
  <c r="HL32" i="35"/>
  <c r="HL31" i="35"/>
  <c r="HL30" i="35"/>
  <c r="HL29" i="35"/>
  <c r="HL28" i="35"/>
  <c r="HL27" i="35"/>
  <c r="HL26" i="35"/>
  <c r="HL25" i="35"/>
  <c r="HL24" i="35"/>
  <c r="HL23" i="35"/>
  <c r="HL22" i="35"/>
  <c r="HL21" i="35"/>
  <c r="HL20" i="35"/>
  <c r="HL19" i="35"/>
  <c r="HL18" i="35"/>
  <c r="HL17" i="35"/>
  <c r="HL16" i="35"/>
  <c r="HL15" i="35"/>
  <c r="HL14" i="35"/>
  <c r="HL13" i="35"/>
  <c r="HL12" i="35"/>
  <c r="HL11" i="35"/>
  <c r="HL10" i="35"/>
  <c r="HL9" i="35"/>
  <c r="HL8" i="35"/>
  <c r="HL7" i="35"/>
  <c r="GT219" i="35"/>
  <c r="HH219" i="35" s="1"/>
  <c r="HN219" i="35" s="1"/>
  <c r="GT218" i="35"/>
  <c r="HH218" i="35" s="1"/>
  <c r="HN218" i="35" s="1"/>
  <c r="GT217" i="35"/>
  <c r="HH217" i="35" s="1"/>
  <c r="HN217" i="35" s="1"/>
  <c r="GT216" i="35"/>
  <c r="HH216" i="35" s="1"/>
  <c r="HN216" i="35" s="1"/>
  <c r="GT215" i="35"/>
  <c r="HH215" i="35" s="1"/>
  <c r="HN215" i="35" s="1"/>
  <c r="GT214" i="35"/>
  <c r="HH214" i="35" s="1"/>
  <c r="HN214" i="35" s="1"/>
  <c r="GT213" i="35"/>
  <c r="HH213" i="35" s="1"/>
  <c r="HN213" i="35" s="1"/>
  <c r="GT212" i="35"/>
  <c r="HH212" i="35" s="1"/>
  <c r="HN212" i="35" s="1"/>
  <c r="GT211" i="35"/>
  <c r="HH211" i="35" s="1"/>
  <c r="HN211" i="35" s="1"/>
  <c r="GT210" i="35"/>
  <c r="HH210" i="35" s="1"/>
  <c r="HN210" i="35" s="1"/>
  <c r="GT209" i="35"/>
  <c r="HH209" i="35" s="1"/>
  <c r="HN209" i="35" s="1"/>
  <c r="GT208" i="35"/>
  <c r="HH208" i="35" s="1"/>
  <c r="HN208" i="35" s="1"/>
  <c r="GT207" i="35"/>
  <c r="HH207" i="35" s="1"/>
  <c r="HN207" i="35" s="1"/>
  <c r="GT206" i="35"/>
  <c r="HH206" i="35" s="1"/>
  <c r="HN206" i="35" s="1"/>
  <c r="GT205" i="35"/>
  <c r="HH205" i="35" s="1"/>
  <c r="HN205" i="35" s="1"/>
  <c r="GT204" i="35"/>
  <c r="HH204" i="35" s="1"/>
  <c r="HN204" i="35" s="1"/>
  <c r="GT203" i="35"/>
  <c r="HH203" i="35" s="1"/>
  <c r="HN203" i="35" s="1"/>
  <c r="GT202" i="35"/>
  <c r="HH202" i="35" s="1"/>
  <c r="HN202" i="35" s="1"/>
  <c r="GT201" i="35"/>
  <c r="HH201" i="35" s="1"/>
  <c r="HN201" i="35" s="1"/>
  <c r="GT200" i="35"/>
  <c r="HH200" i="35" s="1"/>
  <c r="HN200" i="35" s="1"/>
  <c r="GT191" i="35"/>
  <c r="HH191" i="35" s="1"/>
  <c r="HN191" i="35" s="1"/>
  <c r="GT190" i="35"/>
  <c r="HH190" i="35" s="1"/>
  <c r="HN190" i="35" s="1"/>
  <c r="GT189" i="35"/>
  <c r="HH189" i="35" s="1"/>
  <c r="HN189" i="35" s="1"/>
  <c r="GT188" i="35"/>
  <c r="HH188" i="35" s="1"/>
  <c r="HN188" i="35" s="1"/>
  <c r="GT187" i="35"/>
  <c r="HH187" i="35" s="1"/>
  <c r="HN187" i="35" s="1"/>
  <c r="GT186" i="35"/>
  <c r="HH186" i="35" s="1"/>
  <c r="HN186" i="35" s="1"/>
  <c r="GT184" i="35"/>
  <c r="HH184" i="35" s="1"/>
  <c r="HN184" i="35" s="1"/>
  <c r="GT183" i="35"/>
  <c r="HH183" i="35" s="1"/>
  <c r="HN183" i="35" s="1"/>
  <c r="GT182" i="35"/>
  <c r="HH182" i="35" s="1"/>
  <c r="HN182" i="35" s="1"/>
  <c r="GT181" i="35"/>
  <c r="HH181" i="35" s="1"/>
  <c r="HN181" i="35" s="1"/>
  <c r="GT175" i="35"/>
  <c r="HH175" i="35" s="1"/>
  <c r="HN175" i="35" s="1"/>
  <c r="GT174" i="35"/>
  <c r="HH174" i="35" s="1"/>
  <c r="HN174" i="35" s="1"/>
  <c r="GT173" i="35"/>
  <c r="HH173" i="35" s="1"/>
  <c r="HN173" i="35" s="1"/>
  <c r="GT172" i="35"/>
  <c r="HH172" i="35" s="1"/>
  <c r="HN172" i="35" s="1"/>
  <c r="GT171" i="35"/>
  <c r="HH171" i="35" s="1"/>
  <c r="HN171" i="35" s="1"/>
  <c r="GT170" i="35"/>
  <c r="HH170" i="35" s="1"/>
  <c r="HN170" i="35" s="1"/>
  <c r="GT169" i="35"/>
  <c r="HH169" i="35" s="1"/>
  <c r="HN169" i="35" s="1"/>
  <c r="GT168" i="35"/>
  <c r="HH168" i="35" s="1"/>
  <c r="HN168" i="35" s="1"/>
  <c r="GT166" i="35"/>
  <c r="HH166" i="35" s="1"/>
  <c r="HN166" i="35" s="1"/>
  <c r="GT163" i="35"/>
  <c r="HH163" i="35" s="1"/>
  <c r="HN163" i="35" s="1"/>
  <c r="GT162" i="35"/>
  <c r="HH162" i="35" s="1"/>
  <c r="HN162" i="35" s="1"/>
  <c r="GT161" i="35"/>
  <c r="HH161" i="35" s="1"/>
  <c r="HN161" i="35" s="1"/>
  <c r="GT160" i="35"/>
  <c r="HH160" i="35" s="1"/>
  <c r="HN160" i="35" s="1"/>
  <c r="GT159" i="35"/>
  <c r="HH159" i="35" s="1"/>
  <c r="HN159" i="35" s="1"/>
  <c r="GT158" i="35"/>
  <c r="HH158" i="35" s="1"/>
  <c r="HN158" i="35" s="1"/>
  <c r="GT156" i="35"/>
  <c r="HH156" i="35" s="1"/>
  <c r="HN156" i="35" s="1"/>
  <c r="GT155" i="35"/>
  <c r="HH155" i="35" s="1"/>
  <c r="HN155" i="35" s="1"/>
  <c r="GT152" i="35"/>
  <c r="HH152" i="35" s="1"/>
  <c r="HN152" i="35" s="1"/>
  <c r="GT149" i="35"/>
  <c r="HH149" i="35" s="1"/>
  <c r="HN149" i="35" s="1"/>
  <c r="GT147" i="35"/>
  <c r="HH147" i="35" s="1"/>
  <c r="HN147" i="35" s="1"/>
  <c r="GT146" i="35"/>
  <c r="HH146" i="35" s="1"/>
  <c r="HN146" i="35" s="1"/>
  <c r="GT145" i="35"/>
  <c r="HH145" i="35" s="1"/>
  <c r="HN145" i="35" s="1"/>
  <c r="GT144" i="35"/>
  <c r="HH144" i="35" s="1"/>
  <c r="HN144" i="35" s="1"/>
  <c r="GT142" i="35"/>
  <c r="HH142" i="35" s="1"/>
  <c r="HN142" i="35" s="1"/>
  <c r="GT140" i="35"/>
  <c r="HH140" i="35" s="1"/>
  <c r="HN140" i="35" s="1"/>
  <c r="GT139" i="35"/>
  <c r="HH139" i="35" s="1"/>
  <c r="HN139" i="35" s="1"/>
  <c r="GT138" i="35"/>
  <c r="HH138" i="35" s="1"/>
  <c r="HN138" i="35" s="1"/>
  <c r="GT137" i="35"/>
  <c r="HH137" i="35" s="1"/>
  <c r="HN137" i="35" s="1"/>
  <c r="GT135" i="35"/>
  <c r="HH135" i="35" s="1"/>
  <c r="HN135" i="35" s="1"/>
  <c r="GT133" i="35"/>
  <c r="HH133" i="35" s="1"/>
  <c r="HN133" i="35" s="1"/>
  <c r="GT132" i="35"/>
  <c r="HH132" i="35" s="1"/>
  <c r="HN132" i="35" s="1"/>
  <c r="GT129" i="35"/>
  <c r="HH129" i="35" s="1"/>
  <c r="HN129" i="35" s="1"/>
  <c r="GT128" i="35"/>
  <c r="HH128" i="35" s="1"/>
  <c r="HN128" i="35" s="1"/>
  <c r="GT127" i="35"/>
  <c r="HH127" i="35" s="1"/>
  <c r="HN127" i="35" s="1"/>
  <c r="GT126" i="35"/>
  <c r="HH126" i="35" s="1"/>
  <c r="HN126" i="35" s="1"/>
  <c r="GT125" i="35"/>
  <c r="HH125" i="35" s="1"/>
  <c r="HN125" i="35" s="1"/>
  <c r="GT124" i="35"/>
  <c r="HH124" i="35" s="1"/>
  <c r="HN124" i="35" s="1"/>
  <c r="GT123" i="35"/>
  <c r="HH123" i="35" s="1"/>
  <c r="HN123" i="35" s="1"/>
  <c r="GT122" i="35"/>
  <c r="HH122" i="35" s="1"/>
  <c r="HN122" i="35" s="1"/>
  <c r="GT121" i="35"/>
  <c r="HH121" i="35" s="1"/>
  <c r="HN121" i="35" s="1"/>
  <c r="GT120" i="35"/>
  <c r="HH120" i="35" s="1"/>
  <c r="HN120" i="35" s="1"/>
  <c r="GT119" i="35"/>
  <c r="HH119" i="35" s="1"/>
  <c r="HN119" i="35" s="1"/>
  <c r="GT118" i="35"/>
  <c r="HH118" i="35" s="1"/>
  <c r="HN118" i="35" s="1"/>
  <c r="GT117" i="35"/>
  <c r="HH117" i="35" s="1"/>
  <c r="HN117" i="35" s="1"/>
  <c r="GT116" i="35"/>
  <c r="HH116" i="35" s="1"/>
  <c r="HN116" i="35" s="1"/>
  <c r="GT113" i="35"/>
  <c r="HH113" i="35" s="1"/>
  <c r="HN113" i="35" s="1"/>
  <c r="GT111" i="35"/>
  <c r="HH111" i="35" s="1"/>
  <c r="HN111" i="35" s="1"/>
  <c r="GT110" i="35"/>
  <c r="HH110" i="35" s="1"/>
  <c r="HN110" i="35" s="1"/>
  <c r="GT109" i="35"/>
  <c r="HH109" i="35" s="1"/>
  <c r="HN109" i="35" s="1"/>
  <c r="GT108" i="35"/>
  <c r="HH108" i="35" s="1"/>
  <c r="HN108" i="35" s="1"/>
  <c r="GT107" i="35"/>
  <c r="HH107" i="35" s="1"/>
  <c r="HN107" i="35" s="1"/>
  <c r="GT106" i="35"/>
  <c r="HH106" i="35" s="1"/>
  <c r="HN106" i="35" s="1"/>
  <c r="GT105" i="35"/>
  <c r="HH105" i="35" s="1"/>
  <c r="HN105" i="35" s="1"/>
  <c r="GT104" i="35"/>
  <c r="HH104" i="35" s="1"/>
  <c r="HN104" i="35" s="1"/>
  <c r="GT103" i="35"/>
  <c r="HH103" i="35" s="1"/>
  <c r="HN103" i="35" s="1"/>
  <c r="GT102" i="35"/>
  <c r="HH102" i="35" s="1"/>
  <c r="HN102" i="35" s="1"/>
  <c r="GT101" i="35"/>
  <c r="HH101" i="35" s="1"/>
  <c r="HN101" i="35" s="1"/>
  <c r="GT97" i="35"/>
  <c r="HH97" i="35" s="1"/>
  <c r="HN97" i="35" s="1"/>
  <c r="GT96" i="35"/>
  <c r="HH96" i="35" s="1"/>
  <c r="HN96" i="35" s="1"/>
  <c r="GT95" i="35"/>
  <c r="HH95" i="35" s="1"/>
  <c r="HN95" i="35" s="1"/>
  <c r="GT94" i="35"/>
  <c r="HH94" i="35" s="1"/>
  <c r="HN94" i="35" s="1"/>
  <c r="GT93" i="35"/>
  <c r="HH93" i="35" s="1"/>
  <c r="HN93" i="35" s="1"/>
  <c r="GT92" i="35"/>
  <c r="HH92" i="35" s="1"/>
  <c r="HN92" i="35" s="1"/>
  <c r="GT91" i="35"/>
  <c r="HH91" i="35" s="1"/>
  <c r="HN91" i="35" s="1"/>
  <c r="GT90" i="35"/>
  <c r="HH90" i="35" s="1"/>
  <c r="HN90" i="35" s="1"/>
  <c r="GT89" i="35"/>
  <c r="HH89" i="35" s="1"/>
  <c r="HN89" i="35" s="1"/>
  <c r="GT88" i="35"/>
  <c r="HH88" i="35" s="1"/>
  <c r="HN88" i="35" s="1"/>
  <c r="GT87" i="35"/>
  <c r="HH87" i="35" s="1"/>
  <c r="HN87" i="35" s="1"/>
  <c r="GT86" i="35"/>
  <c r="HH86" i="35" s="1"/>
  <c r="HN86" i="35" s="1"/>
  <c r="GT85" i="35"/>
  <c r="HH85" i="35" s="1"/>
  <c r="HN85" i="35" s="1"/>
  <c r="GT84" i="35"/>
  <c r="HH84" i="35" s="1"/>
  <c r="HN84" i="35" s="1"/>
  <c r="GT83" i="35"/>
  <c r="HH83" i="35" s="1"/>
  <c r="HN83" i="35" s="1"/>
  <c r="GT82" i="35"/>
  <c r="HH82" i="35" s="1"/>
  <c r="HN82" i="35" s="1"/>
  <c r="GT81" i="35"/>
  <c r="HH81" i="35" s="1"/>
  <c r="HN81" i="35" s="1"/>
  <c r="GT80" i="35"/>
  <c r="HH80" i="35" s="1"/>
  <c r="HN80" i="35" s="1"/>
  <c r="GT79" i="35"/>
  <c r="HH79" i="35" s="1"/>
  <c r="HN79" i="35" s="1"/>
  <c r="GT78" i="35"/>
  <c r="HH78" i="35" s="1"/>
  <c r="HN78" i="35" s="1"/>
  <c r="GT77" i="35"/>
  <c r="HH77" i="35" s="1"/>
  <c r="HN77" i="35" s="1"/>
  <c r="GT75" i="35"/>
  <c r="HH75" i="35" s="1"/>
  <c r="HN75" i="35" s="1"/>
  <c r="GT74" i="35"/>
  <c r="HH74" i="35" s="1"/>
  <c r="HN74" i="35" s="1"/>
  <c r="GT73" i="35"/>
  <c r="HH73" i="35" s="1"/>
  <c r="HN73" i="35" s="1"/>
  <c r="GT72" i="35"/>
  <c r="HH72" i="35" s="1"/>
  <c r="HN72" i="35" s="1"/>
  <c r="GT71" i="35"/>
  <c r="HH71" i="35" s="1"/>
  <c r="HN71" i="35" s="1"/>
  <c r="GT70" i="35"/>
  <c r="HH70" i="35" s="1"/>
  <c r="HN70" i="35" s="1"/>
  <c r="GT69" i="35"/>
  <c r="HH69" i="35" s="1"/>
  <c r="HN69" i="35" s="1"/>
  <c r="GT68" i="35"/>
  <c r="HH68" i="35" s="1"/>
  <c r="HN68" i="35" s="1"/>
  <c r="GT67" i="35"/>
  <c r="HH67" i="35" s="1"/>
  <c r="HN67" i="35" s="1"/>
  <c r="GT65" i="35"/>
  <c r="HH65" i="35" s="1"/>
  <c r="HN65" i="35" s="1"/>
  <c r="GT64" i="35"/>
  <c r="HH64" i="35" s="1"/>
  <c r="HN64" i="35" s="1"/>
  <c r="GT63" i="35"/>
  <c r="HH63" i="35" s="1"/>
  <c r="HN63" i="35" s="1"/>
  <c r="GT62" i="35"/>
  <c r="HH62" i="35" s="1"/>
  <c r="HN62" i="35" s="1"/>
  <c r="GT60" i="35"/>
  <c r="HH60" i="35" s="1"/>
  <c r="HN60" i="35" s="1"/>
  <c r="GT59" i="35"/>
  <c r="HH59" i="35" s="1"/>
  <c r="HN59" i="35" s="1"/>
  <c r="GT58" i="35"/>
  <c r="HH58" i="35" s="1"/>
  <c r="HN58" i="35" s="1"/>
  <c r="GT57" i="35"/>
  <c r="HH57" i="35" s="1"/>
  <c r="HN57" i="35" s="1"/>
  <c r="GT56" i="35"/>
  <c r="HH56" i="35" s="1"/>
  <c r="HN56" i="35" s="1"/>
  <c r="GT55" i="35"/>
  <c r="HH55" i="35" s="1"/>
  <c r="HN55" i="35" s="1"/>
  <c r="GT52" i="35"/>
  <c r="HH52" i="35" s="1"/>
  <c r="HN52" i="35" s="1"/>
  <c r="GT51" i="35"/>
  <c r="HH51" i="35" s="1"/>
  <c r="HN51" i="35" s="1"/>
  <c r="GT50" i="35"/>
  <c r="HH50" i="35" s="1"/>
  <c r="HN50" i="35" s="1"/>
  <c r="GT49" i="35"/>
  <c r="HH49" i="35" s="1"/>
  <c r="HN49" i="35" s="1"/>
  <c r="GT48" i="35"/>
  <c r="HH48" i="35" s="1"/>
  <c r="HN48" i="35" s="1"/>
  <c r="GT47" i="35"/>
  <c r="HH47" i="35" s="1"/>
  <c r="HN47" i="35" s="1"/>
  <c r="GT44" i="35"/>
  <c r="HH44" i="35" s="1"/>
  <c r="HN44" i="35" s="1"/>
  <c r="GT43" i="35"/>
  <c r="HH43" i="35" s="1"/>
  <c r="HN43" i="35" s="1"/>
  <c r="GT42" i="35"/>
  <c r="HH42" i="35" s="1"/>
  <c r="HN42" i="35" s="1"/>
  <c r="GT41" i="35"/>
  <c r="HH41" i="35" s="1"/>
  <c r="HN41" i="35" s="1"/>
  <c r="GT40" i="35"/>
  <c r="HH40" i="35" s="1"/>
  <c r="HN40" i="35" s="1"/>
  <c r="GT39" i="35"/>
  <c r="HH39" i="35" s="1"/>
  <c r="HN39" i="35" s="1"/>
  <c r="GT38" i="35"/>
  <c r="HH38" i="35" s="1"/>
  <c r="HN38" i="35" s="1"/>
  <c r="GT37" i="35"/>
  <c r="HH37" i="35" s="1"/>
  <c r="HN37" i="35" s="1"/>
  <c r="GT36" i="35"/>
  <c r="HH36" i="35" s="1"/>
  <c r="HN36" i="35" s="1"/>
  <c r="GT35" i="35"/>
  <c r="HH35" i="35" s="1"/>
  <c r="HN35" i="35" s="1"/>
  <c r="GT34" i="35"/>
  <c r="HH34" i="35" s="1"/>
  <c r="HN34" i="35" s="1"/>
  <c r="GT32" i="35"/>
  <c r="HH32" i="35" s="1"/>
  <c r="HN32" i="35" s="1"/>
  <c r="GT31" i="35"/>
  <c r="HH31" i="35" s="1"/>
  <c r="HN31" i="35" s="1"/>
  <c r="GT30" i="35"/>
  <c r="HH30" i="35" s="1"/>
  <c r="HN30" i="35" s="1"/>
  <c r="GT29" i="35"/>
  <c r="HH29" i="35" s="1"/>
  <c r="HN29" i="35" s="1"/>
  <c r="GT28" i="35"/>
  <c r="HH28" i="35" s="1"/>
  <c r="HN28" i="35" s="1"/>
  <c r="GT22" i="35"/>
  <c r="HH22" i="35" s="1"/>
  <c r="HN22" i="35" s="1"/>
  <c r="GT21" i="35"/>
  <c r="HH21" i="35" s="1"/>
  <c r="HN21" i="35" s="1"/>
  <c r="GT19" i="35"/>
  <c r="HH19" i="35" s="1"/>
  <c r="HN19" i="35" s="1"/>
  <c r="GT17" i="35"/>
  <c r="HH17" i="35" s="1"/>
  <c r="HN17" i="35" s="1"/>
  <c r="GT16" i="35"/>
  <c r="HH16" i="35" s="1"/>
  <c r="HN16" i="35" s="1"/>
  <c r="GT15" i="35"/>
  <c r="HH15" i="35" s="1"/>
  <c r="HN15" i="35" s="1"/>
  <c r="GT14" i="35"/>
  <c r="HH14" i="35" s="1"/>
  <c r="HN14" i="35" s="1"/>
  <c r="GT13" i="35"/>
  <c r="HH13" i="35" s="1"/>
  <c r="HN13" i="35" s="1"/>
  <c r="GT12" i="35"/>
  <c r="HH12" i="35" s="1"/>
  <c r="HN12" i="35" s="1"/>
  <c r="GT11" i="35"/>
  <c r="HH11" i="35" s="1"/>
  <c r="HN11" i="35" s="1"/>
  <c r="GT10" i="35"/>
  <c r="HH10" i="35" s="1"/>
  <c r="HN10" i="35" s="1"/>
  <c r="GT9" i="35"/>
  <c r="HH9" i="35" s="1"/>
  <c r="HN9" i="35" s="1"/>
  <c r="GT8" i="35"/>
  <c r="HH8" i="35" s="1"/>
  <c r="HN8" i="35" s="1"/>
  <c r="GT7" i="35"/>
  <c r="HH7" i="35" s="1"/>
  <c r="HN7" i="35" s="1"/>
  <c r="HC6" i="35"/>
  <c r="HQ6" i="35" s="1"/>
  <c r="HD6" i="35"/>
  <c r="HR6" i="35" s="1"/>
  <c r="HE6" i="35"/>
  <c r="HS6" i="35" s="1"/>
  <c r="GT6" i="35"/>
  <c r="HH6" i="35" s="1"/>
  <c r="GU6" i="35"/>
  <c r="HI6" i="35" s="1"/>
  <c r="GV6" i="35"/>
  <c r="HJ6" i="35" s="1"/>
  <c r="GW6" i="35"/>
  <c r="HK6" i="35" s="1"/>
  <c r="GX6" i="35"/>
  <c r="HL6" i="35" s="1"/>
  <c r="GY6" i="35"/>
  <c r="HM6" i="35" s="1"/>
  <c r="GZ6" i="35"/>
  <c r="HN6" i="35" s="1"/>
  <c r="HA6" i="35"/>
  <c r="HO6" i="35" s="1"/>
  <c r="HB6" i="35"/>
  <c r="HP6" i="35" s="1"/>
  <c r="GS6" i="35"/>
  <c r="HG6" i="35" s="1"/>
  <c r="FQ18" i="35" l="1"/>
  <c r="FP19" i="35"/>
  <c r="F33" i="39"/>
  <c r="B30" i="38"/>
  <c r="B33" i="39" s="1"/>
  <c r="FP20" i="35" l="1"/>
  <c r="FQ19" i="35"/>
  <c r="P64" i="39"/>
  <c r="K53" i="39"/>
  <c r="K29" i="39"/>
  <c r="K41" i="39"/>
  <c r="F68" i="39"/>
  <c r="B68" i="39"/>
  <c r="K64" i="39"/>
  <c r="G61" i="39"/>
  <c r="D61" i="39"/>
  <c r="B61" i="39"/>
  <c r="G59" i="39"/>
  <c r="D59" i="39"/>
  <c r="B59" i="39"/>
  <c r="G57" i="39"/>
  <c r="D57" i="39"/>
  <c r="B57" i="39"/>
  <c r="G55" i="39"/>
  <c r="D55" i="39"/>
  <c r="B55" i="39"/>
  <c r="G53" i="39"/>
  <c r="D53" i="39"/>
  <c r="B53" i="39"/>
  <c r="G51" i="39"/>
  <c r="D51" i="39"/>
  <c r="B51" i="39"/>
  <c r="B44" i="39"/>
  <c r="B43" i="39"/>
  <c r="C42" i="39"/>
  <c r="D42" i="39" s="1"/>
  <c r="C41" i="39"/>
  <c r="D41" i="39" s="1"/>
  <c r="C40" i="39"/>
  <c r="D40" i="39" s="1"/>
  <c r="C39" i="39"/>
  <c r="D39" i="39" s="1"/>
  <c r="E35" i="39"/>
  <c r="E12" i="39"/>
  <c r="N12" i="39" s="1"/>
  <c r="X12" i="39" s="1"/>
  <c r="N9" i="39"/>
  <c r="X9" i="39" s="1"/>
  <c r="E9" i="39"/>
  <c r="G7" i="39"/>
  <c r="E7" i="39"/>
  <c r="N7" i="39" s="1"/>
  <c r="X7" i="39" s="1"/>
  <c r="E6" i="39"/>
  <c r="N6" i="39" s="1"/>
  <c r="X6" i="39" s="1"/>
  <c r="C1" i="39"/>
  <c r="M17" i="39" s="1"/>
  <c r="FQ20" i="35" l="1"/>
  <c r="FP21" i="35"/>
  <c r="L1" i="39"/>
  <c r="U1" i="39" s="1"/>
  <c r="K54" i="38"/>
  <c r="F71" i="38"/>
  <c r="B71" i="38"/>
  <c r="O70" i="38"/>
  <c r="K70" i="38"/>
  <c r="G59" i="38"/>
  <c r="D59" i="38"/>
  <c r="B59" i="38"/>
  <c r="G57" i="38"/>
  <c r="D57" i="38"/>
  <c r="B57" i="38"/>
  <c r="G55" i="38"/>
  <c r="D55" i="38"/>
  <c r="B55" i="38"/>
  <c r="G53" i="38"/>
  <c r="D53" i="38"/>
  <c r="B53" i="38"/>
  <c r="G51" i="38"/>
  <c r="D51" i="38"/>
  <c r="B51" i="38"/>
  <c r="G49" i="38"/>
  <c r="D49" i="38"/>
  <c r="B49" i="38"/>
  <c r="D40" i="38"/>
  <c r="D39" i="38"/>
  <c r="D38" i="38"/>
  <c r="D37" i="38"/>
  <c r="E32" i="38"/>
  <c r="N12" i="38"/>
  <c r="E9" i="38"/>
  <c r="N9" i="38" s="1"/>
  <c r="D1" i="38"/>
  <c r="FQ21" i="35" l="1"/>
  <c r="FP22" i="35"/>
  <c r="M54" i="38"/>
  <c r="FQ22" i="35" l="1"/>
  <c r="FP23" i="35"/>
  <c r="M56" i="38"/>
  <c r="K55" i="38"/>
  <c r="M55" i="38"/>
  <c r="M57" i="38"/>
  <c r="FQ23" i="35" l="1"/>
  <c r="FP24" i="35"/>
  <c r="FP13" i="35"/>
  <c r="FQ24" i="35" l="1"/>
  <c r="FP25" i="35"/>
  <c r="FP14" i="35"/>
  <c r="FQ14" i="35" s="1"/>
  <c r="FQ25" i="35" l="1"/>
  <c r="FP26" i="35"/>
  <c r="FQ26" i="35" s="1"/>
  <c r="FQ13" i="35"/>
  <c r="FQ12" i="35" l="1"/>
  <c r="FP11" i="35" l="1"/>
  <c r="FQ11" i="35" s="1"/>
  <c r="FQ10" i="35"/>
  <c r="GN5" i="35"/>
  <c r="GB199" i="35" l="1"/>
  <c r="GB198" i="35"/>
  <c r="GB197" i="35"/>
  <c r="GB196" i="35"/>
  <c r="GB195" i="35"/>
  <c r="GB194" i="35"/>
  <c r="GB193" i="35"/>
  <c r="GB180" i="35"/>
  <c r="GB179" i="35"/>
  <c r="GB178" i="35"/>
  <c r="GB177" i="35"/>
  <c r="GB167" i="35"/>
  <c r="GB157" i="35"/>
  <c r="GB154" i="35"/>
  <c r="GB153" i="35"/>
  <c r="GB151" i="35"/>
  <c r="GB150" i="35"/>
  <c r="GB148" i="35"/>
  <c r="GB136" i="35"/>
  <c r="GB134" i="35"/>
  <c r="GB131" i="35"/>
  <c r="GB130" i="35"/>
  <c r="GB115" i="35"/>
  <c r="GB114" i="35"/>
  <c r="GB112" i="35"/>
  <c r="GB100" i="35"/>
  <c r="GB99" i="35"/>
  <c r="GB98" i="35"/>
  <c r="GB76" i="35"/>
  <c r="GB61" i="35"/>
  <c r="GB46" i="35"/>
  <c r="GB45" i="35"/>
  <c r="GB27" i="35"/>
  <c r="GB26" i="35"/>
  <c r="GB25" i="35"/>
  <c r="GB24" i="35"/>
  <c r="GN213" i="35" l="1"/>
  <c r="GN219" i="35"/>
  <c r="GN218" i="35"/>
  <c r="GN217" i="35"/>
  <c r="GN216" i="35"/>
  <c r="GN215" i="35"/>
  <c r="GN214" i="35"/>
  <c r="GN211" i="35"/>
  <c r="GN210" i="35"/>
  <c r="GN209" i="35"/>
  <c r="GN208" i="35"/>
  <c r="GN207" i="35"/>
  <c r="GN206" i="35"/>
  <c r="GN205" i="35"/>
  <c r="GN204" i="35"/>
  <c r="GN203" i="35"/>
  <c r="GN202" i="35"/>
  <c r="GN201" i="35"/>
  <c r="GN200" i="35"/>
  <c r="GN199" i="35"/>
  <c r="GN198" i="35"/>
  <c r="GN197" i="35"/>
  <c r="GN196" i="35"/>
  <c r="GN195" i="35"/>
  <c r="GN194" i="35"/>
  <c r="GN193" i="35"/>
  <c r="GN192" i="35"/>
  <c r="GN191" i="35"/>
  <c r="GN190" i="35"/>
  <c r="GN189" i="35"/>
  <c r="GN188" i="35"/>
  <c r="GN187" i="35"/>
  <c r="GN186" i="35"/>
  <c r="GN185" i="35"/>
  <c r="GN184" i="35"/>
  <c r="GN183" i="35"/>
  <c r="GN182" i="35"/>
  <c r="GN181" i="35"/>
  <c r="GN180" i="35"/>
  <c r="GN179" i="35"/>
  <c r="GN178" i="35"/>
  <c r="GN177" i="35"/>
  <c r="GN176" i="35"/>
  <c r="GN175" i="35"/>
  <c r="GN174" i="35"/>
  <c r="GN173" i="35"/>
  <c r="GN172" i="35"/>
  <c r="GN171" i="35"/>
  <c r="GN170" i="35"/>
  <c r="GN169" i="35"/>
  <c r="GN168" i="35"/>
  <c r="GN167" i="35"/>
  <c r="GN166" i="35"/>
  <c r="GN165" i="35"/>
  <c r="GN164" i="35"/>
  <c r="GN163" i="35"/>
  <c r="GN162" i="35"/>
  <c r="GN161" i="35"/>
  <c r="GN160" i="35"/>
  <c r="GN159" i="35"/>
  <c r="GN158" i="35"/>
  <c r="GN157" i="35"/>
  <c r="GN156" i="35"/>
  <c r="GN155" i="35"/>
  <c r="GN154" i="35"/>
  <c r="GN153" i="35"/>
  <c r="GN152" i="35"/>
  <c r="GN151" i="35"/>
  <c r="GN150" i="35"/>
  <c r="GN149" i="35"/>
  <c r="GN148" i="35"/>
  <c r="GN147" i="35"/>
  <c r="GN146" i="35"/>
  <c r="GN145" i="35"/>
  <c r="GN144" i="35"/>
  <c r="GN143" i="35"/>
  <c r="GN142" i="35"/>
  <c r="GN141" i="35"/>
  <c r="GN140" i="35"/>
  <c r="GN139" i="35"/>
  <c r="GN138" i="35"/>
  <c r="GN137" i="35"/>
  <c r="GN136" i="35"/>
  <c r="GN135" i="35"/>
  <c r="GN134" i="35"/>
  <c r="GN133" i="35"/>
  <c r="GN132" i="35"/>
  <c r="GN131" i="35"/>
  <c r="GN130" i="35"/>
  <c r="GN129" i="35"/>
  <c r="GN128" i="35"/>
  <c r="GN127" i="35"/>
  <c r="GN126" i="35"/>
  <c r="GN125" i="35"/>
  <c r="GN124" i="35"/>
  <c r="GN123" i="35"/>
  <c r="GN122" i="35"/>
  <c r="GN121" i="35"/>
  <c r="GN120" i="35"/>
  <c r="GN119" i="35"/>
  <c r="GN118" i="35"/>
  <c r="GN117" i="35"/>
  <c r="GN116" i="35"/>
  <c r="GN115" i="35"/>
  <c r="GN114" i="35"/>
  <c r="GN113" i="35"/>
  <c r="GN112" i="35"/>
  <c r="GN111" i="35"/>
  <c r="GN110" i="35"/>
  <c r="GN109" i="35"/>
  <c r="GN108" i="35"/>
  <c r="GN107" i="35"/>
  <c r="GN106" i="35"/>
  <c r="GN105" i="35"/>
  <c r="GN104" i="35"/>
  <c r="GN103" i="35"/>
  <c r="GN102" i="35"/>
  <c r="GN101" i="35"/>
  <c r="GN100" i="35"/>
  <c r="GN99" i="35"/>
  <c r="GN98" i="35"/>
  <c r="GN97" i="35"/>
  <c r="GN96" i="35"/>
  <c r="GN95" i="35"/>
  <c r="GN94" i="35"/>
  <c r="GN93" i="35"/>
  <c r="GN92" i="35"/>
  <c r="GN91" i="35"/>
  <c r="GN90" i="35"/>
  <c r="GN89" i="35"/>
  <c r="GN88" i="35"/>
  <c r="GN87" i="35"/>
  <c r="GN86" i="35"/>
  <c r="GN85" i="35"/>
  <c r="GN84" i="35"/>
  <c r="GN83" i="35"/>
  <c r="GN82" i="35"/>
  <c r="GN81" i="35"/>
  <c r="GN80" i="35"/>
  <c r="GN79" i="35"/>
  <c r="GN78" i="35"/>
  <c r="GN77" i="35"/>
  <c r="GN76" i="35"/>
  <c r="GN75" i="35"/>
  <c r="GN74" i="35"/>
  <c r="GN73" i="35"/>
  <c r="GN72" i="35"/>
  <c r="GN71" i="35"/>
  <c r="GN70" i="35"/>
  <c r="GN69" i="35"/>
  <c r="GN68" i="35"/>
  <c r="GN67" i="35"/>
  <c r="GN66" i="35"/>
  <c r="GN65" i="35"/>
  <c r="GN64" i="35"/>
  <c r="GN63" i="35"/>
  <c r="GN62" i="35"/>
  <c r="GN61" i="35"/>
  <c r="GN60" i="35"/>
  <c r="GN59" i="35"/>
  <c r="GN58" i="35"/>
  <c r="GN57" i="35"/>
  <c r="GN56" i="35"/>
  <c r="GN55" i="35"/>
  <c r="GN54" i="35"/>
  <c r="GN53" i="35"/>
  <c r="GN52" i="35"/>
  <c r="GN51" i="35"/>
  <c r="GN50" i="35"/>
  <c r="GN49" i="35"/>
  <c r="GN48" i="35"/>
  <c r="GN47" i="35"/>
  <c r="GN46" i="35"/>
  <c r="GN45" i="35"/>
  <c r="GN44" i="35"/>
  <c r="GN43" i="35"/>
  <c r="GN42" i="35"/>
  <c r="GN41" i="35"/>
  <c r="GN40" i="35"/>
  <c r="GN39" i="35"/>
  <c r="GN38" i="35"/>
  <c r="GN37" i="35"/>
  <c r="GN36" i="35"/>
  <c r="GN35" i="35"/>
  <c r="GN34" i="35"/>
  <c r="GN33" i="35"/>
  <c r="GN32" i="35"/>
  <c r="GN31" i="35"/>
  <c r="GN30" i="35"/>
  <c r="GN29" i="35"/>
  <c r="GN28" i="35"/>
  <c r="GN27" i="35"/>
  <c r="GN26" i="35"/>
  <c r="GN25" i="35"/>
  <c r="GN24" i="35"/>
  <c r="GN23" i="35"/>
  <c r="GN22" i="35"/>
  <c r="GN21" i="35"/>
  <c r="GN20" i="35"/>
  <c r="GN19" i="35"/>
  <c r="GN18" i="35"/>
  <c r="GN17" i="35"/>
  <c r="GN16" i="35"/>
  <c r="GN15" i="35"/>
  <c r="GN14" i="35"/>
  <c r="GN13" i="35"/>
  <c r="GN12" i="35"/>
  <c r="GN11" i="35"/>
  <c r="GN10" i="35"/>
  <c r="GN9" i="35"/>
  <c r="GN8" i="35"/>
  <c r="GN7" i="35"/>
  <c r="GN212" i="35" l="1"/>
  <c r="GF6" i="35" l="1"/>
  <c r="GF124" i="35"/>
  <c r="GB8" i="35"/>
  <c r="GB9" i="35"/>
  <c r="GB10" i="35"/>
  <c r="GB11" i="35"/>
  <c r="GB12" i="35"/>
  <c r="GB13" i="35"/>
  <c r="GB14" i="35"/>
  <c r="GB15" i="35"/>
  <c r="GB16" i="35"/>
  <c r="GB17" i="35"/>
  <c r="GB18" i="35"/>
  <c r="GB19" i="35"/>
  <c r="GB20" i="35"/>
  <c r="GB21" i="35"/>
  <c r="GB22" i="35"/>
  <c r="GB23" i="35"/>
  <c r="GB28" i="35"/>
  <c r="GB29" i="35"/>
  <c r="GB30" i="35"/>
  <c r="GB31" i="35"/>
  <c r="GB32" i="35"/>
  <c r="GB33" i="35"/>
  <c r="GB34" i="35"/>
  <c r="GB35" i="35"/>
  <c r="GB36" i="35"/>
  <c r="GB37" i="35"/>
  <c r="GB38" i="35"/>
  <c r="GB39" i="35"/>
  <c r="GB40" i="35"/>
  <c r="GB41" i="35"/>
  <c r="GB42" i="35"/>
  <c r="GB43" i="35"/>
  <c r="GB44" i="35"/>
  <c r="GB47" i="35"/>
  <c r="GB48" i="35"/>
  <c r="GB49" i="35"/>
  <c r="GB50" i="35"/>
  <c r="GB51" i="35"/>
  <c r="GB52" i="35"/>
  <c r="GB53" i="35"/>
  <c r="GB54" i="35"/>
  <c r="GB55" i="35"/>
  <c r="GB56" i="35"/>
  <c r="GB57" i="35"/>
  <c r="GB58" i="35"/>
  <c r="GB59" i="35"/>
  <c r="GB60" i="35"/>
  <c r="GB62" i="35"/>
  <c r="GB63" i="35"/>
  <c r="GB64" i="35"/>
  <c r="GB65" i="35"/>
  <c r="GB66" i="35"/>
  <c r="GB67" i="35"/>
  <c r="GB68" i="35"/>
  <c r="GB69" i="35"/>
  <c r="GB70" i="35"/>
  <c r="GB71" i="35"/>
  <c r="GB72" i="35"/>
  <c r="GB73" i="35"/>
  <c r="GB74" i="35"/>
  <c r="GB75" i="35"/>
  <c r="GB77" i="35"/>
  <c r="GB78" i="35"/>
  <c r="GB79" i="35"/>
  <c r="GB80" i="35"/>
  <c r="GB81" i="35"/>
  <c r="GB82" i="35"/>
  <c r="GB83" i="35"/>
  <c r="GB84" i="35"/>
  <c r="GB85" i="35"/>
  <c r="GB86" i="35"/>
  <c r="GB87" i="35"/>
  <c r="GB88" i="35"/>
  <c r="GB89" i="35"/>
  <c r="GB90" i="35"/>
  <c r="GB91" i="35"/>
  <c r="GB92" i="35"/>
  <c r="GB93" i="35"/>
  <c r="GB94" i="35"/>
  <c r="GB95" i="35"/>
  <c r="GB96" i="35"/>
  <c r="GB97" i="35"/>
  <c r="GB101" i="35"/>
  <c r="GB102" i="35"/>
  <c r="GB103" i="35"/>
  <c r="GB104" i="35"/>
  <c r="GB105" i="35"/>
  <c r="GB106" i="35"/>
  <c r="GB107" i="35"/>
  <c r="GB108" i="35"/>
  <c r="GB109" i="35"/>
  <c r="GB110" i="35"/>
  <c r="GB111" i="35"/>
  <c r="GB113" i="35"/>
  <c r="GB116" i="35"/>
  <c r="GB117" i="35"/>
  <c r="GB118" i="35"/>
  <c r="GB119" i="35"/>
  <c r="GB120" i="35"/>
  <c r="GB121" i="35"/>
  <c r="GB122" i="35"/>
  <c r="GB123" i="35"/>
  <c r="GB124" i="35"/>
  <c r="GB125" i="35"/>
  <c r="GB126" i="35"/>
  <c r="GB127" i="35"/>
  <c r="GB128" i="35"/>
  <c r="GB129" i="35"/>
  <c r="GB132" i="35"/>
  <c r="GB133" i="35"/>
  <c r="GB135" i="35"/>
  <c r="GB137" i="35"/>
  <c r="GB138" i="35"/>
  <c r="GB139" i="35"/>
  <c r="GB140" i="35"/>
  <c r="GB141" i="35"/>
  <c r="GB142" i="35"/>
  <c r="GB143" i="35"/>
  <c r="GB144" i="35"/>
  <c r="GB145" i="35"/>
  <c r="GB146" i="35"/>
  <c r="GB147" i="35"/>
  <c r="GB149" i="35"/>
  <c r="GB152" i="35"/>
  <c r="GB155" i="35"/>
  <c r="GB156" i="35"/>
  <c r="GB158" i="35"/>
  <c r="GB159" i="35"/>
  <c r="GB160" i="35"/>
  <c r="GB161" i="35"/>
  <c r="GB162" i="35"/>
  <c r="GB163" i="35"/>
  <c r="GB164" i="35"/>
  <c r="GB165" i="35"/>
  <c r="GB166" i="35"/>
  <c r="GB168" i="35"/>
  <c r="GB169" i="35"/>
  <c r="GB170" i="35"/>
  <c r="GB171" i="35"/>
  <c r="GB172" i="35"/>
  <c r="GB173" i="35"/>
  <c r="GB174" i="35"/>
  <c r="GB175" i="35"/>
  <c r="GB176" i="35"/>
  <c r="GB181" i="35"/>
  <c r="GB182" i="35"/>
  <c r="GB183" i="35"/>
  <c r="GB184" i="35"/>
  <c r="GB185" i="35"/>
  <c r="GB186" i="35"/>
  <c r="GB187" i="35"/>
  <c r="GB188" i="35"/>
  <c r="GB189" i="35"/>
  <c r="GB190" i="35"/>
  <c r="GB191" i="35"/>
  <c r="GB192" i="35"/>
  <c r="GB200" i="35"/>
  <c r="GB201" i="35"/>
  <c r="GB202" i="35"/>
  <c r="GB203" i="35"/>
  <c r="GB204" i="35"/>
  <c r="GB205" i="35"/>
  <c r="GB206" i="35"/>
  <c r="GB207" i="35"/>
  <c r="GB208" i="35"/>
  <c r="GB209" i="35"/>
  <c r="GB210" i="35"/>
  <c r="GB211" i="35"/>
  <c r="GB212" i="35"/>
  <c r="GB213" i="35"/>
  <c r="GB214" i="35"/>
  <c r="GB215" i="35"/>
  <c r="GB216" i="35"/>
  <c r="GB217" i="35"/>
  <c r="GB218" i="35"/>
  <c r="GB219" i="35"/>
  <c r="GG6" i="35"/>
  <c r="GB7" i="35"/>
  <c r="GD6" i="35"/>
  <c r="GE6" i="35"/>
  <c r="GC6" i="35"/>
  <c r="GA6" i="35"/>
  <c r="GF30" i="35" l="1"/>
  <c r="GF37" i="35"/>
  <c r="GF21" i="35"/>
  <c r="GF108" i="35"/>
  <c r="GF115" i="35"/>
  <c r="GF209" i="35"/>
  <c r="GF133" i="35"/>
  <c r="GF57" i="35"/>
  <c r="GF140" i="35"/>
  <c r="GF62" i="35"/>
  <c r="GF158" i="35"/>
  <c r="GF46" i="35"/>
  <c r="GF73" i="35"/>
  <c r="GF174" i="35"/>
  <c r="GF12" i="35"/>
  <c r="GF89" i="35"/>
  <c r="GF198" i="35"/>
  <c r="GF22" i="35"/>
  <c r="GF38" i="35"/>
  <c r="GF59" i="35"/>
  <c r="GF75" i="35"/>
  <c r="GF91" i="35"/>
  <c r="GF109" i="35"/>
  <c r="GF125" i="35"/>
  <c r="GF141" i="35"/>
  <c r="GF161" i="35"/>
  <c r="GF177" i="35"/>
  <c r="GF205" i="35"/>
  <c r="GF9" i="35"/>
  <c r="GF25" i="35"/>
  <c r="GF44" i="35"/>
  <c r="GF60" i="35"/>
  <c r="GF76" i="35"/>
  <c r="GF94" i="35"/>
  <c r="GF110" i="35"/>
  <c r="GF126" i="35"/>
  <c r="GF147" i="35"/>
  <c r="GF163" i="35"/>
  <c r="GF179" i="35"/>
  <c r="GF213" i="35"/>
  <c r="GF11" i="35"/>
  <c r="GF27" i="35"/>
  <c r="GF45" i="35"/>
  <c r="GF61" i="35"/>
  <c r="GF77" i="35"/>
  <c r="GF97" i="35"/>
  <c r="GF113" i="35"/>
  <c r="GF129" i="35"/>
  <c r="GF148" i="35"/>
  <c r="GF164" i="35"/>
  <c r="GF181" i="35"/>
  <c r="GF214" i="35"/>
  <c r="GF83" i="35"/>
  <c r="GF99" i="35"/>
  <c r="GF149" i="35"/>
  <c r="GF165" i="35"/>
  <c r="GF187" i="35"/>
  <c r="GF13" i="35"/>
  <c r="GF49" i="35"/>
  <c r="GF84" i="35"/>
  <c r="GF100" i="35"/>
  <c r="GF116" i="35"/>
  <c r="GF134" i="35"/>
  <c r="GF150" i="35"/>
  <c r="GF166" i="35"/>
  <c r="GF212" i="35"/>
  <c r="GF19" i="35"/>
  <c r="GF35" i="35"/>
  <c r="GF51" i="35"/>
  <c r="GF69" i="35"/>
  <c r="GF85" i="35"/>
  <c r="GF101" i="35"/>
  <c r="GF121" i="35"/>
  <c r="GF137" i="35"/>
  <c r="GF153" i="35"/>
  <c r="GF172" i="35"/>
  <c r="GF190" i="35"/>
  <c r="GF193" i="35"/>
  <c r="GF33" i="35"/>
  <c r="GF65" i="35"/>
  <c r="GF189" i="35"/>
  <c r="GF20" i="35"/>
  <c r="GF36" i="35"/>
  <c r="GF52" i="35"/>
  <c r="GF70" i="35"/>
  <c r="GF86" i="35"/>
  <c r="GF102" i="35"/>
  <c r="GF123" i="35"/>
  <c r="GF139" i="35"/>
  <c r="GF155" i="35"/>
  <c r="GF173" i="35"/>
  <c r="GF197" i="35"/>
  <c r="GF14" i="35"/>
  <c r="GF28" i="35"/>
  <c r="GF41" i="35"/>
  <c r="GF53" i="35"/>
  <c r="GF67" i="35"/>
  <c r="GF78" i="35"/>
  <c r="GF92" i="35"/>
  <c r="GF105" i="35"/>
  <c r="GF117" i="35"/>
  <c r="GF131" i="35"/>
  <c r="GF142" i="35"/>
  <c r="GF156" i="35"/>
  <c r="GF169" i="35"/>
  <c r="GF182" i="35"/>
  <c r="GF206" i="35"/>
  <c r="GF17" i="35"/>
  <c r="GF29" i="35"/>
  <c r="GF43" i="35"/>
  <c r="GF54" i="35"/>
  <c r="GF68" i="35"/>
  <c r="GF81" i="35"/>
  <c r="GF93" i="35"/>
  <c r="GF107" i="35"/>
  <c r="GF118" i="35"/>
  <c r="GF132" i="35"/>
  <c r="GF145" i="35"/>
  <c r="GF157" i="35"/>
  <c r="GF171" i="35"/>
  <c r="GF185" i="35"/>
  <c r="GF195" i="35"/>
  <c r="GF211" i="35"/>
  <c r="GF201" i="35"/>
  <c r="GF203" i="35"/>
  <c r="GF7" i="35"/>
  <c r="GF15" i="35"/>
  <c r="GF23" i="35"/>
  <c r="GF31" i="35"/>
  <c r="GF39" i="35"/>
  <c r="GF47" i="35"/>
  <c r="GF55" i="35"/>
  <c r="GF63" i="35"/>
  <c r="GF71" i="35"/>
  <c r="GF79" i="35"/>
  <c r="GF87" i="35"/>
  <c r="GF95" i="35"/>
  <c r="GF103" i="35"/>
  <c r="GF111" i="35"/>
  <c r="GF119" i="35"/>
  <c r="GF127" i="35"/>
  <c r="GF135" i="35"/>
  <c r="GF143" i="35"/>
  <c r="GF151" i="35"/>
  <c r="GF159" i="35"/>
  <c r="GF167" i="35"/>
  <c r="GF175" i="35"/>
  <c r="GF183" i="35"/>
  <c r="GF191" i="35"/>
  <c r="GF199" i="35"/>
  <c r="GF207" i="35"/>
  <c r="GF215" i="35"/>
  <c r="GF8" i="35"/>
  <c r="GF16" i="35"/>
  <c r="GF24" i="35"/>
  <c r="GF32" i="35"/>
  <c r="GF40" i="35"/>
  <c r="GF48" i="35"/>
  <c r="GF56" i="35"/>
  <c r="GF64" i="35"/>
  <c r="GF72" i="35"/>
  <c r="GF80" i="35"/>
  <c r="GF88" i="35"/>
  <c r="GF96" i="35"/>
  <c r="GF104" i="35"/>
  <c r="GF112" i="35"/>
  <c r="GF120" i="35"/>
  <c r="GF128" i="35"/>
  <c r="GF136" i="35"/>
  <c r="GF144" i="35"/>
  <c r="GF152" i="35"/>
  <c r="GF160" i="35"/>
  <c r="GF168" i="35"/>
  <c r="GF176" i="35"/>
  <c r="GF184" i="35"/>
  <c r="GF192" i="35"/>
  <c r="GF200" i="35"/>
  <c r="GF208" i="35"/>
  <c r="GF216" i="35"/>
  <c r="GF217" i="35"/>
  <c r="GF10" i="35"/>
  <c r="GF18" i="35"/>
  <c r="GF26" i="35"/>
  <c r="GF34" i="35"/>
  <c r="GF42" i="35"/>
  <c r="GF50" i="35"/>
  <c r="GF58" i="35"/>
  <c r="GF66" i="35"/>
  <c r="GF74" i="35"/>
  <c r="GF82" i="35"/>
  <c r="GF90" i="35"/>
  <c r="GF98" i="35"/>
  <c r="GF106" i="35"/>
  <c r="GF114" i="35"/>
  <c r="GF122" i="35"/>
  <c r="GF130" i="35"/>
  <c r="GF138" i="35"/>
  <c r="GF146" i="35"/>
  <c r="GF154" i="35"/>
  <c r="GF162" i="35"/>
  <c r="GF170" i="35"/>
  <c r="GF178" i="35"/>
  <c r="GF186" i="35"/>
  <c r="GF194" i="35"/>
  <c r="GF202" i="35"/>
  <c r="GF210" i="35"/>
  <c r="GF218" i="35"/>
  <c r="GF219" i="35"/>
  <c r="GF180" i="35"/>
  <c r="GF188" i="35"/>
  <c r="GF196" i="35"/>
  <c r="GF204" i="35"/>
  <c r="B44" i="10"/>
  <c r="B43" i="10"/>
  <c r="C40" i="10"/>
  <c r="C41" i="10"/>
  <c r="C42" i="10"/>
  <c r="C39" i="10"/>
  <c r="B41" i="7"/>
  <c r="B40" i="7"/>
  <c r="C37" i="7"/>
  <c r="C38" i="7"/>
  <c r="C39" i="7"/>
  <c r="C36" i="7"/>
  <c r="B40" i="6"/>
  <c r="B39" i="6"/>
  <c r="C38" i="6"/>
  <c r="C36" i="6"/>
  <c r="C37" i="6"/>
  <c r="C35" i="6"/>
  <c r="C37" i="24"/>
  <c r="C38" i="24"/>
  <c r="C39" i="24"/>
  <c r="C36" i="24"/>
  <c r="B41" i="24"/>
  <c r="B40" i="24"/>
  <c r="B44" i="23"/>
  <c r="B43" i="23"/>
  <c r="C40" i="23"/>
  <c r="C41" i="23"/>
  <c r="C42" i="23"/>
  <c r="C39" i="23"/>
  <c r="B43" i="32"/>
  <c r="B42" i="32"/>
  <c r="C39" i="32"/>
  <c r="C40" i="32"/>
  <c r="C41" i="32"/>
  <c r="C38" i="32"/>
  <c r="FQ9" i="35" l="1"/>
  <c r="FQ8" i="35"/>
  <c r="EC7" i="35" l="1"/>
  <c r="EC8" i="35" l="1"/>
  <c r="EF7" i="35"/>
  <c r="FJ225" i="35"/>
  <c r="GT165" i="35"/>
  <c r="HH165" i="35" s="1"/>
  <c r="HN165" i="35" s="1"/>
  <c r="M3" i="35"/>
  <c r="GT199" i="35"/>
  <c r="HH199" i="35" s="1"/>
  <c r="HN199" i="35" s="1"/>
  <c r="GT198" i="35"/>
  <c r="HH198" i="35" s="1"/>
  <c r="HN198" i="35" s="1"/>
  <c r="GT197" i="35"/>
  <c r="HH197" i="35" s="1"/>
  <c r="HN197" i="35" s="1"/>
  <c r="GT196" i="35"/>
  <c r="HH196" i="35" s="1"/>
  <c r="HN196" i="35" s="1"/>
  <c r="GT195" i="35"/>
  <c r="HH195" i="35" s="1"/>
  <c r="HN195" i="35" s="1"/>
  <c r="GT194" i="35"/>
  <c r="HH194" i="35" s="1"/>
  <c r="HN194" i="35" s="1"/>
  <c r="GT193" i="35"/>
  <c r="HH193" i="35" s="1"/>
  <c r="HN193" i="35" s="1"/>
  <c r="GT192" i="35"/>
  <c r="HH192" i="35" s="1"/>
  <c r="HN192" i="35" s="1"/>
  <c r="GT185" i="35"/>
  <c r="HH185" i="35" s="1"/>
  <c r="HN185" i="35" s="1"/>
  <c r="AL219" i="35" l="1"/>
  <c r="AL218" i="35"/>
  <c r="AL217" i="35"/>
  <c r="AL216" i="35"/>
  <c r="AL215" i="35"/>
  <c r="AL214" i="35"/>
  <c r="AL213" i="35"/>
  <c r="AL212" i="35"/>
  <c r="AL211" i="35"/>
  <c r="AL210" i="35"/>
  <c r="AL209" i="35"/>
  <c r="AL208" i="35"/>
  <c r="AL207" i="35"/>
  <c r="AL206" i="35"/>
  <c r="AL205" i="35"/>
  <c r="AL204" i="35"/>
  <c r="AL203" i="35"/>
  <c r="AL202" i="35"/>
  <c r="AL201" i="35"/>
  <c r="AL200" i="35"/>
  <c r="AL199" i="35"/>
  <c r="AL198" i="35"/>
  <c r="AL197" i="35"/>
  <c r="AL196" i="35"/>
  <c r="AL195" i="35"/>
  <c r="AL194" i="35"/>
  <c r="AL193" i="35"/>
  <c r="AL192" i="35"/>
  <c r="AL191" i="35"/>
  <c r="AL190" i="35"/>
  <c r="AL189" i="35"/>
  <c r="AL188" i="35"/>
  <c r="AL187" i="35"/>
  <c r="AL186" i="35"/>
  <c r="AL185" i="35"/>
  <c r="AL184" i="35"/>
  <c r="AL183" i="35"/>
  <c r="AL182" i="35"/>
  <c r="AL181" i="35"/>
  <c r="AL180" i="35"/>
  <c r="AL179" i="35"/>
  <c r="AL178" i="35"/>
  <c r="AL177" i="35"/>
  <c r="AL176" i="35"/>
  <c r="AL175" i="35"/>
  <c r="AL174" i="35"/>
  <c r="AL173" i="35"/>
  <c r="AL172" i="35"/>
  <c r="AL171" i="35"/>
  <c r="AL170" i="35"/>
  <c r="AL169" i="35"/>
  <c r="AL168" i="35"/>
  <c r="AL167" i="35"/>
  <c r="AL166" i="35"/>
  <c r="AL165" i="35"/>
  <c r="AL164" i="35"/>
  <c r="AL163" i="35"/>
  <c r="AL162" i="35"/>
  <c r="AL161" i="35"/>
  <c r="AL160" i="35"/>
  <c r="AL159" i="35"/>
  <c r="AL158" i="35"/>
  <c r="AL157" i="35"/>
  <c r="AL156" i="35"/>
  <c r="AL155" i="35"/>
  <c r="AL154" i="35"/>
  <c r="AL153" i="35"/>
  <c r="AL152" i="35"/>
  <c r="AL151" i="35"/>
  <c r="AL150" i="35"/>
  <c r="AL149" i="35"/>
  <c r="AL148" i="35"/>
  <c r="AL147" i="35"/>
  <c r="AL146" i="35"/>
  <c r="AL145" i="35"/>
  <c r="AL144" i="35"/>
  <c r="AL143" i="35"/>
  <c r="AL142" i="35"/>
  <c r="AL141" i="35"/>
  <c r="AL140" i="35"/>
  <c r="AL139" i="35"/>
  <c r="AL138" i="35"/>
  <c r="AL137" i="35"/>
  <c r="AL136" i="35"/>
  <c r="AL135" i="35"/>
  <c r="AL134" i="35"/>
  <c r="AL133" i="35"/>
  <c r="AL132" i="35"/>
  <c r="AL131" i="35"/>
  <c r="AL130" i="35"/>
  <c r="AL129" i="35"/>
  <c r="AL128" i="35"/>
  <c r="AL127" i="35"/>
  <c r="AL126" i="35"/>
  <c r="AL125" i="35"/>
  <c r="AL124" i="35"/>
  <c r="AL123" i="35"/>
  <c r="AL122" i="35"/>
  <c r="AL121" i="35"/>
  <c r="AL120" i="35"/>
  <c r="AL119" i="35"/>
  <c r="AL118" i="35"/>
  <c r="AL117" i="35"/>
  <c r="AL116" i="35"/>
  <c r="AL115" i="35"/>
  <c r="AL114" i="35"/>
  <c r="AL113" i="35"/>
  <c r="AL112" i="35"/>
  <c r="AL111" i="35"/>
  <c r="AL110" i="35"/>
  <c r="AL109" i="35"/>
  <c r="AL108" i="35"/>
  <c r="AL107" i="35"/>
  <c r="AL106" i="35"/>
  <c r="AL105" i="35"/>
  <c r="AL104" i="35"/>
  <c r="AL103" i="35"/>
  <c r="AL102" i="35"/>
  <c r="AL101" i="35"/>
  <c r="AL100" i="35"/>
  <c r="AL99" i="35"/>
  <c r="AL98" i="35"/>
  <c r="AL97" i="35"/>
  <c r="AL96" i="35"/>
  <c r="AL95" i="35"/>
  <c r="AL94" i="35"/>
  <c r="AL93" i="35"/>
  <c r="AL92" i="35"/>
  <c r="AL91" i="35"/>
  <c r="AL90" i="35"/>
  <c r="AL89" i="35"/>
  <c r="AL88" i="35"/>
  <c r="AL87" i="35"/>
  <c r="AL86" i="35"/>
  <c r="AL85" i="35"/>
  <c r="AL84" i="35"/>
  <c r="AL83" i="35"/>
  <c r="AL82" i="35"/>
  <c r="AL81" i="35"/>
  <c r="AL80" i="35"/>
  <c r="AL79" i="35"/>
  <c r="AL78" i="35"/>
  <c r="AL77" i="35"/>
  <c r="AL76" i="35"/>
  <c r="AL75" i="35"/>
  <c r="AL74" i="35"/>
  <c r="AL73" i="35"/>
  <c r="AL72" i="35"/>
  <c r="AL71" i="35"/>
  <c r="AL70" i="35"/>
  <c r="AL69" i="35"/>
  <c r="AL68" i="35"/>
  <c r="AL67" i="35"/>
  <c r="AL66" i="35"/>
  <c r="AL65" i="35"/>
  <c r="AL64" i="35"/>
  <c r="AL63" i="35"/>
  <c r="AL62" i="35"/>
  <c r="AL61" i="35"/>
  <c r="AL60" i="35"/>
  <c r="AL59" i="35"/>
  <c r="AL58" i="35"/>
  <c r="AL57" i="35"/>
  <c r="AL56" i="35"/>
  <c r="AL55" i="35"/>
  <c r="AL54" i="35"/>
  <c r="AL53" i="35"/>
  <c r="AL52" i="35"/>
  <c r="AL51" i="35"/>
  <c r="AL50" i="35"/>
  <c r="AL49" i="35"/>
  <c r="AL48" i="35"/>
  <c r="AL47" i="35"/>
  <c r="AL46" i="35"/>
  <c r="AL45" i="35"/>
  <c r="AL44" i="35"/>
  <c r="AL43" i="35"/>
  <c r="AL42" i="35"/>
  <c r="AL41" i="35"/>
  <c r="AL40" i="35"/>
  <c r="AL39" i="35"/>
  <c r="AL38" i="35"/>
  <c r="AL37" i="35"/>
  <c r="AL36" i="35"/>
  <c r="AL35" i="35"/>
  <c r="AL34" i="35"/>
  <c r="AL33" i="35"/>
  <c r="AL32" i="35"/>
  <c r="AL31" i="35"/>
  <c r="AL30" i="35"/>
  <c r="AL29" i="35"/>
  <c r="AL28" i="35"/>
  <c r="AL27" i="35"/>
  <c r="AL26" i="35"/>
  <c r="AL25" i="35"/>
  <c r="AL24" i="35"/>
  <c r="AL23" i="35"/>
  <c r="AL22" i="35"/>
  <c r="AL21" i="35"/>
  <c r="AL20" i="35"/>
  <c r="AL19" i="35"/>
  <c r="AL18" i="35"/>
  <c r="AL17" i="35"/>
  <c r="AL16" i="35"/>
  <c r="AL15" i="35"/>
  <c r="AL14" i="35"/>
  <c r="AL13" i="35"/>
  <c r="AL12" i="35"/>
  <c r="AL11" i="35"/>
  <c r="AL10" i="35"/>
  <c r="AL9" i="35"/>
  <c r="AL8" i="35"/>
  <c r="GT54" i="35" l="1"/>
  <c r="HH54" i="35" s="1"/>
  <c r="HN54" i="35" s="1"/>
  <c r="GT180" i="35" l="1"/>
  <c r="HH180" i="35" s="1"/>
  <c r="HN180" i="35" s="1"/>
  <c r="GT179" i="35"/>
  <c r="HH179" i="35" s="1"/>
  <c r="HN179" i="35" s="1"/>
  <c r="GT178" i="35"/>
  <c r="HH178" i="35" s="1"/>
  <c r="HN178" i="35" s="1"/>
  <c r="GT177" i="35"/>
  <c r="HH177" i="35" s="1"/>
  <c r="HN177" i="35" s="1"/>
  <c r="GT176" i="35"/>
  <c r="HH176" i="35" s="1"/>
  <c r="HN176" i="35" s="1"/>
  <c r="GT167" i="35"/>
  <c r="HH167" i="35" s="1"/>
  <c r="HN167" i="35" s="1"/>
  <c r="GT164" i="35"/>
  <c r="HH164" i="35" s="1"/>
  <c r="HN164" i="35" s="1"/>
  <c r="GT157" i="35"/>
  <c r="HH157" i="35" s="1"/>
  <c r="HN157" i="35" s="1"/>
  <c r="GT154" i="35"/>
  <c r="HH154" i="35" s="1"/>
  <c r="HN154" i="35" s="1"/>
  <c r="GT153" i="35"/>
  <c r="HH153" i="35" s="1"/>
  <c r="HN153" i="35" s="1"/>
  <c r="GT151" i="35"/>
  <c r="HH151" i="35" s="1"/>
  <c r="HN151" i="35" s="1"/>
  <c r="GT150" i="35"/>
  <c r="HH150" i="35" s="1"/>
  <c r="HN150" i="35" s="1"/>
  <c r="GT148" i="35"/>
  <c r="HH148" i="35" s="1"/>
  <c r="HN148" i="35" s="1"/>
  <c r="GT143" i="35"/>
  <c r="HH143" i="35" s="1"/>
  <c r="HN143" i="35" s="1"/>
  <c r="GT141" i="35"/>
  <c r="HH141" i="35" s="1"/>
  <c r="HN141" i="35" s="1"/>
  <c r="GT136" i="35"/>
  <c r="HH136" i="35" s="1"/>
  <c r="HN136" i="35" s="1"/>
  <c r="GT134" i="35"/>
  <c r="HH134" i="35" s="1"/>
  <c r="HN134" i="35" s="1"/>
  <c r="GT131" i="35"/>
  <c r="HH131" i="35" s="1"/>
  <c r="HN131" i="35" s="1"/>
  <c r="GT130" i="35"/>
  <c r="HH130" i="35" s="1"/>
  <c r="HN130" i="35" s="1"/>
  <c r="GT115" i="35"/>
  <c r="HH115" i="35" s="1"/>
  <c r="HN115" i="35" s="1"/>
  <c r="GT114" i="35"/>
  <c r="HH114" i="35" s="1"/>
  <c r="HN114" i="35" s="1"/>
  <c r="GT112" i="35"/>
  <c r="HH112" i="35" s="1"/>
  <c r="HN112" i="35" s="1"/>
  <c r="GT100" i="35"/>
  <c r="HH100" i="35" s="1"/>
  <c r="HN100" i="35" s="1"/>
  <c r="GT99" i="35"/>
  <c r="HH99" i="35" s="1"/>
  <c r="HN99" i="35" s="1"/>
  <c r="GT98" i="35"/>
  <c r="HH98" i="35" s="1"/>
  <c r="HN98" i="35" s="1"/>
  <c r="GT76" i="35"/>
  <c r="HH76" i="35" s="1"/>
  <c r="HN76" i="35" s="1"/>
  <c r="GT66" i="35"/>
  <c r="HH66" i="35" s="1"/>
  <c r="HN66" i="35" s="1"/>
  <c r="GT61" i="35"/>
  <c r="HH61" i="35" s="1"/>
  <c r="HN61" i="35" s="1"/>
  <c r="GT53" i="35"/>
  <c r="HH53" i="35" s="1"/>
  <c r="HN53" i="35" s="1"/>
  <c r="GT46" i="35"/>
  <c r="HH46" i="35" s="1"/>
  <c r="HN46" i="35" s="1"/>
  <c r="GT45" i="35"/>
  <c r="HH45" i="35" s="1"/>
  <c r="HN45" i="35" s="1"/>
  <c r="GT33" i="35"/>
  <c r="HH33" i="35" s="1"/>
  <c r="HN33" i="35" s="1"/>
  <c r="GT27" i="35"/>
  <c r="HH27" i="35" s="1"/>
  <c r="HN27" i="35" s="1"/>
  <c r="GT26" i="35"/>
  <c r="HH26" i="35" s="1"/>
  <c r="HN26" i="35" s="1"/>
  <c r="GT25" i="35"/>
  <c r="HH25" i="35" s="1"/>
  <c r="HN25" i="35" s="1"/>
  <c r="GT24" i="35"/>
  <c r="HH24" i="35" s="1"/>
  <c r="HN24" i="35" s="1"/>
  <c r="GT23" i="35"/>
  <c r="HH23" i="35" s="1"/>
  <c r="HN23" i="35" s="1"/>
  <c r="GT20" i="35"/>
  <c r="HH20" i="35" s="1"/>
  <c r="HN20" i="35" s="1"/>
  <c r="GT18" i="35"/>
  <c r="HH18" i="35" s="1"/>
  <c r="HN18" i="35" s="1"/>
  <c r="FI227" i="35" l="1"/>
  <c r="FI225" i="35"/>
  <c r="AL7" i="35"/>
  <c r="AL3" i="35" l="1"/>
  <c r="J84" i="37"/>
  <c r="J83" i="37"/>
  <c r="J82" i="37"/>
  <c r="J81" i="37"/>
  <c r="J80" i="37"/>
  <c r="J79" i="37"/>
  <c r="J78" i="37"/>
  <c r="J77" i="37"/>
  <c r="J76" i="37"/>
  <c r="J75" i="37"/>
  <c r="J74" i="37"/>
  <c r="J73" i="37"/>
  <c r="J72" i="37"/>
  <c r="J71" i="37"/>
  <c r="J70" i="37"/>
  <c r="J69" i="37"/>
  <c r="J68" i="37"/>
  <c r="J67" i="37"/>
  <c r="J66" i="37"/>
  <c r="J65" i="37"/>
  <c r="J64" i="37"/>
  <c r="J63" i="37"/>
  <c r="J62" i="37"/>
  <c r="J61" i="37"/>
  <c r="J60" i="37"/>
  <c r="J59" i="37"/>
  <c r="J58" i="37"/>
  <c r="J57" i="37"/>
  <c r="J56" i="37"/>
  <c r="J55" i="37"/>
  <c r="J54" i="37"/>
  <c r="J53" i="37"/>
  <c r="J52" i="37"/>
  <c r="J51" i="37"/>
  <c r="J50" i="37"/>
  <c r="J49" i="37"/>
  <c r="J48" i="37"/>
  <c r="J47" i="37"/>
  <c r="J46" i="37"/>
  <c r="J45" i="37"/>
  <c r="J44" i="37"/>
  <c r="J43" i="37"/>
  <c r="J42" i="37"/>
  <c r="J41" i="37"/>
  <c r="J40" i="37"/>
  <c r="J39" i="37"/>
  <c r="J38" i="37"/>
  <c r="J37" i="37"/>
  <c r="J36" i="37"/>
  <c r="J35" i="37"/>
  <c r="J34" i="37"/>
  <c r="J33" i="37"/>
  <c r="J32" i="37"/>
  <c r="J31" i="37"/>
  <c r="J30" i="37"/>
  <c r="J29" i="37"/>
  <c r="N28" i="37"/>
  <c r="J28" i="37"/>
  <c r="J27" i="37"/>
  <c r="L26" i="37"/>
  <c r="J26" i="37"/>
  <c r="B26" i="37"/>
  <c r="B27" i="37" s="1"/>
  <c r="L25" i="37"/>
  <c r="J25" i="37"/>
  <c r="M28" i="37" s="1"/>
  <c r="B25" i="37"/>
  <c r="M21" i="37" s="1"/>
  <c r="N23" i="37"/>
  <c r="O23" i="37" s="1"/>
  <c r="P23" i="37" s="1"/>
  <c r="Q23" i="37" s="1"/>
  <c r="R23" i="37" s="1"/>
  <c r="S23" i="37" s="1"/>
  <c r="T23" i="37" s="1"/>
  <c r="U23" i="37" s="1"/>
  <c r="V23" i="37" s="1"/>
  <c r="W23" i="37" s="1"/>
  <c r="X23" i="37" s="1"/>
  <c r="Y23" i="37" s="1"/>
  <c r="Z23" i="37" s="1"/>
  <c r="AA23" i="37" s="1"/>
  <c r="AB23" i="37" s="1"/>
  <c r="AC23" i="37" s="1"/>
  <c r="AD23" i="37" s="1"/>
  <c r="AE23" i="37" s="1"/>
  <c r="AF23" i="37" s="1"/>
  <c r="AG23" i="37" s="1"/>
  <c r="AH23" i="37" s="1"/>
  <c r="AI23" i="37" s="1"/>
  <c r="AJ23" i="37" s="1"/>
  <c r="AK23" i="37" s="1"/>
  <c r="AL23" i="37" s="1"/>
  <c r="AM23" i="37" s="1"/>
  <c r="AN23" i="37" s="1"/>
  <c r="AO23" i="37" s="1"/>
  <c r="AP23" i="37" s="1"/>
  <c r="AQ23" i="37" s="1"/>
  <c r="AR23" i="37" s="1"/>
  <c r="AS23" i="37" s="1"/>
  <c r="AT23" i="37" s="1"/>
  <c r="AU23" i="37" s="1"/>
  <c r="AV23" i="37" s="1"/>
  <c r="AW23" i="37" s="1"/>
  <c r="AX23" i="37" s="1"/>
  <c r="AY23" i="37" s="1"/>
  <c r="AZ23" i="37" s="1"/>
  <c r="BA23" i="37" s="1"/>
  <c r="BB23" i="37" s="1"/>
  <c r="BC23" i="37" s="1"/>
  <c r="BD23" i="37" s="1"/>
  <c r="BE23" i="37" s="1"/>
  <c r="BF23" i="37" s="1"/>
  <c r="BG23" i="37" s="1"/>
  <c r="BH23" i="37" s="1"/>
  <c r="BI23" i="37" s="1"/>
  <c r="BJ23" i="37" s="1"/>
  <c r="BK23" i="37" s="1"/>
  <c r="BL23" i="37" s="1"/>
  <c r="BM23" i="37" s="1"/>
  <c r="BN23" i="37" s="1"/>
  <c r="BO23" i="37" s="1"/>
  <c r="BP23" i="37" s="1"/>
  <c r="BQ23" i="37" s="1"/>
  <c r="BR23" i="37" s="1"/>
  <c r="BS23" i="37" s="1"/>
  <c r="BT23" i="37" s="1"/>
  <c r="I4" i="37"/>
  <c r="N21" i="37" l="1"/>
  <c r="B28" i="37"/>
  <c r="O21" i="37"/>
  <c r="AJ222" i="35"/>
  <c r="P21" i="37" l="1"/>
  <c r="B29" i="37"/>
  <c r="B30" i="37" l="1"/>
  <c r="Q21" i="37"/>
  <c r="FI223" i="35"/>
  <c r="FJ223" i="35" s="1"/>
  <c r="R21" i="37" l="1"/>
  <c r="B31" i="37"/>
  <c r="B32" i="37" l="1"/>
  <c r="S21" i="37"/>
  <c r="E22" i="8"/>
  <c r="E21" i="33"/>
  <c r="E20" i="20"/>
  <c r="E21" i="10"/>
  <c r="B33" i="37" l="1"/>
  <c r="T21" i="37"/>
  <c r="CJ5" i="35"/>
  <c r="U21" i="37" l="1"/>
  <c r="B34" i="37"/>
  <c r="V21" i="37" l="1"/>
  <c r="B35" i="37"/>
  <c r="EG5" i="35"/>
  <c r="EG7" i="35" s="1"/>
  <c r="W21" i="37" l="1"/>
  <c r="B36" i="37"/>
  <c r="FK205" i="35"/>
  <c r="FK204" i="35"/>
  <c r="FK197" i="35"/>
  <c r="FK196" i="35"/>
  <c r="FK189" i="35"/>
  <c r="FK188" i="35"/>
  <c r="FK180" i="35"/>
  <c r="FK173" i="35"/>
  <c r="FK172" i="35"/>
  <c r="FK165" i="35"/>
  <c r="FK164" i="35"/>
  <c r="FK100" i="35"/>
  <c r="FK76" i="35"/>
  <c r="FK20" i="35"/>
  <c r="FK219" i="35"/>
  <c r="FK218" i="35"/>
  <c r="FK217" i="35"/>
  <c r="FK216" i="35"/>
  <c r="FK215" i="35"/>
  <c r="FK214" i="35"/>
  <c r="FK213" i="35"/>
  <c r="FK212" i="35"/>
  <c r="FK211" i="35"/>
  <c r="FK210" i="35"/>
  <c r="FK209" i="35"/>
  <c r="FK208" i="35"/>
  <c r="FK207" i="35"/>
  <c r="FK206" i="35"/>
  <c r="FK203" i="35"/>
  <c r="FK202" i="35"/>
  <c r="FK201" i="35"/>
  <c r="FK200" i="35"/>
  <c r="FK199" i="35"/>
  <c r="FK198" i="35"/>
  <c r="FK195" i="35"/>
  <c r="FK194" i="35"/>
  <c r="FK193" i="35"/>
  <c r="FK192" i="35"/>
  <c r="FK191" i="35"/>
  <c r="FK190" i="35"/>
  <c r="FK187" i="35"/>
  <c r="FK186" i="35"/>
  <c r="FK185" i="35"/>
  <c r="FK184" i="35"/>
  <c r="FK183" i="35"/>
  <c r="FK182" i="35"/>
  <c r="FK181" i="35"/>
  <c r="FK179" i="35"/>
  <c r="FK178" i="35"/>
  <c r="FK177" i="35"/>
  <c r="FK176" i="35"/>
  <c r="FK175" i="35"/>
  <c r="FK174" i="35"/>
  <c r="FK171" i="35"/>
  <c r="FK170" i="35"/>
  <c r="FK169" i="35"/>
  <c r="FK168" i="35"/>
  <c r="FK167" i="35"/>
  <c r="FK166" i="35"/>
  <c r="FK163" i="35"/>
  <c r="FK162" i="35"/>
  <c r="FK161" i="35"/>
  <c r="FK160" i="35"/>
  <c r="FK159" i="35"/>
  <c r="FK158" i="35"/>
  <c r="FK157" i="35"/>
  <c r="FK156" i="35"/>
  <c r="FK155" i="35"/>
  <c r="FK154" i="35"/>
  <c r="FK153" i="35"/>
  <c r="FK152" i="35"/>
  <c r="FK151" i="35"/>
  <c r="FK150" i="35"/>
  <c r="FK149" i="35"/>
  <c r="FK148" i="35"/>
  <c r="FK147" i="35"/>
  <c r="FK146" i="35"/>
  <c r="FK145" i="35"/>
  <c r="FK144" i="35"/>
  <c r="FK143" i="35"/>
  <c r="FK142" i="35"/>
  <c r="FK141" i="35"/>
  <c r="FK140" i="35"/>
  <c r="FK139" i="35"/>
  <c r="FK138" i="35"/>
  <c r="FK137" i="35"/>
  <c r="FK136" i="35"/>
  <c r="FK135" i="35"/>
  <c r="FK134" i="35"/>
  <c r="FK133" i="35"/>
  <c r="FK132" i="35"/>
  <c r="FK131" i="35"/>
  <c r="FK130" i="35"/>
  <c r="FK129" i="35"/>
  <c r="FK128" i="35"/>
  <c r="FK127" i="35"/>
  <c r="FK126" i="35"/>
  <c r="FK125" i="35"/>
  <c r="FK124" i="35"/>
  <c r="FK123" i="35"/>
  <c r="FK122" i="35"/>
  <c r="FK121" i="35"/>
  <c r="FK120" i="35"/>
  <c r="FK119" i="35"/>
  <c r="FK118" i="35"/>
  <c r="FK117" i="35"/>
  <c r="FK116" i="35"/>
  <c r="FK115" i="35"/>
  <c r="FK114" i="35"/>
  <c r="FK113" i="35"/>
  <c r="FK112" i="35"/>
  <c r="FK111" i="35"/>
  <c r="FK110" i="35"/>
  <c r="FK109" i="35"/>
  <c r="FK108" i="35"/>
  <c r="FK107" i="35"/>
  <c r="FK106" i="35"/>
  <c r="FK105" i="35"/>
  <c r="FK104" i="35"/>
  <c r="FK103" i="35"/>
  <c r="FK102" i="35"/>
  <c r="FK101" i="35"/>
  <c r="FK99" i="35"/>
  <c r="FK98" i="35"/>
  <c r="FK97" i="35"/>
  <c r="FK96" i="35"/>
  <c r="FK95" i="35"/>
  <c r="FK94" i="35"/>
  <c r="FK93" i="35"/>
  <c r="FK92" i="35"/>
  <c r="FK91" i="35"/>
  <c r="FK90" i="35"/>
  <c r="FK89" i="35"/>
  <c r="FK88" i="35"/>
  <c r="FK87" i="35"/>
  <c r="FK86" i="35"/>
  <c r="FK85" i="35"/>
  <c r="FK84" i="35"/>
  <c r="FK83" i="35"/>
  <c r="FK82" i="35"/>
  <c r="FK81" i="35"/>
  <c r="FK80" i="35"/>
  <c r="FK79" i="35"/>
  <c r="FK78" i="35"/>
  <c r="FK77" i="35"/>
  <c r="FK75" i="35"/>
  <c r="FK74" i="35"/>
  <c r="FK73" i="35"/>
  <c r="FK72" i="35"/>
  <c r="FK71" i="35"/>
  <c r="FK70" i="35"/>
  <c r="FK69" i="35"/>
  <c r="FK68" i="35"/>
  <c r="FK67" i="35"/>
  <c r="FK66" i="35"/>
  <c r="FK65" i="35"/>
  <c r="FK64" i="35"/>
  <c r="FK63" i="35"/>
  <c r="FK62" i="35"/>
  <c r="FK61" i="35"/>
  <c r="FK60" i="35"/>
  <c r="FK59" i="35"/>
  <c r="FK58" i="35"/>
  <c r="FK57" i="35"/>
  <c r="FK56" i="35"/>
  <c r="FK55" i="35"/>
  <c r="FK54" i="35"/>
  <c r="FK53" i="35"/>
  <c r="FK52" i="35"/>
  <c r="FK51" i="35"/>
  <c r="FK50" i="35"/>
  <c r="FK49" i="35"/>
  <c r="FK48" i="35"/>
  <c r="FK47" i="35"/>
  <c r="FK46" i="35"/>
  <c r="FK45" i="35"/>
  <c r="FK44" i="35"/>
  <c r="FK43" i="35"/>
  <c r="FK42" i="35"/>
  <c r="FK41" i="35"/>
  <c r="FK40" i="35"/>
  <c r="FK39" i="35"/>
  <c r="FK38" i="35"/>
  <c r="FK37" i="35"/>
  <c r="FK36" i="35"/>
  <c r="FK35" i="35"/>
  <c r="FK34" i="35"/>
  <c r="FK33" i="35"/>
  <c r="FK32" i="35"/>
  <c r="FK31" i="35"/>
  <c r="FK30" i="35"/>
  <c r="FK29" i="35"/>
  <c r="FK28" i="35"/>
  <c r="FK27" i="35"/>
  <c r="FK26" i="35"/>
  <c r="FK25" i="35"/>
  <c r="FK24" i="35"/>
  <c r="FK23" i="35"/>
  <c r="FK22" i="35"/>
  <c r="FK21" i="35"/>
  <c r="FK19" i="35"/>
  <c r="FK18" i="35"/>
  <c r="FK17" i="35"/>
  <c r="FK16" i="35"/>
  <c r="FK15" i="35"/>
  <c r="FK14" i="35"/>
  <c r="FK13" i="35"/>
  <c r="FK12" i="35"/>
  <c r="FK11" i="35"/>
  <c r="FK9" i="35"/>
  <c r="FK8" i="35"/>
  <c r="FK7" i="35"/>
  <c r="B3" i="32"/>
  <c r="CO219" i="35"/>
  <c r="CO218" i="35"/>
  <c r="CO217" i="35"/>
  <c r="CO216" i="35"/>
  <c r="CO215" i="35"/>
  <c r="CO214" i="35"/>
  <c r="CO213" i="35"/>
  <c r="CO212" i="35"/>
  <c r="CO211" i="35"/>
  <c r="CO210" i="35"/>
  <c r="CO209" i="35"/>
  <c r="CO208" i="35"/>
  <c r="CO207" i="35"/>
  <c r="CO206" i="35"/>
  <c r="CO205" i="35"/>
  <c r="CO204" i="35"/>
  <c r="CO203" i="35"/>
  <c r="CO202" i="35"/>
  <c r="CO201" i="35"/>
  <c r="CO200" i="35"/>
  <c r="CO199" i="35"/>
  <c r="CO198" i="35"/>
  <c r="CO197" i="35"/>
  <c r="CO196" i="35"/>
  <c r="CO195" i="35"/>
  <c r="CO194" i="35"/>
  <c r="CO193" i="35"/>
  <c r="CO192" i="35"/>
  <c r="CO191" i="35"/>
  <c r="CO190" i="35"/>
  <c r="CO189" i="35"/>
  <c r="CO188" i="35"/>
  <c r="CO187" i="35"/>
  <c r="CO186" i="35"/>
  <c r="CO185" i="35"/>
  <c r="CO184" i="35"/>
  <c r="CO183" i="35"/>
  <c r="CO182" i="35"/>
  <c r="CO181" i="35"/>
  <c r="CO180" i="35"/>
  <c r="CO179" i="35"/>
  <c r="CO178" i="35"/>
  <c r="CO177" i="35"/>
  <c r="CO176" i="35"/>
  <c r="CO175" i="35"/>
  <c r="CO174" i="35"/>
  <c r="CO173" i="35"/>
  <c r="CO172" i="35"/>
  <c r="CO171" i="35"/>
  <c r="CO170" i="35"/>
  <c r="CO169" i="35"/>
  <c r="CO168" i="35"/>
  <c r="CO167" i="35"/>
  <c r="CO166" i="35"/>
  <c r="CO165" i="35"/>
  <c r="CO164" i="35"/>
  <c r="CO163" i="35"/>
  <c r="CO162" i="35"/>
  <c r="CO161" i="35"/>
  <c r="CO160" i="35"/>
  <c r="CO159" i="35"/>
  <c r="CO158" i="35"/>
  <c r="CO157" i="35"/>
  <c r="CO156" i="35"/>
  <c r="CO155" i="35"/>
  <c r="CO154" i="35"/>
  <c r="CO153" i="35"/>
  <c r="CO152" i="35"/>
  <c r="CO151" i="35"/>
  <c r="CO150" i="35"/>
  <c r="CO149" i="35"/>
  <c r="CO148" i="35"/>
  <c r="CO147" i="35"/>
  <c r="CO146" i="35"/>
  <c r="CO145" i="35"/>
  <c r="CO144" i="35"/>
  <c r="CO143" i="35"/>
  <c r="CO142" i="35"/>
  <c r="CO141" i="35"/>
  <c r="CO140" i="35"/>
  <c r="CO139" i="35"/>
  <c r="CO138" i="35"/>
  <c r="CO137" i="35"/>
  <c r="CO136" i="35"/>
  <c r="CO135" i="35"/>
  <c r="CO134" i="35"/>
  <c r="CO133" i="35"/>
  <c r="CO132" i="35"/>
  <c r="CO131" i="35"/>
  <c r="CO130" i="35"/>
  <c r="CO129" i="35"/>
  <c r="CO128" i="35"/>
  <c r="CO127" i="35"/>
  <c r="CO126" i="35"/>
  <c r="CO125" i="35"/>
  <c r="CO124" i="35"/>
  <c r="CO123" i="35"/>
  <c r="CO122" i="35"/>
  <c r="CO121" i="35"/>
  <c r="CO120" i="35"/>
  <c r="CO119" i="35"/>
  <c r="CO118" i="35"/>
  <c r="CO117" i="35"/>
  <c r="CO116" i="35"/>
  <c r="CO115" i="35"/>
  <c r="CO114" i="35"/>
  <c r="CO113" i="35"/>
  <c r="CO112" i="35"/>
  <c r="CO111" i="35"/>
  <c r="CO110" i="35"/>
  <c r="CO109" i="35"/>
  <c r="CO108" i="35"/>
  <c r="CO107" i="35"/>
  <c r="CO106" i="35"/>
  <c r="CO105" i="35"/>
  <c r="CO104" i="35"/>
  <c r="CO103" i="35"/>
  <c r="CO102" i="35"/>
  <c r="CO101" i="35"/>
  <c r="CO100" i="35"/>
  <c r="CO99" i="35"/>
  <c r="CO98" i="35"/>
  <c r="CO97" i="35"/>
  <c r="CO96" i="35"/>
  <c r="CO95" i="35"/>
  <c r="CO94" i="35"/>
  <c r="CO93" i="35"/>
  <c r="CO92" i="35"/>
  <c r="CO91" i="35"/>
  <c r="CO90" i="35"/>
  <c r="CO89" i="35"/>
  <c r="CO88" i="35"/>
  <c r="CO87" i="35"/>
  <c r="CO86" i="35"/>
  <c r="CO85" i="35"/>
  <c r="CO84" i="35"/>
  <c r="CO83" i="35"/>
  <c r="CO82" i="35"/>
  <c r="CO81" i="35"/>
  <c r="CO80" i="35"/>
  <c r="CO79" i="35"/>
  <c r="CO78" i="35"/>
  <c r="CO77" i="35"/>
  <c r="CO76" i="35"/>
  <c r="CO75" i="35"/>
  <c r="CO74" i="35"/>
  <c r="CO73" i="35"/>
  <c r="CO72" i="35"/>
  <c r="CO71" i="35"/>
  <c r="CO70" i="35"/>
  <c r="CO69" i="35"/>
  <c r="CO68" i="35"/>
  <c r="CO67" i="35"/>
  <c r="CO66" i="35"/>
  <c r="CO65" i="35"/>
  <c r="CO64" i="35"/>
  <c r="CO63" i="35"/>
  <c r="CO62" i="35"/>
  <c r="CO61" i="35"/>
  <c r="CO60" i="35"/>
  <c r="CO59" i="35"/>
  <c r="CO58" i="35"/>
  <c r="CO57" i="35"/>
  <c r="CO56" i="35"/>
  <c r="CO55" i="35"/>
  <c r="CO54" i="35"/>
  <c r="CO53" i="35"/>
  <c r="CO52" i="35"/>
  <c r="CO51" i="35"/>
  <c r="CO50" i="35"/>
  <c r="CO49" i="35"/>
  <c r="CO48" i="35"/>
  <c r="CO47" i="35"/>
  <c r="CO46" i="35"/>
  <c r="CO45" i="35"/>
  <c r="CO44" i="35"/>
  <c r="CO43" i="35"/>
  <c r="CO42" i="35"/>
  <c r="CO41" i="35"/>
  <c r="CO40" i="35"/>
  <c r="CO39" i="35"/>
  <c r="CO38" i="35"/>
  <c r="CO37" i="35"/>
  <c r="CO36" i="35"/>
  <c r="CO35" i="35"/>
  <c r="CO34" i="35"/>
  <c r="CO33" i="35"/>
  <c r="CO32" i="35"/>
  <c r="CO31" i="35"/>
  <c r="CO30" i="35"/>
  <c r="CO29" i="35"/>
  <c r="CO28" i="35"/>
  <c r="CO27" i="35"/>
  <c r="CO26" i="35"/>
  <c r="CO25" i="35"/>
  <c r="CO24" i="35"/>
  <c r="CO23" i="35"/>
  <c r="CO22" i="35"/>
  <c r="CO21" i="35"/>
  <c r="CO19" i="35"/>
  <c r="CO20" i="35"/>
  <c r="CO18" i="35"/>
  <c r="CO17" i="35"/>
  <c r="CO16" i="35"/>
  <c r="CO15" i="35"/>
  <c r="CO14" i="35"/>
  <c r="CO13" i="35"/>
  <c r="CO12" i="35"/>
  <c r="CO11" i="35"/>
  <c r="CO10" i="35"/>
  <c r="CO9" i="35"/>
  <c r="CO8" i="35"/>
  <c r="CO7" i="35"/>
  <c r="B4" i="24"/>
  <c r="B3" i="23"/>
  <c r="B224" i="19"/>
  <c r="C224" i="19" s="1"/>
  <c r="D224" i="19" s="1"/>
  <c r="E224" i="19" s="1"/>
  <c r="F224" i="19" s="1"/>
  <c r="G224" i="19" s="1"/>
  <c r="H224" i="19" s="1"/>
  <c r="I224" i="19" s="1"/>
  <c r="J224" i="19" s="1"/>
  <c r="K224" i="19" s="1"/>
  <c r="L224" i="19" s="1"/>
  <c r="M224" i="19" s="1"/>
  <c r="N224" i="19" s="1"/>
  <c r="O224" i="19" s="1"/>
  <c r="P224" i="19" s="1"/>
  <c r="Q224" i="19" s="1"/>
  <c r="R224" i="19" s="1"/>
  <c r="S224" i="19" s="1"/>
  <c r="T224" i="19" s="1"/>
  <c r="U224" i="19" s="1"/>
  <c r="F219" i="19"/>
  <c r="F8" i="19"/>
  <c r="F9" i="19"/>
  <c r="F10" i="19"/>
  <c r="F11" i="19"/>
  <c r="F12" i="19"/>
  <c r="F13" i="19"/>
  <c r="F14" i="19"/>
  <c r="F15" i="19"/>
  <c r="F16" i="19"/>
  <c r="F17" i="19"/>
  <c r="F18" i="19"/>
  <c r="F19" i="19"/>
  <c r="F20" i="19"/>
  <c r="F21" i="19"/>
  <c r="F22" i="19"/>
  <c r="F23" i="19"/>
  <c r="F24" i="19"/>
  <c r="F25" i="19"/>
  <c r="F26" i="19"/>
  <c r="F27" i="19"/>
  <c r="F28" i="19"/>
  <c r="F29" i="19"/>
  <c r="F30" i="19"/>
  <c r="F31" i="19"/>
  <c r="F32" i="19"/>
  <c r="F33" i="19"/>
  <c r="F34" i="19"/>
  <c r="F35" i="19"/>
  <c r="F36" i="19"/>
  <c r="F37" i="19"/>
  <c r="F38" i="19"/>
  <c r="F39" i="19"/>
  <c r="F40" i="19"/>
  <c r="F41" i="19"/>
  <c r="F42" i="19"/>
  <c r="F43" i="19"/>
  <c r="F44" i="19"/>
  <c r="F45" i="19"/>
  <c r="F46" i="19"/>
  <c r="F47" i="19"/>
  <c r="F48" i="19"/>
  <c r="F49" i="19"/>
  <c r="F50" i="19"/>
  <c r="F51" i="19"/>
  <c r="F52" i="19"/>
  <c r="F53" i="19"/>
  <c r="F54" i="19"/>
  <c r="F55" i="19"/>
  <c r="F56" i="19"/>
  <c r="F57" i="19"/>
  <c r="F58" i="19"/>
  <c r="F59" i="19"/>
  <c r="F60" i="19"/>
  <c r="F61" i="19"/>
  <c r="F62" i="19"/>
  <c r="F63" i="19"/>
  <c r="F64" i="19"/>
  <c r="F65" i="19"/>
  <c r="F66" i="19"/>
  <c r="F67" i="19"/>
  <c r="F68" i="19"/>
  <c r="F69" i="19"/>
  <c r="F70" i="19"/>
  <c r="F71" i="19"/>
  <c r="F72" i="19"/>
  <c r="F73" i="19"/>
  <c r="F74" i="19"/>
  <c r="F75" i="19"/>
  <c r="F76" i="19"/>
  <c r="F77" i="19"/>
  <c r="F78" i="19"/>
  <c r="F79" i="19"/>
  <c r="F80" i="19"/>
  <c r="F81" i="19"/>
  <c r="F82" i="19"/>
  <c r="F83" i="19"/>
  <c r="F84" i="19"/>
  <c r="F85" i="19"/>
  <c r="F86" i="19"/>
  <c r="F87" i="19"/>
  <c r="F88" i="19"/>
  <c r="F89" i="19"/>
  <c r="F90" i="19"/>
  <c r="F91" i="19"/>
  <c r="F92" i="19"/>
  <c r="F93" i="19"/>
  <c r="F94" i="19"/>
  <c r="F95" i="19"/>
  <c r="F96" i="19"/>
  <c r="F97" i="19"/>
  <c r="F98" i="19"/>
  <c r="F99" i="19"/>
  <c r="F100" i="19"/>
  <c r="F101" i="19"/>
  <c r="F102" i="19"/>
  <c r="F103" i="19"/>
  <c r="F104" i="19"/>
  <c r="F105" i="19"/>
  <c r="F106" i="19"/>
  <c r="F107" i="19"/>
  <c r="F108" i="19"/>
  <c r="F109" i="19"/>
  <c r="F110" i="19"/>
  <c r="F111" i="19"/>
  <c r="F112" i="19"/>
  <c r="F113" i="19"/>
  <c r="F114" i="19"/>
  <c r="F115" i="19"/>
  <c r="F116" i="19"/>
  <c r="F117" i="19"/>
  <c r="F118" i="19"/>
  <c r="F119" i="19"/>
  <c r="F120" i="19"/>
  <c r="F121" i="19"/>
  <c r="F122" i="19"/>
  <c r="F123" i="19"/>
  <c r="F124" i="19"/>
  <c r="F125" i="19"/>
  <c r="F126" i="19"/>
  <c r="F127" i="19"/>
  <c r="F128" i="19"/>
  <c r="F129" i="19"/>
  <c r="F130" i="19"/>
  <c r="F131" i="19"/>
  <c r="F132" i="19"/>
  <c r="F133" i="19"/>
  <c r="F134" i="19"/>
  <c r="F135" i="19"/>
  <c r="F136" i="19"/>
  <c r="F137" i="19"/>
  <c r="F138" i="19"/>
  <c r="F139" i="19"/>
  <c r="F140" i="19"/>
  <c r="F141" i="19"/>
  <c r="F142" i="19"/>
  <c r="F143" i="19"/>
  <c r="F144" i="19"/>
  <c r="F145" i="19"/>
  <c r="F146" i="19"/>
  <c r="F147" i="19"/>
  <c r="F148" i="19"/>
  <c r="F149" i="19"/>
  <c r="F150" i="19"/>
  <c r="F151" i="19"/>
  <c r="F152" i="19"/>
  <c r="F153" i="19"/>
  <c r="F154" i="19"/>
  <c r="F155" i="19"/>
  <c r="F156" i="19"/>
  <c r="F157" i="19"/>
  <c r="F158" i="19"/>
  <c r="F159" i="19"/>
  <c r="F160" i="19"/>
  <c r="F161" i="19"/>
  <c r="F162" i="19"/>
  <c r="F163" i="19"/>
  <c r="F164" i="19"/>
  <c r="F165" i="19"/>
  <c r="F166" i="19"/>
  <c r="F167" i="19"/>
  <c r="F168" i="19"/>
  <c r="F169" i="19"/>
  <c r="F170" i="19"/>
  <c r="F171" i="19"/>
  <c r="F172" i="19"/>
  <c r="F173" i="19"/>
  <c r="F174" i="19"/>
  <c r="F175" i="19"/>
  <c r="F176" i="19"/>
  <c r="F177" i="19"/>
  <c r="F178" i="19"/>
  <c r="F179" i="19"/>
  <c r="F180" i="19"/>
  <c r="F181" i="19"/>
  <c r="F182" i="19"/>
  <c r="F183" i="19"/>
  <c r="F184" i="19"/>
  <c r="F185" i="19"/>
  <c r="F186" i="19"/>
  <c r="F187" i="19"/>
  <c r="F188" i="19"/>
  <c r="F189" i="19"/>
  <c r="F190" i="19"/>
  <c r="F191" i="19"/>
  <c r="F192" i="19"/>
  <c r="F193" i="19"/>
  <c r="F194" i="19"/>
  <c r="F195" i="19"/>
  <c r="F196" i="19"/>
  <c r="F197" i="19"/>
  <c r="F198" i="19"/>
  <c r="F199" i="19"/>
  <c r="F200" i="19"/>
  <c r="F201" i="19"/>
  <c r="F202" i="19"/>
  <c r="F203" i="19"/>
  <c r="F204" i="19"/>
  <c r="F205" i="19"/>
  <c r="F206" i="19"/>
  <c r="F207" i="19"/>
  <c r="F208" i="19"/>
  <c r="F209" i="19"/>
  <c r="F210" i="19"/>
  <c r="F211" i="19"/>
  <c r="F212" i="19"/>
  <c r="F213" i="19"/>
  <c r="F214" i="19"/>
  <c r="F215" i="19"/>
  <c r="F216" i="19"/>
  <c r="F217" i="19"/>
  <c r="F218" i="19"/>
  <c r="F7" i="19"/>
  <c r="B8" i="19"/>
  <c r="B9" i="19"/>
  <c r="B10" i="19"/>
  <c r="B11" i="19"/>
  <c r="B12" i="19"/>
  <c r="B13" i="19"/>
  <c r="B14" i="19"/>
  <c r="B15" i="19"/>
  <c r="B16" i="19"/>
  <c r="B17" i="19"/>
  <c r="B18" i="19"/>
  <c r="B19" i="19"/>
  <c r="B20" i="19"/>
  <c r="B21" i="19"/>
  <c r="B22" i="19"/>
  <c r="B23" i="19"/>
  <c r="B24" i="19"/>
  <c r="B25" i="19"/>
  <c r="B26" i="19"/>
  <c r="B27" i="19"/>
  <c r="B28" i="19"/>
  <c r="B29" i="19"/>
  <c r="B30" i="19"/>
  <c r="B31" i="19"/>
  <c r="B32" i="19"/>
  <c r="B33" i="19"/>
  <c r="B34" i="19"/>
  <c r="B35" i="19"/>
  <c r="B36" i="19"/>
  <c r="B37" i="19"/>
  <c r="B38" i="19"/>
  <c r="B39" i="19"/>
  <c r="B40" i="19"/>
  <c r="B41" i="19"/>
  <c r="B42" i="19"/>
  <c r="B43" i="19"/>
  <c r="B44" i="19"/>
  <c r="B45" i="19"/>
  <c r="B46" i="19"/>
  <c r="B47" i="19"/>
  <c r="B48" i="19"/>
  <c r="B49" i="19"/>
  <c r="B50" i="19"/>
  <c r="B51" i="19"/>
  <c r="B52" i="19"/>
  <c r="B53" i="19"/>
  <c r="B54" i="19"/>
  <c r="B55" i="19"/>
  <c r="B56" i="19"/>
  <c r="B57" i="19"/>
  <c r="B58" i="19"/>
  <c r="B59" i="19"/>
  <c r="B60" i="19"/>
  <c r="B61" i="19"/>
  <c r="B62" i="19"/>
  <c r="B63" i="19"/>
  <c r="B64" i="19"/>
  <c r="B65" i="19"/>
  <c r="B66" i="19"/>
  <c r="B67" i="19"/>
  <c r="B68" i="19"/>
  <c r="B69" i="19"/>
  <c r="B70" i="19"/>
  <c r="B71" i="19"/>
  <c r="B72" i="19"/>
  <c r="B73" i="19"/>
  <c r="B74" i="19"/>
  <c r="B75" i="19"/>
  <c r="B76" i="19"/>
  <c r="B77" i="19"/>
  <c r="B78" i="19"/>
  <c r="B79" i="19"/>
  <c r="B80" i="19"/>
  <c r="B81" i="19"/>
  <c r="B82" i="19"/>
  <c r="B83" i="19"/>
  <c r="B84" i="19"/>
  <c r="B85" i="19"/>
  <c r="B86" i="19"/>
  <c r="B87" i="19"/>
  <c r="B88" i="19"/>
  <c r="B89" i="19"/>
  <c r="B90" i="19"/>
  <c r="B91" i="19"/>
  <c r="B92" i="19"/>
  <c r="B93" i="19"/>
  <c r="B94" i="19"/>
  <c r="B95" i="19"/>
  <c r="B96" i="19"/>
  <c r="B97" i="19"/>
  <c r="B98" i="19"/>
  <c r="B99" i="19"/>
  <c r="B100" i="19"/>
  <c r="B101" i="19"/>
  <c r="B102" i="19"/>
  <c r="B103" i="19"/>
  <c r="B104" i="19"/>
  <c r="B105" i="19"/>
  <c r="B106" i="19"/>
  <c r="B107" i="19"/>
  <c r="B108" i="19"/>
  <c r="B109" i="19"/>
  <c r="B110" i="19"/>
  <c r="B111" i="19"/>
  <c r="B112" i="19"/>
  <c r="B113" i="19"/>
  <c r="B114" i="19"/>
  <c r="B115" i="19"/>
  <c r="B116" i="19"/>
  <c r="B117" i="19"/>
  <c r="B118" i="19"/>
  <c r="B119" i="19"/>
  <c r="B120" i="19"/>
  <c r="B121" i="19"/>
  <c r="B122" i="19"/>
  <c r="B123" i="19"/>
  <c r="B124" i="19"/>
  <c r="B125" i="19"/>
  <c r="B126" i="19"/>
  <c r="B127" i="19"/>
  <c r="B128" i="19"/>
  <c r="B129" i="19"/>
  <c r="B130" i="19"/>
  <c r="B131" i="19"/>
  <c r="B132" i="19"/>
  <c r="B133" i="19"/>
  <c r="B134" i="19"/>
  <c r="B135" i="19"/>
  <c r="B136" i="19"/>
  <c r="B137" i="19"/>
  <c r="B138" i="19"/>
  <c r="B139" i="19"/>
  <c r="B140" i="19"/>
  <c r="B141" i="19"/>
  <c r="B142" i="19"/>
  <c r="B143" i="19"/>
  <c r="B144" i="19"/>
  <c r="B145" i="19"/>
  <c r="B146" i="19"/>
  <c r="B147" i="19"/>
  <c r="B148" i="19"/>
  <c r="B149" i="19"/>
  <c r="B150" i="19"/>
  <c r="B151" i="19"/>
  <c r="B152" i="19"/>
  <c r="B153" i="19"/>
  <c r="B154" i="19"/>
  <c r="B155" i="19"/>
  <c r="B156" i="19"/>
  <c r="B157" i="19"/>
  <c r="B158" i="19"/>
  <c r="B159" i="19"/>
  <c r="B160" i="19"/>
  <c r="B161" i="19"/>
  <c r="B162" i="19"/>
  <c r="B163" i="19"/>
  <c r="B164" i="19"/>
  <c r="B165" i="19"/>
  <c r="B166" i="19"/>
  <c r="B167" i="19"/>
  <c r="B168" i="19"/>
  <c r="B169" i="19"/>
  <c r="B170" i="19"/>
  <c r="B171" i="19"/>
  <c r="B172" i="19"/>
  <c r="B173" i="19"/>
  <c r="B174" i="19"/>
  <c r="B175" i="19"/>
  <c r="B176" i="19"/>
  <c r="B177" i="19"/>
  <c r="B178" i="19"/>
  <c r="B179" i="19"/>
  <c r="B180" i="19"/>
  <c r="B181" i="19"/>
  <c r="B182" i="19"/>
  <c r="B183" i="19"/>
  <c r="B184" i="19"/>
  <c r="B185" i="19"/>
  <c r="B186" i="19"/>
  <c r="B187" i="19"/>
  <c r="B188" i="19"/>
  <c r="B189" i="19"/>
  <c r="B190" i="19"/>
  <c r="B191" i="19"/>
  <c r="B192" i="19"/>
  <c r="B193" i="19"/>
  <c r="B194" i="19"/>
  <c r="B195" i="19"/>
  <c r="B196" i="19"/>
  <c r="B197" i="19"/>
  <c r="B198" i="19"/>
  <c r="B199" i="19"/>
  <c r="B200" i="19"/>
  <c r="B201" i="19"/>
  <c r="B202" i="19"/>
  <c r="B203" i="19"/>
  <c r="B204" i="19"/>
  <c r="B205" i="19"/>
  <c r="B206" i="19"/>
  <c r="B207" i="19"/>
  <c r="B208" i="19"/>
  <c r="B209" i="19"/>
  <c r="B210" i="19"/>
  <c r="B211" i="19"/>
  <c r="B212" i="19"/>
  <c r="B213" i="19"/>
  <c r="B214" i="19"/>
  <c r="B215" i="19"/>
  <c r="B216" i="19"/>
  <c r="B217" i="19"/>
  <c r="B218" i="19"/>
  <c r="B219" i="19"/>
  <c r="B7" i="19"/>
  <c r="GV10" i="35" l="1"/>
  <c r="HJ10" i="35" s="1"/>
  <c r="GD10" i="35"/>
  <c r="GV16" i="35"/>
  <c r="HJ16" i="35" s="1"/>
  <c r="GD16" i="35"/>
  <c r="GV22" i="35"/>
  <c r="HJ22" i="35" s="1"/>
  <c r="GD22" i="35"/>
  <c r="GV28" i="35"/>
  <c r="HJ28" i="35" s="1"/>
  <c r="GD28" i="35"/>
  <c r="GV34" i="35"/>
  <c r="HJ34" i="35" s="1"/>
  <c r="GD34" i="35"/>
  <c r="GV40" i="35"/>
  <c r="HJ40" i="35" s="1"/>
  <c r="GD40" i="35"/>
  <c r="GV46" i="35"/>
  <c r="HJ46" i="35" s="1"/>
  <c r="GD46" i="35"/>
  <c r="GV52" i="35"/>
  <c r="HJ52" i="35" s="1"/>
  <c r="GD52" i="35"/>
  <c r="GV58" i="35"/>
  <c r="HJ58" i="35" s="1"/>
  <c r="GD58" i="35"/>
  <c r="GV64" i="35"/>
  <c r="HJ64" i="35" s="1"/>
  <c r="GD64" i="35"/>
  <c r="GV70" i="35"/>
  <c r="HJ70" i="35" s="1"/>
  <c r="GD70" i="35"/>
  <c r="GV76" i="35"/>
  <c r="HJ76" i="35" s="1"/>
  <c r="GD76" i="35"/>
  <c r="GV82" i="35"/>
  <c r="HJ82" i="35" s="1"/>
  <c r="GD82" i="35"/>
  <c r="GV88" i="35"/>
  <c r="HJ88" i="35" s="1"/>
  <c r="GD88" i="35"/>
  <c r="GV94" i="35"/>
  <c r="HJ94" i="35" s="1"/>
  <c r="GD94" i="35"/>
  <c r="GV100" i="35"/>
  <c r="HJ100" i="35" s="1"/>
  <c r="GD100" i="35"/>
  <c r="GV106" i="35"/>
  <c r="HJ106" i="35" s="1"/>
  <c r="GD106" i="35"/>
  <c r="GV112" i="35"/>
  <c r="HJ112" i="35" s="1"/>
  <c r="GD112" i="35"/>
  <c r="GV118" i="35"/>
  <c r="HJ118" i="35" s="1"/>
  <c r="GD118" i="35"/>
  <c r="GV124" i="35"/>
  <c r="HJ124" i="35" s="1"/>
  <c r="GD124" i="35"/>
  <c r="GV130" i="35"/>
  <c r="HJ130" i="35" s="1"/>
  <c r="GD130" i="35"/>
  <c r="GV136" i="35"/>
  <c r="HJ136" i="35" s="1"/>
  <c r="GD136" i="35"/>
  <c r="GV142" i="35"/>
  <c r="HJ142" i="35" s="1"/>
  <c r="GD142" i="35"/>
  <c r="GV148" i="35"/>
  <c r="HJ148" i="35" s="1"/>
  <c r="GD148" i="35"/>
  <c r="GV154" i="35"/>
  <c r="HJ154" i="35" s="1"/>
  <c r="GD154" i="35"/>
  <c r="GV160" i="35"/>
  <c r="HJ160" i="35" s="1"/>
  <c r="GD160" i="35"/>
  <c r="GV166" i="35"/>
  <c r="HJ166" i="35" s="1"/>
  <c r="GD166" i="35"/>
  <c r="GV172" i="35"/>
  <c r="HJ172" i="35" s="1"/>
  <c r="GD172" i="35"/>
  <c r="GV178" i="35"/>
  <c r="HJ178" i="35" s="1"/>
  <c r="GD178" i="35"/>
  <c r="GV184" i="35"/>
  <c r="HJ184" i="35" s="1"/>
  <c r="GD184" i="35"/>
  <c r="GV190" i="35"/>
  <c r="HJ190" i="35" s="1"/>
  <c r="GD190" i="35"/>
  <c r="GV196" i="35"/>
  <c r="HJ196" i="35" s="1"/>
  <c r="GD196" i="35"/>
  <c r="GV202" i="35"/>
  <c r="HJ202" i="35" s="1"/>
  <c r="GD202" i="35"/>
  <c r="GV208" i="35"/>
  <c r="HJ208" i="35" s="1"/>
  <c r="GD208" i="35"/>
  <c r="GV214" i="35"/>
  <c r="HJ214" i="35" s="1"/>
  <c r="GD214" i="35"/>
  <c r="GV11" i="35"/>
  <c r="HJ11" i="35" s="1"/>
  <c r="GD11" i="35"/>
  <c r="GV17" i="35"/>
  <c r="HJ17" i="35" s="1"/>
  <c r="GD17" i="35"/>
  <c r="GV23" i="35"/>
  <c r="HJ23" i="35" s="1"/>
  <c r="GD23" i="35"/>
  <c r="GV29" i="35"/>
  <c r="HJ29" i="35" s="1"/>
  <c r="GD29" i="35"/>
  <c r="GV35" i="35"/>
  <c r="HJ35" i="35" s="1"/>
  <c r="GD35" i="35"/>
  <c r="GV41" i="35"/>
  <c r="HJ41" i="35" s="1"/>
  <c r="GD41" i="35"/>
  <c r="GV47" i="35"/>
  <c r="HJ47" i="35" s="1"/>
  <c r="GD47" i="35"/>
  <c r="GV53" i="35"/>
  <c r="HJ53" i="35" s="1"/>
  <c r="GD53" i="35"/>
  <c r="GV59" i="35"/>
  <c r="HJ59" i="35" s="1"/>
  <c r="GD59" i="35"/>
  <c r="GV65" i="35"/>
  <c r="HJ65" i="35" s="1"/>
  <c r="GD65" i="35"/>
  <c r="GV71" i="35"/>
  <c r="HJ71" i="35" s="1"/>
  <c r="GD71" i="35"/>
  <c r="GV77" i="35"/>
  <c r="HJ77" i="35" s="1"/>
  <c r="GD77" i="35"/>
  <c r="GV83" i="35"/>
  <c r="HJ83" i="35" s="1"/>
  <c r="GD83" i="35"/>
  <c r="GV89" i="35"/>
  <c r="HJ89" i="35" s="1"/>
  <c r="GD89" i="35"/>
  <c r="GV95" i="35"/>
  <c r="HJ95" i="35" s="1"/>
  <c r="GD95" i="35"/>
  <c r="GV101" i="35"/>
  <c r="HJ101" i="35" s="1"/>
  <c r="GD101" i="35"/>
  <c r="GV107" i="35"/>
  <c r="HJ107" i="35" s="1"/>
  <c r="GD107" i="35"/>
  <c r="GV113" i="35"/>
  <c r="HJ113" i="35" s="1"/>
  <c r="GD113" i="35"/>
  <c r="GV119" i="35"/>
  <c r="HJ119" i="35" s="1"/>
  <c r="GD119" i="35"/>
  <c r="GV125" i="35"/>
  <c r="HJ125" i="35" s="1"/>
  <c r="GD125" i="35"/>
  <c r="GV131" i="35"/>
  <c r="HJ131" i="35" s="1"/>
  <c r="GD131" i="35"/>
  <c r="GV137" i="35"/>
  <c r="HJ137" i="35" s="1"/>
  <c r="GD137" i="35"/>
  <c r="GV143" i="35"/>
  <c r="HJ143" i="35" s="1"/>
  <c r="GD143" i="35"/>
  <c r="GV149" i="35"/>
  <c r="HJ149" i="35" s="1"/>
  <c r="GD149" i="35"/>
  <c r="GV155" i="35"/>
  <c r="HJ155" i="35" s="1"/>
  <c r="GD155" i="35"/>
  <c r="GV161" i="35"/>
  <c r="HJ161" i="35" s="1"/>
  <c r="GD161" i="35"/>
  <c r="GV167" i="35"/>
  <c r="HJ167" i="35" s="1"/>
  <c r="GD167" i="35"/>
  <c r="GV173" i="35"/>
  <c r="HJ173" i="35" s="1"/>
  <c r="GD173" i="35"/>
  <c r="GV179" i="35"/>
  <c r="HJ179" i="35" s="1"/>
  <c r="GD179" i="35"/>
  <c r="GV185" i="35"/>
  <c r="HJ185" i="35" s="1"/>
  <c r="GD185" i="35"/>
  <c r="GV191" i="35"/>
  <c r="HJ191" i="35" s="1"/>
  <c r="GD191" i="35"/>
  <c r="GV197" i="35"/>
  <c r="HJ197" i="35" s="1"/>
  <c r="GD197" i="35"/>
  <c r="GV203" i="35"/>
  <c r="HJ203" i="35" s="1"/>
  <c r="GD203" i="35"/>
  <c r="GV209" i="35"/>
  <c r="HJ209" i="35" s="1"/>
  <c r="GD209" i="35"/>
  <c r="GV215" i="35"/>
  <c r="HJ215" i="35" s="1"/>
  <c r="GD215" i="35"/>
  <c r="GV12" i="35"/>
  <c r="HJ12" i="35" s="1"/>
  <c r="GD12" i="35"/>
  <c r="GV18" i="35"/>
  <c r="HJ18" i="35" s="1"/>
  <c r="GD18" i="35"/>
  <c r="GV24" i="35"/>
  <c r="HJ24" i="35" s="1"/>
  <c r="GD24" i="35"/>
  <c r="GV30" i="35"/>
  <c r="HJ30" i="35" s="1"/>
  <c r="GD30" i="35"/>
  <c r="GV36" i="35"/>
  <c r="HJ36" i="35" s="1"/>
  <c r="GD36" i="35"/>
  <c r="GV42" i="35"/>
  <c r="HJ42" i="35" s="1"/>
  <c r="GD42" i="35"/>
  <c r="GV48" i="35"/>
  <c r="HJ48" i="35" s="1"/>
  <c r="GD48" i="35"/>
  <c r="GV54" i="35"/>
  <c r="HJ54" i="35" s="1"/>
  <c r="GD54" i="35"/>
  <c r="GV60" i="35"/>
  <c r="HJ60" i="35" s="1"/>
  <c r="GD60" i="35"/>
  <c r="GV66" i="35"/>
  <c r="HJ66" i="35" s="1"/>
  <c r="GD66" i="35"/>
  <c r="GV72" i="35"/>
  <c r="HJ72" i="35" s="1"/>
  <c r="GD72" i="35"/>
  <c r="GV78" i="35"/>
  <c r="HJ78" i="35" s="1"/>
  <c r="GD78" i="35"/>
  <c r="GV84" i="35"/>
  <c r="HJ84" i="35" s="1"/>
  <c r="GD84" i="35"/>
  <c r="GV90" i="35"/>
  <c r="HJ90" i="35" s="1"/>
  <c r="GD90" i="35"/>
  <c r="GV96" i="35"/>
  <c r="HJ96" i="35" s="1"/>
  <c r="GD96" i="35"/>
  <c r="GV102" i="35"/>
  <c r="HJ102" i="35" s="1"/>
  <c r="GD102" i="35"/>
  <c r="GV108" i="35"/>
  <c r="HJ108" i="35" s="1"/>
  <c r="GD108" i="35"/>
  <c r="GV114" i="35"/>
  <c r="HJ114" i="35" s="1"/>
  <c r="GD114" i="35"/>
  <c r="GV120" i="35"/>
  <c r="HJ120" i="35" s="1"/>
  <c r="GD120" i="35"/>
  <c r="GV126" i="35"/>
  <c r="HJ126" i="35" s="1"/>
  <c r="GD126" i="35"/>
  <c r="GV132" i="35"/>
  <c r="HJ132" i="35" s="1"/>
  <c r="GD132" i="35"/>
  <c r="GV138" i="35"/>
  <c r="HJ138" i="35" s="1"/>
  <c r="GD138" i="35"/>
  <c r="GV144" i="35"/>
  <c r="HJ144" i="35" s="1"/>
  <c r="GD144" i="35"/>
  <c r="GV150" i="35"/>
  <c r="HJ150" i="35" s="1"/>
  <c r="GD150" i="35"/>
  <c r="GV156" i="35"/>
  <c r="HJ156" i="35" s="1"/>
  <c r="GD156" i="35"/>
  <c r="GV162" i="35"/>
  <c r="HJ162" i="35" s="1"/>
  <c r="GD162" i="35"/>
  <c r="GV168" i="35"/>
  <c r="HJ168" i="35" s="1"/>
  <c r="GD168" i="35"/>
  <c r="GV174" i="35"/>
  <c r="HJ174" i="35" s="1"/>
  <c r="GD174" i="35"/>
  <c r="GV180" i="35"/>
  <c r="HJ180" i="35" s="1"/>
  <c r="GD180" i="35"/>
  <c r="GV186" i="35"/>
  <c r="HJ186" i="35" s="1"/>
  <c r="GD186" i="35"/>
  <c r="GV192" i="35"/>
  <c r="HJ192" i="35" s="1"/>
  <c r="GD192" i="35"/>
  <c r="GV198" i="35"/>
  <c r="HJ198" i="35" s="1"/>
  <c r="GD198" i="35"/>
  <c r="GV204" i="35"/>
  <c r="HJ204" i="35" s="1"/>
  <c r="GD204" i="35"/>
  <c r="GV210" i="35"/>
  <c r="HJ210" i="35" s="1"/>
  <c r="GD210" i="35"/>
  <c r="GV216" i="35"/>
  <c r="HJ216" i="35" s="1"/>
  <c r="GD216" i="35"/>
  <c r="GV7" i="35"/>
  <c r="HJ7" i="35" s="1"/>
  <c r="GD7" i="35"/>
  <c r="GV13" i="35"/>
  <c r="HJ13" i="35" s="1"/>
  <c r="GD13" i="35"/>
  <c r="GV20" i="35"/>
  <c r="HJ20" i="35" s="1"/>
  <c r="GD20" i="35"/>
  <c r="GV25" i="35"/>
  <c r="HJ25" i="35" s="1"/>
  <c r="GD25" i="35"/>
  <c r="GV31" i="35"/>
  <c r="HJ31" i="35" s="1"/>
  <c r="GD31" i="35"/>
  <c r="GV37" i="35"/>
  <c r="HJ37" i="35" s="1"/>
  <c r="GD37" i="35"/>
  <c r="GV43" i="35"/>
  <c r="HJ43" i="35" s="1"/>
  <c r="GD43" i="35"/>
  <c r="GV49" i="35"/>
  <c r="HJ49" i="35" s="1"/>
  <c r="GD49" i="35"/>
  <c r="GV55" i="35"/>
  <c r="HJ55" i="35" s="1"/>
  <c r="GD55" i="35"/>
  <c r="GV61" i="35"/>
  <c r="HJ61" i="35" s="1"/>
  <c r="GD61" i="35"/>
  <c r="GV67" i="35"/>
  <c r="HJ67" i="35" s="1"/>
  <c r="GD67" i="35"/>
  <c r="GV73" i="35"/>
  <c r="HJ73" i="35" s="1"/>
  <c r="GD73" i="35"/>
  <c r="GV79" i="35"/>
  <c r="HJ79" i="35" s="1"/>
  <c r="GD79" i="35"/>
  <c r="GV85" i="35"/>
  <c r="HJ85" i="35" s="1"/>
  <c r="GD85" i="35"/>
  <c r="GV91" i="35"/>
  <c r="HJ91" i="35" s="1"/>
  <c r="GD91" i="35"/>
  <c r="GV97" i="35"/>
  <c r="HJ97" i="35" s="1"/>
  <c r="GD97" i="35"/>
  <c r="GV103" i="35"/>
  <c r="HJ103" i="35" s="1"/>
  <c r="GD103" i="35"/>
  <c r="GV109" i="35"/>
  <c r="HJ109" i="35" s="1"/>
  <c r="GD109" i="35"/>
  <c r="GV115" i="35"/>
  <c r="HJ115" i="35" s="1"/>
  <c r="GD115" i="35"/>
  <c r="GV121" i="35"/>
  <c r="HJ121" i="35" s="1"/>
  <c r="GD121" i="35"/>
  <c r="GV127" i="35"/>
  <c r="HJ127" i="35" s="1"/>
  <c r="GD127" i="35"/>
  <c r="GV133" i="35"/>
  <c r="HJ133" i="35" s="1"/>
  <c r="GD133" i="35"/>
  <c r="GV139" i="35"/>
  <c r="HJ139" i="35" s="1"/>
  <c r="GD139" i="35"/>
  <c r="GV145" i="35"/>
  <c r="HJ145" i="35" s="1"/>
  <c r="GD145" i="35"/>
  <c r="GV151" i="35"/>
  <c r="HJ151" i="35" s="1"/>
  <c r="GD151" i="35"/>
  <c r="GV157" i="35"/>
  <c r="HJ157" i="35" s="1"/>
  <c r="GD157" i="35"/>
  <c r="GV163" i="35"/>
  <c r="HJ163" i="35" s="1"/>
  <c r="GD163" i="35"/>
  <c r="GV169" i="35"/>
  <c r="HJ169" i="35" s="1"/>
  <c r="GD169" i="35"/>
  <c r="GV175" i="35"/>
  <c r="HJ175" i="35" s="1"/>
  <c r="GD175" i="35"/>
  <c r="GV181" i="35"/>
  <c r="HJ181" i="35" s="1"/>
  <c r="GD181" i="35"/>
  <c r="GV187" i="35"/>
  <c r="HJ187" i="35" s="1"/>
  <c r="GD187" i="35"/>
  <c r="GV193" i="35"/>
  <c r="HJ193" i="35" s="1"/>
  <c r="GD193" i="35"/>
  <c r="GV199" i="35"/>
  <c r="HJ199" i="35" s="1"/>
  <c r="GD199" i="35"/>
  <c r="GV205" i="35"/>
  <c r="HJ205" i="35" s="1"/>
  <c r="GD205" i="35"/>
  <c r="GV211" i="35"/>
  <c r="HJ211" i="35" s="1"/>
  <c r="GD211" i="35"/>
  <c r="GV217" i="35"/>
  <c r="HJ217" i="35" s="1"/>
  <c r="GD217" i="35"/>
  <c r="GV8" i="35"/>
  <c r="HJ8" i="35" s="1"/>
  <c r="GD8" i="35"/>
  <c r="GV14" i="35"/>
  <c r="HJ14" i="35" s="1"/>
  <c r="GD14" i="35"/>
  <c r="GV19" i="35"/>
  <c r="HJ19" i="35" s="1"/>
  <c r="GD19" i="35"/>
  <c r="GV26" i="35"/>
  <c r="HJ26" i="35" s="1"/>
  <c r="GD26" i="35"/>
  <c r="GV32" i="35"/>
  <c r="HJ32" i="35" s="1"/>
  <c r="GD32" i="35"/>
  <c r="GV38" i="35"/>
  <c r="HJ38" i="35" s="1"/>
  <c r="GD38" i="35"/>
  <c r="GV44" i="35"/>
  <c r="HJ44" i="35" s="1"/>
  <c r="GD44" i="35"/>
  <c r="GV50" i="35"/>
  <c r="HJ50" i="35" s="1"/>
  <c r="GD50" i="35"/>
  <c r="GV56" i="35"/>
  <c r="HJ56" i="35" s="1"/>
  <c r="GD56" i="35"/>
  <c r="GV62" i="35"/>
  <c r="HJ62" i="35" s="1"/>
  <c r="GD62" i="35"/>
  <c r="GV68" i="35"/>
  <c r="HJ68" i="35" s="1"/>
  <c r="GD68" i="35"/>
  <c r="GV74" i="35"/>
  <c r="HJ74" i="35" s="1"/>
  <c r="GD74" i="35"/>
  <c r="GV80" i="35"/>
  <c r="HJ80" i="35" s="1"/>
  <c r="GD80" i="35"/>
  <c r="GV86" i="35"/>
  <c r="HJ86" i="35" s="1"/>
  <c r="GD86" i="35"/>
  <c r="GV92" i="35"/>
  <c r="HJ92" i="35" s="1"/>
  <c r="GD92" i="35"/>
  <c r="GV98" i="35"/>
  <c r="HJ98" i="35" s="1"/>
  <c r="GD98" i="35"/>
  <c r="GV104" i="35"/>
  <c r="HJ104" i="35" s="1"/>
  <c r="GD104" i="35"/>
  <c r="GV110" i="35"/>
  <c r="HJ110" i="35" s="1"/>
  <c r="GD110" i="35"/>
  <c r="GV116" i="35"/>
  <c r="HJ116" i="35" s="1"/>
  <c r="GD116" i="35"/>
  <c r="GV122" i="35"/>
  <c r="HJ122" i="35" s="1"/>
  <c r="GD122" i="35"/>
  <c r="GV128" i="35"/>
  <c r="HJ128" i="35" s="1"/>
  <c r="GD128" i="35"/>
  <c r="GV134" i="35"/>
  <c r="HJ134" i="35" s="1"/>
  <c r="GD134" i="35"/>
  <c r="GV140" i="35"/>
  <c r="HJ140" i="35" s="1"/>
  <c r="GD140" i="35"/>
  <c r="GV146" i="35"/>
  <c r="HJ146" i="35" s="1"/>
  <c r="GD146" i="35"/>
  <c r="GV152" i="35"/>
  <c r="HJ152" i="35" s="1"/>
  <c r="GD152" i="35"/>
  <c r="GV158" i="35"/>
  <c r="HJ158" i="35" s="1"/>
  <c r="GD158" i="35"/>
  <c r="GV164" i="35"/>
  <c r="HJ164" i="35" s="1"/>
  <c r="GD164" i="35"/>
  <c r="GV170" i="35"/>
  <c r="HJ170" i="35" s="1"/>
  <c r="GD170" i="35"/>
  <c r="GV176" i="35"/>
  <c r="HJ176" i="35" s="1"/>
  <c r="GD176" i="35"/>
  <c r="GV182" i="35"/>
  <c r="HJ182" i="35" s="1"/>
  <c r="GD182" i="35"/>
  <c r="GV188" i="35"/>
  <c r="HJ188" i="35" s="1"/>
  <c r="GD188" i="35"/>
  <c r="GV194" i="35"/>
  <c r="HJ194" i="35" s="1"/>
  <c r="GD194" i="35"/>
  <c r="GV200" i="35"/>
  <c r="HJ200" i="35" s="1"/>
  <c r="GD200" i="35"/>
  <c r="GV206" i="35"/>
  <c r="HJ206" i="35" s="1"/>
  <c r="GD206" i="35"/>
  <c r="GV212" i="35"/>
  <c r="HJ212" i="35" s="1"/>
  <c r="GD212" i="35"/>
  <c r="GV218" i="35"/>
  <c r="HJ218" i="35" s="1"/>
  <c r="GD218" i="35"/>
  <c r="GV9" i="35"/>
  <c r="HJ9" i="35" s="1"/>
  <c r="GD9" i="35"/>
  <c r="GV15" i="35"/>
  <c r="HJ15" i="35" s="1"/>
  <c r="GD15" i="35"/>
  <c r="GV21" i="35"/>
  <c r="HJ21" i="35" s="1"/>
  <c r="GD21" i="35"/>
  <c r="GV27" i="35"/>
  <c r="HJ27" i="35" s="1"/>
  <c r="GD27" i="35"/>
  <c r="GV33" i="35"/>
  <c r="HJ33" i="35" s="1"/>
  <c r="GD33" i="35"/>
  <c r="GV39" i="35"/>
  <c r="HJ39" i="35" s="1"/>
  <c r="GD39" i="35"/>
  <c r="GV45" i="35"/>
  <c r="HJ45" i="35" s="1"/>
  <c r="GD45" i="35"/>
  <c r="GV51" i="35"/>
  <c r="HJ51" i="35" s="1"/>
  <c r="GD51" i="35"/>
  <c r="GV57" i="35"/>
  <c r="HJ57" i="35" s="1"/>
  <c r="GD57" i="35"/>
  <c r="GV63" i="35"/>
  <c r="HJ63" i="35" s="1"/>
  <c r="GD63" i="35"/>
  <c r="GV69" i="35"/>
  <c r="HJ69" i="35" s="1"/>
  <c r="GD69" i="35"/>
  <c r="GV75" i="35"/>
  <c r="HJ75" i="35" s="1"/>
  <c r="GD75" i="35"/>
  <c r="GV81" i="35"/>
  <c r="HJ81" i="35" s="1"/>
  <c r="GD81" i="35"/>
  <c r="GV87" i="35"/>
  <c r="HJ87" i="35" s="1"/>
  <c r="GD87" i="35"/>
  <c r="GV93" i="35"/>
  <c r="HJ93" i="35" s="1"/>
  <c r="GD93" i="35"/>
  <c r="GV99" i="35"/>
  <c r="HJ99" i="35" s="1"/>
  <c r="GD99" i="35"/>
  <c r="GV105" i="35"/>
  <c r="HJ105" i="35" s="1"/>
  <c r="GD105" i="35"/>
  <c r="GV111" i="35"/>
  <c r="HJ111" i="35" s="1"/>
  <c r="GD111" i="35"/>
  <c r="GV117" i="35"/>
  <c r="HJ117" i="35" s="1"/>
  <c r="GD117" i="35"/>
  <c r="GV123" i="35"/>
  <c r="HJ123" i="35" s="1"/>
  <c r="GD123" i="35"/>
  <c r="GV129" i="35"/>
  <c r="HJ129" i="35" s="1"/>
  <c r="GD129" i="35"/>
  <c r="GV135" i="35"/>
  <c r="HJ135" i="35" s="1"/>
  <c r="GD135" i="35"/>
  <c r="GV141" i="35"/>
  <c r="HJ141" i="35" s="1"/>
  <c r="GD141" i="35"/>
  <c r="GV147" i="35"/>
  <c r="HJ147" i="35" s="1"/>
  <c r="GD147" i="35"/>
  <c r="GV153" i="35"/>
  <c r="HJ153" i="35" s="1"/>
  <c r="GD153" i="35"/>
  <c r="GV159" i="35"/>
  <c r="HJ159" i="35" s="1"/>
  <c r="GD159" i="35"/>
  <c r="GV165" i="35"/>
  <c r="HJ165" i="35" s="1"/>
  <c r="GD165" i="35"/>
  <c r="GV171" i="35"/>
  <c r="HJ171" i="35" s="1"/>
  <c r="GD171" i="35"/>
  <c r="GV177" i="35"/>
  <c r="HJ177" i="35" s="1"/>
  <c r="GD177" i="35"/>
  <c r="GV183" i="35"/>
  <c r="HJ183" i="35" s="1"/>
  <c r="GD183" i="35"/>
  <c r="GV189" i="35"/>
  <c r="HJ189" i="35" s="1"/>
  <c r="GD189" i="35"/>
  <c r="GV195" i="35"/>
  <c r="HJ195" i="35" s="1"/>
  <c r="GD195" i="35"/>
  <c r="GV201" i="35"/>
  <c r="HJ201" i="35" s="1"/>
  <c r="GD201" i="35"/>
  <c r="GV207" i="35"/>
  <c r="HJ207" i="35" s="1"/>
  <c r="GD207" i="35"/>
  <c r="GV213" i="35"/>
  <c r="HJ213" i="35" s="1"/>
  <c r="GD213" i="35"/>
  <c r="GV219" i="35"/>
  <c r="HJ219" i="35" s="1"/>
  <c r="GD219" i="35"/>
  <c r="B37" i="37"/>
  <c r="X21" i="37"/>
  <c r="FJ222" i="35"/>
  <c r="FK10" i="35"/>
  <c r="FI222" i="35"/>
  <c r="M219" i="19"/>
  <c r="AD219" i="19" s="1"/>
  <c r="K219" i="19"/>
  <c r="AC219" i="19" s="1"/>
  <c r="G219" i="19"/>
  <c r="E219" i="19"/>
  <c r="A219" i="19" s="1"/>
  <c r="D219" i="19"/>
  <c r="C219" i="19"/>
  <c r="M218" i="19"/>
  <c r="AD218" i="19" s="1"/>
  <c r="K218" i="19"/>
  <c r="AC218" i="19" s="1"/>
  <c r="G218" i="19"/>
  <c r="E218" i="19"/>
  <c r="A218" i="19" s="1"/>
  <c r="D218" i="19"/>
  <c r="C218" i="19"/>
  <c r="M217" i="19"/>
  <c r="AD217" i="19" s="1"/>
  <c r="K217" i="19"/>
  <c r="AC217" i="19" s="1"/>
  <c r="G217" i="19"/>
  <c r="E217" i="19"/>
  <c r="A217" i="19" s="1"/>
  <c r="D217" i="19"/>
  <c r="C217" i="19"/>
  <c r="M216" i="19"/>
  <c r="AD216" i="19" s="1"/>
  <c r="K216" i="19"/>
  <c r="AC216" i="19" s="1"/>
  <c r="G216" i="19"/>
  <c r="E216" i="19"/>
  <c r="A216" i="19" s="1"/>
  <c r="D216" i="19"/>
  <c r="C216" i="19"/>
  <c r="M215" i="19"/>
  <c r="AD215" i="19" s="1"/>
  <c r="K215" i="19"/>
  <c r="AC215" i="19" s="1"/>
  <c r="G215" i="19"/>
  <c r="E215" i="19"/>
  <c r="A215" i="19" s="1"/>
  <c r="D215" i="19"/>
  <c r="C215" i="19"/>
  <c r="M214" i="19"/>
  <c r="AD214" i="19" s="1"/>
  <c r="K214" i="19"/>
  <c r="AC214" i="19" s="1"/>
  <c r="G214" i="19"/>
  <c r="E214" i="19"/>
  <c r="A214" i="19" s="1"/>
  <c r="D214" i="19"/>
  <c r="C214" i="19"/>
  <c r="M213" i="19"/>
  <c r="AD213" i="19" s="1"/>
  <c r="K213" i="19"/>
  <c r="AC213" i="19" s="1"/>
  <c r="G213" i="19"/>
  <c r="E213" i="19"/>
  <c r="A213" i="19" s="1"/>
  <c r="D213" i="19"/>
  <c r="C213" i="19"/>
  <c r="M212" i="19"/>
  <c r="AD212" i="19" s="1"/>
  <c r="K212" i="19"/>
  <c r="AC212" i="19" s="1"/>
  <c r="G212" i="19"/>
  <c r="E212" i="19"/>
  <c r="A212" i="19" s="1"/>
  <c r="D212" i="19"/>
  <c r="C212" i="19"/>
  <c r="M211" i="19"/>
  <c r="AD211" i="19" s="1"/>
  <c r="K211" i="19"/>
  <c r="AC211" i="19" s="1"/>
  <c r="G211" i="19"/>
  <c r="E211" i="19"/>
  <c r="A211" i="19" s="1"/>
  <c r="D211" i="19"/>
  <c r="C211" i="19"/>
  <c r="M210" i="19"/>
  <c r="AD210" i="19" s="1"/>
  <c r="K210" i="19"/>
  <c r="AC210" i="19" s="1"/>
  <c r="G210" i="19"/>
  <c r="E210" i="19"/>
  <c r="A210" i="19" s="1"/>
  <c r="D210" i="19"/>
  <c r="C210" i="19"/>
  <c r="M209" i="19"/>
  <c r="AD209" i="19" s="1"/>
  <c r="K209" i="19"/>
  <c r="AC209" i="19" s="1"/>
  <c r="G209" i="19"/>
  <c r="E209" i="19"/>
  <c r="A209" i="19" s="1"/>
  <c r="D209" i="19"/>
  <c r="C209" i="19"/>
  <c r="M208" i="19"/>
  <c r="AD208" i="19" s="1"/>
  <c r="K208" i="19"/>
  <c r="AC208" i="19" s="1"/>
  <c r="G208" i="19"/>
  <c r="E208" i="19"/>
  <c r="A208" i="19" s="1"/>
  <c r="D208" i="19"/>
  <c r="C208" i="19"/>
  <c r="M207" i="19"/>
  <c r="AD207" i="19" s="1"/>
  <c r="K207" i="19"/>
  <c r="AC207" i="19" s="1"/>
  <c r="G207" i="19"/>
  <c r="E207" i="19"/>
  <c r="A207" i="19" s="1"/>
  <c r="D207" i="19"/>
  <c r="C207" i="19"/>
  <c r="M206" i="19"/>
  <c r="AD206" i="19" s="1"/>
  <c r="K206" i="19"/>
  <c r="AC206" i="19" s="1"/>
  <c r="G206" i="19"/>
  <c r="E206" i="19"/>
  <c r="A206" i="19" s="1"/>
  <c r="D206" i="19"/>
  <c r="C206" i="19"/>
  <c r="M205" i="19"/>
  <c r="AD205" i="19" s="1"/>
  <c r="K205" i="19"/>
  <c r="AC205" i="19" s="1"/>
  <c r="G205" i="19"/>
  <c r="E205" i="19"/>
  <c r="A205" i="19" s="1"/>
  <c r="D205" i="19"/>
  <c r="C205" i="19"/>
  <c r="M204" i="19"/>
  <c r="AD204" i="19" s="1"/>
  <c r="K204" i="19"/>
  <c r="AC204" i="19" s="1"/>
  <c r="G204" i="19"/>
  <c r="E204" i="19"/>
  <c r="A204" i="19" s="1"/>
  <c r="D204" i="19"/>
  <c r="C204" i="19"/>
  <c r="M203" i="19"/>
  <c r="AD203" i="19" s="1"/>
  <c r="K203" i="19"/>
  <c r="AC203" i="19" s="1"/>
  <c r="G203" i="19"/>
  <c r="E203" i="19"/>
  <c r="A203" i="19" s="1"/>
  <c r="D203" i="19"/>
  <c r="C203" i="19"/>
  <c r="M202" i="19"/>
  <c r="AD202" i="19" s="1"/>
  <c r="K202" i="19"/>
  <c r="AC202" i="19" s="1"/>
  <c r="G202" i="19"/>
  <c r="E202" i="19"/>
  <c r="A202" i="19" s="1"/>
  <c r="D202" i="19"/>
  <c r="C202" i="19"/>
  <c r="M201" i="19"/>
  <c r="AD201" i="19" s="1"/>
  <c r="K201" i="19"/>
  <c r="AC201" i="19" s="1"/>
  <c r="G201" i="19"/>
  <c r="E201" i="19"/>
  <c r="A201" i="19" s="1"/>
  <c r="D201" i="19"/>
  <c r="M200" i="19"/>
  <c r="AD200" i="19" s="1"/>
  <c r="K200" i="19"/>
  <c r="AC200" i="19" s="1"/>
  <c r="G200" i="19"/>
  <c r="E200" i="19"/>
  <c r="A200" i="19" s="1"/>
  <c r="D200" i="19"/>
  <c r="M199" i="19"/>
  <c r="AD199" i="19" s="1"/>
  <c r="K199" i="19"/>
  <c r="AC199" i="19" s="1"/>
  <c r="G199" i="19"/>
  <c r="E199" i="19"/>
  <c r="A199" i="19" s="1"/>
  <c r="D199" i="19"/>
  <c r="M198" i="19"/>
  <c r="AD198" i="19" s="1"/>
  <c r="K198" i="19"/>
  <c r="AC198" i="19" s="1"/>
  <c r="G198" i="19"/>
  <c r="E198" i="19"/>
  <c r="A198" i="19" s="1"/>
  <c r="D198" i="19"/>
  <c r="M197" i="19"/>
  <c r="AD197" i="19" s="1"/>
  <c r="K197" i="19"/>
  <c r="AC197" i="19" s="1"/>
  <c r="G197" i="19"/>
  <c r="E197" i="19"/>
  <c r="A197" i="19" s="1"/>
  <c r="D197" i="19"/>
  <c r="M196" i="19"/>
  <c r="AD196" i="19" s="1"/>
  <c r="K196" i="19"/>
  <c r="AC196" i="19" s="1"/>
  <c r="G196" i="19"/>
  <c r="E196" i="19"/>
  <c r="A196" i="19" s="1"/>
  <c r="D196" i="19"/>
  <c r="M195" i="19"/>
  <c r="AD195" i="19" s="1"/>
  <c r="K195" i="19"/>
  <c r="AC195" i="19" s="1"/>
  <c r="G195" i="19"/>
  <c r="E195" i="19"/>
  <c r="A195" i="19" s="1"/>
  <c r="D195" i="19"/>
  <c r="M194" i="19"/>
  <c r="AD194" i="19" s="1"/>
  <c r="K194" i="19"/>
  <c r="AC194" i="19" s="1"/>
  <c r="G194" i="19"/>
  <c r="E194" i="19"/>
  <c r="A194" i="19" s="1"/>
  <c r="D194" i="19"/>
  <c r="M193" i="19"/>
  <c r="AD193" i="19" s="1"/>
  <c r="K193" i="19"/>
  <c r="AC193" i="19" s="1"/>
  <c r="G193" i="19"/>
  <c r="E193" i="19"/>
  <c r="A193" i="19" s="1"/>
  <c r="D193" i="19"/>
  <c r="M192" i="19"/>
  <c r="AD192" i="19" s="1"/>
  <c r="K192" i="19"/>
  <c r="AC192" i="19" s="1"/>
  <c r="G192" i="19"/>
  <c r="E192" i="19"/>
  <c r="A192" i="19" s="1"/>
  <c r="D192" i="19"/>
  <c r="M191" i="19"/>
  <c r="AD191" i="19" s="1"/>
  <c r="K191" i="19"/>
  <c r="AC191" i="19" s="1"/>
  <c r="G191" i="19"/>
  <c r="E191" i="19"/>
  <c r="A191" i="19" s="1"/>
  <c r="D191" i="19"/>
  <c r="M190" i="19"/>
  <c r="AD190" i="19" s="1"/>
  <c r="K190" i="19"/>
  <c r="AC190" i="19" s="1"/>
  <c r="G190" i="19"/>
  <c r="E190" i="19"/>
  <c r="A190" i="19" s="1"/>
  <c r="D190" i="19"/>
  <c r="M189" i="19"/>
  <c r="AD189" i="19" s="1"/>
  <c r="K189" i="19"/>
  <c r="AC189" i="19" s="1"/>
  <c r="G189" i="19"/>
  <c r="E189" i="19"/>
  <c r="A189" i="19" s="1"/>
  <c r="D189" i="19"/>
  <c r="M188" i="19"/>
  <c r="AD188" i="19" s="1"/>
  <c r="K188" i="19"/>
  <c r="AC188" i="19" s="1"/>
  <c r="G188" i="19"/>
  <c r="E188" i="19"/>
  <c r="A188" i="19" s="1"/>
  <c r="D188" i="19"/>
  <c r="M187" i="19"/>
  <c r="AD187" i="19" s="1"/>
  <c r="K187" i="19"/>
  <c r="AC187" i="19" s="1"/>
  <c r="G187" i="19"/>
  <c r="E187" i="19"/>
  <c r="A187" i="19" s="1"/>
  <c r="D187" i="19"/>
  <c r="M186" i="19"/>
  <c r="AD186" i="19" s="1"/>
  <c r="K186" i="19"/>
  <c r="AC186" i="19" s="1"/>
  <c r="G186" i="19"/>
  <c r="E186" i="19"/>
  <c r="A186" i="19" s="1"/>
  <c r="D186" i="19"/>
  <c r="M185" i="19"/>
  <c r="AD185" i="19" s="1"/>
  <c r="K185" i="19"/>
  <c r="AC185" i="19" s="1"/>
  <c r="G185" i="19"/>
  <c r="E185" i="19"/>
  <c r="A185" i="19" s="1"/>
  <c r="D185" i="19"/>
  <c r="M184" i="19"/>
  <c r="AD184" i="19" s="1"/>
  <c r="K184" i="19"/>
  <c r="AC184" i="19" s="1"/>
  <c r="G184" i="19"/>
  <c r="E184" i="19"/>
  <c r="A184" i="19" s="1"/>
  <c r="D184" i="19"/>
  <c r="M183" i="19"/>
  <c r="AD183" i="19" s="1"/>
  <c r="K183" i="19"/>
  <c r="AC183" i="19" s="1"/>
  <c r="G183" i="19"/>
  <c r="E183" i="19"/>
  <c r="A183" i="19" s="1"/>
  <c r="D183" i="19"/>
  <c r="M182" i="19"/>
  <c r="AD182" i="19" s="1"/>
  <c r="K182" i="19"/>
  <c r="AC182" i="19" s="1"/>
  <c r="G182" i="19"/>
  <c r="E182" i="19"/>
  <c r="A182" i="19" s="1"/>
  <c r="D182" i="19"/>
  <c r="M181" i="19"/>
  <c r="AD181" i="19" s="1"/>
  <c r="K181" i="19"/>
  <c r="AC181" i="19" s="1"/>
  <c r="G181" i="19"/>
  <c r="E181" i="19"/>
  <c r="A181" i="19" s="1"/>
  <c r="D181" i="19"/>
  <c r="M180" i="19"/>
  <c r="AD180" i="19" s="1"/>
  <c r="K180" i="19"/>
  <c r="AC180" i="19" s="1"/>
  <c r="G180" i="19"/>
  <c r="E180" i="19"/>
  <c r="A180" i="19" s="1"/>
  <c r="D180" i="19"/>
  <c r="M179" i="19"/>
  <c r="AD179" i="19" s="1"/>
  <c r="K179" i="19"/>
  <c r="AC179" i="19" s="1"/>
  <c r="G179" i="19"/>
  <c r="E179" i="19"/>
  <c r="A179" i="19" s="1"/>
  <c r="D179" i="19"/>
  <c r="M178" i="19"/>
  <c r="AD178" i="19" s="1"/>
  <c r="K178" i="19"/>
  <c r="AC178" i="19" s="1"/>
  <c r="G178" i="19"/>
  <c r="E178" i="19"/>
  <c r="A178" i="19" s="1"/>
  <c r="D178" i="19"/>
  <c r="M177" i="19"/>
  <c r="AD177" i="19" s="1"/>
  <c r="K177" i="19"/>
  <c r="AC177" i="19" s="1"/>
  <c r="G177" i="19"/>
  <c r="E177" i="19"/>
  <c r="A177" i="19" s="1"/>
  <c r="D177" i="19"/>
  <c r="M176" i="19"/>
  <c r="AD176" i="19" s="1"/>
  <c r="K176" i="19"/>
  <c r="AC176" i="19" s="1"/>
  <c r="G176" i="19"/>
  <c r="E176" i="19"/>
  <c r="A176" i="19" s="1"/>
  <c r="D176" i="19"/>
  <c r="M175" i="19"/>
  <c r="AD175" i="19" s="1"/>
  <c r="K175" i="19"/>
  <c r="AC175" i="19" s="1"/>
  <c r="G175" i="19"/>
  <c r="E175" i="19"/>
  <c r="A175" i="19" s="1"/>
  <c r="D175" i="19"/>
  <c r="M174" i="19"/>
  <c r="AD174" i="19" s="1"/>
  <c r="K174" i="19"/>
  <c r="AC174" i="19" s="1"/>
  <c r="G174" i="19"/>
  <c r="E174" i="19"/>
  <c r="A174" i="19" s="1"/>
  <c r="D174" i="19"/>
  <c r="M173" i="19"/>
  <c r="AD173" i="19" s="1"/>
  <c r="K173" i="19"/>
  <c r="AC173" i="19" s="1"/>
  <c r="G173" i="19"/>
  <c r="E173" i="19"/>
  <c r="A173" i="19" s="1"/>
  <c r="D173" i="19"/>
  <c r="M172" i="19"/>
  <c r="AD172" i="19" s="1"/>
  <c r="K172" i="19"/>
  <c r="AC172" i="19" s="1"/>
  <c r="G172" i="19"/>
  <c r="E172" i="19"/>
  <c r="A172" i="19" s="1"/>
  <c r="D172" i="19"/>
  <c r="M171" i="19"/>
  <c r="AD171" i="19" s="1"/>
  <c r="K171" i="19"/>
  <c r="AC171" i="19" s="1"/>
  <c r="G171" i="19"/>
  <c r="E171" i="19"/>
  <c r="A171" i="19" s="1"/>
  <c r="D171" i="19"/>
  <c r="M170" i="19"/>
  <c r="AD170" i="19" s="1"/>
  <c r="K170" i="19"/>
  <c r="AC170" i="19" s="1"/>
  <c r="G170" i="19"/>
  <c r="E170" i="19"/>
  <c r="A170" i="19" s="1"/>
  <c r="D170" i="19"/>
  <c r="M169" i="19"/>
  <c r="AD169" i="19" s="1"/>
  <c r="K169" i="19"/>
  <c r="AC169" i="19" s="1"/>
  <c r="G169" i="19"/>
  <c r="E169" i="19"/>
  <c r="A169" i="19" s="1"/>
  <c r="D169" i="19"/>
  <c r="M168" i="19"/>
  <c r="AD168" i="19" s="1"/>
  <c r="K168" i="19"/>
  <c r="AC168" i="19" s="1"/>
  <c r="G168" i="19"/>
  <c r="E168" i="19"/>
  <c r="A168" i="19" s="1"/>
  <c r="D168" i="19"/>
  <c r="M167" i="19"/>
  <c r="AD167" i="19" s="1"/>
  <c r="K167" i="19"/>
  <c r="AC167" i="19" s="1"/>
  <c r="G167" i="19"/>
  <c r="E167" i="19"/>
  <c r="A167" i="19" s="1"/>
  <c r="D167" i="19"/>
  <c r="M166" i="19"/>
  <c r="AD166" i="19" s="1"/>
  <c r="K166" i="19"/>
  <c r="AC166" i="19" s="1"/>
  <c r="G166" i="19"/>
  <c r="E166" i="19"/>
  <c r="A166" i="19" s="1"/>
  <c r="D166" i="19"/>
  <c r="M165" i="19"/>
  <c r="AD165" i="19" s="1"/>
  <c r="K165" i="19"/>
  <c r="AC165" i="19" s="1"/>
  <c r="G165" i="19"/>
  <c r="E165" i="19"/>
  <c r="A165" i="19" s="1"/>
  <c r="D165" i="19"/>
  <c r="M164" i="19"/>
  <c r="AD164" i="19" s="1"/>
  <c r="K164" i="19"/>
  <c r="AC164" i="19" s="1"/>
  <c r="G164" i="19"/>
  <c r="E164" i="19"/>
  <c r="A164" i="19" s="1"/>
  <c r="D164" i="19"/>
  <c r="M163" i="19"/>
  <c r="AD163" i="19" s="1"/>
  <c r="K163" i="19"/>
  <c r="AC163" i="19" s="1"/>
  <c r="G163" i="19"/>
  <c r="E163" i="19"/>
  <c r="A163" i="19" s="1"/>
  <c r="D163" i="19"/>
  <c r="M162" i="19"/>
  <c r="AD162" i="19" s="1"/>
  <c r="K162" i="19"/>
  <c r="AC162" i="19" s="1"/>
  <c r="G162" i="19"/>
  <c r="E162" i="19"/>
  <c r="A162" i="19" s="1"/>
  <c r="D162" i="19"/>
  <c r="M161" i="19"/>
  <c r="AD161" i="19" s="1"/>
  <c r="K161" i="19"/>
  <c r="AC161" i="19" s="1"/>
  <c r="G161" i="19"/>
  <c r="E161" i="19"/>
  <c r="A161" i="19" s="1"/>
  <c r="D161" i="19"/>
  <c r="M160" i="19"/>
  <c r="AD160" i="19" s="1"/>
  <c r="K160" i="19"/>
  <c r="AC160" i="19" s="1"/>
  <c r="G160" i="19"/>
  <c r="E160" i="19"/>
  <c r="A160" i="19" s="1"/>
  <c r="D160" i="19"/>
  <c r="M159" i="19"/>
  <c r="AD159" i="19" s="1"/>
  <c r="K159" i="19"/>
  <c r="AC159" i="19" s="1"/>
  <c r="G159" i="19"/>
  <c r="E159" i="19"/>
  <c r="A159" i="19" s="1"/>
  <c r="D159" i="19"/>
  <c r="M158" i="19"/>
  <c r="AD158" i="19" s="1"/>
  <c r="K158" i="19"/>
  <c r="AC158" i="19" s="1"/>
  <c r="G158" i="19"/>
  <c r="E158" i="19"/>
  <c r="A158" i="19" s="1"/>
  <c r="D158" i="19"/>
  <c r="M157" i="19"/>
  <c r="AD157" i="19" s="1"/>
  <c r="K157" i="19"/>
  <c r="AC157" i="19" s="1"/>
  <c r="G157" i="19"/>
  <c r="E157" i="19"/>
  <c r="A157" i="19" s="1"/>
  <c r="D157" i="19"/>
  <c r="M156" i="19"/>
  <c r="AD156" i="19" s="1"/>
  <c r="K156" i="19"/>
  <c r="AC156" i="19" s="1"/>
  <c r="G156" i="19"/>
  <c r="E156" i="19"/>
  <c r="A156" i="19" s="1"/>
  <c r="D156" i="19"/>
  <c r="M155" i="19"/>
  <c r="AD155" i="19" s="1"/>
  <c r="K155" i="19"/>
  <c r="AC155" i="19" s="1"/>
  <c r="G155" i="19"/>
  <c r="E155" i="19"/>
  <c r="A155" i="19" s="1"/>
  <c r="D155" i="19"/>
  <c r="M154" i="19"/>
  <c r="AD154" i="19" s="1"/>
  <c r="K154" i="19"/>
  <c r="AC154" i="19" s="1"/>
  <c r="G154" i="19"/>
  <c r="E154" i="19"/>
  <c r="A154" i="19" s="1"/>
  <c r="D154" i="19"/>
  <c r="M153" i="19"/>
  <c r="AD153" i="19" s="1"/>
  <c r="K153" i="19"/>
  <c r="AC153" i="19" s="1"/>
  <c r="G153" i="19"/>
  <c r="E153" i="19"/>
  <c r="A153" i="19" s="1"/>
  <c r="D153" i="19"/>
  <c r="M152" i="19"/>
  <c r="AD152" i="19" s="1"/>
  <c r="K152" i="19"/>
  <c r="AC152" i="19" s="1"/>
  <c r="G152" i="19"/>
  <c r="E152" i="19"/>
  <c r="A152" i="19" s="1"/>
  <c r="D152" i="19"/>
  <c r="M151" i="19"/>
  <c r="AD151" i="19" s="1"/>
  <c r="K151" i="19"/>
  <c r="AC151" i="19" s="1"/>
  <c r="G151" i="19"/>
  <c r="E151" i="19"/>
  <c r="A151" i="19" s="1"/>
  <c r="D151" i="19"/>
  <c r="M150" i="19"/>
  <c r="AD150" i="19" s="1"/>
  <c r="K150" i="19"/>
  <c r="AC150" i="19" s="1"/>
  <c r="G150" i="19"/>
  <c r="E150" i="19"/>
  <c r="A150" i="19" s="1"/>
  <c r="D150" i="19"/>
  <c r="M149" i="19"/>
  <c r="AD149" i="19" s="1"/>
  <c r="K149" i="19"/>
  <c r="AC149" i="19" s="1"/>
  <c r="G149" i="19"/>
  <c r="E149" i="19"/>
  <c r="A149" i="19" s="1"/>
  <c r="D149" i="19"/>
  <c r="M148" i="19"/>
  <c r="AD148" i="19" s="1"/>
  <c r="K148" i="19"/>
  <c r="AC148" i="19" s="1"/>
  <c r="G148" i="19"/>
  <c r="E148" i="19"/>
  <c r="A148" i="19" s="1"/>
  <c r="D148" i="19"/>
  <c r="M147" i="19"/>
  <c r="AD147" i="19" s="1"/>
  <c r="K147" i="19"/>
  <c r="AC147" i="19" s="1"/>
  <c r="G147" i="19"/>
  <c r="E147" i="19"/>
  <c r="A147" i="19" s="1"/>
  <c r="D147" i="19"/>
  <c r="M146" i="19"/>
  <c r="AD146" i="19" s="1"/>
  <c r="K146" i="19"/>
  <c r="AC146" i="19" s="1"/>
  <c r="G146" i="19"/>
  <c r="E146" i="19"/>
  <c r="A146" i="19" s="1"/>
  <c r="D146" i="19"/>
  <c r="M145" i="19"/>
  <c r="AD145" i="19" s="1"/>
  <c r="K145" i="19"/>
  <c r="AC145" i="19" s="1"/>
  <c r="G145" i="19"/>
  <c r="E145" i="19"/>
  <c r="A145" i="19" s="1"/>
  <c r="D145" i="19"/>
  <c r="M144" i="19"/>
  <c r="AD144" i="19" s="1"/>
  <c r="K144" i="19"/>
  <c r="AC144" i="19" s="1"/>
  <c r="G144" i="19"/>
  <c r="E144" i="19"/>
  <c r="A144" i="19" s="1"/>
  <c r="D144" i="19"/>
  <c r="M143" i="19"/>
  <c r="AD143" i="19" s="1"/>
  <c r="K143" i="19"/>
  <c r="AC143" i="19" s="1"/>
  <c r="G143" i="19"/>
  <c r="E143" i="19"/>
  <c r="A143" i="19" s="1"/>
  <c r="D143" i="19"/>
  <c r="M142" i="19"/>
  <c r="AD142" i="19" s="1"/>
  <c r="K142" i="19"/>
  <c r="AC142" i="19" s="1"/>
  <c r="G142" i="19"/>
  <c r="E142" i="19"/>
  <c r="A142" i="19" s="1"/>
  <c r="D142" i="19"/>
  <c r="M141" i="19"/>
  <c r="AD141" i="19" s="1"/>
  <c r="K141" i="19"/>
  <c r="AC141" i="19" s="1"/>
  <c r="G141" i="19"/>
  <c r="E141" i="19"/>
  <c r="A141" i="19" s="1"/>
  <c r="D141" i="19"/>
  <c r="M140" i="19"/>
  <c r="AD140" i="19" s="1"/>
  <c r="K140" i="19"/>
  <c r="AC140" i="19" s="1"/>
  <c r="G140" i="19"/>
  <c r="E140" i="19"/>
  <c r="A140" i="19" s="1"/>
  <c r="D140" i="19"/>
  <c r="M139" i="19"/>
  <c r="AD139" i="19" s="1"/>
  <c r="K139" i="19"/>
  <c r="AC139" i="19" s="1"/>
  <c r="G139" i="19"/>
  <c r="E139" i="19"/>
  <c r="A139" i="19" s="1"/>
  <c r="D139" i="19"/>
  <c r="M138" i="19"/>
  <c r="AD138" i="19" s="1"/>
  <c r="K138" i="19"/>
  <c r="AC138" i="19" s="1"/>
  <c r="G138" i="19"/>
  <c r="E138" i="19"/>
  <c r="A138" i="19" s="1"/>
  <c r="D138" i="19"/>
  <c r="M137" i="19"/>
  <c r="AD137" i="19" s="1"/>
  <c r="K137" i="19"/>
  <c r="AC137" i="19" s="1"/>
  <c r="G137" i="19"/>
  <c r="E137" i="19"/>
  <c r="A137" i="19" s="1"/>
  <c r="D137" i="19"/>
  <c r="M136" i="19"/>
  <c r="AD136" i="19" s="1"/>
  <c r="K136" i="19"/>
  <c r="AC136" i="19" s="1"/>
  <c r="G136" i="19"/>
  <c r="E136" i="19"/>
  <c r="A136" i="19" s="1"/>
  <c r="D136" i="19"/>
  <c r="M135" i="19"/>
  <c r="AD135" i="19" s="1"/>
  <c r="K135" i="19"/>
  <c r="AC135" i="19" s="1"/>
  <c r="G135" i="19"/>
  <c r="E135" i="19"/>
  <c r="A135" i="19" s="1"/>
  <c r="D135" i="19"/>
  <c r="M134" i="19"/>
  <c r="AD134" i="19" s="1"/>
  <c r="K134" i="19"/>
  <c r="AC134" i="19" s="1"/>
  <c r="G134" i="19"/>
  <c r="E134" i="19"/>
  <c r="A134" i="19" s="1"/>
  <c r="D134" i="19"/>
  <c r="M133" i="19"/>
  <c r="AD133" i="19" s="1"/>
  <c r="K133" i="19"/>
  <c r="AC133" i="19" s="1"/>
  <c r="G133" i="19"/>
  <c r="E133" i="19"/>
  <c r="A133" i="19" s="1"/>
  <c r="D133" i="19"/>
  <c r="M132" i="19"/>
  <c r="AD132" i="19" s="1"/>
  <c r="K132" i="19"/>
  <c r="AC132" i="19" s="1"/>
  <c r="G132" i="19"/>
  <c r="E132" i="19"/>
  <c r="A132" i="19" s="1"/>
  <c r="D132" i="19"/>
  <c r="M131" i="19"/>
  <c r="AD131" i="19" s="1"/>
  <c r="K131" i="19"/>
  <c r="AC131" i="19" s="1"/>
  <c r="G131" i="19"/>
  <c r="E131" i="19"/>
  <c r="A131" i="19" s="1"/>
  <c r="D131" i="19"/>
  <c r="M130" i="19"/>
  <c r="AD130" i="19" s="1"/>
  <c r="K130" i="19"/>
  <c r="AC130" i="19" s="1"/>
  <c r="G130" i="19"/>
  <c r="E130" i="19"/>
  <c r="A130" i="19" s="1"/>
  <c r="D130" i="19"/>
  <c r="M129" i="19"/>
  <c r="AD129" i="19" s="1"/>
  <c r="K129" i="19"/>
  <c r="AC129" i="19" s="1"/>
  <c r="G129" i="19"/>
  <c r="E129" i="19"/>
  <c r="A129" i="19" s="1"/>
  <c r="D129" i="19"/>
  <c r="M128" i="19"/>
  <c r="AD128" i="19" s="1"/>
  <c r="K128" i="19"/>
  <c r="AC128" i="19" s="1"/>
  <c r="G128" i="19"/>
  <c r="E128" i="19"/>
  <c r="A128" i="19" s="1"/>
  <c r="D128" i="19"/>
  <c r="M127" i="19"/>
  <c r="AD127" i="19" s="1"/>
  <c r="K127" i="19"/>
  <c r="AC127" i="19" s="1"/>
  <c r="G127" i="19"/>
  <c r="E127" i="19"/>
  <c r="A127" i="19" s="1"/>
  <c r="D127" i="19"/>
  <c r="M126" i="19"/>
  <c r="AD126" i="19" s="1"/>
  <c r="K126" i="19"/>
  <c r="AC126" i="19" s="1"/>
  <c r="G126" i="19"/>
  <c r="E126" i="19"/>
  <c r="A126" i="19" s="1"/>
  <c r="D126" i="19"/>
  <c r="M125" i="19"/>
  <c r="AD125" i="19" s="1"/>
  <c r="K125" i="19"/>
  <c r="AC125" i="19" s="1"/>
  <c r="G125" i="19"/>
  <c r="E125" i="19"/>
  <c r="A125" i="19" s="1"/>
  <c r="D125" i="19"/>
  <c r="M124" i="19"/>
  <c r="AD124" i="19" s="1"/>
  <c r="K124" i="19"/>
  <c r="AC124" i="19" s="1"/>
  <c r="G124" i="19"/>
  <c r="E124" i="19"/>
  <c r="A124" i="19" s="1"/>
  <c r="D124" i="19"/>
  <c r="M123" i="19"/>
  <c r="AD123" i="19" s="1"/>
  <c r="K123" i="19"/>
  <c r="AC123" i="19" s="1"/>
  <c r="G123" i="19"/>
  <c r="E123" i="19"/>
  <c r="A123" i="19" s="1"/>
  <c r="D123" i="19"/>
  <c r="M122" i="19"/>
  <c r="AD122" i="19" s="1"/>
  <c r="K122" i="19"/>
  <c r="AC122" i="19" s="1"/>
  <c r="G122" i="19"/>
  <c r="E122" i="19"/>
  <c r="A122" i="19" s="1"/>
  <c r="D122" i="19"/>
  <c r="M121" i="19"/>
  <c r="AD121" i="19" s="1"/>
  <c r="K121" i="19"/>
  <c r="AC121" i="19" s="1"/>
  <c r="G121" i="19"/>
  <c r="E121" i="19"/>
  <c r="A121" i="19" s="1"/>
  <c r="D121" i="19"/>
  <c r="M120" i="19"/>
  <c r="AD120" i="19" s="1"/>
  <c r="K120" i="19"/>
  <c r="AC120" i="19" s="1"/>
  <c r="G120" i="19"/>
  <c r="E120" i="19"/>
  <c r="A120" i="19" s="1"/>
  <c r="D120" i="19"/>
  <c r="M119" i="19"/>
  <c r="AD119" i="19" s="1"/>
  <c r="K119" i="19"/>
  <c r="AC119" i="19" s="1"/>
  <c r="G119" i="19"/>
  <c r="E119" i="19"/>
  <c r="A119" i="19" s="1"/>
  <c r="D119" i="19"/>
  <c r="M118" i="19"/>
  <c r="AD118" i="19" s="1"/>
  <c r="K118" i="19"/>
  <c r="AC118" i="19" s="1"/>
  <c r="G118" i="19"/>
  <c r="E118" i="19"/>
  <c r="A118" i="19" s="1"/>
  <c r="D118" i="19"/>
  <c r="M117" i="19"/>
  <c r="AD117" i="19" s="1"/>
  <c r="K117" i="19"/>
  <c r="AC117" i="19" s="1"/>
  <c r="G117" i="19"/>
  <c r="E117" i="19"/>
  <c r="A117" i="19" s="1"/>
  <c r="D117" i="19"/>
  <c r="M116" i="19"/>
  <c r="AD116" i="19" s="1"/>
  <c r="K116" i="19"/>
  <c r="AC116" i="19" s="1"/>
  <c r="G116" i="19"/>
  <c r="E116" i="19"/>
  <c r="A116" i="19" s="1"/>
  <c r="D116" i="19"/>
  <c r="M115" i="19"/>
  <c r="AD115" i="19" s="1"/>
  <c r="K115" i="19"/>
  <c r="AC115" i="19" s="1"/>
  <c r="G115" i="19"/>
  <c r="E115" i="19"/>
  <c r="A115" i="19" s="1"/>
  <c r="D115" i="19"/>
  <c r="M114" i="19"/>
  <c r="AD114" i="19" s="1"/>
  <c r="K114" i="19"/>
  <c r="AC114" i="19" s="1"/>
  <c r="G114" i="19"/>
  <c r="E114" i="19"/>
  <c r="A114" i="19" s="1"/>
  <c r="D114" i="19"/>
  <c r="M113" i="19"/>
  <c r="AD113" i="19" s="1"/>
  <c r="K113" i="19"/>
  <c r="AC113" i="19" s="1"/>
  <c r="G113" i="19"/>
  <c r="E113" i="19"/>
  <c r="A113" i="19" s="1"/>
  <c r="D113" i="19"/>
  <c r="M112" i="19"/>
  <c r="AD112" i="19" s="1"/>
  <c r="K112" i="19"/>
  <c r="AC112" i="19" s="1"/>
  <c r="G112" i="19"/>
  <c r="E112" i="19"/>
  <c r="A112" i="19" s="1"/>
  <c r="D112" i="19"/>
  <c r="M111" i="19"/>
  <c r="AD111" i="19" s="1"/>
  <c r="K111" i="19"/>
  <c r="AC111" i="19" s="1"/>
  <c r="G111" i="19"/>
  <c r="E111" i="19"/>
  <c r="A111" i="19" s="1"/>
  <c r="D111" i="19"/>
  <c r="M110" i="19"/>
  <c r="AD110" i="19" s="1"/>
  <c r="K110" i="19"/>
  <c r="AC110" i="19" s="1"/>
  <c r="G110" i="19"/>
  <c r="E110" i="19"/>
  <c r="A110" i="19" s="1"/>
  <c r="D110" i="19"/>
  <c r="M109" i="19"/>
  <c r="AD109" i="19" s="1"/>
  <c r="K109" i="19"/>
  <c r="AC109" i="19" s="1"/>
  <c r="G109" i="19"/>
  <c r="E109" i="19"/>
  <c r="A109" i="19" s="1"/>
  <c r="D109" i="19"/>
  <c r="M108" i="19"/>
  <c r="AD108" i="19" s="1"/>
  <c r="K108" i="19"/>
  <c r="AC108" i="19" s="1"/>
  <c r="G108" i="19"/>
  <c r="E108" i="19"/>
  <c r="A108" i="19" s="1"/>
  <c r="D108" i="19"/>
  <c r="M107" i="19"/>
  <c r="AD107" i="19" s="1"/>
  <c r="K107" i="19"/>
  <c r="AC107" i="19" s="1"/>
  <c r="G107" i="19"/>
  <c r="E107" i="19"/>
  <c r="A107" i="19" s="1"/>
  <c r="D107" i="19"/>
  <c r="M106" i="19"/>
  <c r="AD106" i="19" s="1"/>
  <c r="K106" i="19"/>
  <c r="AC106" i="19" s="1"/>
  <c r="G106" i="19"/>
  <c r="E106" i="19"/>
  <c r="A106" i="19" s="1"/>
  <c r="D106" i="19"/>
  <c r="M105" i="19"/>
  <c r="AD105" i="19" s="1"/>
  <c r="K105" i="19"/>
  <c r="AC105" i="19" s="1"/>
  <c r="G105" i="19"/>
  <c r="E105" i="19"/>
  <c r="A105" i="19" s="1"/>
  <c r="D105" i="19"/>
  <c r="M104" i="19"/>
  <c r="AD104" i="19" s="1"/>
  <c r="K104" i="19"/>
  <c r="AC104" i="19" s="1"/>
  <c r="G104" i="19"/>
  <c r="E104" i="19"/>
  <c r="A104" i="19" s="1"/>
  <c r="D104" i="19"/>
  <c r="M103" i="19"/>
  <c r="AD103" i="19" s="1"/>
  <c r="K103" i="19"/>
  <c r="AC103" i="19" s="1"/>
  <c r="G103" i="19"/>
  <c r="E103" i="19"/>
  <c r="A103" i="19" s="1"/>
  <c r="D103" i="19"/>
  <c r="M102" i="19"/>
  <c r="AD102" i="19" s="1"/>
  <c r="K102" i="19"/>
  <c r="AC102" i="19" s="1"/>
  <c r="G102" i="19"/>
  <c r="E102" i="19"/>
  <c r="A102" i="19" s="1"/>
  <c r="D102" i="19"/>
  <c r="M101" i="19"/>
  <c r="AD101" i="19" s="1"/>
  <c r="K101" i="19"/>
  <c r="AC101" i="19" s="1"/>
  <c r="G101" i="19"/>
  <c r="E101" i="19"/>
  <c r="A101" i="19" s="1"/>
  <c r="D101" i="19"/>
  <c r="M100" i="19"/>
  <c r="AD100" i="19" s="1"/>
  <c r="K100" i="19"/>
  <c r="AC100" i="19" s="1"/>
  <c r="G100" i="19"/>
  <c r="E100" i="19"/>
  <c r="A100" i="19" s="1"/>
  <c r="D100" i="19"/>
  <c r="M99" i="19"/>
  <c r="AD99" i="19" s="1"/>
  <c r="K99" i="19"/>
  <c r="AC99" i="19" s="1"/>
  <c r="G99" i="19"/>
  <c r="E99" i="19"/>
  <c r="A99" i="19" s="1"/>
  <c r="D99" i="19"/>
  <c r="M98" i="19"/>
  <c r="AD98" i="19" s="1"/>
  <c r="K98" i="19"/>
  <c r="AC98" i="19" s="1"/>
  <c r="G98" i="19"/>
  <c r="E98" i="19"/>
  <c r="A98" i="19" s="1"/>
  <c r="D98" i="19"/>
  <c r="M97" i="19"/>
  <c r="AD97" i="19" s="1"/>
  <c r="K97" i="19"/>
  <c r="AC97" i="19" s="1"/>
  <c r="G97" i="19"/>
  <c r="E97" i="19"/>
  <c r="A97" i="19" s="1"/>
  <c r="D97" i="19"/>
  <c r="M96" i="19"/>
  <c r="AD96" i="19" s="1"/>
  <c r="K96" i="19"/>
  <c r="AC96" i="19" s="1"/>
  <c r="G96" i="19"/>
  <c r="E96" i="19"/>
  <c r="A96" i="19" s="1"/>
  <c r="D96" i="19"/>
  <c r="M95" i="19"/>
  <c r="AD95" i="19" s="1"/>
  <c r="K95" i="19"/>
  <c r="AC95" i="19" s="1"/>
  <c r="G95" i="19"/>
  <c r="E95" i="19"/>
  <c r="A95" i="19" s="1"/>
  <c r="D95" i="19"/>
  <c r="M94" i="19"/>
  <c r="AD94" i="19" s="1"/>
  <c r="K94" i="19"/>
  <c r="AC94" i="19" s="1"/>
  <c r="G94" i="19"/>
  <c r="E94" i="19"/>
  <c r="A94" i="19" s="1"/>
  <c r="D94" i="19"/>
  <c r="M93" i="19"/>
  <c r="AD93" i="19" s="1"/>
  <c r="K93" i="19"/>
  <c r="AC93" i="19" s="1"/>
  <c r="G93" i="19"/>
  <c r="E93" i="19"/>
  <c r="A93" i="19" s="1"/>
  <c r="D93" i="19"/>
  <c r="M92" i="19"/>
  <c r="AD92" i="19" s="1"/>
  <c r="K92" i="19"/>
  <c r="AC92" i="19" s="1"/>
  <c r="G92" i="19"/>
  <c r="E92" i="19"/>
  <c r="A92" i="19" s="1"/>
  <c r="D92" i="19"/>
  <c r="M91" i="19"/>
  <c r="AD91" i="19" s="1"/>
  <c r="K91" i="19"/>
  <c r="AC91" i="19" s="1"/>
  <c r="G91" i="19"/>
  <c r="E91" i="19"/>
  <c r="A91" i="19" s="1"/>
  <c r="D91" i="19"/>
  <c r="M90" i="19"/>
  <c r="AD90" i="19" s="1"/>
  <c r="K90" i="19"/>
  <c r="AC90" i="19" s="1"/>
  <c r="G90" i="19"/>
  <c r="E90" i="19"/>
  <c r="A90" i="19" s="1"/>
  <c r="D90" i="19"/>
  <c r="M89" i="19"/>
  <c r="AD89" i="19" s="1"/>
  <c r="K89" i="19"/>
  <c r="AC89" i="19" s="1"/>
  <c r="G89" i="19"/>
  <c r="E89" i="19"/>
  <c r="A89" i="19" s="1"/>
  <c r="D89" i="19"/>
  <c r="M88" i="19"/>
  <c r="AD88" i="19" s="1"/>
  <c r="K88" i="19"/>
  <c r="AC88" i="19" s="1"/>
  <c r="G88" i="19"/>
  <c r="E88" i="19"/>
  <c r="A88" i="19" s="1"/>
  <c r="D88" i="19"/>
  <c r="M87" i="19"/>
  <c r="AD87" i="19" s="1"/>
  <c r="K87" i="19"/>
  <c r="AC87" i="19" s="1"/>
  <c r="G87" i="19"/>
  <c r="E87" i="19"/>
  <c r="A87" i="19" s="1"/>
  <c r="D87" i="19"/>
  <c r="M86" i="19"/>
  <c r="AD86" i="19" s="1"/>
  <c r="K86" i="19"/>
  <c r="AC86" i="19" s="1"/>
  <c r="G86" i="19"/>
  <c r="E86" i="19"/>
  <c r="A86" i="19" s="1"/>
  <c r="D86" i="19"/>
  <c r="M85" i="19"/>
  <c r="AD85" i="19" s="1"/>
  <c r="K85" i="19"/>
  <c r="AC85" i="19" s="1"/>
  <c r="G85" i="19"/>
  <c r="E85" i="19"/>
  <c r="A85" i="19" s="1"/>
  <c r="D85" i="19"/>
  <c r="M84" i="19"/>
  <c r="AD84" i="19" s="1"/>
  <c r="K84" i="19"/>
  <c r="AC84" i="19" s="1"/>
  <c r="G84" i="19"/>
  <c r="E84" i="19"/>
  <c r="A84" i="19" s="1"/>
  <c r="D84" i="19"/>
  <c r="M83" i="19"/>
  <c r="AD83" i="19" s="1"/>
  <c r="K83" i="19"/>
  <c r="AC83" i="19" s="1"/>
  <c r="G83" i="19"/>
  <c r="E83" i="19"/>
  <c r="A83" i="19" s="1"/>
  <c r="D83" i="19"/>
  <c r="M82" i="19"/>
  <c r="AD82" i="19" s="1"/>
  <c r="K82" i="19"/>
  <c r="AC82" i="19" s="1"/>
  <c r="G82" i="19"/>
  <c r="E82" i="19"/>
  <c r="A82" i="19" s="1"/>
  <c r="D82" i="19"/>
  <c r="M81" i="19"/>
  <c r="AD81" i="19" s="1"/>
  <c r="K81" i="19"/>
  <c r="AC81" i="19" s="1"/>
  <c r="G81" i="19"/>
  <c r="E81" i="19"/>
  <c r="A81" i="19" s="1"/>
  <c r="D81" i="19"/>
  <c r="M80" i="19"/>
  <c r="AD80" i="19" s="1"/>
  <c r="K80" i="19"/>
  <c r="AC80" i="19" s="1"/>
  <c r="G80" i="19"/>
  <c r="E80" i="19"/>
  <c r="A80" i="19" s="1"/>
  <c r="D80" i="19"/>
  <c r="M79" i="19"/>
  <c r="AD79" i="19" s="1"/>
  <c r="K79" i="19"/>
  <c r="AC79" i="19" s="1"/>
  <c r="G79" i="19"/>
  <c r="E79" i="19"/>
  <c r="A79" i="19" s="1"/>
  <c r="D79" i="19"/>
  <c r="M78" i="19"/>
  <c r="AD78" i="19" s="1"/>
  <c r="K78" i="19"/>
  <c r="AC78" i="19" s="1"/>
  <c r="G78" i="19"/>
  <c r="E78" i="19"/>
  <c r="A78" i="19" s="1"/>
  <c r="D78" i="19"/>
  <c r="M77" i="19"/>
  <c r="AD77" i="19" s="1"/>
  <c r="K77" i="19"/>
  <c r="AC77" i="19" s="1"/>
  <c r="G77" i="19"/>
  <c r="E77" i="19"/>
  <c r="A77" i="19" s="1"/>
  <c r="D77" i="19"/>
  <c r="M76" i="19"/>
  <c r="AD76" i="19" s="1"/>
  <c r="K76" i="19"/>
  <c r="AC76" i="19" s="1"/>
  <c r="G76" i="19"/>
  <c r="E76" i="19"/>
  <c r="A76" i="19" s="1"/>
  <c r="D76" i="19"/>
  <c r="M75" i="19"/>
  <c r="AD75" i="19" s="1"/>
  <c r="K75" i="19"/>
  <c r="AC75" i="19" s="1"/>
  <c r="G75" i="19"/>
  <c r="E75" i="19"/>
  <c r="A75" i="19" s="1"/>
  <c r="D75" i="19"/>
  <c r="M74" i="19"/>
  <c r="AD74" i="19" s="1"/>
  <c r="K74" i="19"/>
  <c r="AC74" i="19" s="1"/>
  <c r="G74" i="19"/>
  <c r="E74" i="19"/>
  <c r="A74" i="19" s="1"/>
  <c r="D74" i="19"/>
  <c r="M73" i="19"/>
  <c r="AD73" i="19" s="1"/>
  <c r="K73" i="19"/>
  <c r="AC73" i="19" s="1"/>
  <c r="G73" i="19"/>
  <c r="E73" i="19"/>
  <c r="A73" i="19" s="1"/>
  <c r="D73" i="19"/>
  <c r="M72" i="19"/>
  <c r="AD72" i="19" s="1"/>
  <c r="K72" i="19"/>
  <c r="AC72" i="19" s="1"/>
  <c r="G72" i="19"/>
  <c r="E72" i="19"/>
  <c r="A72" i="19" s="1"/>
  <c r="D72" i="19"/>
  <c r="M71" i="19"/>
  <c r="AD71" i="19" s="1"/>
  <c r="K71" i="19"/>
  <c r="AC71" i="19" s="1"/>
  <c r="G71" i="19"/>
  <c r="E71" i="19"/>
  <c r="A71" i="19" s="1"/>
  <c r="D71" i="19"/>
  <c r="M70" i="19"/>
  <c r="AD70" i="19" s="1"/>
  <c r="K70" i="19"/>
  <c r="AC70" i="19" s="1"/>
  <c r="G70" i="19"/>
  <c r="E70" i="19"/>
  <c r="A70" i="19" s="1"/>
  <c r="D70" i="19"/>
  <c r="M69" i="19"/>
  <c r="AD69" i="19" s="1"/>
  <c r="K69" i="19"/>
  <c r="AC69" i="19" s="1"/>
  <c r="G69" i="19"/>
  <c r="E69" i="19"/>
  <c r="A69" i="19" s="1"/>
  <c r="D69" i="19"/>
  <c r="M68" i="19"/>
  <c r="AD68" i="19" s="1"/>
  <c r="K68" i="19"/>
  <c r="AC68" i="19" s="1"/>
  <c r="G68" i="19"/>
  <c r="E68" i="19"/>
  <c r="A68" i="19" s="1"/>
  <c r="D68" i="19"/>
  <c r="M67" i="19"/>
  <c r="AD67" i="19" s="1"/>
  <c r="K67" i="19"/>
  <c r="AC67" i="19" s="1"/>
  <c r="G67" i="19"/>
  <c r="E67" i="19"/>
  <c r="A67" i="19" s="1"/>
  <c r="D67" i="19"/>
  <c r="M66" i="19"/>
  <c r="AD66" i="19" s="1"/>
  <c r="K66" i="19"/>
  <c r="AC66" i="19" s="1"/>
  <c r="G66" i="19"/>
  <c r="E66" i="19"/>
  <c r="A66" i="19" s="1"/>
  <c r="D66" i="19"/>
  <c r="M65" i="19"/>
  <c r="AD65" i="19" s="1"/>
  <c r="K65" i="19"/>
  <c r="AC65" i="19" s="1"/>
  <c r="G65" i="19"/>
  <c r="E65" i="19"/>
  <c r="A65" i="19" s="1"/>
  <c r="D65" i="19"/>
  <c r="M64" i="19"/>
  <c r="AD64" i="19" s="1"/>
  <c r="K64" i="19"/>
  <c r="AC64" i="19" s="1"/>
  <c r="G64" i="19"/>
  <c r="E64" i="19"/>
  <c r="A64" i="19" s="1"/>
  <c r="D64" i="19"/>
  <c r="M63" i="19"/>
  <c r="AD63" i="19" s="1"/>
  <c r="K63" i="19"/>
  <c r="AC63" i="19" s="1"/>
  <c r="G63" i="19"/>
  <c r="E63" i="19"/>
  <c r="A63" i="19" s="1"/>
  <c r="D63" i="19"/>
  <c r="M62" i="19"/>
  <c r="AD62" i="19" s="1"/>
  <c r="K62" i="19"/>
  <c r="AC62" i="19" s="1"/>
  <c r="G62" i="19"/>
  <c r="E62" i="19"/>
  <c r="A62" i="19" s="1"/>
  <c r="D62" i="19"/>
  <c r="M61" i="19"/>
  <c r="AD61" i="19" s="1"/>
  <c r="K61" i="19"/>
  <c r="AC61" i="19" s="1"/>
  <c r="G61" i="19"/>
  <c r="E61" i="19"/>
  <c r="A61" i="19" s="1"/>
  <c r="D61" i="19"/>
  <c r="M60" i="19"/>
  <c r="AD60" i="19" s="1"/>
  <c r="K60" i="19"/>
  <c r="AC60" i="19" s="1"/>
  <c r="G60" i="19"/>
  <c r="E60" i="19"/>
  <c r="A60" i="19" s="1"/>
  <c r="D60" i="19"/>
  <c r="M59" i="19"/>
  <c r="AD59" i="19" s="1"/>
  <c r="K59" i="19"/>
  <c r="AC59" i="19" s="1"/>
  <c r="G59" i="19"/>
  <c r="E59" i="19"/>
  <c r="A59" i="19" s="1"/>
  <c r="D59" i="19"/>
  <c r="M58" i="19"/>
  <c r="AD58" i="19" s="1"/>
  <c r="K58" i="19"/>
  <c r="AC58" i="19" s="1"/>
  <c r="G58" i="19"/>
  <c r="E58" i="19"/>
  <c r="A58" i="19" s="1"/>
  <c r="D58" i="19"/>
  <c r="M57" i="19"/>
  <c r="AD57" i="19" s="1"/>
  <c r="K57" i="19"/>
  <c r="AC57" i="19" s="1"/>
  <c r="G57" i="19"/>
  <c r="E57" i="19"/>
  <c r="A57" i="19" s="1"/>
  <c r="D57" i="19"/>
  <c r="M56" i="19"/>
  <c r="AD56" i="19" s="1"/>
  <c r="K56" i="19"/>
  <c r="AC56" i="19" s="1"/>
  <c r="G56" i="19"/>
  <c r="E56" i="19"/>
  <c r="A56" i="19" s="1"/>
  <c r="D56" i="19"/>
  <c r="M55" i="19"/>
  <c r="AD55" i="19" s="1"/>
  <c r="K55" i="19"/>
  <c r="AC55" i="19" s="1"/>
  <c r="G55" i="19"/>
  <c r="E55" i="19"/>
  <c r="A55" i="19" s="1"/>
  <c r="D55" i="19"/>
  <c r="M54" i="19"/>
  <c r="AD54" i="19" s="1"/>
  <c r="K54" i="19"/>
  <c r="AC54" i="19" s="1"/>
  <c r="G54" i="19"/>
  <c r="E54" i="19"/>
  <c r="A54" i="19" s="1"/>
  <c r="D54" i="19"/>
  <c r="M53" i="19"/>
  <c r="AD53" i="19" s="1"/>
  <c r="K53" i="19"/>
  <c r="AC53" i="19" s="1"/>
  <c r="G53" i="19"/>
  <c r="E53" i="19"/>
  <c r="A53" i="19" s="1"/>
  <c r="D53" i="19"/>
  <c r="M52" i="19"/>
  <c r="AD52" i="19" s="1"/>
  <c r="K52" i="19"/>
  <c r="AC52" i="19" s="1"/>
  <c r="G52" i="19"/>
  <c r="E52" i="19"/>
  <c r="A52" i="19" s="1"/>
  <c r="D52" i="19"/>
  <c r="M51" i="19"/>
  <c r="AD51" i="19" s="1"/>
  <c r="K51" i="19"/>
  <c r="AC51" i="19" s="1"/>
  <c r="G51" i="19"/>
  <c r="E51" i="19"/>
  <c r="A51" i="19" s="1"/>
  <c r="D51" i="19"/>
  <c r="M50" i="19"/>
  <c r="AD50" i="19" s="1"/>
  <c r="K50" i="19"/>
  <c r="AC50" i="19" s="1"/>
  <c r="G50" i="19"/>
  <c r="E50" i="19"/>
  <c r="A50" i="19" s="1"/>
  <c r="D50" i="19"/>
  <c r="M49" i="19"/>
  <c r="AD49" i="19" s="1"/>
  <c r="K49" i="19"/>
  <c r="AC49" i="19" s="1"/>
  <c r="G49" i="19"/>
  <c r="E49" i="19"/>
  <c r="A49" i="19" s="1"/>
  <c r="D49" i="19"/>
  <c r="M48" i="19"/>
  <c r="AD48" i="19" s="1"/>
  <c r="K48" i="19"/>
  <c r="AC48" i="19" s="1"/>
  <c r="G48" i="19"/>
  <c r="E48" i="19"/>
  <c r="A48" i="19" s="1"/>
  <c r="D48" i="19"/>
  <c r="M47" i="19"/>
  <c r="AD47" i="19" s="1"/>
  <c r="K47" i="19"/>
  <c r="AC47" i="19" s="1"/>
  <c r="G47" i="19"/>
  <c r="E47" i="19"/>
  <c r="A47" i="19" s="1"/>
  <c r="D47" i="19"/>
  <c r="M46" i="19"/>
  <c r="AD46" i="19" s="1"/>
  <c r="K46" i="19"/>
  <c r="AC46" i="19" s="1"/>
  <c r="G46" i="19"/>
  <c r="E46" i="19"/>
  <c r="A46" i="19" s="1"/>
  <c r="D46" i="19"/>
  <c r="M45" i="19"/>
  <c r="AD45" i="19" s="1"/>
  <c r="K45" i="19"/>
  <c r="AC45" i="19" s="1"/>
  <c r="G45" i="19"/>
  <c r="E45" i="19"/>
  <c r="A45" i="19" s="1"/>
  <c r="D45" i="19"/>
  <c r="M44" i="19"/>
  <c r="AD44" i="19" s="1"/>
  <c r="K44" i="19"/>
  <c r="AC44" i="19" s="1"/>
  <c r="G44" i="19"/>
  <c r="E44" i="19"/>
  <c r="A44" i="19" s="1"/>
  <c r="D44" i="19"/>
  <c r="M43" i="19"/>
  <c r="AD43" i="19" s="1"/>
  <c r="K43" i="19"/>
  <c r="AC43" i="19" s="1"/>
  <c r="G43" i="19"/>
  <c r="E43" i="19"/>
  <c r="A43" i="19" s="1"/>
  <c r="D43" i="19"/>
  <c r="M42" i="19"/>
  <c r="AD42" i="19" s="1"/>
  <c r="K42" i="19"/>
  <c r="AC42" i="19" s="1"/>
  <c r="G42" i="19"/>
  <c r="E42" i="19"/>
  <c r="A42" i="19" s="1"/>
  <c r="D42" i="19"/>
  <c r="M41" i="19"/>
  <c r="AD41" i="19" s="1"/>
  <c r="K41" i="19"/>
  <c r="AC41" i="19" s="1"/>
  <c r="G41" i="19"/>
  <c r="E41" i="19"/>
  <c r="A41" i="19" s="1"/>
  <c r="D41" i="19"/>
  <c r="M40" i="19"/>
  <c r="AD40" i="19" s="1"/>
  <c r="K40" i="19"/>
  <c r="AC40" i="19" s="1"/>
  <c r="G40" i="19"/>
  <c r="E40" i="19"/>
  <c r="A40" i="19" s="1"/>
  <c r="D40" i="19"/>
  <c r="M39" i="19"/>
  <c r="AD39" i="19" s="1"/>
  <c r="K39" i="19"/>
  <c r="AC39" i="19" s="1"/>
  <c r="G39" i="19"/>
  <c r="E39" i="19"/>
  <c r="A39" i="19" s="1"/>
  <c r="D39" i="19"/>
  <c r="M38" i="19"/>
  <c r="AD38" i="19" s="1"/>
  <c r="K38" i="19"/>
  <c r="AC38" i="19" s="1"/>
  <c r="G38" i="19"/>
  <c r="E38" i="19"/>
  <c r="A38" i="19" s="1"/>
  <c r="D38" i="19"/>
  <c r="M37" i="19"/>
  <c r="AD37" i="19" s="1"/>
  <c r="K37" i="19"/>
  <c r="AC37" i="19" s="1"/>
  <c r="G37" i="19"/>
  <c r="E37" i="19"/>
  <c r="A37" i="19" s="1"/>
  <c r="D37" i="19"/>
  <c r="M36" i="19"/>
  <c r="AD36" i="19" s="1"/>
  <c r="K36" i="19"/>
  <c r="AC36" i="19" s="1"/>
  <c r="G36" i="19"/>
  <c r="E36" i="19"/>
  <c r="A36" i="19" s="1"/>
  <c r="D36" i="19"/>
  <c r="M35" i="19"/>
  <c r="AD35" i="19" s="1"/>
  <c r="K35" i="19"/>
  <c r="AC35" i="19" s="1"/>
  <c r="G35" i="19"/>
  <c r="E35" i="19"/>
  <c r="A35" i="19" s="1"/>
  <c r="D35" i="19"/>
  <c r="M34" i="19"/>
  <c r="AD34" i="19" s="1"/>
  <c r="K34" i="19"/>
  <c r="AC34" i="19" s="1"/>
  <c r="G34" i="19"/>
  <c r="E34" i="19"/>
  <c r="A34" i="19" s="1"/>
  <c r="D34" i="19"/>
  <c r="M33" i="19"/>
  <c r="AD33" i="19" s="1"/>
  <c r="K33" i="19"/>
  <c r="AC33" i="19" s="1"/>
  <c r="G33" i="19"/>
  <c r="E33" i="19"/>
  <c r="A33" i="19" s="1"/>
  <c r="D33" i="19"/>
  <c r="M32" i="19"/>
  <c r="AD32" i="19" s="1"/>
  <c r="K32" i="19"/>
  <c r="AC32" i="19" s="1"/>
  <c r="G32" i="19"/>
  <c r="E32" i="19"/>
  <c r="A32" i="19" s="1"/>
  <c r="D32" i="19"/>
  <c r="M31" i="19"/>
  <c r="AD31" i="19" s="1"/>
  <c r="K31" i="19"/>
  <c r="AC31" i="19" s="1"/>
  <c r="G31" i="19"/>
  <c r="E31" i="19"/>
  <c r="A31" i="19" s="1"/>
  <c r="D31" i="19"/>
  <c r="M30" i="19"/>
  <c r="AD30" i="19" s="1"/>
  <c r="K30" i="19"/>
  <c r="AC30" i="19" s="1"/>
  <c r="G30" i="19"/>
  <c r="E30" i="19"/>
  <c r="A30" i="19" s="1"/>
  <c r="D30" i="19"/>
  <c r="M29" i="19"/>
  <c r="AD29" i="19" s="1"/>
  <c r="K29" i="19"/>
  <c r="AC29" i="19" s="1"/>
  <c r="G29" i="19"/>
  <c r="E29" i="19"/>
  <c r="A29" i="19" s="1"/>
  <c r="D29" i="19"/>
  <c r="M28" i="19"/>
  <c r="AD28" i="19" s="1"/>
  <c r="K28" i="19"/>
  <c r="AC28" i="19" s="1"/>
  <c r="G28" i="19"/>
  <c r="E28" i="19"/>
  <c r="A28" i="19" s="1"/>
  <c r="D28" i="19"/>
  <c r="M27" i="19"/>
  <c r="AD27" i="19" s="1"/>
  <c r="K27" i="19"/>
  <c r="AC27" i="19" s="1"/>
  <c r="G27" i="19"/>
  <c r="E27" i="19"/>
  <c r="A27" i="19" s="1"/>
  <c r="D27" i="19"/>
  <c r="M26" i="19"/>
  <c r="AD26" i="19" s="1"/>
  <c r="K26" i="19"/>
  <c r="AC26" i="19" s="1"/>
  <c r="G26" i="19"/>
  <c r="E26" i="19"/>
  <c r="A26" i="19" s="1"/>
  <c r="D26" i="19"/>
  <c r="M25" i="19"/>
  <c r="AD25" i="19" s="1"/>
  <c r="K25" i="19"/>
  <c r="AC25" i="19" s="1"/>
  <c r="G25" i="19"/>
  <c r="E25" i="19"/>
  <c r="A25" i="19" s="1"/>
  <c r="D25" i="19"/>
  <c r="M24" i="19"/>
  <c r="AD24" i="19" s="1"/>
  <c r="K24" i="19"/>
  <c r="AC24" i="19" s="1"/>
  <c r="G24" i="19"/>
  <c r="E24" i="19"/>
  <c r="A24" i="19" s="1"/>
  <c r="D24" i="19"/>
  <c r="M23" i="19"/>
  <c r="AD23" i="19" s="1"/>
  <c r="K23" i="19"/>
  <c r="AC23" i="19" s="1"/>
  <c r="G23" i="19"/>
  <c r="E23" i="19"/>
  <c r="A23" i="19" s="1"/>
  <c r="D23" i="19"/>
  <c r="M22" i="19"/>
  <c r="AD22" i="19" s="1"/>
  <c r="K22" i="19"/>
  <c r="AC22" i="19" s="1"/>
  <c r="G22" i="19"/>
  <c r="E22" i="19"/>
  <c r="A22" i="19" s="1"/>
  <c r="D22" i="19"/>
  <c r="M21" i="19"/>
  <c r="AD21" i="19" s="1"/>
  <c r="K21" i="19"/>
  <c r="AC21" i="19" s="1"/>
  <c r="G21" i="19"/>
  <c r="E21" i="19"/>
  <c r="A21" i="19" s="1"/>
  <c r="D21" i="19"/>
  <c r="M20" i="19"/>
  <c r="AD20" i="19" s="1"/>
  <c r="K20" i="19"/>
  <c r="AC20" i="19" s="1"/>
  <c r="G20" i="19"/>
  <c r="E20" i="19"/>
  <c r="A20" i="19" s="1"/>
  <c r="D20" i="19"/>
  <c r="M19" i="19"/>
  <c r="AD19" i="19" s="1"/>
  <c r="K19" i="19"/>
  <c r="AC19" i="19" s="1"/>
  <c r="G19" i="19"/>
  <c r="E19" i="19"/>
  <c r="A19" i="19" s="1"/>
  <c r="D19" i="19"/>
  <c r="M18" i="19"/>
  <c r="AD18" i="19" s="1"/>
  <c r="K18" i="19"/>
  <c r="AC18" i="19" s="1"/>
  <c r="G18" i="19"/>
  <c r="E18" i="19"/>
  <c r="A18" i="19" s="1"/>
  <c r="D18" i="19"/>
  <c r="M17" i="19"/>
  <c r="AD17" i="19" s="1"/>
  <c r="K17" i="19"/>
  <c r="AC17" i="19" s="1"/>
  <c r="G17" i="19"/>
  <c r="E17" i="19"/>
  <c r="A17" i="19" s="1"/>
  <c r="D17" i="19"/>
  <c r="M16" i="19"/>
  <c r="AD16" i="19" s="1"/>
  <c r="K16" i="19"/>
  <c r="AC16" i="19" s="1"/>
  <c r="G16" i="19"/>
  <c r="E16" i="19"/>
  <c r="A16" i="19" s="1"/>
  <c r="D16" i="19"/>
  <c r="M15" i="19"/>
  <c r="AD15" i="19" s="1"/>
  <c r="K15" i="19"/>
  <c r="AC15" i="19" s="1"/>
  <c r="G15" i="19"/>
  <c r="E15" i="19"/>
  <c r="A15" i="19" s="1"/>
  <c r="D15" i="19"/>
  <c r="M14" i="19"/>
  <c r="AD14" i="19" s="1"/>
  <c r="K14" i="19"/>
  <c r="AC14" i="19" s="1"/>
  <c r="G14" i="19"/>
  <c r="E14" i="19"/>
  <c r="A14" i="19" s="1"/>
  <c r="D14" i="19"/>
  <c r="K13" i="19"/>
  <c r="AC13" i="19" s="1"/>
  <c r="G13" i="19"/>
  <c r="E13" i="19"/>
  <c r="A13" i="19" s="1"/>
  <c r="D13" i="19"/>
  <c r="M12" i="19"/>
  <c r="AD12" i="19" s="1"/>
  <c r="K12" i="19"/>
  <c r="AC12" i="19" s="1"/>
  <c r="G12" i="19"/>
  <c r="E12" i="19"/>
  <c r="A12" i="19" s="1"/>
  <c r="D12" i="19"/>
  <c r="M11" i="19"/>
  <c r="AD11" i="19" s="1"/>
  <c r="K11" i="19"/>
  <c r="AC11" i="19" s="1"/>
  <c r="G11" i="19"/>
  <c r="E11" i="19"/>
  <c r="A11" i="19" s="1"/>
  <c r="D11" i="19"/>
  <c r="M10" i="19"/>
  <c r="AD10" i="19" s="1"/>
  <c r="K10" i="19"/>
  <c r="AC10" i="19" s="1"/>
  <c r="G10" i="19"/>
  <c r="E10" i="19"/>
  <c r="A10" i="19" s="1"/>
  <c r="D10" i="19"/>
  <c r="M9" i="19"/>
  <c r="AD9" i="19" s="1"/>
  <c r="K9" i="19"/>
  <c r="AC9" i="19" s="1"/>
  <c r="G9" i="19"/>
  <c r="E9" i="19"/>
  <c r="A9" i="19" s="1"/>
  <c r="D9" i="19"/>
  <c r="M8" i="19"/>
  <c r="AD8" i="19" s="1"/>
  <c r="K8" i="19"/>
  <c r="AC8" i="19" s="1"/>
  <c r="G8" i="19"/>
  <c r="E8" i="19"/>
  <c r="A8" i="19" s="1"/>
  <c r="D8" i="19"/>
  <c r="M7" i="19"/>
  <c r="AD7" i="19" s="1"/>
  <c r="K7" i="19"/>
  <c r="AC7" i="19" s="1"/>
  <c r="G7" i="19"/>
  <c r="E7" i="19"/>
  <c r="A7" i="19" s="1"/>
  <c r="D7" i="19"/>
  <c r="FI228" i="35" l="1"/>
  <c r="B38" i="37"/>
  <c r="Y21" i="37"/>
  <c r="B32" i="34"/>
  <c r="FB27" i="35"/>
  <c r="F31" i="34" s="1"/>
  <c r="FB26" i="35"/>
  <c r="F30" i="34" s="1"/>
  <c r="FB25" i="35"/>
  <c r="F29" i="34" s="1"/>
  <c r="FC27" i="35"/>
  <c r="FC26" i="35"/>
  <c r="FC25" i="35"/>
  <c r="FE12" i="35"/>
  <c r="FD12" i="35"/>
  <c r="AH222" i="35"/>
  <c r="EO220" i="35"/>
  <c r="EN220" i="35"/>
  <c r="X220" i="35"/>
  <c r="U220" i="35"/>
  <c r="R220" i="35"/>
  <c r="M220" i="35"/>
  <c r="L220" i="35"/>
  <c r="K220" i="35"/>
  <c r="J220" i="35"/>
  <c r="I220" i="35"/>
  <c r="H220" i="35"/>
  <c r="G220" i="35"/>
  <c r="F220" i="35"/>
  <c r="B220" i="35"/>
  <c r="EU219" i="35"/>
  <c r="EP219" i="35"/>
  <c r="CS219" i="35"/>
  <c r="GZ219" i="35" s="1"/>
  <c r="Z219" i="35"/>
  <c r="V219" i="35"/>
  <c r="Q219" i="35"/>
  <c r="EU218" i="35"/>
  <c r="EP218" i="35"/>
  <c r="CS218" i="35"/>
  <c r="GZ218" i="35" s="1"/>
  <c r="Z218" i="35"/>
  <c r="Q218" i="35"/>
  <c r="EU217" i="35"/>
  <c r="EP217" i="35"/>
  <c r="CS217" i="35"/>
  <c r="GZ217" i="35" s="1"/>
  <c r="Z217" i="35"/>
  <c r="Q217" i="35"/>
  <c r="EU216" i="35"/>
  <c r="EP216" i="35"/>
  <c r="CS216" i="35"/>
  <c r="GZ216" i="35" s="1"/>
  <c r="Z216" i="35"/>
  <c r="Q216" i="35"/>
  <c r="EU215" i="35"/>
  <c r="EP215" i="35"/>
  <c r="CS215" i="35"/>
  <c r="GZ215" i="35" s="1"/>
  <c r="Z215" i="35"/>
  <c r="Q215" i="35"/>
  <c r="EU214" i="35"/>
  <c r="EP214" i="35"/>
  <c r="CS214" i="35"/>
  <c r="GZ214" i="35" s="1"/>
  <c r="Z214" i="35"/>
  <c r="Q214" i="35"/>
  <c r="EU213" i="35"/>
  <c r="EP213" i="35"/>
  <c r="CS213" i="35"/>
  <c r="GZ213" i="35" s="1"/>
  <c r="Z213" i="35"/>
  <c r="Q213" i="35"/>
  <c r="EU212" i="35"/>
  <c r="EP212" i="35"/>
  <c r="CS212" i="35"/>
  <c r="GZ212" i="35" s="1"/>
  <c r="Z212" i="35"/>
  <c r="Q212" i="35"/>
  <c r="EU211" i="35"/>
  <c r="EP211" i="35"/>
  <c r="CS211" i="35"/>
  <c r="GZ211" i="35" s="1"/>
  <c r="Z211" i="35"/>
  <c r="Q211" i="35"/>
  <c r="EU210" i="35"/>
  <c r="EP210" i="35"/>
  <c r="CS210" i="35"/>
  <c r="GZ210" i="35" s="1"/>
  <c r="Z210" i="35"/>
  <c r="Q210" i="35"/>
  <c r="EU209" i="35"/>
  <c r="EP209" i="35"/>
  <c r="CS209" i="35"/>
  <c r="GZ209" i="35" s="1"/>
  <c r="Z209" i="35"/>
  <c r="V209" i="35"/>
  <c r="Q209" i="35"/>
  <c r="EU208" i="35"/>
  <c r="EP208" i="35"/>
  <c r="CS208" i="35"/>
  <c r="GZ208" i="35" s="1"/>
  <c r="Z208" i="35"/>
  <c r="V208" i="35"/>
  <c r="Q208" i="35"/>
  <c r="EU207" i="35"/>
  <c r="EP207" i="35"/>
  <c r="CS207" i="35"/>
  <c r="GZ207" i="35" s="1"/>
  <c r="Z207" i="35"/>
  <c r="W207" i="35"/>
  <c r="Q207" i="35"/>
  <c r="EU206" i="35"/>
  <c r="EP206" i="35"/>
  <c r="CS206" i="35"/>
  <c r="GZ206" i="35" s="1"/>
  <c r="Z206" i="35"/>
  <c r="W206" i="35"/>
  <c r="Q206" i="35"/>
  <c r="EU205" i="35"/>
  <c r="EP205" i="35"/>
  <c r="CS205" i="35"/>
  <c r="GZ205" i="35" s="1"/>
  <c r="Z205" i="35"/>
  <c r="W205" i="35"/>
  <c r="Q205" i="35"/>
  <c r="EU204" i="35"/>
  <c r="EP204" i="35"/>
  <c r="CS204" i="35"/>
  <c r="GZ204" i="35" s="1"/>
  <c r="Z204" i="35"/>
  <c r="W204" i="35"/>
  <c r="Q204" i="35"/>
  <c r="EU203" i="35"/>
  <c r="EP203" i="35"/>
  <c r="CS203" i="35"/>
  <c r="GZ203" i="35" s="1"/>
  <c r="Z203" i="35"/>
  <c r="Q203" i="35"/>
  <c r="C203" i="35"/>
  <c r="C204" i="35" s="1"/>
  <c r="C205" i="35" s="1"/>
  <c r="C206" i="35" s="1"/>
  <c r="C207" i="35" s="1"/>
  <c r="C208" i="35" s="1"/>
  <c r="C209" i="35" s="1"/>
  <c r="C210" i="35" s="1"/>
  <c r="C211" i="35" s="1"/>
  <c r="C212" i="35" s="1"/>
  <c r="C213" i="35" s="1"/>
  <c r="C214" i="35" s="1"/>
  <c r="C215" i="35" s="1"/>
  <c r="C216" i="35" s="1"/>
  <c r="C217" i="35" s="1"/>
  <c r="C218" i="35" s="1"/>
  <c r="C219" i="35" s="1"/>
  <c r="AJ228" i="35" s="1"/>
  <c r="EU202" i="35"/>
  <c r="EP202" i="35"/>
  <c r="CS202" i="35"/>
  <c r="GZ202" i="35" s="1"/>
  <c r="Z202" i="35"/>
  <c r="W202" i="35"/>
  <c r="Q202" i="35"/>
  <c r="EU201" i="35"/>
  <c r="EP201" i="35"/>
  <c r="CS201" i="35"/>
  <c r="GZ201" i="35" s="1"/>
  <c r="Z201" i="35"/>
  <c r="V201" i="35"/>
  <c r="Q201" i="35"/>
  <c r="E201" i="35"/>
  <c r="EU200" i="35"/>
  <c r="EP200" i="35"/>
  <c r="CS200" i="35"/>
  <c r="GZ200" i="35" s="1"/>
  <c r="Z200" i="35"/>
  <c r="Q200" i="35"/>
  <c r="E200" i="35"/>
  <c r="EU199" i="35"/>
  <c r="EP199" i="35"/>
  <c r="CS199" i="35"/>
  <c r="GZ199" i="35" s="1"/>
  <c r="Z199" i="35"/>
  <c r="Q199" i="35"/>
  <c r="E199" i="35"/>
  <c r="EU198" i="35"/>
  <c r="EP198" i="35"/>
  <c r="CS198" i="35"/>
  <c r="GZ198" i="35" s="1"/>
  <c r="Z198" i="35"/>
  <c r="Q198" i="35"/>
  <c r="E198" i="35"/>
  <c r="EU197" i="35"/>
  <c r="EP197" i="35"/>
  <c r="CS197" i="35"/>
  <c r="GZ197" i="35" s="1"/>
  <c r="Z197" i="35"/>
  <c r="Q197" i="35"/>
  <c r="E197" i="35"/>
  <c r="EU196" i="35"/>
  <c r="EP196" i="35"/>
  <c r="CS196" i="35"/>
  <c r="GZ196" i="35" s="1"/>
  <c r="Z196" i="35"/>
  <c r="Q196" i="35"/>
  <c r="E196" i="35"/>
  <c r="EU195" i="35"/>
  <c r="EP195" i="35"/>
  <c r="CS195" i="35"/>
  <c r="GZ195" i="35" s="1"/>
  <c r="Z195" i="35"/>
  <c r="Q195" i="35"/>
  <c r="E195" i="35"/>
  <c r="EU194" i="35"/>
  <c r="EP194" i="35"/>
  <c r="CS194" i="35"/>
  <c r="GZ194" i="35" s="1"/>
  <c r="Z194" i="35"/>
  <c r="Q194" i="35"/>
  <c r="E194" i="35"/>
  <c r="EU193" i="35"/>
  <c r="EP193" i="35"/>
  <c r="CS193" i="35"/>
  <c r="GZ193" i="35" s="1"/>
  <c r="Z193" i="35"/>
  <c r="Q193" i="35"/>
  <c r="E193" i="35"/>
  <c r="EU192" i="35"/>
  <c r="EP192" i="35"/>
  <c r="CS192" i="35"/>
  <c r="GZ192" i="35" s="1"/>
  <c r="Z192" i="35"/>
  <c r="Q192" i="35"/>
  <c r="E192" i="35"/>
  <c r="EU191" i="35"/>
  <c r="EP191" i="35"/>
  <c r="CS191" i="35"/>
  <c r="GZ191" i="35" s="1"/>
  <c r="Z191" i="35"/>
  <c r="V191" i="35"/>
  <c r="Q191" i="35"/>
  <c r="E191" i="35"/>
  <c r="EU190" i="35"/>
  <c r="EP190" i="35"/>
  <c r="CS190" i="35"/>
  <c r="GZ190" i="35" s="1"/>
  <c r="Z190" i="35"/>
  <c r="V190" i="35"/>
  <c r="Q190" i="35"/>
  <c r="E190" i="35"/>
  <c r="EU189" i="35"/>
  <c r="EP189" i="35"/>
  <c r="CS189" i="35"/>
  <c r="GZ189" i="35" s="1"/>
  <c r="Z189" i="35"/>
  <c r="W189" i="35"/>
  <c r="Q189" i="35"/>
  <c r="E189" i="35"/>
  <c r="EU188" i="35"/>
  <c r="EP188" i="35"/>
  <c r="CS188" i="35"/>
  <c r="GZ188" i="35" s="1"/>
  <c r="Z188" i="35"/>
  <c r="W188" i="35"/>
  <c r="Q188" i="35"/>
  <c r="E188" i="35"/>
  <c r="EU187" i="35"/>
  <c r="EP187" i="35"/>
  <c r="CS187" i="35"/>
  <c r="GZ187" i="35" s="1"/>
  <c r="Z187" i="35"/>
  <c r="W187" i="35"/>
  <c r="Q187" i="35"/>
  <c r="E187" i="35"/>
  <c r="EU186" i="35"/>
  <c r="EP186" i="35"/>
  <c r="CS186" i="35"/>
  <c r="GZ186" i="35" s="1"/>
  <c r="Z186" i="35"/>
  <c r="W186" i="35"/>
  <c r="Q186" i="35"/>
  <c r="E186" i="35"/>
  <c r="EU185" i="35"/>
  <c r="EP185" i="35"/>
  <c r="CS185" i="35"/>
  <c r="GZ185" i="35" s="1"/>
  <c r="Z185" i="35"/>
  <c r="Q185" i="35"/>
  <c r="E185" i="35"/>
  <c r="C185" i="35"/>
  <c r="C186" i="35" s="1"/>
  <c r="C187" i="35" s="1"/>
  <c r="C188" i="35" s="1"/>
  <c r="C189" i="35" s="1"/>
  <c r="C190" i="35" s="1"/>
  <c r="C191" i="35" s="1"/>
  <c r="C192" i="35" s="1"/>
  <c r="C193" i="35" s="1"/>
  <c r="C194" i="35" s="1"/>
  <c r="C195" i="35" s="1"/>
  <c r="C196" i="35" s="1"/>
  <c r="C197" i="35" s="1"/>
  <c r="C198" i="35" s="1"/>
  <c r="C199" i="35" s="1"/>
  <c r="C200" i="35" s="1"/>
  <c r="C201" i="35" s="1"/>
  <c r="EU184" i="35"/>
  <c r="EP184" i="35"/>
  <c r="CS184" i="35"/>
  <c r="GZ184" i="35" s="1"/>
  <c r="Z184" i="35"/>
  <c r="W184" i="35"/>
  <c r="Q184" i="35"/>
  <c r="E184" i="35"/>
  <c r="EU183" i="35"/>
  <c r="EP183" i="35"/>
  <c r="CS183" i="35"/>
  <c r="GZ183" i="35" s="1"/>
  <c r="Z183" i="35"/>
  <c r="V183" i="35"/>
  <c r="Q183" i="35"/>
  <c r="E183" i="35"/>
  <c r="EU182" i="35"/>
  <c r="EP182" i="35"/>
  <c r="CS182" i="35"/>
  <c r="GZ182" i="35" s="1"/>
  <c r="Z182" i="35"/>
  <c r="Q182" i="35"/>
  <c r="E182" i="35"/>
  <c r="EU181" i="35"/>
  <c r="EP181" i="35"/>
  <c r="CS181" i="35"/>
  <c r="GZ181" i="35" s="1"/>
  <c r="Z181" i="35"/>
  <c r="Q181" i="35"/>
  <c r="E181" i="35"/>
  <c r="EU180" i="35"/>
  <c r="EP180" i="35"/>
  <c r="CS180" i="35"/>
  <c r="GZ180" i="35" s="1"/>
  <c r="Z180" i="35"/>
  <c r="Q180" i="35"/>
  <c r="E180" i="35"/>
  <c r="EU179" i="35"/>
  <c r="EP179" i="35"/>
  <c r="CS179" i="35"/>
  <c r="GZ179" i="35" s="1"/>
  <c r="Z179" i="35"/>
  <c r="Q179" i="35"/>
  <c r="E179" i="35"/>
  <c r="EU178" i="35"/>
  <c r="EP178" i="35"/>
  <c r="CS178" i="35"/>
  <c r="GZ178" i="35" s="1"/>
  <c r="Z178" i="35"/>
  <c r="Q178" i="35"/>
  <c r="E178" i="35"/>
  <c r="EU177" i="35"/>
  <c r="EP177" i="35"/>
  <c r="CS177" i="35"/>
  <c r="GZ177" i="35" s="1"/>
  <c r="Z177" i="35"/>
  <c r="Q177" i="35"/>
  <c r="E177" i="35"/>
  <c r="EU176" i="35"/>
  <c r="EP176" i="35"/>
  <c r="CS176" i="35"/>
  <c r="GZ176" i="35" s="1"/>
  <c r="Z176" i="35"/>
  <c r="Q176" i="35"/>
  <c r="E176" i="35"/>
  <c r="EU175" i="35"/>
  <c r="EP175" i="35"/>
  <c r="CS175" i="35"/>
  <c r="GZ175" i="35" s="1"/>
  <c r="Z175" i="35"/>
  <c r="Q175" i="35"/>
  <c r="E175" i="35"/>
  <c r="EU174" i="35"/>
  <c r="EP174" i="35"/>
  <c r="CS174" i="35"/>
  <c r="GZ174" i="35" s="1"/>
  <c r="Z174" i="35"/>
  <c r="Q174" i="35"/>
  <c r="E174" i="35"/>
  <c r="EU173" i="35"/>
  <c r="EP173" i="35"/>
  <c r="CS173" i="35"/>
  <c r="GZ173" i="35" s="1"/>
  <c r="Z173" i="35"/>
  <c r="V173" i="35"/>
  <c r="Q173" i="35"/>
  <c r="E173" i="35"/>
  <c r="EU172" i="35"/>
  <c r="EP172" i="35"/>
  <c r="CS172" i="35"/>
  <c r="GZ172" i="35" s="1"/>
  <c r="Z172" i="35"/>
  <c r="V172" i="35"/>
  <c r="Q172" i="35"/>
  <c r="E172" i="35"/>
  <c r="EU171" i="35"/>
  <c r="EP171" i="35"/>
  <c r="CS171" i="35"/>
  <c r="GZ171" i="35" s="1"/>
  <c r="Z171" i="35"/>
  <c r="W171" i="35"/>
  <c r="Q171" i="35"/>
  <c r="E171" i="35"/>
  <c r="EU170" i="35"/>
  <c r="EP170" i="35"/>
  <c r="CS170" i="35"/>
  <c r="GZ170" i="35" s="1"/>
  <c r="Z170" i="35"/>
  <c r="W170" i="35"/>
  <c r="Q170" i="35"/>
  <c r="E170" i="35"/>
  <c r="EU169" i="35"/>
  <c r="EP169" i="35"/>
  <c r="CS169" i="35"/>
  <c r="GZ169" i="35" s="1"/>
  <c r="Z169" i="35"/>
  <c r="W169" i="35"/>
  <c r="Q169" i="35"/>
  <c r="E169" i="35"/>
  <c r="EU168" i="35"/>
  <c r="EP168" i="35"/>
  <c r="CS168" i="35"/>
  <c r="GZ168" i="35" s="1"/>
  <c r="Z168" i="35"/>
  <c r="W168" i="35"/>
  <c r="Q168" i="35"/>
  <c r="E168" i="35"/>
  <c r="EU167" i="35"/>
  <c r="EP167" i="35"/>
  <c r="CS167" i="35"/>
  <c r="GZ167" i="35" s="1"/>
  <c r="Z167" i="35"/>
  <c r="Q167" i="35"/>
  <c r="E167" i="35"/>
  <c r="C167" i="35"/>
  <c r="C168" i="35" s="1"/>
  <c r="C169" i="35" s="1"/>
  <c r="C170" i="35" s="1"/>
  <c r="C171" i="35" s="1"/>
  <c r="C172" i="35" s="1"/>
  <c r="C173" i="35" s="1"/>
  <c r="C174" i="35" s="1"/>
  <c r="C175" i="35" s="1"/>
  <c r="C176" i="35" s="1"/>
  <c r="C177" i="35" s="1"/>
  <c r="C178" i="35" s="1"/>
  <c r="C179" i="35" s="1"/>
  <c r="C180" i="35" s="1"/>
  <c r="C181" i="35" s="1"/>
  <c r="C182" i="35" s="1"/>
  <c r="C183" i="35" s="1"/>
  <c r="EU166" i="35"/>
  <c r="EP166" i="35"/>
  <c r="CS166" i="35"/>
  <c r="GZ166" i="35" s="1"/>
  <c r="Z166" i="35"/>
  <c r="W166" i="35"/>
  <c r="Q166" i="35"/>
  <c r="E166" i="35"/>
  <c r="EU165" i="35"/>
  <c r="EP165" i="35"/>
  <c r="CS165" i="35"/>
  <c r="GZ165" i="35" s="1"/>
  <c r="Z165" i="35"/>
  <c r="V165" i="35"/>
  <c r="Q165" i="35"/>
  <c r="E165" i="35"/>
  <c r="EU164" i="35"/>
  <c r="EP164" i="35"/>
  <c r="CS164" i="35"/>
  <c r="GZ164" i="35" s="1"/>
  <c r="Z164" i="35"/>
  <c r="Q164" i="35"/>
  <c r="E164" i="35"/>
  <c r="EU163" i="35"/>
  <c r="EP163" i="35"/>
  <c r="CS163" i="35"/>
  <c r="GZ163" i="35" s="1"/>
  <c r="Z163" i="35"/>
  <c r="Q163" i="35"/>
  <c r="E163" i="35"/>
  <c r="EU162" i="35"/>
  <c r="EP162" i="35"/>
  <c r="CS162" i="35"/>
  <c r="GZ162" i="35" s="1"/>
  <c r="Z162" i="35"/>
  <c r="Q162" i="35"/>
  <c r="E162" i="35"/>
  <c r="EU161" i="35"/>
  <c r="EP161" i="35"/>
  <c r="CS161" i="35"/>
  <c r="GZ161" i="35" s="1"/>
  <c r="Z161" i="35"/>
  <c r="Q161" i="35"/>
  <c r="E161" i="35"/>
  <c r="EU160" i="35"/>
  <c r="EP160" i="35"/>
  <c r="CS160" i="35"/>
  <c r="GZ160" i="35" s="1"/>
  <c r="Z160" i="35"/>
  <c r="Q160" i="35"/>
  <c r="E160" i="35"/>
  <c r="EU159" i="35"/>
  <c r="EP159" i="35"/>
  <c r="CS159" i="35"/>
  <c r="GZ159" i="35" s="1"/>
  <c r="Z159" i="35"/>
  <c r="Q159" i="35"/>
  <c r="E159" i="35"/>
  <c r="EU158" i="35"/>
  <c r="EP158" i="35"/>
  <c r="CS158" i="35"/>
  <c r="GZ158" i="35" s="1"/>
  <c r="Z158" i="35"/>
  <c r="Q158" i="35"/>
  <c r="E158" i="35"/>
  <c r="EU157" i="35"/>
  <c r="EP157" i="35"/>
  <c r="CS157" i="35"/>
  <c r="GZ157" i="35" s="1"/>
  <c r="Z157" i="35"/>
  <c r="Q157" i="35"/>
  <c r="E157" i="35"/>
  <c r="EU156" i="35"/>
  <c r="EP156" i="35"/>
  <c r="CS156" i="35"/>
  <c r="GZ156" i="35" s="1"/>
  <c r="Z156" i="35"/>
  <c r="Q156" i="35"/>
  <c r="E156" i="35"/>
  <c r="EU155" i="35"/>
  <c r="EP155" i="35"/>
  <c r="CS155" i="35"/>
  <c r="GZ155" i="35" s="1"/>
  <c r="Z155" i="35"/>
  <c r="V155" i="35"/>
  <c r="Q155" i="35"/>
  <c r="E155" i="35"/>
  <c r="EU154" i="35"/>
  <c r="EP154" i="35"/>
  <c r="CS154" i="35"/>
  <c r="GZ154" i="35" s="1"/>
  <c r="Z154" i="35"/>
  <c r="V154" i="35"/>
  <c r="Q154" i="35"/>
  <c r="E154" i="35"/>
  <c r="EU153" i="35"/>
  <c r="EP153" i="35"/>
  <c r="CS153" i="35"/>
  <c r="GZ153" i="35" s="1"/>
  <c r="Z153" i="35"/>
  <c r="W153" i="35"/>
  <c r="Q153" i="35"/>
  <c r="E153" i="35"/>
  <c r="EU152" i="35"/>
  <c r="EP152" i="35"/>
  <c r="CS152" i="35"/>
  <c r="GZ152" i="35" s="1"/>
  <c r="Z152" i="35"/>
  <c r="W152" i="35"/>
  <c r="Q152" i="35"/>
  <c r="E152" i="35"/>
  <c r="EU151" i="35"/>
  <c r="EP151" i="35"/>
  <c r="CS151" i="35"/>
  <c r="GZ151" i="35" s="1"/>
  <c r="Z151" i="35"/>
  <c r="W151" i="35"/>
  <c r="Q151" i="35"/>
  <c r="E151" i="35"/>
  <c r="EU150" i="35"/>
  <c r="EP150" i="35"/>
  <c r="CS150" i="35"/>
  <c r="GZ150" i="35" s="1"/>
  <c r="Z150" i="35"/>
  <c r="W150" i="35"/>
  <c r="Q150" i="35"/>
  <c r="E150" i="35"/>
  <c r="EU149" i="35"/>
  <c r="EP149" i="35"/>
  <c r="CS149" i="35"/>
  <c r="GZ149" i="35" s="1"/>
  <c r="Z149" i="35"/>
  <c r="Q149" i="35"/>
  <c r="E149" i="35"/>
  <c r="C149" i="35"/>
  <c r="C150" i="35" s="1"/>
  <c r="C151" i="35" s="1"/>
  <c r="C152" i="35" s="1"/>
  <c r="C153" i="35" s="1"/>
  <c r="C154" i="35" s="1"/>
  <c r="C155" i="35" s="1"/>
  <c r="C156" i="35" s="1"/>
  <c r="C157" i="35" s="1"/>
  <c r="C158" i="35" s="1"/>
  <c r="C159" i="35" s="1"/>
  <c r="C160" i="35" s="1"/>
  <c r="C161" i="35" s="1"/>
  <c r="C162" i="35" s="1"/>
  <c r="C163" i="35" s="1"/>
  <c r="C164" i="35" s="1"/>
  <c r="C165" i="35" s="1"/>
  <c r="EU148" i="35"/>
  <c r="EP148" i="35"/>
  <c r="CS148" i="35"/>
  <c r="GZ148" i="35" s="1"/>
  <c r="Z148" i="35"/>
  <c r="W148" i="35"/>
  <c r="Q148" i="35"/>
  <c r="E148" i="35"/>
  <c r="EU147" i="35"/>
  <c r="EP147" i="35"/>
  <c r="CS147" i="35"/>
  <c r="GZ147" i="35" s="1"/>
  <c r="Z147" i="35"/>
  <c r="V147" i="35"/>
  <c r="Q147" i="35"/>
  <c r="E147" i="35"/>
  <c r="EU146" i="35"/>
  <c r="EP146" i="35"/>
  <c r="CS146" i="35"/>
  <c r="GZ146" i="35" s="1"/>
  <c r="Z146" i="35"/>
  <c r="Q146" i="35"/>
  <c r="E146" i="35"/>
  <c r="EU145" i="35"/>
  <c r="EP145" i="35"/>
  <c r="CS145" i="35"/>
  <c r="GZ145" i="35" s="1"/>
  <c r="Z145" i="35"/>
  <c r="Q145" i="35"/>
  <c r="E145" i="35"/>
  <c r="EU144" i="35"/>
  <c r="EP144" i="35"/>
  <c r="CS144" i="35"/>
  <c r="GZ144" i="35" s="1"/>
  <c r="Z144" i="35"/>
  <c r="Q144" i="35"/>
  <c r="E144" i="35"/>
  <c r="EU143" i="35"/>
  <c r="EP143" i="35"/>
  <c r="CS143" i="35"/>
  <c r="GZ143" i="35" s="1"/>
  <c r="Z143" i="35"/>
  <c r="Q143" i="35"/>
  <c r="E143" i="35"/>
  <c r="EU142" i="35"/>
  <c r="EP142" i="35"/>
  <c r="CS142" i="35"/>
  <c r="GZ142" i="35" s="1"/>
  <c r="Z142" i="35"/>
  <c r="Q142" i="35"/>
  <c r="E142" i="35"/>
  <c r="EU141" i="35"/>
  <c r="EP141" i="35"/>
  <c r="CS141" i="35"/>
  <c r="GZ141" i="35" s="1"/>
  <c r="Z141" i="35"/>
  <c r="Q141" i="35"/>
  <c r="E141" i="35"/>
  <c r="EU140" i="35"/>
  <c r="EP140" i="35"/>
  <c r="CS140" i="35"/>
  <c r="GZ140" i="35" s="1"/>
  <c r="Z140" i="35"/>
  <c r="Q140" i="35"/>
  <c r="E140" i="35"/>
  <c r="EU139" i="35"/>
  <c r="EP139" i="35"/>
  <c r="CS139" i="35"/>
  <c r="GZ139" i="35" s="1"/>
  <c r="Z139" i="35"/>
  <c r="Q139" i="35"/>
  <c r="E139" i="35"/>
  <c r="EU138" i="35"/>
  <c r="EP138" i="35"/>
  <c r="CS138" i="35"/>
  <c r="GZ138" i="35" s="1"/>
  <c r="Z138" i="35"/>
  <c r="Q138" i="35"/>
  <c r="E138" i="35"/>
  <c r="EU137" i="35"/>
  <c r="EP137" i="35"/>
  <c r="CS137" i="35"/>
  <c r="GZ137" i="35" s="1"/>
  <c r="Z137" i="35"/>
  <c r="V137" i="35"/>
  <c r="Q137" i="35"/>
  <c r="E137" i="35"/>
  <c r="EU136" i="35"/>
  <c r="EP136" i="35"/>
  <c r="CS136" i="35"/>
  <c r="GZ136" i="35" s="1"/>
  <c r="Z136" i="35"/>
  <c r="V136" i="35"/>
  <c r="Q136" i="35"/>
  <c r="E136" i="35"/>
  <c r="EU135" i="35"/>
  <c r="EP135" i="35"/>
  <c r="CS135" i="35"/>
  <c r="GZ135" i="35" s="1"/>
  <c r="Z135" i="35"/>
  <c r="W135" i="35"/>
  <c r="Q135" i="35"/>
  <c r="E135" i="35"/>
  <c r="EU134" i="35"/>
  <c r="EP134" i="35"/>
  <c r="CS134" i="35"/>
  <c r="GZ134" i="35" s="1"/>
  <c r="Z134" i="35"/>
  <c r="W134" i="35"/>
  <c r="Q134" i="35"/>
  <c r="E134" i="35"/>
  <c r="EU133" i="35"/>
  <c r="EP133" i="35"/>
  <c r="CS133" i="35"/>
  <c r="GZ133" i="35" s="1"/>
  <c r="Z133" i="35"/>
  <c r="W133" i="35"/>
  <c r="Q133" i="35"/>
  <c r="E133" i="35"/>
  <c r="EU132" i="35"/>
  <c r="EP132" i="35"/>
  <c r="CS132" i="35"/>
  <c r="GZ132" i="35" s="1"/>
  <c r="Z132" i="35"/>
  <c r="W132" i="35"/>
  <c r="Q132" i="35"/>
  <c r="E132" i="35"/>
  <c r="EU131" i="35"/>
  <c r="EP131" i="35"/>
  <c r="CS131" i="35"/>
  <c r="GZ131" i="35" s="1"/>
  <c r="Z131" i="35"/>
  <c r="Q131" i="35"/>
  <c r="E131" i="35"/>
  <c r="C131" i="35"/>
  <c r="C132" i="35" s="1"/>
  <c r="C133" i="35" s="1"/>
  <c r="C134" i="35" s="1"/>
  <c r="C135" i="35" s="1"/>
  <c r="C136" i="35" s="1"/>
  <c r="C137" i="35" s="1"/>
  <c r="C138" i="35" s="1"/>
  <c r="C139" i="35" s="1"/>
  <c r="C140" i="35" s="1"/>
  <c r="C141" i="35" s="1"/>
  <c r="C142" i="35" s="1"/>
  <c r="C143" i="35" s="1"/>
  <c r="C144" i="35" s="1"/>
  <c r="C145" i="35" s="1"/>
  <c r="C146" i="35" s="1"/>
  <c r="C147" i="35" s="1"/>
  <c r="EU130" i="35"/>
  <c r="EP130" i="35"/>
  <c r="CS130" i="35"/>
  <c r="GZ130" i="35" s="1"/>
  <c r="Z130" i="35"/>
  <c r="W130" i="35"/>
  <c r="Q130" i="35"/>
  <c r="E130" i="35"/>
  <c r="EU129" i="35"/>
  <c r="EP129" i="35"/>
  <c r="CS129" i="35"/>
  <c r="GZ129" i="35" s="1"/>
  <c r="Z129" i="35"/>
  <c r="V129" i="35"/>
  <c r="T129" i="35"/>
  <c r="Q129" i="35"/>
  <c r="E129" i="35"/>
  <c r="EU128" i="35"/>
  <c r="EP128" i="35"/>
  <c r="CS128" i="35"/>
  <c r="GZ128" i="35" s="1"/>
  <c r="Z128" i="35"/>
  <c r="T128" i="35"/>
  <c r="Q128" i="35"/>
  <c r="E128" i="35"/>
  <c r="EU127" i="35"/>
  <c r="EP127" i="35"/>
  <c r="CS127" i="35"/>
  <c r="GZ127" i="35" s="1"/>
  <c r="Z127" i="35"/>
  <c r="T127" i="35"/>
  <c r="Q127" i="35"/>
  <c r="E127" i="35"/>
  <c r="EU126" i="35"/>
  <c r="EP126" i="35"/>
  <c r="CS126" i="35"/>
  <c r="GZ126" i="35" s="1"/>
  <c r="Z126" i="35"/>
  <c r="T126" i="35"/>
  <c r="Q126" i="35"/>
  <c r="E126" i="35"/>
  <c r="EU125" i="35"/>
  <c r="EP125" i="35"/>
  <c r="CS125" i="35"/>
  <c r="GZ125" i="35" s="1"/>
  <c r="Z125" i="35"/>
  <c r="T125" i="35"/>
  <c r="Q125" i="35"/>
  <c r="E125" i="35"/>
  <c r="EU124" i="35"/>
  <c r="EP124" i="35"/>
  <c r="CS124" i="35"/>
  <c r="GZ124" i="35" s="1"/>
  <c r="Z124" i="35"/>
  <c r="T124" i="35"/>
  <c r="Q124" i="35"/>
  <c r="E124" i="35"/>
  <c r="EU123" i="35"/>
  <c r="EP123" i="35"/>
  <c r="CS123" i="35"/>
  <c r="GZ123" i="35" s="1"/>
  <c r="Z123" i="35"/>
  <c r="T123" i="35"/>
  <c r="Q123" i="35"/>
  <c r="E123" i="35"/>
  <c r="EU122" i="35"/>
  <c r="EP122" i="35"/>
  <c r="CS122" i="35"/>
  <c r="GZ122" i="35" s="1"/>
  <c r="Z122" i="35"/>
  <c r="T122" i="35"/>
  <c r="Q122" i="35"/>
  <c r="E122" i="35"/>
  <c r="EU121" i="35"/>
  <c r="EP121" i="35"/>
  <c r="CS121" i="35"/>
  <c r="GZ121" i="35" s="1"/>
  <c r="Z121" i="35"/>
  <c r="T121" i="35"/>
  <c r="Q121" i="35"/>
  <c r="E121" i="35"/>
  <c r="EU120" i="35"/>
  <c r="EP120" i="35"/>
  <c r="CS120" i="35"/>
  <c r="GZ120" i="35" s="1"/>
  <c r="Z120" i="35"/>
  <c r="T120" i="35"/>
  <c r="Q120" i="35"/>
  <c r="E120" i="35"/>
  <c r="EU119" i="35"/>
  <c r="EP119" i="35"/>
  <c r="CS119" i="35"/>
  <c r="GZ119" i="35" s="1"/>
  <c r="Z119" i="35"/>
  <c r="V119" i="35"/>
  <c r="T119" i="35"/>
  <c r="Q119" i="35"/>
  <c r="E119" i="35"/>
  <c r="EU118" i="35"/>
  <c r="EP118" i="35"/>
  <c r="CS118" i="35"/>
  <c r="GZ118" i="35" s="1"/>
  <c r="Z118" i="35"/>
  <c r="V118" i="35"/>
  <c r="T118" i="35"/>
  <c r="Q118" i="35"/>
  <c r="E118" i="35"/>
  <c r="EU117" i="35"/>
  <c r="EP117" i="35"/>
  <c r="CS117" i="35"/>
  <c r="GZ117" i="35" s="1"/>
  <c r="Z117" i="35"/>
  <c r="W117" i="35"/>
  <c r="T117" i="35"/>
  <c r="Q117" i="35"/>
  <c r="E117" i="35"/>
  <c r="EU116" i="35"/>
  <c r="EP116" i="35"/>
  <c r="CS116" i="35"/>
  <c r="GZ116" i="35" s="1"/>
  <c r="Z116" i="35"/>
  <c r="W116" i="35"/>
  <c r="T116" i="35"/>
  <c r="Q116" i="35"/>
  <c r="E116" i="35"/>
  <c r="EU115" i="35"/>
  <c r="EP115" i="35"/>
  <c r="CS115" i="35"/>
  <c r="GZ115" i="35" s="1"/>
  <c r="Z115" i="35"/>
  <c r="W115" i="35"/>
  <c r="T115" i="35"/>
  <c r="Q115" i="35"/>
  <c r="E115" i="35"/>
  <c r="EU114" i="35"/>
  <c r="EP114" i="35"/>
  <c r="CS114" i="35"/>
  <c r="GZ114" i="35" s="1"/>
  <c r="Z114" i="35"/>
  <c r="W114" i="35"/>
  <c r="T114" i="35"/>
  <c r="Q114" i="35"/>
  <c r="E114" i="35"/>
  <c r="EU113" i="35"/>
  <c r="EP113" i="35"/>
  <c r="CS113" i="35"/>
  <c r="GZ113" i="35" s="1"/>
  <c r="Z113" i="35"/>
  <c r="T113" i="35"/>
  <c r="Q113" i="35"/>
  <c r="E113" i="35"/>
  <c r="C113" i="35"/>
  <c r="C114" i="35" s="1"/>
  <c r="C115" i="35" s="1"/>
  <c r="C116" i="35" s="1"/>
  <c r="C117" i="35" s="1"/>
  <c r="C118" i="35" s="1"/>
  <c r="C119" i="35" s="1"/>
  <c r="C120" i="35" s="1"/>
  <c r="C121" i="35" s="1"/>
  <c r="C122" i="35" s="1"/>
  <c r="C123" i="35" s="1"/>
  <c r="C124" i="35" s="1"/>
  <c r="C125" i="35" s="1"/>
  <c r="C126" i="35" s="1"/>
  <c r="C127" i="35" s="1"/>
  <c r="C128" i="35" s="1"/>
  <c r="C129" i="35" s="1"/>
  <c r="EU112" i="35"/>
  <c r="EP112" i="35"/>
  <c r="CS112" i="35"/>
  <c r="GZ112" i="35" s="1"/>
  <c r="Z112" i="35"/>
  <c r="W112" i="35"/>
  <c r="T112" i="35"/>
  <c r="Q112" i="35"/>
  <c r="E112" i="35"/>
  <c r="EU111" i="35"/>
  <c r="EP111" i="35"/>
  <c r="CS111" i="35"/>
  <c r="GZ111" i="35" s="1"/>
  <c r="Z111" i="35"/>
  <c r="V111" i="35"/>
  <c r="Q111" i="35"/>
  <c r="E111" i="35"/>
  <c r="EU110" i="35"/>
  <c r="EP110" i="35"/>
  <c r="CS110" i="35"/>
  <c r="GZ110" i="35" s="1"/>
  <c r="Z110" i="35"/>
  <c r="Q110" i="35"/>
  <c r="E110" i="35"/>
  <c r="EU109" i="35"/>
  <c r="EP109" i="35"/>
  <c r="CS109" i="35"/>
  <c r="GZ109" i="35" s="1"/>
  <c r="Z109" i="35"/>
  <c r="Q109" i="35"/>
  <c r="E109" i="35"/>
  <c r="EU108" i="35"/>
  <c r="EP108" i="35"/>
  <c r="CS108" i="35"/>
  <c r="GZ108" i="35" s="1"/>
  <c r="Z108" i="35"/>
  <c r="Q108" i="35"/>
  <c r="E108" i="35"/>
  <c r="EU107" i="35"/>
  <c r="EP107" i="35"/>
  <c r="CS107" i="35"/>
  <c r="GZ107" i="35" s="1"/>
  <c r="Z107" i="35"/>
  <c r="Q107" i="35"/>
  <c r="E107" i="35"/>
  <c r="EU106" i="35"/>
  <c r="EP106" i="35"/>
  <c r="CS106" i="35"/>
  <c r="GZ106" i="35" s="1"/>
  <c r="Z106" i="35"/>
  <c r="Q106" i="35"/>
  <c r="E106" i="35"/>
  <c r="EU105" i="35"/>
  <c r="EP105" i="35"/>
  <c r="CS105" i="35"/>
  <c r="GZ105" i="35" s="1"/>
  <c r="Z105" i="35"/>
  <c r="Q105" i="35"/>
  <c r="E105" i="35"/>
  <c r="EU104" i="35"/>
  <c r="EP104" i="35"/>
  <c r="CS104" i="35"/>
  <c r="GZ104" i="35" s="1"/>
  <c r="Z104" i="35"/>
  <c r="Q104" i="35"/>
  <c r="E104" i="35"/>
  <c r="EU103" i="35"/>
  <c r="EP103" i="35"/>
  <c r="CS103" i="35"/>
  <c r="GZ103" i="35" s="1"/>
  <c r="Z103" i="35"/>
  <c r="Q103" i="35"/>
  <c r="E103" i="35"/>
  <c r="EU102" i="35"/>
  <c r="EP102" i="35"/>
  <c r="CS102" i="35"/>
  <c r="GZ102" i="35" s="1"/>
  <c r="Z102" i="35"/>
  <c r="Q102" i="35"/>
  <c r="E102" i="35"/>
  <c r="EU101" i="35"/>
  <c r="EP101" i="35"/>
  <c r="CS101" i="35"/>
  <c r="GZ101" i="35" s="1"/>
  <c r="Z101" i="35"/>
  <c r="V101" i="35"/>
  <c r="Q101" i="35"/>
  <c r="E101" i="35"/>
  <c r="EU100" i="35"/>
  <c r="EP100" i="35"/>
  <c r="CS100" i="35"/>
  <c r="GZ100" i="35" s="1"/>
  <c r="Z100" i="35"/>
  <c r="V100" i="35"/>
  <c r="Q100" i="35"/>
  <c r="E100" i="35"/>
  <c r="EU99" i="35"/>
  <c r="EP99" i="35"/>
  <c r="CS99" i="35"/>
  <c r="GZ99" i="35" s="1"/>
  <c r="Z99" i="35"/>
  <c r="W99" i="35"/>
  <c r="Q99" i="35"/>
  <c r="E99" i="35"/>
  <c r="EU98" i="35"/>
  <c r="EP98" i="35"/>
  <c r="CS98" i="35"/>
  <c r="GZ98" i="35" s="1"/>
  <c r="Z98" i="35"/>
  <c r="W98" i="35"/>
  <c r="Q98" i="35"/>
  <c r="E98" i="35"/>
  <c r="EU97" i="35"/>
  <c r="EP97" i="35"/>
  <c r="CS97" i="35"/>
  <c r="GZ97" i="35" s="1"/>
  <c r="Z97" i="35"/>
  <c r="W97" i="35"/>
  <c r="Q97" i="35"/>
  <c r="E97" i="35"/>
  <c r="EU96" i="35"/>
  <c r="EP96" i="35"/>
  <c r="CS96" i="35"/>
  <c r="GZ96" i="35" s="1"/>
  <c r="Z96" i="35"/>
  <c r="W96" i="35"/>
  <c r="Q96" i="35"/>
  <c r="E96" i="35"/>
  <c r="EU95" i="35"/>
  <c r="EP95" i="35"/>
  <c r="CS95" i="35"/>
  <c r="GZ95" i="35" s="1"/>
  <c r="Z95" i="35"/>
  <c r="Q95" i="35"/>
  <c r="E95" i="35"/>
  <c r="C95" i="35"/>
  <c r="C96" i="35" s="1"/>
  <c r="C97" i="35" s="1"/>
  <c r="C98" i="35" s="1"/>
  <c r="C99" i="35" s="1"/>
  <c r="C100" i="35" s="1"/>
  <c r="C101" i="35" s="1"/>
  <c r="C102" i="35" s="1"/>
  <c r="C103" i="35" s="1"/>
  <c r="C104" i="35" s="1"/>
  <c r="C105" i="35" s="1"/>
  <c r="C106" i="35" s="1"/>
  <c r="C107" i="35" s="1"/>
  <c r="C108" i="35" s="1"/>
  <c r="C109" i="35" s="1"/>
  <c r="C110" i="35" s="1"/>
  <c r="C111" i="35" s="1"/>
  <c r="EU94" i="35"/>
  <c r="EP94" i="35"/>
  <c r="CS94" i="35"/>
  <c r="GZ94" i="35" s="1"/>
  <c r="Z94" i="35"/>
  <c r="W94" i="35"/>
  <c r="Q94" i="35"/>
  <c r="E94" i="35"/>
  <c r="EU93" i="35"/>
  <c r="EP93" i="35"/>
  <c r="CS93" i="35"/>
  <c r="GZ93" i="35" s="1"/>
  <c r="Z93" i="35"/>
  <c r="V93" i="35"/>
  <c r="Q93" i="35"/>
  <c r="E93" i="35"/>
  <c r="EU92" i="35"/>
  <c r="EP92" i="35"/>
  <c r="CS92" i="35"/>
  <c r="GZ92" i="35" s="1"/>
  <c r="Z92" i="35"/>
  <c r="Q92" i="35"/>
  <c r="E92" i="35"/>
  <c r="EU91" i="35"/>
  <c r="EP91" i="35"/>
  <c r="CS91" i="35"/>
  <c r="GZ91" i="35" s="1"/>
  <c r="Z91" i="35"/>
  <c r="Q91" i="35"/>
  <c r="E91" i="35"/>
  <c r="EU90" i="35"/>
  <c r="EP90" i="35"/>
  <c r="CS90" i="35"/>
  <c r="GZ90" i="35" s="1"/>
  <c r="Z90" i="35"/>
  <c r="Q90" i="35"/>
  <c r="E90" i="35"/>
  <c r="EU89" i="35"/>
  <c r="EP89" i="35"/>
  <c r="CS89" i="35"/>
  <c r="GZ89" i="35" s="1"/>
  <c r="Z89" i="35"/>
  <c r="Q89" i="35"/>
  <c r="E89" i="35"/>
  <c r="EU88" i="35"/>
  <c r="EP88" i="35"/>
  <c r="CS88" i="35"/>
  <c r="GZ88" i="35" s="1"/>
  <c r="Z88" i="35"/>
  <c r="Q88" i="35"/>
  <c r="E88" i="35"/>
  <c r="EU87" i="35"/>
  <c r="EP87" i="35"/>
  <c r="CS87" i="35"/>
  <c r="GZ87" i="35" s="1"/>
  <c r="Z87" i="35"/>
  <c r="Q87" i="35"/>
  <c r="E87" i="35"/>
  <c r="EU86" i="35"/>
  <c r="EP86" i="35"/>
  <c r="CS86" i="35"/>
  <c r="GZ86" i="35" s="1"/>
  <c r="Z86" i="35"/>
  <c r="Q86" i="35"/>
  <c r="E86" i="35"/>
  <c r="EU85" i="35"/>
  <c r="EP85" i="35"/>
  <c r="CS85" i="35"/>
  <c r="GZ85" i="35" s="1"/>
  <c r="Z85" i="35"/>
  <c r="Q85" i="35"/>
  <c r="E85" i="35"/>
  <c r="EU84" i="35"/>
  <c r="EP84" i="35"/>
  <c r="CS84" i="35"/>
  <c r="GZ84" i="35" s="1"/>
  <c r="Z84" i="35"/>
  <c r="Q84" i="35"/>
  <c r="E84" i="35"/>
  <c r="EU83" i="35"/>
  <c r="EP83" i="35"/>
  <c r="CS83" i="35"/>
  <c r="GZ83" i="35" s="1"/>
  <c r="Z83" i="35"/>
  <c r="V83" i="35"/>
  <c r="Q83" i="35"/>
  <c r="E83" i="35"/>
  <c r="EU82" i="35"/>
  <c r="EP82" i="35"/>
  <c r="CS82" i="35"/>
  <c r="GZ82" i="35" s="1"/>
  <c r="Z82" i="35"/>
  <c r="V82" i="35"/>
  <c r="Q82" i="35"/>
  <c r="E82" i="35"/>
  <c r="EU81" i="35"/>
  <c r="EP81" i="35"/>
  <c r="CS81" i="35"/>
  <c r="GZ81" i="35" s="1"/>
  <c r="Z81" i="35"/>
  <c r="W81" i="35"/>
  <c r="Q81" i="35"/>
  <c r="E81" i="35"/>
  <c r="EU80" i="35"/>
  <c r="EP80" i="35"/>
  <c r="CS80" i="35"/>
  <c r="GZ80" i="35" s="1"/>
  <c r="Z80" i="35"/>
  <c r="W80" i="35"/>
  <c r="Q80" i="35"/>
  <c r="E80" i="35"/>
  <c r="EU79" i="35"/>
  <c r="EP79" i="35"/>
  <c r="CS79" i="35"/>
  <c r="GZ79" i="35" s="1"/>
  <c r="Z79" i="35"/>
  <c r="W79" i="35"/>
  <c r="Q79" i="35"/>
  <c r="E79" i="35"/>
  <c r="EU78" i="35"/>
  <c r="EP78" i="35"/>
  <c r="CS78" i="35"/>
  <c r="GZ78" i="35" s="1"/>
  <c r="Z78" i="35"/>
  <c r="W78" i="35"/>
  <c r="Q78" i="35"/>
  <c r="E78" i="35"/>
  <c r="EU77" i="35"/>
  <c r="EP77" i="35"/>
  <c r="CS77" i="35"/>
  <c r="GZ77" i="35" s="1"/>
  <c r="Z77" i="35"/>
  <c r="Q77" i="35"/>
  <c r="E77" i="35"/>
  <c r="C77" i="35"/>
  <c r="C78" i="35" s="1"/>
  <c r="C79" i="35" s="1"/>
  <c r="C80" i="35" s="1"/>
  <c r="C81" i="35" s="1"/>
  <c r="C82" i="35" s="1"/>
  <c r="C83" i="35" s="1"/>
  <c r="C84" i="35" s="1"/>
  <c r="C85" i="35" s="1"/>
  <c r="C86" i="35" s="1"/>
  <c r="C87" i="35" s="1"/>
  <c r="C88" i="35" s="1"/>
  <c r="C89" i="35" s="1"/>
  <c r="C90" i="35" s="1"/>
  <c r="C91" i="35" s="1"/>
  <c r="C92" i="35" s="1"/>
  <c r="C93" i="35" s="1"/>
  <c r="EU76" i="35"/>
  <c r="EP76" i="35"/>
  <c r="CS76" i="35"/>
  <c r="GZ76" i="35" s="1"/>
  <c r="Z76" i="35"/>
  <c r="W76" i="35"/>
  <c r="Q76" i="35"/>
  <c r="E76" i="35"/>
  <c r="EU75" i="35"/>
  <c r="EP75" i="35"/>
  <c r="CS75" i="35"/>
  <c r="GZ75" i="35" s="1"/>
  <c r="Z75" i="35"/>
  <c r="V75" i="35"/>
  <c r="Q75" i="35"/>
  <c r="E75" i="35"/>
  <c r="EU74" i="35"/>
  <c r="EP74" i="35"/>
  <c r="CS74" i="35"/>
  <c r="GZ74" i="35" s="1"/>
  <c r="Z74" i="35"/>
  <c r="Q74" i="35"/>
  <c r="E74" i="35"/>
  <c r="EU73" i="35"/>
  <c r="EP73" i="35"/>
  <c r="CS73" i="35"/>
  <c r="GZ73" i="35" s="1"/>
  <c r="Z73" i="35"/>
  <c r="Q73" i="35"/>
  <c r="E73" i="35"/>
  <c r="EU72" i="35"/>
  <c r="EP72" i="35"/>
  <c r="CS72" i="35"/>
  <c r="GZ72" i="35" s="1"/>
  <c r="Z72" i="35"/>
  <c r="Q72" i="35"/>
  <c r="E72" i="35"/>
  <c r="EU71" i="35"/>
  <c r="EP71" i="35"/>
  <c r="CS71" i="35"/>
  <c r="GZ71" i="35" s="1"/>
  <c r="Z71" i="35"/>
  <c r="Q71" i="35"/>
  <c r="E71" i="35"/>
  <c r="EU70" i="35"/>
  <c r="EP70" i="35"/>
  <c r="CS70" i="35"/>
  <c r="GZ70" i="35" s="1"/>
  <c r="Z70" i="35"/>
  <c r="Q70" i="35"/>
  <c r="E70" i="35"/>
  <c r="EU69" i="35"/>
  <c r="EP69" i="35"/>
  <c r="CS69" i="35"/>
  <c r="GZ69" i="35" s="1"/>
  <c r="Z69" i="35"/>
  <c r="Q69" i="35"/>
  <c r="E69" i="35"/>
  <c r="EU68" i="35"/>
  <c r="EP68" i="35"/>
  <c r="CS68" i="35"/>
  <c r="GZ68" i="35" s="1"/>
  <c r="Z68" i="35"/>
  <c r="Q68" i="35"/>
  <c r="E68" i="35"/>
  <c r="EU67" i="35"/>
  <c r="EP67" i="35"/>
  <c r="CS67" i="35"/>
  <c r="GZ67" i="35" s="1"/>
  <c r="Z67" i="35"/>
  <c r="Q67" i="35"/>
  <c r="E67" i="35"/>
  <c r="EU66" i="35"/>
  <c r="EP66" i="35"/>
  <c r="CS66" i="35"/>
  <c r="GZ66" i="35" s="1"/>
  <c r="Z66" i="35"/>
  <c r="Q66" i="35"/>
  <c r="E66" i="35"/>
  <c r="EU65" i="35"/>
  <c r="EP65" i="35"/>
  <c r="CS65" i="35"/>
  <c r="GZ65" i="35" s="1"/>
  <c r="Z65" i="35"/>
  <c r="V65" i="35"/>
  <c r="Q65" i="35"/>
  <c r="E65" i="35"/>
  <c r="EU64" i="35"/>
  <c r="EP64" i="35"/>
  <c r="CS64" i="35"/>
  <c r="GZ64" i="35" s="1"/>
  <c r="Z64" i="35"/>
  <c r="V64" i="35"/>
  <c r="Q64" i="35"/>
  <c r="E64" i="35"/>
  <c r="EU63" i="35"/>
  <c r="EP63" i="35"/>
  <c r="CS63" i="35"/>
  <c r="GZ63" i="35" s="1"/>
  <c r="Z63" i="35"/>
  <c r="W63" i="35"/>
  <c r="Q63" i="35"/>
  <c r="E63" i="35"/>
  <c r="EU62" i="35"/>
  <c r="EP62" i="35"/>
  <c r="CS62" i="35"/>
  <c r="GZ62" i="35" s="1"/>
  <c r="Z62" i="35"/>
  <c r="W62" i="35"/>
  <c r="Q62" i="35"/>
  <c r="E62" i="35"/>
  <c r="EU61" i="35"/>
  <c r="EP61" i="35"/>
  <c r="CS61" i="35"/>
  <c r="GZ61" i="35" s="1"/>
  <c r="Z61" i="35"/>
  <c r="W61" i="35"/>
  <c r="Q61" i="35"/>
  <c r="E61" i="35"/>
  <c r="EU60" i="35"/>
  <c r="EP60" i="35"/>
  <c r="CS60" i="35"/>
  <c r="GZ60" i="35" s="1"/>
  <c r="Z60" i="35"/>
  <c r="W60" i="35"/>
  <c r="Q60" i="35"/>
  <c r="E60" i="35"/>
  <c r="EU59" i="35"/>
  <c r="EP59" i="35"/>
  <c r="CS59" i="35"/>
  <c r="GZ59" i="35" s="1"/>
  <c r="Z59" i="35"/>
  <c r="Q59" i="35"/>
  <c r="E59" i="35"/>
  <c r="C59" i="35"/>
  <c r="C60" i="35" s="1"/>
  <c r="C61" i="35" s="1"/>
  <c r="C62" i="35" s="1"/>
  <c r="C63" i="35" s="1"/>
  <c r="C64" i="35" s="1"/>
  <c r="C65" i="35" s="1"/>
  <c r="C66" i="35" s="1"/>
  <c r="C67" i="35" s="1"/>
  <c r="C68" i="35" s="1"/>
  <c r="C69" i="35" s="1"/>
  <c r="C70" i="35" s="1"/>
  <c r="C71" i="35" s="1"/>
  <c r="C72" i="35" s="1"/>
  <c r="C73" i="35" s="1"/>
  <c r="C74" i="35" s="1"/>
  <c r="C75" i="35" s="1"/>
  <c r="EU58" i="35"/>
  <c r="EP58" i="35"/>
  <c r="CS58" i="35"/>
  <c r="GZ58" i="35" s="1"/>
  <c r="Z58" i="35"/>
  <c r="Y58" i="35"/>
  <c r="Y68" i="35" s="1"/>
  <c r="W58" i="35"/>
  <c r="Q58" i="35"/>
  <c r="E58" i="35"/>
  <c r="EU57" i="35"/>
  <c r="EP57" i="35"/>
  <c r="CS57" i="35"/>
  <c r="GZ57" i="35" s="1"/>
  <c r="Z57" i="35"/>
  <c r="V57" i="35"/>
  <c r="Q57" i="35"/>
  <c r="E57" i="35"/>
  <c r="EU56" i="35"/>
  <c r="EP56" i="35"/>
  <c r="CS56" i="35"/>
  <c r="GZ56" i="35" s="1"/>
  <c r="Z56" i="35"/>
  <c r="Q56" i="35"/>
  <c r="E56" i="35"/>
  <c r="EU55" i="35"/>
  <c r="EP55" i="35"/>
  <c r="CS55" i="35"/>
  <c r="GZ55" i="35" s="1"/>
  <c r="Z55" i="35"/>
  <c r="Q55" i="35"/>
  <c r="E55" i="35"/>
  <c r="EU54" i="35"/>
  <c r="EP54" i="35"/>
  <c r="CS54" i="35"/>
  <c r="GZ54" i="35" s="1"/>
  <c r="Z54" i="35"/>
  <c r="Q54" i="35"/>
  <c r="E54" i="35"/>
  <c r="EU53" i="35"/>
  <c r="EP53" i="35"/>
  <c r="CS53" i="35"/>
  <c r="GZ53" i="35" s="1"/>
  <c r="Z53" i="35"/>
  <c r="Q53" i="35"/>
  <c r="E53" i="35"/>
  <c r="EU52" i="35"/>
  <c r="EP52" i="35"/>
  <c r="CS52" i="35"/>
  <c r="GZ52" i="35" s="1"/>
  <c r="Z52" i="35"/>
  <c r="Q52" i="35"/>
  <c r="E52" i="35"/>
  <c r="EU51" i="35"/>
  <c r="EP51" i="35"/>
  <c r="CS51" i="35"/>
  <c r="GZ51" i="35" s="1"/>
  <c r="Z51" i="35"/>
  <c r="Q51" i="35"/>
  <c r="E51" i="35"/>
  <c r="EU50" i="35"/>
  <c r="EP50" i="35"/>
  <c r="CS50" i="35"/>
  <c r="GZ50" i="35" s="1"/>
  <c r="Z50" i="35"/>
  <c r="Q50" i="35"/>
  <c r="E50" i="35"/>
  <c r="EU49" i="35"/>
  <c r="EP49" i="35"/>
  <c r="CS49" i="35"/>
  <c r="GZ49" i="35" s="1"/>
  <c r="Z49" i="35"/>
  <c r="Q49" i="35"/>
  <c r="E49" i="35"/>
  <c r="EU48" i="35"/>
  <c r="EP48" i="35"/>
  <c r="CS48" i="35"/>
  <c r="GZ48" i="35" s="1"/>
  <c r="Z48" i="35"/>
  <c r="Q48" i="35"/>
  <c r="E48" i="35"/>
  <c r="EU47" i="35"/>
  <c r="EP47" i="35"/>
  <c r="CS47" i="35"/>
  <c r="GZ47" i="35" s="1"/>
  <c r="Z47" i="35"/>
  <c r="V47" i="35"/>
  <c r="Q47" i="35"/>
  <c r="E47" i="35"/>
  <c r="EU46" i="35"/>
  <c r="EP46" i="35"/>
  <c r="CS46" i="35"/>
  <c r="GZ46" i="35" s="1"/>
  <c r="Z46" i="35"/>
  <c r="V46" i="35"/>
  <c r="Q46" i="35"/>
  <c r="E46" i="35"/>
  <c r="EU45" i="35"/>
  <c r="EP45" i="35"/>
  <c r="CS45" i="35"/>
  <c r="GZ45" i="35" s="1"/>
  <c r="Z45" i="35"/>
  <c r="W45" i="35"/>
  <c r="Q45" i="35"/>
  <c r="E45" i="35"/>
  <c r="EU44" i="35"/>
  <c r="EP44" i="35"/>
  <c r="CS44" i="35"/>
  <c r="GZ44" i="35" s="1"/>
  <c r="Z44" i="35"/>
  <c r="W44" i="35"/>
  <c r="Q44" i="35"/>
  <c r="E44" i="35"/>
  <c r="EU43" i="35"/>
  <c r="EP43" i="35"/>
  <c r="CS43" i="35"/>
  <c r="GZ43" i="35" s="1"/>
  <c r="Z43" i="35"/>
  <c r="W43" i="35"/>
  <c r="Q43" i="35"/>
  <c r="E43" i="35"/>
  <c r="EU42" i="35"/>
  <c r="EP42" i="35"/>
  <c r="CS42" i="35"/>
  <c r="GZ42" i="35" s="1"/>
  <c r="Z42" i="35"/>
  <c r="W42" i="35"/>
  <c r="Q42" i="35"/>
  <c r="E42" i="35"/>
  <c r="EU41" i="35"/>
  <c r="EP41" i="35"/>
  <c r="CS41" i="35"/>
  <c r="GZ41" i="35" s="1"/>
  <c r="Z41" i="35"/>
  <c r="Q41" i="35"/>
  <c r="E41" i="35"/>
  <c r="C41" i="35"/>
  <c r="C42" i="35" s="1"/>
  <c r="C43" i="35" s="1"/>
  <c r="C44" i="35" s="1"/>
  <c r="C45" i="35" s="1"/>
  <c r="C46" i="35" s="1"/>
  <c r="C47" i="35" s="1"/>
  <c r="C48" i="35" s="1"/>
  <c r="C49" i="35" s="1"/>
  <c r="C50" i="35" s="1"/>
  <c r="C51" i="35" s="1"/>
  <c r="C52" i="35" s="1"/>
  <c r="C53" i="35" s="1"/>
  <c r="C54" i="35" s="1"/>
  <c r="C55" i="35" s="1"/>
  <c r="C56" i="35" s="1"/>
  <c r="C57" i="35" s="1"/>
  <c r="EU40" i="35"/>
  <c r="EP40" i="35"/>
  <c r="CS40" i="35"/>
  <c r="GZ40" i="35" s="1"/>
  <c r="Z40" i="35"/>
  <c r="W40" i="35"/>
  <c r="Q40" i="35"/>
  <c r="E40" i="35"/>
  <c r="EU39" i="35"/>
  <c r="EP39" i="35"/>
  <c r="CS39" i="35"/>
  <c r="GZ39" i="35" s="1"/>
  <c r="Z39" i="35"/>
  <c r="V39" i="35"/>
  <c r="Q39" i="35"/>
  <c r="E39" i="35"/>
  <c r="EU38" i="35"/>
  <c r="EP38" i="35"/>
  <c r="CS38" i="35"/>
  <c r="GZ38" i="35" s="1"/>
  <c r="Z38" i="35"/>
  <c r="Q38" i="35"/>
  <c r="E38" i="35"/>
  <c r="EU37" i="35"/>
  <c r="EP37" i="35"/>
  <c r="CS37" i="35"/>
  <c r="GZ37" i="35" s="1"/>
  <c r="Z37" i="35"/>
  <c r="Q37" i="35"/>
  <c r="E37" i="35"/>
  <c r="EU36" i="35"/>
  <c r="EP36" i="35"/>
  <c r="CS36" i="35"/>
  <c r="GZ36" i="35" s="1"/>
  <c r="Z36" i="35"/>
  <c r="Q36" i="35"/>
  <c r="E36" i="35"/>
  <c r="EU35" i="35"/>
  <c r="EP35" i="35"/>
  <c r="CS35" i="35"/>
  <c r="GZ35" i="35" s="1"/>
  <c r="Z35" i="35"/>
  <c r="Q35" i="35"/>
  <c r="E35" i="35"/>
  <c r="EU34" i="35"/>
  <c r="EP34" i="35"/>
  <c r="CS34" i="35"/>
  <c r="GZ34" i="35" s="1"/>
  <c r="Z34" i="35"/>
  <c r="Q34" i="35"/>
  <c r="E34" i="35"/>
  <c r="EU33" i="35"/>
  <c r="EP33" i="35"/>
  <c r="CS33" i="35"/>
  <c r="GZ33" i="35" s="1"/>
  <c r="Z33" i="35"/>
  <c r="Q33" i="35"/>
  <c r="E33" i="35"/>
  <c r="EU32" i="35"/>
  <c r="EP32" i="35"/>
  <c r="CS32" i="35"/>
  <c r="GZ32" i="35" s="1"/>
  <c r="Z32" i="35"/>
  <c r="Q32" i="35"/>
  <c r="E32" i="35"/>
  <c r="EU31" i="35"/>
  <c r="EP31" i="35"/>
  <c r="CS31" i="35"/>
  <c r="GZ31" i="35" s="1"/>
  <c r="Z31" i="35"/>
  <c r="Q31" i="35"/>
  <c r="E31" i="35"/>
  <c r="EU30" i="35"/>
  <c r="EP30" i="35"/>
  <c r="CS30" i="35"/>
  <c r="GZ30" i="35" s="1"/>
  <c r="Z30" i="35"/>
  <c r="Q30" i="35"/>
  <c r="E30" i="35"/>
  <c r="EU29" i="35"/>
  <c r="EP29" i="35"/>
  <c r="CS29" i="35"/>
  <c r="GZ29" i="35" s="1"/>
  <c r="Z29" i="35"/>
  <c r="V29" i="35"/>
  <c r="Q29" i="35"/>
  <c r="E29" i="35"/>
  <c r="EU28" i="35"/>
  <c r="EP28" i="35"/>
  <c r="CS28" i="35"/>
  <c r="GZ28" i="35" s="1"/>
  <c r="Z28" i="35"/>
  <c r="V28" i="35"/>
  <c r="Q28" i="35"/>
  <c r="E28" i="35"/>
  <c r="EU27" i="35"/>
  <c r="EP27" i="35"/>
  <c r="CS27" i="35"/>
  <c r="GZ27" i="35" s="1"/>
  <c r="Z27" i="35"/>
  <c r="W27" i="35"/>
  <c r="Q27" i="35"/>
  <c r="E27" i="35"/>
  <c r="EU26" i="35"/>
  <c r="EP26" i="35"/>
  <c r="CS26" i="35"/>
  <c r="GZ26" i="35" s="1"/>
  <c r="Z26" i="35"/>
  <c r="W26" i="35"/>
  <c r="Q26" i="35"/>
  <c r="E26" i="35"/>
  <c r="EU25" i="35"/>
  <c r="EP25" i="35"/>
  <c r="CS25" i="35"/>
  <c r="GZ25" i="35" s="1"/>
  <c r="Z25" i="35"/>
  <c r="W25" i="35"/>
  <c r="Q25" i="35"/>
  <c r="E25" i="35"/>
  <c r="EU24" i="35"/>
  <c r="EP24" i="35"/>
  <c r="CS24" i="35"/>
  <c r="GZ24" i="35" s="1"/>
  <c r="Z24" i="35"/>
  <c r="W24" i="35"/>
  <c r="Q24" i="35"/>
  <c r="E24" i="35"/>
  <c r="EU23" i="35"/>
  <c r="EP23" i="35"/>
  <c r="CS23" i="35"/>
  <c r="GZ23" i="35" s="1"/>
  <c r="Z23" i="35"/>
  <c r="Q23" i="35"/>
  <c r="E23" i="35"/>
  <c r="C23" i="35"/>
  <c r="C24" i="35" s="1"/>
  <c r="C25" i="35" s="1"/>
  <c r="C26" i="35" s="1"/>
  <c r="C27" i="35" s="1"/>
  <c r="C28" i="35" s="1"/>
  <c r="C29" i="35" s="1"/>
  <c r="C30" i="35" s="1"/>
  <c r="C31" i="35" s="1"/>
  <c r="C32" i="35" s="1"/>
  <c r="C33" i="35" s="1"/>
  <c r="C34" i="35" s="1"/>
  <c r="C35" i="35" s="1"/>
  <c r="C36" i="35" s="1"/>
  <c r="C37" i="35" s="1"/>
  <c r="C38" i="35" s="1"/>
  <c r="C39" i="35" s="1"/>
  <c r="EU22" i="35"/>
  <c r="EP22" i="35"/>
  <c r="CS22" i="35"/>
  <c r="GZ22" i="35" s="1"/>
  <c r="Z22" i="35"/>
  <c r="W22" i="35"/>
  <c r="Q22" i="35"/>
  <c r="E22" i="35"/>
  <c r="EU21" i="35"/>
  <c r="EP21" i="35"/>
  <c r="CS21" i="35"/>
  <c r="GZ21" i="35" s="1"/>
  <c r="Z21" i="35"/>
  <c r="V21" i="35"/>
  <c r="Q21" i="35"/>
  <c r="E21" i="35"/>
  <c r="EU20" i="35"/>
  <c r="EP20" i="35"/>
  <c r="CS20" i="35"/>
  <c r="GZ20" i="35" s="1"/>
  <c r="Z20" i="35"/>
  <c r="Q20" i="35"/>
  <c r="E20" i="35"/>
  <c r="EU19" i="35"/>
  <c r="EP19" i="35"/>
  <c r="CS19" i="35"/>
  <c r="GZ19" i="35" s="1"/>
  <c r="Z19" i="35"/>
  <c r="Q19" i="35"/>
  <c r="E19" i="35"/>
  <c r="EU18" i="35"/>
  <c r="EP18" i="35"/>
  <c r="CS18" i="35"/>
  <c r="GZ18" i="35" s="1"/>
  <c r="Z18" i="35"/>
  <c r="Q18" i="35"/>
  <c r="E18" i="35"/>
  <c r="EU17" i="35"/>
  <c r="EP17" i="35"/>
  <c r="CS17" i="35"/>
  <c r="GZ17" i="35" s="1"/>
  <c r="Z17" i="35"/>
  <c r="Q17" i="35"/>
  <c r="E17" i="35"/>
  <c r="EU16" i="35"/>
  <c r="EP16" i="35"/>
  <c r="CS16" i="35"/>
  <c r="GZ16" i="35" s="1"/>
  <c r="Z16" i="35"/>
  <c r="Q16" i="35"/>
  <c r="E16" i="35"/>
  <c r="EU15" i="35"/>
  <c r="EP15" i="35"/>
  <c r="CS15" i="35"/>
  <c r="GZ15" i="35" s="1"/>
  <c r="Z15" i="35"/>
  <c r="Q15" i="35"/>
  <c r="E15" i="35"/>
  <c r="EU14" i="35"/>
  <c r="EP14" i="35"/>
  <c r="CS14" i="35"/>
  <c r="GZ14" i="35" s="1"/>
  <c r="Z14" i="35"/>
  <c r="Q14" i="35"/>
  <c r="E14" i="35"/>
  <c r="EU13" i="35"/>
  <c r="EP13" i="35"/>
  <c r="CS13" i="35"/>
  <c r="GZ13" i="35" s="1"/>
  <c r="M13" i="19"/>
  <c r="AD13" i="19" s="1"/>
  <c r="Z13" i="35"/>
  <c r="Q13" i="35"/>
  <c r="E13" i="35"/>
  <c r="EU12" i="35"/>
  <c r="EP12" i="35"/>
  <c r="CS12" i="35"/>
  <c r="GZ12" i="35" s="1"/>
  <c r="Z12" i="35"/>
  <c r="Q12" i="35"/>
  <c r="E12" i="35"/>
  <c r="EU11" i="35"/>
  <c r="EP11" i="35"/>
  <c r="CS11" i="35"/>
  <c r="GZ11" i="35" s="1"/>
  <c r="Z11" i="35"/>
  <c r="V11" i="35"/>
  <c r="Q11" i="35"/>
  <c r="E11" i="35"/>
  <c r="EU10" i="35"/>
  <c r="EP10" i="35"/>
  <c r="CS10" i="35"/>
  <c r="GZ10" i="35" s="1"/>
  <c r="Z10" i="35"/>
  <c r="V10" i="35"/>
  <c r="Q10" i="35"/>
  <c r="E10" i="35"/>
  <c r="EU9" i="35"/>
  <c r="EP9" i="35"/>
  <c r="CS9" i="35"/>
  <c r="GZ9" i="35" s="1"/>
  <c r="Z9" i="35"/>
  <c r="W9" i="35"/>
  <c r="Q9" i="35"/>
  <c r="E9" i="35"/>
  <c r="EU8" i="35"/>
  <c r="EP8" i="35"/>
  <c r="CS8" i="35"/>
  <c r="GZ8" i="35" s="1"/>
  <c r="Z8" i="35"/>
  <c r="W8" i="35"/>
  <c r="Q8" i="35"/>
  <c r="E8" i="35"/>
  <c r="C8" i="35"/>
  <c r="C9" i="35" s="1"/>
  <c r="C10" i="35" s="1"/>
  <c r="C11" i="35" s="1"/>
  <c r="C12" i="35" s="1"/>
  <c r="C13" i="35" s="1"/>
  <c r="C14" i="35" s="1"/>
  <c r="C15" i="35" s="1"/>
  <c r="C16" i="35" s="1"/>
  <c r="C17" i="35" s="1"/>
  <c r="C18" i="35" s="1"/>
  <c r="C19" i="35" s="1"/>
  <c r="C20" i="35" s="1"/>
  <c r="C21" i="35" s="1"/>
  <c r="A8" i="35"/>
  <c r="A9" i="35" s="1"/>
  <c r="A10" i="35" s="1"/>
  <c r="A11" i="35" s="1"/>
  <c r="A12" i="35" s="1"/>
  <c r="A13" i="35" s="1"/>
  <c r="A14" i="35" s="1"/>
  <c r="A15" i="35" s="1"/>
  <c r="A16" i="35" s="1"/>
  <c r="A17" i="35" s="1"/>
  <c r="A18" i="35" s="1"/>
  <c r="A19" i="35" s="1"/>
  <c r="A20" i="35" s="1"/>
  <c r="A21" i="35" s="1"/>
  <c r="A22" i="35" s="1"/>
  <c r="A23" i="35" s="1"/>
  <c r="A24" i="35" s="1"/>
  <c r="A25" i="35" s="1"/>
  <c r="A26" i="35" s="1"/>
  <c r="A27" i="35" s="1"/>
  <c r="A28" i="35" s="1"/>
  <c r="A29" i="35" s="1"/>
  <c r="A30" i="35" s="1"/>
  <c r="A31" i="35" s="1"/>
  <c r="A32" i="35" s="1"/>
  <c r="A33" i="35" s="1"/>
  <c r="A34" i="35" s="1"/>
  <c r="A35" i="35" s="1"/>
  <c r="A36" i="35" s="1"/>
  <c r="A37" i="35" s="1"/>
  <c r="A38" i="35" s="1"/>
  <c r="A39" i="35" s="1"/>
  <c r="A40" i="35" s="1"/>
  <c r="A41" i="35" s="1"/>
  <c r="A42" i="35" s="1"/>
  <c r="A43" i="35" s="1"/>
  <c r="A44" i="35" s="1"/>
  <c r="A45" i="35" s="1"/>
  <c r="A46" i="35" s="1"/>
  <c r="A47" i="35" s="1"/>
  <c r="A48" i="35" s="1"/>
  <c r="A49" i="35" s="1"/>
  <c r="A50" i="35" s="1"/>
  <c r="A51" i="35" s="1"/>
  <c r="A52" i="35" s="1"/>
  <c r="A53" i="35" s="1"/>
  <c r="A54" i="35" s="1"/>
  <c r="A55" i="35" s="1"/>
  <c r="A56" i="35" s="1"/>
  <c r="A57" i="35" s="1"/>
  <c r="A58" i="35" s="1"/>
  <c r="A59" i="35" s="1"/>
  <c r="A60" i="35" s="1"/>
  <c r="A61" i="35" s="1"/>
  <c r="A62" i="35" s="1"/>
  <c r="A63" i="35" s="1"/>
  <c r="A64" i="35" s="1"/>
  <c r="A65" i="35" s="1"/>
  <c r="A66" i="35" s="1"/>
  <c r="A67" i="35" s="1"/>
  <c r="A68" i="35" s="1"/>
  <c r="A69" i="35" s="1"/>
  <c r="A70" i="35" s="1"/>
  <c r="A71" i="35" s="1"/>
  <c r="A72" i="35" s="1"/>
  <c r="A73" i="35" s="1"/>
  <c r="A74" i="35" s="1"/>
  <c r="A75" i="35" s="1"/>
  <c r="A76" i="35" s="1"/>
  <c r="A77" i="35" s="1"/>
  <c r="A78" i="35" s="1"/>
  <c r="A79" i="35" s="1"/>
  <c r="A80" i="35" s="1"/>
  <c r="A81" i="35" s="1"/>
  <c r="A82" i="35" s="1"/>
  <c r="A83" i="35" s="1"/>
  <c r="A84" i="35" s="1"/>
  <c r="A85" i="35" s="1"/>
  <c r="A86" i="35" s="1"/>
  <c r="A87" i="35" s="1"/>
  <c r="A88" i="35" s="1"/>
  <c r="A89" i="35" s="1"/>
  <c r="A90" i="35" s="1"/>
  <c r="A91" i="35" s="1"/>
  <c r="A92" i="35" s="1"/>
  <c r="A93" i="35" s="1"/>
  <c r="A94" i="35" s="1"/>
  <c r="A95" i="35" s="1"/>
  <c r="A96" i="35" s="1"/>
  <c r="A97" i="35" s="1"/>
  <c r="A98" i="35" s="1"/>
  <c r="A99" i="35" s="1"/>
  <c r="A100" i="35" s="1"/>
  <c r="A101" i="35" s="1"/>
  <c r="A102" i="35" s="1"/>
  <c r="A103" i="35" s="1"/>
  <c r="A104" i="35" s="1"/>
  <c r="A105" i="35" s="1"/>
  <c r="A106" i="35" s="1"/>
  <c r="A107" i="35" s="1"/>
  <c r="A108" i="35" s="1"/>
  <c r="A109" i="35" s="1"/>
  <c r="A110" i="35" s="1"/>
  <c r="A111" i="35" s="1"/>
  <c r="A112" i="35" s="1"/>
  <c r="A113" i="35" s="1"/>
  <c r="A114" i="35" s="1"/>
  <c r="A115" i="35" s="1"/>
  <c r="A116" i="35" s="1"/>
  <c r="A117" i="35" s="1"/>
  <c r="A118" i="35" s="1"/>
  <c r="A119" i="35" s="1"/>
  <c r="A120" i="35" s="1"/>
  <c r="A121" i="35" s="1"/>
  <c r="A122" i="35" s="1"/>
  <c r="A123" i="35" s="1"/>
  <c r="A124" i="35" s="1"/>
  <c r="A125" i="35" s="1"/>
  <c r="A126" i="35" s="1"/>
  <c r="A127" i="35" s="1"/>
  <c r="A128" i="35" s="1"/>
  <c r="A129" i="35" s="1"/>
  <c r="A130" i="35" s="1"/>
  <c r="A131" i="35" s="1"/>
  <c r="A132" i="35" s="1"/>
  <c r="A133" i="35" s="1"/>
  <c r="A134" i="35" s="1"/>
  <c r="A135" i="35" s="1"/>
  <c r="A136" i="35" s="1"/>
  <c r="A137" i="35" s="1"/>
  <c r="A138" i="35" s="1"/>
  <c r="A139" i="35" s="1"/>
  <c r="A140" i="35" s="1"/>
  <c r="A141" i="35" s="1"/>
  <c r="A142" i="35" s="1"/>
  <c r="A143" i="35" s="1"/>
  <c r="A144" i="35" s="1"/>
  <c r="A145" i="35" s="1"/>
  <c r="A146" i="35" s="1"/>
  <c r="A147" i="35" s="1"/>
  <c r="A148" i="35" s="1"/>
  <c r="A149" i="35" s="1"/>
  <c r="A150" i="35" s="1"/>
  <c r="A151" i="35" s="1"/>
  <c r="A152" i="35" s="1"/>
  <c r="A153" i="35" s="1"/>
  <c r="A154" i="35" s="1"/>
  <c r="A155" i="35" s="1"/>
  <c r="A156" i="35" s="1"/>
  <c r="A157" i="35" s="1"/>
  <c r="A158" i="35" s="1"/>
  <c r="A159" i="35" s="1"/>
  <c r="A160" i="35" s="1"/>
  <c r="A161" i="35" s="1"/>
  <c r="A162" i="35" s="1"/>
  <c r="A163" i="35" s="1"/>
  <c r="A164" i="35" s="1"/>
  <c r="A165" i="35" s="1"/>
  <c r="A166" i="35" s="1"/>
  <c r="A167" i="35" s="1"/>
  <c r="A168" i="35" s="1"/>
  <c r="A169" i="35" s="1"/>
  <c r="A170" i="35" s="1"/>
  <c r="A171" i="35" s="1"/>
  <c r="A172" i="35" s="1"/>
  <c r="A173" i="35" s="1"/>
  <c r="A174" i="35" s="1"/>
  <c r="A175" i="35" s="1"/>
  <c r="A176" i="35" s="1"/>
  <c r="A177" i="35" s="1"/>
  <c r="A178" i="35" s="1"/>
  <c r="A179" i="35" s="1"/>
  <c r="A180" i="35" s="1"/>
  <c r="A181" i="35" s="1"/>
  <c r="A182" i="35" s="1"/>
  <c r="A183" i="35" s="1"/>
  <c r="A184" i="35" s="1"/>
  <c r="A185" i="35" s="1"/>
  <c r="A186" i="35" s="1"/>
  <c r="A187" i="35" s="1"/>
  <c r="A188" i="35" s="1"/>
  <c r="A189" i="35" s="1"/>
  <c r="A190" i="35" s="1"/>
  <c r="A191" i="35" s="1"/>
  <c r="A192" i="35" s="1"/>
  <c r="A193" i="35" s="1"/>
  <c r="A194" i="35" s="1"/>
  <c r="A195" i="35" s="1"/>
  <c r="A196" i="35" s="1"/>
  <c r="A197" i="35" s="1"/>
  <c r="A198" i="35" s="1"/>
  <c r="A199" i="35" s="1"/>
  <c r="A200" i="35" s="1"/>
  <c r="A201" i="35" s="1"/>
  <c r="A202" i="35" s="1"/>
  <c r="A203" i="35" s="1"/>
  <c r="A204" i="35" s="1"/>
  <c r="A205" i="35" s="1"/>
  <c r="A206" i="35" s="1"/>
  <c r="A207" i="35" s="1"/>
  <c r="A208" i="35" s="1"/>
  <c r="A209" i="35" s="1"/>
  <c r="A210" i="35" s="1"/>
  <c r="A211" i="35" s="1"/>
  <c r="A212" i="35" s="1"/>
  <c r="A213" i="35" s="1"/>
  <c r="A214" i="35" s="1"/>
  <c r="A215" i="35" s="1"/>
  <c r="A216" i="35" s="1"/>
  <c r="A217" i="35" s="1"/>
  <c r="A218" i="35" s="1"/>
  <c r="A219" i="35" s="1"/>
  <c r="EU7" i="35"/>
  <c r="EP7" i="35"/>
  <c r="EC26" i="35"/>
  <c r="CS7" i="35"/>
  <c r="GZ7" i="35" s="1"/>
  <c r="Z7" i="35"/>
  <c r="W7" i="35"/>
  <c r="Q7" i="35"/>
  <c r="E7" i="35"/>
  <c r="AD6" i="35"/>
  <c r="AF6" i="35" s="1"/>
  <c r="N5" i="35"/>
  <c r="P4" i="35"/>
  <c r="P13" i="35" s="1"/>
  <c r="O1" i="35"/>
  <c r="C12" i="19" l="1"/>
  <c r="CQ12" i="35"/>
  <c r="C47" i="19"/>
  <c r="CQ47" i="35"/>
  <c r="C82" i="19"/>
  <c r="CQ82" i="35"/>
  <c r="C97" i="19"/>
  <c r="CQ97" i="35"/>
  <c r="GX97" i="35" s="1"/>
  <c r="C112" i="19"/>
  <c r="CQ112" i="35"/>
  <c r="GX112" i="35" s="1"/>
  <c r="C115" i="19"/>
  <c r="CQ115" i="35"/>
  <c r="GX115" i="35" s="1"/>
  <c r="C118" i="19"/>
  <c r="CQ118" i="35"/>
  <c r="C128" i="19"/>
  <c r="CQ128" i="35"/>
  <c r="GX128" i="35" s="1"/>
  <c r="C133" i="19"/>
  <c r="CQ133" i="35"/>
  <c r="GX133" i="35" s="1"/>
  <c r="C148" i="19"/>
  <c r="CQ148" i="35"/>
  <c r="GX148" i="35" s="1"/>
  <c r="C14" i="19"/>
  <c r="CQ14" i="35"/>
  <c r="GX14" i="35" s="1"/>
  <c r="C16" i="19"/>
  <c r="CQ16" i="35"/>
  <c r="GX16" i="35" s="1"/>
  <c r="C18" i="19"/>
  <c r="CQ18" i="35"/>
  <c r="GX18" i="35" s="1"/>
  <c r="C20" i="19"/>
  <c r="CQ20" i="35"/>
  <c r="GX20" i="35" s="1"/>
  <c r="C27" i="19"/>
  <c r="CQ27" i="35"/>
  <c r="GX27" i="35" s="1"/>
  <c r="C42" i="19"/>
  <c r="CQ42" i="35"/>
  <c r="GX42" i="35" s="1"/>
  <c r="C49" i="19"/>
  <c r="CQ49" i="35"/>
  <c r="GX49" i="35" s="1"/>
  <c r="C51" i="19"/>
  <c r="CQ51" i="35"/>
  <c r="GX51" i="35" s="1"/>
  <c r="C53" i="19"/>
  <c r="CQ53" i="35"/>
  <c r="C55" i="19"/>
  <c r="CQ55" i="35"/>
  <c r="GX55" i="35" s="1"/>
  <c r="C57" i="19"/>
  <c r="CQ57" i="35"/>
  <c r="GX57" i="35" s="1"/>
  <c r="C62" i="19"/>
  <c r="CQ62" i="35"/>
  <c r="GX62" i="35" s="1"/>
  <c r="C77" i="19"/>
  <c r="CQ77" i="35"/>
  <c r="GX77" i="35" s="1"/>
  <c r="C86" i="19"/>
  <c r="CQ86" i="35"/>
  <c r="GX86" i="35" s="1"/>
  <c r="C88" i="19"/>
  <c r="CQ88" i="35"/>
  <c r="GX88" i="35" s="1"/>
  <c r="C90" i="19"/>
  <c r="CQ90" i="35"/>
  <c r="C99" i="19"/>
  <c r="CQ99" i="35"/>
  <c r="GX99" i="35" s="1"/>
  <c r="C150" i="19"/>
  <c r="CQ150" i="35"/>
  <c r="GX150" i="35" s="1"/>
  <c r="C157" i="19"/>
  <c r="CQ157" i="35"/>
  <c r="GX157" i="35" s="1"/>
  <c r="C161" i="19"/>
  <c r="CQ161" i="35"/>
  <c r="GX161" i="35" s="1"/>
  <c r="C163" i="19"/>
  <c r="CQ163" i="35"/>
  <c r="C185" i="19"/>
  <c r="CQ185" i="35"/>
  <c r="GX185" i="35" s="1"/>
  <c r="C192" i="19"/>
  <c r="CQ192" i="35"/>
  <c r="GX192" i="35" s="1"/>
  <c r="C194" i="19"/>
  <c r="CQ194" i="35"/>
  <c r="GX194" i="35" s="1"/>
  <c r="C196" i="19"/>
  <c r="CQ196" i="35"/>
  <c r="GX196" i="35" s="1"/>
  <c r="C198" i="19"/>
  <c r="CQ198" i="35"/>
  <c r="GX198" i="35" s="1"/>
  <c r="C200" i="19"/>
  <c r="CQ200" i="35"/>
  <c r="GX200" i="35" s="1"/>
  <c r="C9" i="19"/>
  <c r="CQ9" i="35"/>
  <c r="GX9" i="35" s="1"/>
  <c r="C44" i="19"/>
  <c r="CQ44" i="35"/>
  <c r="GX44" i="35" s="1"/>
  <c r="C100" i="19"/>
  <c r="CQ100" i="35"/>
  <c r="GX100" i="35" s="1"/>
  <c r="C113" i="19"/>
  <c r="CQ113" i="35"/>
  <c r="GX113" i="35" s="1"/>
  <c r="C136" i="19"/>
  <c r="CQ136" i="35"/>
  <c r="GX136" i="35" s="1"/>
  <c r="C151" i="19"/>
  <c r="CQ151" i="35"/>
  <c r="C166" i="19"/>
  <c r="CQ166" i="35"/>
  <c r="GX166" i="35" s="1"/>
  <c r="C7" i="19"/>
  <c r="CQ7" i="35"/>
  <c r="GX7" i="35" s="1"/>
  <c r="C10" i="19"/>
  <c r="CQ10" i="35"/>
  <c r="GX10" i="35" s="1"/>
  <c r="C23" i="19"/>
  <c r="CQ23" i="35"/>
  <c r="GX23" i="35" s="1"/>
  <c r="C30" i="19"/>
  <c r="CQ30" i="35"/>
  <c r="GX30" i="35" s="1"/>
  <c r="C32" i="19"/>
  <c r="CQ32" i="35"/>
  <c r="C34" i="19"/>
  <c r="CQ34" i="35"/>
  <c r="C36" i="19"/>
  <c r="CQ36" i="35"/>
  <c r="GX36" i="35" s="1"/>
  <c r="C38" i="19"/>
  <c r="CQ38" i="35"/>
  <c r="GX38" i="35" s="1"/>
  <c r="C45" i="19"/>
  <c r="CQ45" i="35"/>
  <c r="GX45" i="35" s="1"/>
  <c r="C65" i="19"/>
  <c r="CQ65" i="35"/>
  <c r="GX65" i="35" s="1"/>
  <c r="C80" i="19"/>
  <c r="CQ80" i="35"/>
  <c r="C126" i="19"/>
  <c r="CQ126" i="35"/>
  <c r="GX126" i="35" s="1"/>
  <c r="C173" i="19"/>
  <c r="CQ173" i="35"/>
  <c r="GX173" i="35" s="1"/>
  <c r="C188" i="19"/>
  <c r="CQ188" i="35"/>
  <c r="GX188" i="35" s="1"/>
  <c r="C25" i="19"/>
  <c r="CQ25" i="35"/>
  <c r="GX25" i="35" s="1"/>
  <c r="C40" i="19"/>
  <c r="CQ40" i="35"/>
  <c r="GX40" i="35" s="1"/>
  <c r="C60" i="19"/>
  <c r="CQ60" i="35"/>
  <c r="GX60" i="35" s="1"/>
  <c r="C67" i="19"/>
  <c r="CQ67" i="35"/>
  <c r="GX67" i="35" s="1"/>
  <c r="C69" i="19"/>
  <c r="CQ69" i="35"/>
  <c r="GX69" i="35" s="1"/>
  <c r="C71" i="19"/>
  <c r="CQ71" i="35"/>
  <c r="GX71" i="35" s="1"/>
  <c r="C73" i="19"/>
  <c r="CQ73" i="35"/>
  <c r="GX73" i="35" s="1"/>
  <c r="C75" i="19"/>
  <c r="CQ75" i="35"/>
  <c r="GX75" i="35" s="1"/>
  <c r="C95" i="19"/>
  <c r="CQ95" i="35"/>
  <c r="C102" i="19"/>
  <c r="CQ102" i="35"/>
  <c r="GX102" i="35" s="1"/>
  <c r="C104" i="19"/>
  <c r="CQ104" i="35"/>
  <c r="GX104" i="35" s="1"/>
  <c r="C106" i="19"/>
  <c r="CQ106" i="35"/>
  <c r="GX106" i="35" s="1"/>
  <c r="C108" i="19"/>
  <c r="CQ108" i="35"/>
  <c r="GX108" i="35" s="1"/>
  <c r="C110" i="19"/>
  <c r="CQ110" i="35"/>
  <c r="GX110" i="35" s="1"/>
  <c r="C121" i="19"/>
  <c r="CQ121" i="35"/>
  <c r="GX121" i="35" s="1"/>
  <c r="C131" i="19"/>
  <c r="CQ131" i="35"/>
  <c r="GX131" i="35" s="1"/>
  <c r="C138" i="19"/>
  <c r="CQ138" i="35"/>
  <c r="GX138" i="35" s="1"/>
  <c r="C140" i="19"/>
  <c r="CQ140" i="35"/>
  <c r="GX140" i="35" s="1"/>
  <c r="C142" i="19"/>
  <c r="CQ142" i="35"/>
  <c r="GX142" i="35" s="1"/>
  <c r="C144" i="19"/>
  <c r="CQ144" i="35"/>
  <c r="GX144" i="35" s="1"/>
  <c r="C146" i="19"/>
  <c r="CQ146" i="35"/>
  <c r="GX146" i="35" s="1"/>
  <c r="C153" i="19"/>
  <c r="CQ153" i="35"/>
  <c r="GX153" i="35" s="1"/>
  <c r="C168" i="19"/>
  <c r="CQ168" i="35"/>
  <c r="GX168" i="35" s="1"/>
  <c r="C175" i="19"/>
  <c r="CQ175" i="35"/>
  <c r="GX175" i="35" s="1"/>
  <c r="C177" i="19"/>
  <c r="CQ177" i="35"/>
  <c r="GX177" i="35" s="1"/>
  <c r="C179" i="19"/>
  <c r="CQ179" i="35"/>
  <c r="GX179" i="35" s="1"/>
  <c r="C181" i="19"/>
  <c r="CQ181" i="35"/>
  <c r="GX181" i="35" s="1"/>
  <c r="C183" i="19"/>
  <c r="CQ183" i="35"/>
  <c r="C190" i="19"/>
  <c r="CQ190" i="35"/>
  <c r="GX190" i="35" s="1"/>
  <c r="C31" i="19"/>
  <c r="CQ31" i="35"/>
  <c r="GX31" i="35" s="1"/>
  <c r="C11" i="19"/>
  <c r="CQ11" i="35"/>
  <c r="GX11" i="35" s="1"/>
  <c r="C46" i="19"/>
  <c r="CQ46" i="35"/>
  <c r="GX46" i="35" s="1"/>
  <c r="C59" i="19"/>
  <c r="CQ59" i="35"/>
  <c r="C68" i="19"/>
  <c r="CQ68" i="35"/>
  <c r="GX68" i="35" s="1"/>
  <c r="C70" i="19"/>
  <c r="CQ70" i="35"/>
  <c r="GX70" i="35" s="1"/>
  <c r="C74" i="19"/>
  <c r="CQ74" i="35"/>
  <c r="GX74" i="35" s="1"/>
  <c r="C103" i="19"/>
  <c r="CQ103" i="35"/>
  <c r="GX103" i="35" s="1"/>
  <c r="C107" i="19"/>
  <c r="CQ107" i="35"/>
  <c r="GX107" i="35" s="1"/>
  <c r="C111" i="19"/>
  <c r="CQ111" i="35"/>
  <c r="GX111" i="35" s="1"/>
  <c r="C127" i="19"/>
  <c r="CQ127" i="35"/>
  <c r="GX127" i="35" s="1"/>
  <c r="C139" i="19"/>
  <c r="CQ139" i="35"/>
  <c r="GX139" i="35" s="1"/>
  <c r="C143" i="19"/>
  <c r="CQ143" i="35"/>
  <c r="GX143" i="35" s="1"/>
  <c r="C145" i="19"/>
  <c r="CQ145" i="35"/>
  <c r="GX145" i="35" s="1"/>
  <c r="C180" i="19"/>
  <c r="CQ180" i="35"/>
  <c r="GX180" i="35" s="1"/>
  <c r="C61" i="19"/>
  <c r="CQ61" i="35"/>
  <c r="GX61" i="35" s="1"/>
  <c r="C76" i="19"/>
  <c r="CQ76" i="35"/>
  <c r="GX76" i="35" s="1"/>
  <c r="C154" i="19"/>
  <c r="CQ154" i="35"/>
  <c r="GX154" i="35" s="1"/>
  <c r="C184" i="19"/>
  <c r="CQ184" i="35"/>
  <c r="GX184" i="35" s="1"/>
  <c r="C15" i="19"/>
  <c r="CQ15" i="35"/>
  <c r="GX15" i="35" s="1"/>
  <c r="C17" i="19"/>
  <c r="CQ17" i="35"/>
  <c r="GX17" i="35" s="1"/>
  <c r="C19" i="19"/>
  <c r="CQ19" i="35"/>
  <c r="GX19" i="35" s="1"/>
  <c r="C21" i="19"/>
  <c r="CQ21" i="35"/>
  <c r="GX21" i="35" s="1"/>
  <c r="C41" i="19"/>
  <c r="CQ41" i="35"/>
  <c r="GX41" i="35" s="1"/>
  <c r="C48" i="19"/>
  <c r="CQ48" i="35"/>
  <c r="GX48" i="35" s="1"/>
  <c r="C50" i="19"/>
  <c r="CQ50" i="35"/>
  <c r="GX50" i="35" s="1"/>
  <c r="C52" i="19"/>
  <c r="CQ52" i="35"/>
  <c r="GX52" i="35" s="1"/>
  <c r="C54" i="19"/>
  <c r="CQ54" i="35"/>
  <c r="GX54" i="35" s="1"/>
  <c r="C56" i="19"/>
  <c r="CQ56" i="35"/>
  <c r="GX56" i="35" s="1"/>
  <c r="C83" i="19"/>
  <c r="CQ83" i="35"/>
  <c r="GX83" i="35" s="1"/>
  <c r="C98" i="19"/>
  <c r="CQ98" i="35"/>
  <c r="GX98" i="35" s="1"/>
  <c r="C129" i="19"/>
  <c r="CQ129" i="35"/>
  <c r="GX129" i="35" s="1"/>
  <c r="C134" i="19"/>
  <c r="CQ134" i="35"/>
  <c r="GX134" i="35" s="1"/>
  <c r="C191" i="19"/>
  <c r="CQ191" i="35"/>
  <c r="GX191" i="35" s="1"/>
  <c r="C123" i="19"/>
  <c r="CQ123" i="35"/>
  <c r="GX123" i="35" s="1"/>
  <c r="C155" i="19"/>
  <c r="CQ155" i="35"/>
  <c r="GX155" i="35" s="1"/>
  <c r="C170" i="19"/>
  <c r="CQ170" i="35"/>
  <c r="GX170" i="35" s="1"/>
  <c r="C22" i="19"/>
  <c r="CQ22" i="35"/>
  <c r="GX22" i="35" s="1"/>
  <c r="C84" i="19"/>
  <c r="CQ84" i="35"/>
  <c r="GX84" i="35" s="1"/>
  <c r="C92" i="19"/>
  <c r="CQ92" i="35"/>
  <c r="GX92" i="35" s="1"/>
  <c r="C135" i="19"/>
  <c r="CQ135" i="35"/>
  <c r="GX135" i="35" s="1"/>
  <c r="C159" i="19"/>
  <c r="CQ159" i="35"/>
  <c r="GX159" i="35" s="1"/>
  <c r="C165" i="19"/>
  <c r="CQ165" i="35"/>
  <c r="GX165" i="35" s="1"/>
  <c r="C29" i="19"/>
  <c r="CQ29" i="35"/>
  <c r="GX29" i="35" s="1"/>
  <c r="C64" i="19"/>
  <c r="CQ64" i="35"/>
  <c r="GX64" i="35" s="1"/>
  <c r="C79" i="19"/>
  <c r="CQ79" i="35"/>
  <c r="GX79" i="35" s="1"/>
  <c r="C94" i="19"/>
  <c r="CQ94" i="35"/>
  <c r="GX94" i="35" s="1"/>
  <c r="C125" i="19"/>
  <c r="CQ125" i="35"/>
  <c r="GX125" i="35" s="1"/>
  <c r="C130" i="19"/>
  <c r="CQ130" i="35"/>
  <c r="GX130" i="35" s="1"/>
  <c r="C172" i="19"/>
  <c r="CQ172" i="35"/>
  <c r="GX172" i="35" s="1"/>
  <c r="C187" i="19"/>
  <c r="CQ187" i="35"/>
  <c r="GX187" i="35" s="1"/>
  <c r="C24" i="19"/>
  <c r="CQ24" i="35"/>
  <c r="GX24" i="35" s="1"/>
  <c r="C33" i="19"/>
  <c r="CQ33" i="35"/>
  <c r="GX33" i="35" s="1"/>
  <c r="C35" i="19"/>
  <c r="CQ35" i="35"/>
  <c r="GX35" i="35" s="1"/>
  <c r="C37" i="19"/>
  <c r="CQ37" i="35"/>
  <c r="GX37" i="35" s="1"/>
  <c r="C39" i="19"/>
  <c r="CQ39" i="35"/>
  <c r="GX39" i="35" s="1"/>
  <c r="C101" i="19"/>
  <c r="CQ101" i="35"/>
  <c r="GX101" i="35" s="1"/>
  <c r="C114" i="19"/>
  <c r="CQ114" i="35"/>
  <c r="GX114" i="35" s="1"/>
  <c r="C117" i="19"/>
  <c r="CQ117" i="35"/>
  <c r="GX117" i="35" s="1"/>
  <c r="C120" i="19"/>
  <c r="CQ120" i="35"/>
  <c r="GX120" i="35" s="1"/>
  <c r="C137" i="19"/>
  <c r="CQ137" i="35"/>
  <c r="GX137" i="35" s="1"/>
  <c r="C152" i="19"/>
  <c r="CQ152" i="35"/>
  <c r="GX152" i="35" s="1"/>
  <c r="C66" i="19"/>
  <c r="CQ66" i="35"/>
  <c r="GX66" i="35" s="1"/>
  <c r="C72" i="19"/>
  <c r="CQ72" i="35"/>
  <c r="GX72" i="35" s="1"/>
  <c r="C81" i="19"/>
  <c r="CQ81" i="35"/>
  <c r="GX81" i="35" s="1"/>
  <c r="C96" i="19"/>
  <c r="CQ96" i="35"/>
  <c r="GX96" i="35" s="1"/>
  <c r="C105" i="19"/>
  <c r="CQ105" i="35"/>
  <c r="GX105" i="35" s="1"/>
  <c r="C109" i="19"/>
  <c r="CQ109" i="35"/>
  <c r="GX109" i="35" s="1"/>
  <c r="C132" i="19"/>
  <c r="CQ132" i="35"/>
  <c r="GX132" i="35" s="1"/>
  <c r="C141" i="19"/>
  <c r="CQ141" i="35"/>
  <c r="GX141" i="35" s="1"/>
  <c r="C147" i="19"/>
  <c r="CQ147" i="35"/>
  <c r="GX147" i="35" s="1"/>
  <c r="C167" i="19"/>
  <c r="CQ167" i="35"/>
  <c r="GX167" i="35" s="1"/>
  <c r="C174" i="19"/>
  <c r="CQ174" i="35"/>
  <c r="GX174" i="35" s="1"/>
  <c r="C176" i="19"/>
  <c r="CQ176" i="35"/>
  <c r="GX176" i="35" s="1"/>
  <c r="C178" i="19"/>
  <c r="CQ178" i="35"/>
  <c r="GX178" i="35" s="1"/>
  <c r="C182" i="19"/>
  <c r="CQ182" i="35"/>
  <c r="GX182" i="35" s="1"/>
  <c r="C189" i="19"/>
  <c r="CQ189" i="35"/>
  <c r="GX189" i="35" s="1"/>
  <c r="C13" i="19"/>
  <c r="CQ13" i="35"/>
  <c r="GX13" i="35" s="1"/>
  <c r="C26" i="19"/>
  <c r="CQ26" i="35"/>
  <c r="GX26" i="35" s="1"/>
  <c r="C122" i="19"/>
  <c r="CQ122" i="35"/>
  <c r="GX122" i="35" s="1"/>
  <c r="C169" i="19"/>
  <c r="CQ169" i="35"/>
  <c r="GX169" i="35" s="1"/>
  <c r="C8" i="19"/>
  <c r="CQ8" i="35"/>
  <c r="GX8" i="35" s="1"/>
  <c r="C28" i="19"/>
  <c r="CQ28" i="35"/>
  <c r="GX28" i="35" s="1"/>
  <c r="C43" i="19"/>
  <c r="CQ43" i="35"/>
  <c r="GX43" i="35" s="1"/>
  <c r="C58" i="19"/>
  <c r="CQ58" i="35"/>
  <c r="GX58" i="35" s="1"/>
  <c r="C63" i="19"/>
  <c r="CQ63" i="35"/>
  <c r="GX63" i="35" s="1"/>
  <c r="C78" i="19"/>
  <c r="CQ78" i="35"/>
  <c r="GX78" i="35" s="1"/>
  <c r="C85" i="19"/>
  <c r="CQ85" i="35"/>
  <c r="GX85" i="35" s="1"/>
  <c r="C87" i="19"/>
  <c r="CQ87" i="35"/>
  <c r="GX87" i="35" s="1"/>
  <c r="C89" i="19"/>
  <c r="CQ89" i="35"/>
  <c r="GX89" i="35" s="1"/>
  <c r="C91" i="19"/>
  <c r="CQ91" i="35"/>
  <c r="GX91" i="35" s="1"/>
  <c r="C93" i="19"/>
  <c r="CQ93" i="35"/>
  <c r="GX93" i="35" s="1"/>
  <c r="C116" i="19"/>
  <c r="CQ116" i="35"/>
  <c r="GX116" i="35" s="1"/>
  <c r="C119" i="19"/>
  <c r="CQ119" i="35"/>
  <c r="GX119" i="35" s="1"/>
  <c r="C124" i="19"/>
  <c r="CQ124" i="35"/>
  <c r="GX124" i="35" s="1"/>
  <c r="C149" i="19"/>
  <c r="CQ149" i="35"/>
  <c r="GX149" i="35" s="1"/>
  <c r="C156" i="19"/>
  <c r="CQ156" i="35"/>
  <c r="GX156" i="35" s="1"/>
  <c r="C158" i="19"/>
  <c r="CQ158" i="35"/>
  <c r="GX158" i="35" s="1"/>
  <c r="C160" i="19"/>
  <c r="CQ160" i="35"/>
  <c r="GX160" i="35" s="1"/>
  <c r="C162" i="19"/>
  <c r="CQ162" i="35"/>
  <c r="GX162" i="35" s="1"/>
  <c r="C164" i="19"/>
  <c r="CQ164" i="35"/>
  <c r="GX164" i="35" s="1"/>
  <c r="C171" i="19"/>
  <c r="CQ171" i="35"/>
  <c r="GX171" i="35" s="1"/>
  <c r="C186" i="19"/>
  <c r="CQ186" i="35"/>
  <c r="GX186" i="35" s="1"/>
  <c r="C193" i="19"/>
  <c r="CQ193" i="35"/>
  <c r="GX193" i="35" s="1"/>
  <c r="C195" i="19"/>
  <c r="CQ195" i="35"/>
  <c r="GX195" i="35" s="1"/>
  <c r="C197" i="19"/>
  <c r="CQ197" i="35"/>
  <c r="GX197" i="35" s="1"/>
  <c r="C199" i="19"/>
  <c r="CQ199" i="35"/>
  <c r="GX199" i="35" s="1"/>
  <c r="C201" i="19"/>
  <c r="CQ201" i="35"/>
  <c r="GX201" i="35" s="1"/>
  <c r="GX219" i="35"/>
  <c r="GX34" i="35"/>
  <c r="GX209" i="35"/>
  <c r="GX215" i="35"/>
  <c r="GX216" i="35"/>
  <c r="GX203" i="35"/>
  <c r="GX208" i="35"/>
  <c r="GX53" i="35"/>
  <c r="GX151" i="35"/>
  <c r="GX205" i="35"/>
  <c r="GX207" i="35"/>
  <c r="GX163" i="35"/>
  <c r="GX90" i="35"/>
  <c r="GX95" i="35"/>
  <c r="GX218" i="35"/>
  <c r="GX217" i="35"/>
  <c r="GX118" i="35"/>
  <c r="GX204" i="35"/>
  <c r="GX80" i="35"/>
  <c r="GX202" i="35"/>
  <c r="GX183" i="35"/>
  <c r="GX213" i="35"/>
  <c r="GX32" i="35"/>
  <c r="GX47" i="35"/>
  <c r="GX12" i="35"/>
  <c r="GX214" i="35"/>
  <c r="GX59" i="35"/>
  <c r="GX211" i="35"/>
  <c r="GX206" i="35"/>
  <c r="GX212" i="35"/>
  <c r="GX210" i="35"/>
  <c r="GX82" i="35"/>
  <c r="B31" i="34"/>
  <c r="B33" i="10"/>
  <c r="B29" i="34"/>
  <c r="B31" i="10"/>
  <c r="B30" i="34"/>
  <c r="B32" i="10"/>
  <c r="Q220" i="35"/>
  <c r="Y60" i="35"/>
  <c r="P7" i="35"/>
  <c r="AA7" i="35" s="1"/>
  <c r="Z220" i="35"/>
  <c r="B39" i="37"/>
  <c r="Z21" i="37"/>
  <c r="EC13" i="35"/>
  <c r="EF13" i="35" s="1"/>
  <c r="EG13" i="35" s="1"/>
  <c r="CO220" i="35"/>
  <c r="EC12" i="35"/>
  <c r="EF12" i="35" s="1"/>
  <c r="EG12" i="35" s="1"/>
  <c r="EC22" i="35"/>
  <c r="EF22" i="35" s="1"/>
  <c r="EG22" i="35" s="1"/>
  <c r="FB28" i="35"/>
  <c r="T220" i="35"/>
  <c r="W220" i="35"/>
  <c r="V220" i="35"/>
  <c r="ED26" i="35"/>
  <c r="EF26" i="35"/>
  <c r="EG26" i="35" s="1"/>
  <c r="AH228" i="35"/>
  <c r="A223" i="35"/>
  <c r="P216" i="35"/>
  <c r="P217" i="35"/>
  <c r="P218" i="35"/>
  <c r="P212" i="35"/>
  <c r="P215" i="35"/>
  <c r="P209" i="35"/>
  <c r="P208" i="35"/>
  <c r="P219" i="35"/>
  <c r="P205" i="35"/>
  <c r="P214" i="35"/>
  <c r="P213" i="35"/>
  <c r="P210" i="35"/>
  <c r="P211" i="35"/>
  <c r="P202" i="35"/>
  <c r="P201" i="35"/>
  <c r="P197" i="35"/>
  <c r="P196" i="35"/>
  <c r="P195" i="35"/>
  <c r="P194" i="35"/>
  <c r="P193" i="35"/>
  <c r="P192" i="35"/>
  <c r="P206" i="35"/>
  <c r="P203" i="35"/>
  <c r="P190" i="35"/>
  <c r="P207" i="35"/>
  <c r="P189" i="35"/>
  <c r="P200" i="35"/>
  <c r="P199" i="35"/>
  <c r="P198" i="35"/>
  <c r="P191" i="35"/>
  <c r="P188" i="35"/>
  <c r="P187" i="35"/>
  <c r="P186" i="35"/>
  <c r="P185" i="35"/>
  <c r="P180" i="35"/>
  <c r="P169" i="35"/>
  <c r="P183" i="35"/>
  <c r="P176" i="35"/>
  <c r="P173" i="35"/>
  <c r="P172" i="35"/>
  <c r="P178" i="35"/>
  <c r="P171" i="35"/>
  <c r="P204" i="35"/>
  <c r="P174" i="35"/>
  <c r="P181" i="35"/>
  <c r="P179" i="35"/>
  <c r="P175" i="35"/>
  <c r="P167" i="35"/>
  <c r="P166" i="35"/>
  <c r="P165" i="35"/>
  <c r="P164" i="35"/>
  <c r="P163" i="35"/>
  <c r="P162" i="35"/>
  <c r="P161" i="35"/>
  <c r="P160" i="35"/>
  <c r="P159" i="35"/>
  <c r="P158" i="35"/>
  <c r="P182" i="35"/>
  <c r="P170" i="35"/>
  <c r="P168" i="35"/>
  <c r="P148" i="35"/>
  <c r="P147" i="35"/>
  <c r="P146" i="35"/>
  <c r="P145" i="35"/>
  <c r="P144" i="35"/>
  <c r="P143" i="35"/>
  <c r="P142" i="35"/>
  <c r="P141" i="35"/>
  <c r="P140" i="35"/>
  <c r="P139" i="35"/>
  <c r="P138" i="35"/>
  <c r="P177" i="35"/>
  <c r="P157" i="35"/>
  <c r="P156" i="35"/>
  <c r="P155" i="35"/>
  <c r="P154" i="35"/>
  <c r="P135" i="35"/>
  <c r="P153" i="35"/>
  <c r="P134" i="35"/>
  <c r="P184" i="35"/>
  <c r="P152" i="35"/>
  <c r="P151" i="35"/>
  <c r="P133" i="35"/>
  <c r="P124" i="35"/>
  <c r="P132" i="35"/>
  <c r="P131" i="35"/>
  <c r="P123" i="35"/>
  <c r="P113" i="35"/>
  <c r="P150" i="35"/>
  <c r="P130" i="35"/>
  <c r="P122" i="35"/>
  <c r="P117" i="35"/>
  <c r="P128" i="35"/>
  <c r="P119" i="35"/>
  <c r="P129" i="35"/>
  <c r="P121" i="35"/>
  <c r="P112" i="35"/>
  <c r="P136" i="35"/>
  <c r="P126" i="35"/>
  <c r="P149" i="35"/>
  <c r="P137" i="35"/>
  <c r="P127" i="35"/>
  <c r="P120" i="35"/>
  <c r="P111" i="35"/>
  <c r="P101" i="35"/>
  <c r="P115" i="35"/>
  <c r="P100" i="35"/>
  <c r="P125" i="35"/>
  <c r="P114" i="35"/>
  <c r="P110" i="35"/>
  <c r="P99" i="35"/>
  <c r="P118" i="35"/>
  <c r="P98" i="35"/>
  <c r="P116" i="35"/>
  <c r="P97" i="35"/>
  <c r="P96" i="35"/>
  <c r="P95" i="35"/>
  <c r="P94" i="35"/>
  <c r="P93" i="35"/>
  <c r="P92" i="35"/>
  <c r="P91" i="35"/>
  <c r="P90" i="35"/>
  <c r="P76" i="35"/>
  <c r="P75" i="35"/>
  <c r="P74" i="35"/>
  <c r="P73" i="35"/>
  <c r="P72" i="35"/>
  <c r="P71" i="35"/>
  <c r="P70" i="35"/>
  <c r="P69" i="35"/>
  <c r="P68" i="35"/>
  <c r="AA68" i="35" s="1"/>
  <c r="P67" i="35"/>
  <c r="P66" i="35"/>
  <c r="P106" i="35"/>
  <c r="P102" i="35"/>
  <c r="P65" i="35"/>
  <c r="P89" i="35"/>
  <c r="P83" i="35"/>
  <c r="P64" i="35"/>
  <c r="P107" i="35"/>
  <c r="P103" i="35"/>
  <c r="P88" i="35"/>
  <c r="P84" i="35"/>
  <c r="P82" i="35"/>
  <c r="P87" i="35"/>
  <c r="P85" i="35"/>
  <c r="P81" i="35"/>
  <c r="P62" i="35"/>
  <c r="P108" i="35"/>
  <c r="P104" i="35"/>
  <c r="P80" i="35"/>
  <c r="P61" i="35"/>
  <c r="P79" i="35"/>
  <c r="P109" i="35"/>
  <c r="P105" i="35"/>
  <c r="P86" i="35"/>
  <c r="P78" i="35"/>
  <c r="P77" i="35"/>
  <c r="P58" i="35"/>
  <c r="AA58" i="35" s="1"/>
  <c r="P50" i="35"/>
  <c r="AA50" i="35" s="1"/>
  <c r="P35" i="35"/>
  <c r="AA35" i="35" s="1"/>
  <c r="P51" i="35"/>
  <c r="AA51" i="35" s="1"/>
  <c r="P36" i="35"/>
  <c r="AA36" i="35" s="1"/>
  <c r="P52" i="35"/>
  <c r="AA52" i="35" s="1"/>
  <c r="P37" i="35"/>
  <c r="AA37" i="35" s="1"/>
  <c r="P53" i="35"/>
  <c r="AA53" i="35" s="1"/>
  <c r="P38" i="35"/>
  <c r="AA38" i="35" s="1"/>
  <c r="P30" i="35"/>
  <c r="AA30" i="35" s="1"/>
  <c r="P29" i="35"/>
  <c r="AA29" i="35" s="1"/>
  <c r="P28" i="35"/>
  <c r="AA28" i="35" s="1"/>
  <c r="P60" i="35"/>
  <c r="P54" i="35"/>
  <c r="AA54" i="35" s="1"/>
  <c r="P39" i="35"/>
  <c r="AA39" i="35" s="1"/>
  <c r="P59" i="35"/>
  <c r="P55" i="35"/>
  <c r="AA55" i="35" s="1"/>
  <c r="P41" i="35"/>
  <c r="AA41" i="35" s="1"/>
  <c r="P40" i="35"/>
  <c r="AA40" i="35" s="1"/>
  <c r="P32" i="35"/>
  <c r="AA32" i="35" s="1"/>
  <c r="P56" i="35"/>
  <c r="AA56" i="35" s="1"/>
  <c r="P48" i="35"/>
  <c r="AA48" i="35" s="1"/>
  <c r="P47" i="35"/>
  <c r="AA47" i="35" s="1"/>
  <c r="P46" i="35"/>
  <c r="AA46" i="35" s="1"/>
  <c r="P45" i="35"/>
  <c r="AA45" i="35" s="1"/>
  <c r="P44" i="35"/>
  <c r="AA44" i="35" s="1"/>
  <c r="P43" i="35"/>
  <c r="AA43" i="35" s="1"/>
  <c r="P42" i="35"/>
  <c r="AA42" i="35" s="1"/>
  <c r="P33" i="35"/>
  <c r="AA33" i="35" s="1"/>
  <c r="P63" i="35"/>
  <c r="P57" i="35"/>
  <c r="AA57" i="35" s="1"/>
  <c r="P49" i="35"/>
  <c r="AA49" i="35" s="1"/>
  <c r="P34" i="35"/>
  <c r="AA34" i="35" s="1"/>
  <c r="P23" i="35"/>
  <c r="AA23" i="35" s="1"/>
  <c r="P22" i="35"/>
  <c r="AA22" i="35" s="1"/>
  <c r="P14" i="35"/>
  <c r="AA14" i="35" s="1"/>
  <c r="P27" i="35"/>
  <c r="AA27" i="35" s="1"/>
  <c r="P26" i="35"/>
  <c r="AA26" i="35" s="1"/>
  <c r="P25" i="35"/>
  <c r="P24" i="35"/>
  <c r="AA24" i="35" s="1"/>
  <c r="P15" i="35"/>
  <c r="AA15" i="35" s="1"/>
  <c r="P31" i="35"/>
  <c r="AA31" i="35" s="1"/>
  <c r="P16" i="35"/>
  <c r="AA16" i="35" s="1"/>
  <c r="P17" i="35"/>
  <c r="AA17" i="35" s="1"/>
  <c r="P20" i="35"/>
  <c r="AA20" i="35" s="1"/>
  <c r="P18" i="35"/>
  <c r="AA18" i="35" s="1"/>
  <c r="P19" i="35"/>
  <c r="AA19" i="35" s="1"/>
  <c r="AA13" i="35"/>
  <c r="P21" i="35"/>
  <c r="AA21" i="35" s="1"/>
  <c r="AH6" i="35"/>
  <c r="N214" i="35"/>
  <c r="O214" i="35" s="1"/>
  <c r="N215" i="35"/>
  <c r="O215" i="35" s="1"/>
  <c r="N218" i="35"/>
  <c r="O218" i="35" s="1"/>
  <c r="N210" i="35"/>
  <c r="O210" i="35" s="1"/>
  <c r="N209" i="35"/>
  <c r="O209" i="35" s="1"/>
  <c r="N208" i="35"/>
  <c r="O208" i="35" s="1"/>
  <c r="N207" i="35"/>
  <c r="O207" i="35" s="1"/>
  <c r="N206" i="35"/>
  <c r="O206" i="35" s="1"/>
  <c r="N219" i="35"/>
  <c r="O219" i="35" s="1"/>
  <c r="N212" i="35"/>
  <c r="O212" i="35" s="1"/>
  <c r="N216" i="35"/>
  <c r="O216" i="35" s="1"/>
  <c r="N217" i="35"/>
  <c r="O217" i="35" s="1"/>
  <c r="N205" i="35"/>
  <c r="O205" i="35" s="1"/>
  <c r="N204" i="35"/>
  <c r="O204" i="35" s="1"/>
  <c r="N203" i="35"/>
  <c r="O203" i="35" s="1"/>
  <c r="N213" i="35"/>
  <c r="O213" i="35" s="1"/>
  <c r="N211" i="35"/>
  <c r="O211" i="35" s="1"/>
  <c r="N202" i="35"/>
  <c r="O202" i="35" s="1"/>
  <c r="N199" i="35"/>
  <c r="O199" i="35" s="1"/>
  <c r="N201" i="35"/>
  <c r="O201" i="35" s="1"/>
  <c r="N197" i="35"/>
  <c r="O197" i="35" s="1"/>
  <c r="N196" i="35"/>
  <c r="O196" i="35" s="1"/>
  <c r="N195" i="35"/>
  <c r="O195" i="35" s="1"/>
  <c r="N194" i="35"/>
  <c r="O194" i="35" s="1"/>
  <c r="N193" i="35"/>
  <c r="O193" i="35" s="1"/>
  <c r="N192" i="35"/>
  <c r="O192" i="35" s="1"/>
  <c r="N186" i="35"/>
  <c r="O186" i="35" s="1"/>
  <c r="N185" i="35"/>
  <c r="O185" i="35" s="1"/>
  <c r="N184" i="35"/>
  <c r="O184" i="35" s="1"/>
  <c r="N183" i="35"/>
  <c r="O183" i="35" s="1"/>
  <c r="N182" i="35"/>
  <c r="O182" i="35" s="1"/>
  <c r="N181" i="35"/>
  <c r="O181" i="35" s="1"/>
  <c r="N200" i="35"/>
  <c r="O200" i="35" s="1"/>
  <c r="N198" i="35"/>
  <c r="O198" i="35" s="1"/>
  <c r="N191" i="35"/>
  <c r="O191" i="35" s="1"/>
  <c r="N188" i="35"/>
  <c r="O188" i="35" s="1"/>
  <c r="N178" i="35"/>
  <c r="O178" i="35" s="1"/>
  <c r="N171" i="35"/>
  <c r="O171" i="35" s="1"/>
  <c r="N190" i="35"/>
  <c r="O190" i="35" s="1"/>
  <c r="N189" i="35"/>
  <c r="O189" i="35" s="1"/>
  <c r="N180" i="35"/>
  <c r="O180" i="35" s="1"/>
  <c r="N169" i="35"/>
  <c r="O169" i="35" s="1"/>
  <c r="N187" i="35"/>
  <c r="O187" i="35" s="1"/>
  <c r="N179" i="35"/>
  <c r="O179" i="35" s="1"/>
  <c r="N174" i="35"/>
  <c r="O174" i="35" s="1"/>
  <c r="N176" i="35"/>
  <c r="O176" i="35" s="1"/>
  <c r="N173" i="35"/>
  <c r="O173" i="35" s="1"/>
  <c r="N168" i="35"/>
  <c r="O168" i="35" s="1"/>
  <c r="N177" i="35"/>
  <c r="O177" i="35" s="1"/>
  <c r="N167" i="35"/>
  <c r="O167" i="35" s="1"/>
  <c r="N170" i="35"/>
  <c r="O170" i="35" s="1"/>
  <c r="N164" i="35"/>
  <c r="O164" i="35" s="1"/>
  <c r="N160" i="35"/>
  <c r="O160" i="35" s="1"/>
  <c r="N158" i="35"/>
  <c r="O158" i="35" s="1"/>
  <c r="N175" i="35"/>
  <c r="O175" i="35" s="1"/>
  <c r="N165" i="35"/>
  <c r="O165" i="35" s="1"/>
  <c r="N161" i="35"/>
  <c r="O161" i="35" s="1"/>
  <c r="N151" i="35"/>
  <c r="O151" i="35" s="1"/>
  <c r="N172" i="35"/>
  <c r="O172" i="35" s="1"/>
  <c r="N166" i="35"/>
  <c r="O166" i="35" s="1"/>
  <c r="N162" i="35"/>
  <c r="O162" i="35" s="1"/>
  <c r="N157" i="35"/>
  <c r="O157" i="35" s="1"/>
  <c r="N156" i="35"/>
  <c r="O156" i="35" s="1"/>
  <c r="N137" i="35"/>
  <c r="O137" i="35" s="1"/>
  <c r="N163" i="35"/>
  <c r="O163" i="35" s="1"/>
  <c r="N159" i="35"/>
  <c r="O159" i="35" s="1"/>
  <c r="N155" i="35"/>
  <c r="O155" i="35" s="1"/>
  <c r="N136" i="35"/>
  <c r="O136" i="35" s="1"/>
  <c r="N154" i="35"/>
  <c r="O154" i="35" s="1"/>
  <c r="N135" i="35"/>
  <c r="O135" i="35" s="1"/>
  <c r="N147" i="35"/>
  <c r="O147" i="35" s="1"/>
  <c r="N139" i="35"/>
  <c r="O139" i="35" s="1"/>
  <c r="N127" i="35"/>
  <c r="O127" i="35" s="1"/>
  <c r="N153" i="35"/>
  <c r="O153" i="35" s="1"/>
  <c r="N152" i="35"/>
  <c r="O152" i="35" s="1"/>
  <c r="N144" i="35"/>
  <c r="O144" i="35" s="1"/>
  <c r="N126" i="35"/>
  <c r="O126" i="35" s="1"/>
  <c r="N119" i="35"/>
  <c r="O119" i="35" s="1"/>
  <c r="N141" i="35"/>
  <c r="O141" i="35" s="1"/>
  <c r="N125" i="35"/>
  <c r="O125" i="35" s="1"/>
  <c r="N146" i="35"/>
  <c r="O146" i="35" s="1"/>
  <c r="N138" i="35"/>
  <c r="O138" i="35" s="1"/>
  <c r="N134" i="35"/>
  <c r="O134" i="35" s="1"/>
  <c r="N133" i="35"/>
  <c r="O133" i="35" s="1"/>
  <c r="N124" i="35"/>
  <c r="O124" i="35" s="1"/>
  <c r="N118" i="35"/>
  <c r="O118" i="35" s="1"/>
  <c r="N114" i="35"/>
  <c r="O114" i="35" s="1"/>
  <c r="N150" i="35"/>
  <c r="O150" i="35" s="1"/>
  <c r="N116" i="35"/>
  <c r="O116" i="35" s="1"/>
  <c r="N115" i="35"/>
  <c r="O115" i="35" s="1"/>
  <c r="N143" i="35"/>
  <c r="O143" i="35" s="1"/>
  <c r="N142" i="35"/>
  <c r="O142" i="35" s="1"/>
  <c r="N131" i="35"/>
  <c r="O131" i="35" s="1"/>
  <c r="N122" i="35"/>
  <c r="O122" i="35" s="1"/>
  <c r="N128" i="35"/>
  <c r="O128" i="35" s="1"/>
  <c r="N148" i="35"/>
  <c r="O148" i="35" s="1"/>
  <c r="N140" i="35"/>
  <c r="O140" i="35" s="1"/>
  <c r="N129" i="35"/>
  <c r="O129" i="35" s="1"/>
  <c r="N121" i="35"/>
  <c r="O121" i="35" s="1"/>
  <c r="N113" i="35"/>
  <c r="O113" i="35" s="1"/>
  <c r="N145" i="35"/>
  <c r="O145" i="35" s="1"/>
  <c r="N111" i="35"/>
  <c r="O111" i="35" s="1"/>
  <c r="N94" i="35"/>
  <c r="O94" i="35" s="1"/>
  <c r="N93" i="35"/>
  <c r="O93" i="35" s="1"/>
  <c r="N92" i="35"/>
  <c r="O92" i="35" s="1"/>
  <c r="N91" i="35"/>
  <c r="O91" i="35" s="1"/>
  <c r="N90" i="35"/>
  <c r="O90" i="35" s="1"/>
  <c r="N89" i="35"/>
  <c r="O89" i="35" s="1"/>
  <c r="N88" i="35"/>
  <c r="O88" i="35" s="1"/>
  <c r="N87" i="35"/>
  <c r="O87" i="35" s="1"/>
  <c r="N86" i="35"/>
  <c r="O86" i="35" s="1"/>
  <c r="N85" i="35"/>
  <c r="O85" i="35" s="1"/>
  <c r="N84" i="35"/>
  <c r="O84" i="35" s="1"/>
  <c r="N109" i="35"/>
  <c r="O109" i="35" s="1"/>
  <c r="N108" i="35"/>
  <c r="O108" i="35" s="1"/>
  <c r="N107" i="35"/>
  <c r="O107" i="35" s="1"/>
  <c r="N106" i="35"/>
  <c r="O106" i="35" s="1"/>
  <c r="N105" i="35"/>
  <c r="O105" i="35" s="1"/>
  <c r="N104" i="35"/>
  <c r="O104" i="35" s="1"/>
  <c r="N103" i="35"/>
  <c r="O103" i="35" s="1"/>
  <c r="N102" i="35"/>
  <c r="O102" i="35" s="1"/>
  <c r="N132" i="35"/>
  <c r="O132" i="35" s="1"/>
  <c r="N101" i="35"/>
  <c r="O101" i="35" s="1"/>
  <c r="N120" i="35"/>
  <c r="O120" i="35" s="1"/>
  <c r="N110" i="35"/>
  <c r="O110" i="35" s="1"/>
  <c r="N100" i="35"/>
  <c r="O100" i="35" s="1"/>
  <c r="N99" i="35"/>
  <c r="O99" i="35" s="1"/>
  <c r="N149" i="35"/>
  <c r="O149" i="35" s="1"/>
  <c r="N98" i="35"/>
  <c r="O98" i="35" s="1"/>
  <c r="N130" i="35"/>
  <c r="O130" i="35" s="1"/>
  <c r="N97" i="35"/>
  <c r="O97" i="35" s="1"/>
  <c r="N79" i="35"/>
  <c r="O79" i="35" s="1"/>
  <c r="N60" i="35"/>
  <c r="O60" i="35" s="1"/>
  <c r="N59" i="35"/>
  <c r="O59" i="35" s="1"/>
  <c r="N78" i="35"/>
  <c r="O78" i="35" s="1"/>
  <c r="N77" i="35"/>
  <c r="O77" i="35" s="1"/>
  <c r="N58" i="35"/>
  <c r="O58" i="35" s="1"/>
  <c r="N76" i="35"/>
  <c r="O76" i="35" s="1"/>
  <c r="N75" i="35"/>
  <c r="O75" i="35" s="1"/>
  <c r="N74" i="35"/>
  <c r="O74" i="35" s="1"/>
  <c r="N73" i="35"/>
  <c r="O73" i="35" s="1"/>
  <c r="N72" i="35"/>
  <c r="O72" i="35" s="1"/>
  <c r="N71" i="35"/>
  <c r="O71" i="35" s="1"/>
  <c r="N70" i="35"/>
  <c r="O70" i="35" s="1"/>
  <c r="N69" i="35"/>
  <c r="O69" i="35" s="1"/>
  <c r="N68" i="35"/>
  <c r="O68" i="35" s="1"/>
  <c r="N67" i="35"/>
  <c r="O67" i="35" s="1"/>
  <c r="N66" i="35"/>
  <c r="O66" i="35" s="1"/>
  <c r="N65" i="35"/>
  <c r="O65" i="35" s="1"/>
  <c r="N117" i="35"/>
  <c r="O117" i="35" s="1"/>
  <c r="N112" i="35"/>
  <c r="O112" i="35" s="1"/>
  <c r="N83" i="35"/>
  <c r="O83" i="35" s="1"/>
  <c r="N64" i="35"/>
  <c r="O64" i="35" s="1"/>
  <c r="N82" i="35"/>
  <c r="O82" i="35" s="1"/>
  <c r="N63" i="35"/>
  <c r="O63" i="35" s="1"/>
  <c r="N96" i="35"/>
  <c r="O96" i="35" s="1"/>
  <c r="N81" i="35"/>
  <c r="O81" i="35" s="1"/>
  <c r="N123" i="35"/>
  <c r="O123" i="35" s="1"/>
  <c r="N95" i="35"/>
  <c r="O95" i="35" s="1"/>
  <c r="N80" i="35"/>
  <c r="O80" i="35" s="1"/>
  <c r="N61" i="35"/>
  <c r="O61" i="35" s="1"/>
  <c r="N56" i="35"/>
  <c r="O56" i="35" s="1"/>
  <c r="N48" i="35"/>
  <c r="O48" i="35" s="1"/>
  <c r="N47" i="35"/>
  <c r="O47" i="35" s="1"/>
  <c r="N46" i="35"/>
  <c r="O46" i="35" s="1"/>
  <c r="N45" i="35"/>
  <c r="O45" i="35" s="1"/>
  <c r="N44" i="35"/>
  <c r="O44" i="35" s="1"/>
  <c r="N43" i="35"/>
  <c r="O43" i="35" s="1"/>
  <c r="N42" i="35"/>
  <c r="O42" i="35" s="1"/>
  <c r="N33" i="35"/>
  <c r="O33" i="35" s="1"/>
  <c r="N57" i="35"/>
  <c r="O57" i="35" s="1"/>
  <c r="N49" i="35"/>
  <c r="O49" i="35" s="1"/>
  <c r="N34" i="35"/>
  <c r="O34" i="35" s="1"/>
  <c r="N50" i="35"/>
  <c r="O50" i="35" s="1"/>
  <c r="N35" i="35"/>
  <c r="O35" i="35" s="1"/>
  <c r="N51" i="35"/>
  <c r="O51" i="35" s="1"/>
  <c r="N36" i="35"/>
  <c r="O36" i="35" s="1"/>
  <c r="N52" i="35"/>
  <c r="O52" i="35" s="1"/>
  <c r="N53" i="35"/>
  <c r="O53" i="35" s="1"/>
  <c r="N38" i="35"/>
  <c r="O38" i="35" s="1"/>
  <c r="N30" i="35"/>
  <c r="O30" i="35" s="1"/>
  <c r="N29" i="35"/>
  <c r="O29" i="35" s="1"/>
  <c r="N28" i="35"/>
  <c r="O28" i="35" s="1"/>
  <c r="N62" i="35"/>
  <c r="O62" i="35" s="1"/>
  <c r="N54" i="35"/>
  <c r="O54" i="35" s="1"/>
  <c r="N39" i="35"/>
  <c r="O39" i="35" s="1"/>
  <c r="N31" i="35"/>
  <c r="O31" i="35" s="1"/>
  <c r="N55" i="35"/>
  <c r="O55" i="35" s="1"/>
  <c r="N41" i="35"/>
  <c r="O41" i="35" s="1"/>
  <c r="N40" i="35"/>
  <c r="O40" i="35" s="1"/>
  <c r="N32" i="35"/>
  <c r="O32" i="35" s="1"/>
  <c r="P8" i="35"/>
  <c r="AA8" i="35" s="1"/>
  <c r="P9" i="35"/>
  <c r="AA9" i="35" s="1"/>
  <c r="P10" i="35"/>
  <c r="AA10" i="35" s="1"/>
  <c r="P11" i="35"/>
  <c r="AA11" i="35" s="1"/>
  <c r="P12" i="35"/>
  <c r="AA12" i="35" s="1"/>
  <c r="EP220" i="35"/>
  <c r="EC14" i="35"/>
  <c r="N19" i="35"/>
  <c r="O19" i="35" s="1"/>
  <c r="EC23" i="35"/>
  <c r="EC24" i="35"/>
  <c r="EC25" i="35"/>
  <c r="EC219" i="35"/>
  <c r="EC218" i="35"/>
  <c r="EC210" i="35"/>
  <c r="EC211" i="35"/>
  <c r="EC214" i="35"/>
  <c r="EC217" i="35"/>
  <c r="EC215" i="35"/>
  <c r="EC213" i="35"/>
  <c r="EC206" i="35"/>
  <c r="EC216" i="35"/>
  <c r="EC208" i="35"/>
  <c r="EC209" i="35"/>
  <c r="EC205" i="35"/>
  <c r="EC203" i="35"/>
  <c r="EC200" i="35"/>
  <c r="EC204" i="35"/>
  <c r="EC202" i="35"/>
  <c r="EC199" i="35"/>
  <c r="EC190" i="35"/>
  <c r="EC207" i="35"/>
  <c r="EC201" i="35"/>
  <c r="EC189" i="35"/>
  <c r="EC212" i="35"/>
  <c r="EC198" i="35"/>
  <c r="EC195" i="35"/>
  <c r="EC194" i="35"/>
  <c r="EC192" i="35"/>
  <c r="EC186" i="35"/>
  <c r="EC191" i="35"/>
  <c r="EC188" i="35"/>
  <c r="EC185" i="35"/>
  <c r="EC184" i="35"/>
  <c r="EC183" i="35"/>
  <c r="EC182" i="35"/>
  <c r="EC197" i="35"/>
  <c r="EC175" i="35"/>
  <c r="EC177" i="35"/>
  <c r="EC172" i="35"/>
  <c r="EC179" i="35"/>
  <c r="EC170" i="35"/>
  <c r="EC193" i="35"/>
  <c r="EC176" i="35"/>
  <c r="EC169" i="35"/>
  <c r="EC196" i="35"/>
  <c r="EC174" i="35"/>
  <c r="EC167" i="35"/>
  <c r="EC166" i="35"/>
  <c r="EC165" i="35"/>
  <c r="EC181" i="35"/>
  <c r="EC168" i="35"/>
  <c r="EC171" i="35"/>
  <c r="EC164" i="35"/>
  <c r="EC160" i="35"/>
  <c r="EC156" i="35"/>
  <c r="EC155" i="35"/>
  <c r="EC187" i="35"/>
  <c r="EC161" i="35"/>
  <c r="EC157" i="35"/>
  <c r="EC154" i="35"/>
  <c r="EC135" i="35"/>
  <c r="EC162" i="35"/>
  <c r="EC158" i="35"/>
  <c r="EC152" i="35"/>
  <c r="EC180" i="35"/>
  <c r="EC173" i="35"/>
  <c r="EC151" i="35"/>
  <c r="EC163" i="35"/>
  <c r="EC159" i="35"/>
  <c r="EC150" i="35"/>
  <c r="EC178" i="35"/>
  <c r="EC149" i="35"/>
  <c r="EC148" i="35"/>
  <c r="EC147" i="35"/>
  <c r="EC153" i="35"/>
  <c r="EC140" i="35"/>
  <c r="EC131" i="35"/>
  <c r="EC130" i="35"/>
  <c r="EC129" i="35"/>
  <c r="EC145" i="35"/>
  <c r="EC137" i="35"/>
  <c r="EC121" i="35"/>
  <c r="EC142" i="35"/>
  <c r="EC128" i="35"/>
  <c r="EC120" i="35"/>
  <c r="EC139" i="35"/>
  <c r="EC133" i="35"/>
  <c r="EC127" i="35"/>
  <c r="EC119" i="35"/>
  <c r="EC115" i="35"/>
  <c r="EC146" i="35"/>
  <c r="EC144" i="35"/>
  <c r="EC138" i="35"/>
  <c r="EC122" i="35"/>
  <c r="EC117" i="35"/>
  <c r="EC132" i="35"/>
  <c r="EC118" i="35"/>
  <c r="EC116" i="35"/>
  <c r="EC134" i="35"/>
  <c r="EC143" i="35"/>
  <c r="EC126" i="35"/>
  <c r="EC136" i="35"/>
  <c r="EC125" i="35"/>
  <c r="EC114" i="35"/>
  <c r="EC98" i="35"/>
  <c r="EC110" i="35"/>
  <c r="EC97" i="35"/>
  <c r="EC113" i="35"/>
  <c r="EC96" i="35"/>
  <c r="EC141" i="35"/>
  <c r="EC92" i="35"/>
  <c r="EC91" i="35"/>
  <c r="EC90" i="35"/>
  <c r="EC89" i="35"/>
  <c r="EC88" i="35"/>
  <c r="EC87" i="35"/>
  <c r="EC86" i="35"/>
  <c r="EC123" i="35"/>
  <c r="EC108" i="35"/>
  <c r="EC107" i="35"/>
  <c r="EC106" i="35"/>
  <c r="EC105" i="35"/>
  <c r="EC104" i="35"/>
  <c r="EC103" i="35"/>
  <c r="EC102" i="35"/>
  <c r="EC101" i="35"/>
  <c r="EC112" i="35"/>
  <c r="EC109" i="35"/>
  <c r="EC100" i="35"/>
  <c r="EC111" i="35"/>
  <c r="EC99" i="35"/>
  <c r="EC84" i="35"/>
  <c r="EC82" i="35"/>
  <c r="EC63" i="35"/>
  <c r="EC85" i="35"/>
  <c r="EC81" i="35"/>
  <c r="EC62" i="35"/>
  <c r="EC80" i="35"/>
  <c r="EC95" i="35"/>
  <c r="EC79" i="35"/>
  <c r="EC78" i="35"/>
  <c r="EC59" i="35"/>
  <c r="EC94" i="35"/>
  <c r="EC77" i="35"/>
  <c r="EC76" i="35"/>
  <c r="EC75" i="35"/>
  <c r="EC124" i="35"/>
  <c r="EC74" i="35"/>
  <c r="EC73" i="35"/>
  <c r="EC72" i="35"/>
  <c r="EC71" i="35"/>
  <c r="EC70" i="35"/>
  <c r="EC69" i="35"/>
  <c r="EC93" i="35"/>
  <c r="EC83" i="35"/>
  <c r="EC64" i="35"/>
  <c r="EC51" i="35"/>
  <c r="EC36" i="35"/>
  <c r="EC67" i="35"/>
  <c r="EC65" i="35"/>
  <c r="EC52" i="35"/>
  <c r="EC37" i="35"/>
  <c r="EC29" i="35"/>
  <c r="EC53" i="35"/>
  <c r="EC39" i="35"/>
  <c r="EC38" i="35"/>
  <c r="EC30" i="35"/>
  <c r="EC61" i="35"/>
  <c r="EC60" i="35"/>
  <c r="EC54" i="35"/>
  <c r="EC40" i="35"/>
  <c r="EC31" i="35"/>
  <c r="EC68" i="35"/>
  <c r="EC55" i="35"/>
  <c r="EC47" i="35"/>
  <c r="EC46" i="35"/>
  <c r="EC45" i="35"/>
  <c r="EC44" i="35"/>
  <c r="EC43" i="35"/>
  <c r="EC42" i="35"/>
  <c r="EC41" i="35"/>
  <c r="EC66" i="35"/>
  <c r="EC57" i="35"/>
  <c r="EC56" i="35"/>
  <c r="EC48" i="35"/>
  <c r="EC33" i="35"/>
  <c r="EC58" i="35"/>
  <c r="EC49" i="35"/>
  <c r="EC34" i="35"/>
  <c r="EC50" i="35"/>
  <c r="EC35" i="35"/>
  <c r="EC9" i="35"/>
  <c r="EC10" i="35"/>
  <c r="EC11" i="35"/>
  <c r="N17" i="35"/>
  <c r="O17" i="35" s="1"/>
  <c r="EC20" i="35"/>
  <c r="EC21" i="35"/>
  <c r="EC27" i="35"/>
  <c r="EC28" i="35"/>
  <c r="EC32" i="35"/>
  <c r="ED7" i="35"/>
  <c r="N16" i="35"/>
  <c r="O16" i="35" s="1"/>
  <c r="EC19" i="35"/>
  <c r="N15" i="35"/>
  <c r="O15" i="35" s="1"/>
  <c r="EC18" i="35"/>
  <c r="N24" i="35"/>
  <c r="O24" i="35" s="1"/>
  <c r="N25" i="35"/>
  <c r="N26" i="35"/>
  <c r="O26" i="35" s="1"/>
  <c r="N27" i="35"/>
  <c r="O27" i="35" s="1"/>
  <c r="N18" i="35"/>
  <c r="O18" i="35" s="1"/>
  <c r="N13" i="35"/>
  <c r="O13" i="35" s="1"/>
  <c r="N14" i="35"/>
  <c r="O14" i="35" s="1"/>
  <c r="EC17" i="35"/>
  <c r="N22" i="35"/>
  <c r="O22" i="35" s="1"/>
  <c r="N23" i="35"/>
  <c r="O23" i="35" s="1"/>
  <c r="N37" i="35"/>
  <c r="O37" i="35" s="1"/>
  <c r="N7" i="35"/>
  <c r="O7" i="35" s="1"/>
  <c r="N8" i="35"/>
  <c r="O8" i="35" s="1"/>
  <c r="N9" i="35"/>
  <c r="O9" i="35" s="1"/>
  <c r="N10" i="35"/>
  <c r="O10" i="35" s="1"/>
  <c r="N11" i="35"/>
  <c r="O11" i="35" s="1"/>
  <c r="N12" i="35"/>
  <c r="O12" i="35" s="1"/>
  <c r="EC16" i="35"/>
  <c r="N21" i="35"/>
  <c r="O21" i="35" s="1"/>
  <c r="EC15" i="35"/>
  <c r="N20" i="35"/>
  <c r="O20" i="35" s="1"/>
  <c r="Y69" i="35"/>
  <c r="Y66" i="35"/>
  <c r="Y63" i="35"/>
  <c r="Y62" i="35"/>
  <c r="Y75" i="35"/>
  <c r="Y76" i="35" s="1"/>
  <c r="Y74" i="35"/>
  <c r="Y73" i="35"/>
  <c r="Y72" i="35"/>
  <c r="Y71" i="35"/>
  <c r="Y70" i="35"/>
  <c r="Y64" i="35"/>
  <c r="Y59" i="35"/>
  <c r="Y61" i="35"/>
  <c r="Y65" i="35"/>
  <c r="Y67" i="35"/>
  <c r="AA60" i="35" l="1"/>
  <c r="AB60" i="35" s="1"/>
  <c r="AC60" i="35" s="1"/>
  <c r="AD60" i="35" s="1"/>
  <c r="O13" i="19"/>
  <c r="O22" i="19"/>
  <c r="O12" i="19"/>
  <c r="O26" i="19"/>
  <c r="B40" i="37"/>
  <c r="AA21" i="37"/>
  <c r="AB44" i="35"/>
  <c r="AC44" i="35" s="1"/>
  <c r="AD44" i="35" s="1"/>
  <c r="AB43" i="35"/>
  <c r="AC43" i="35" s="1"/>
  <c r="AD43" i="35" s="1"/>
  <c r="ED12" i="35"/>
  <c r="ED22" i="35"/>
  <c r="AB10" i="35"/>
  <c r="AC10" i="35" s="1"/>
  <c r="AD10" i="35" s="1"/>
  <c r="AB45" i="35"/>
  <c r="AC45" i="35" s="1"/>
  <c r="AD45" i="35" s="1"/>
  <c r="AB21" i="35"/>
  <c r="AC21" i="35" s="1"/>
  <c r="AD21" i="35" s="1"/>
  <c r="AB46" i="35"/>
  <c r="AC46" i="35" s="1"/>
  <c r="AD46" i="35" s="1"/>
  <c r="AB47" i="35"/>
  <c r="AC47" i="35" s="1"/>
  <c r="AD47" i="35" s="1"/>
  <c r="AB48" i="35"/>
  <c r="AC48" i="35" s="1"/>
  <c r="AD48" i="35" s="1"/>
  <c r="AB33" i="35"/>
  <c r="AC33" i="35" s="1"/>
  <c r="AD33" i="35" s="1"/>
  <c r="AB56" i="35"/>
  <c r="AC56" i="35" s="1"/>
  <c r="AD56" i="35" s="1"/>
  <c r="AB68" i="35"/>
  <c r="AC68" i="35" s="1"/>
  <c r="AD68" i="35" s="1"/>
  <c r="AB42" i="35"/>
  <c r="AC42" i="35" s="1"/>
  <c r="AD42" i="35" s="1"/>
  <c r="AB12" i="35"/>
  <c r="AC12" i="35" s="1"/>
  <c r="AD12" i="35" s="1"/>
  <c r="AB9" i="35"/>
  <c r="AC9" i="35" s="1"/>
  <c r="AD9" i="35" s="1"/>
  <c r="AB16" i="35"/>
  <c r="AC16" i="35" s="1"/>
  <c r="AD16" i="35" s="1"/>
  <c r="AB8" i="35"/>
  <c r="AC8" i="35" s="1"/>
  <c r="AD8" i="35" s="1"/>
  <c r="ED13" i="35"/>
  <c r="AB24" i="35"/>
  <c r="AC24" i="35" s="1"/>
  <c r="AD24" i="35" s="1"/>
  <c r="AB36" i="35"/>
  <c r="AC36" i="35" s="1"/>
  <c r="AD36" i="35" s="1"/>
  <c r="AB53" i="35"/>
  <c r="AC53" i="35" s="1"/>
  <c r="AD53" i="35" s="1"/>
  <c r="AB55" i="35"/>
  <c r="AC55" i="35" s="1"/>
  <c r="AD55" i="35" s="1"/>
  <c r="AB7" i="35"/>
  <c r="AB22" i="35"/>
  <c r="AC22" i="35" s="1"/>
  <c r="AD22" i="35" s="1"/>
  <c r="AB20" i="35"/>
  <c r="AC20" i="35" s="1"/>
  <c r="AD20" i="35" s="1"/>
  <c r="AB27" i="35"/>
  <c r="AC27" i="35" s="1"/>
  <c r="AD27" i="35" s="1"/>
  <c r="AB14" i="35"/>
  <c r="AC14" i="35" s="1"/>
  <c r="AD14" i="35" s="1"/>
  <c r="AB51" i="35"/>
  <c r="AC51" i="35" s="1"/>
  <c r="AD51" i="35" s="1"/>
  <c r="AB17" i="35"/>
  <c r="AC17" i="35" s="1"/>
  <c r="AD17" i="35" s="1"/>
  <c r="AB32" i="35"/>
  <c r="AC32" i="35" s="1"/>
  <c r="AD32" i="35" s="1"/>
  <c r="AB28" i="35"/>
  <c r="AC28" i="35" s="1"/>
  <c r="AD28" i="35" s="1"/>
  <c r="AB49" i="35"/>
  <c r="AC49" i="35" s="1"/>
  <c r="AD49" i="35" s="1"/>
  <c r="AB11" i="35"/>
  <c r="AC11" i="35" s="1"/>
  <c r="AD11" i="35" s="1"/>
  <c r="AB58" i="35"/>
  <c r="AC58" i="35" s="1"/>
  <c r="AB38" i="35"/>
  <c r="AC38" i="35" s="1"/>
  <c r="AD38" i="35" s="1"/>
  <c r="AB15" i="35"/>
  <c r="AC15" i="35" s="1"/>
  <c r="AD15" i="35" s="1"/>
  <c r="AB18" i="35"/>
  <c r="AB34" i="35"/>
  <c r="AC34" i="35" s="1"/>
  <c r="AD34" i="35" s="1"/>
  <c r="AB37" i="35"/>
  <c r="AC37" i="35" s="1"/>
  <c r="AD37" i="35" s="1"/>
  <c r="AB50" i="35"/>
  <c r="AC50" i="35" s="1"/>
  <c r="AD50" i="35" s="1"/>
  <c r="AB23" i="35"/>
  <c r="AC23" i="35" s="1"/>
  <c r="AD23" i="35" s="1"/>
  <c r="AB41" i="35"/>
  <c r="AC41" i="35" s="1"/>
  <c r="AD41" i="35" s="1"/>
  <c r="AB30" i="35"/>
  <c r="AB31" i="35"/>
  <c r="AC31" i="35" s="1"/>
  <c r="AD31" i="35" s="1"/>
  <c r="AB57" i="35"/>
  <c r="AC57" i="35" s="1"/>
  <c r="AA67" i="35"/>
  <c r="AB67" i="35" s="1"/>
  <c r="AA70" i="35"/>
  <c r="AB70" i="35" s="1"/>
  <c r="EF18" i="35"/>
  <c r="EG18" i="35" s="1"/>
  <c r="ED18" i="35"/>
  <c r="EF44" i="35"/>
  <c r="EG44" i="35" s="1"/>
  <c r="ED44" i="35"/>
  <c r="ED37" i="35"/>
  <c r="EF37" i="35"/>
  <c r="EG37" i="35" s="1"/>
  <c r="EF75" i="35"/>
  <c r="EG75" i="35" s="1"/>
  <c r="ED75" i="35"/>
  <c r="EF80" i="35"/>
  <c r="EG80" i="35" s="1"/>
  <c r="ED80" i="35"/>
  <c r="ED111" i="35"/>
  <c r="EF111" i="35"/>
  <c r="EG111" i="35" s="1"/>
  <c r="EF89" i="35"/>
  <c r="EG89" i="35" s="1"/>
  <c r="ED89" i="35"/>
  <c r="ED110" i="35"/>
  <c r="EF110" i="35"/>
  <c r="EG110" i="35" s="1"/>
  <c r="ED115" i="35"/>
  <c r="EF115" i="35"/>
  <c r="EG115" i="35" s="1"/>
  <c r="EF121" i="35"/>
  <c r="EG121" i="35" s="1"/>
  <c r="ED121" i="35"/>
  <c r="ED173" i="35"/>
  <c r="EF173" i="35"/>
  <c r="EG173" i="35" s="1"/>
  <c r="EF161" i="35"/>
  <c r="EG161" i="35" s="1"/>
  <c r="ED161" i="35"/>
  <c r="EF193" i="35"/>
  <c r="EG193" i="35" s="1"/>
  <c r="ED193" i="35"/>
  <c r="EF202" i="35"/>
  <c r="EG202" i="35" s="1"/>
  <c r="ED202" i="35"/>
  <c r="AA62" i="35"/>
  <c r="AB62" i="35" s="1"/>
  <c r="EF9" i="35"/>
  <c r="EG9" i="35" s="1"/>
  <c r="ED9" i="35"/>
  <c r="EF48" i="35"/>
  <c r="EG48" i="35" s="1"/>
  <c r="ED48" i="35"/>
  <c r="EF45" i="35"/>
  <c r="EG45" i="35" s="1"/>
  <c r="ED45" i="35"/>
  <c r="EF60" i="35"/>
  <c r="EG60" i="35" s="1"/>
  <c r="ED60" i="35"/>
  <c r="ED52" i="35"/>
  <c r="EF52" i="35"/>
  <c r="EG52" i="35" s="1"/>
  <c r="EF69" i="35"/>
  <c r="EG69" i="35" s="1"/>
  <c r="ED69" i="35"/>
  <c r="EF76" i="35"/>
  <c r="EG76" i="35" s="1"/>
  <c r="ED76" i="35"/>
  <c r="ED62" i="35"/>
  <c r="EF62" i="35"/>
  <c r="EG62" i="35" s="1"/>
  <c r="EF100" i="35"/>
  <c r="EG100" i="35" s="1"/>
  <c r="ED100" i="35"/>
  <c r="EF106" i="35"/>
  <c r="EG106" i="35" s="1"/>
  <c r="ED106" i="35"/>
  <c r="EF90" i="35"/>
  <c r="EG90" i="35" s="1"/>
  <c r="ED90" i="35"/>
  <c r="EF98" i="35"/>
  <c r="EG98" i="35" s="1"/>
  <c r="ED98" i="35"/>
  <c r="EF118" i="35"/>
  <c r="EG118" i="35" s="1"/>
  <c r="ED118" i="35"/>
  <c r="EF119" i="35"/>
  <c r="EG119" i="35" s="1"/>
  <c r="ED119" i="35"/>
  <c r="EF137" i="35"/>
  <c r="EG137" i="35" s="1"/>
  <c r="ED137" i="35"/>
  <c r="EF148" i="35"/>
  <c r="EG148" i="35" s="1"/>
  <c r="ED148" i="35"/>
  <c r="ED180" i="35"/>
  <c r="EF180" i="35"/>
  <c r="EG180" i="35" s="1"/>
  <c r="EF187" i="35"/>
  <c r="EG187" i="35" s="1"/>
  <c r="ED187" i="35"/>
  <c r="ED165" i="35"/>
  <c r="EF165" i="35"/>
  <c r="EG165" i="35" s="1"/>
  <c r="EF170" i="35"/>
  <c r="EG170" i="35" s="1"/>
  <c r="ED170" i="35"/>
  <c r="ED184" i="35"/>
  <c r="EF184" i="35"/>
  <c r="EG184" i="35" s="1"/>
  <c r="EF198" i="35"/>
  <c r="EG198" i="35" s="1"/>
  <c r="ED198" i="35"/>
  <c r="EF204" i="35"/>
  <c r="EG204" i="35" s="1"/>
  <c r="ED204" i="35"/>
  <c r="EF213" i="35"/>
  <c r="EG213" i="35" s="1"/>
  <c r="ED213" i="35"/>
  <c r="EF25" i="35"/>
  <c r="EG25" i="35" s="1"/>
  <c r="ED25" i="35"/>
  <c r="AB39" i="35"/>
  <c r="AB52" i="35"/>
  <c r="AA64" i="35"/>
  <c r="AB64" i="35" s="1"/>
  <c r="AA76" i="35"/>
  <c r="AB76" i="35" s="1"/>
  <c r="EF93" i="35"/>
  <c r="EG93" i="35" s="1"/>
  <c r="ED93" i="35"/>
  <c r="EF105" i="35"/>
  <c r="EG105" i="35" s="1"/>
  <c r="ED105" i="35"/>
  <c r="EF116" i="35"/>
  <c r="EG116" i="35" s="1"/>
  <c r="ED116" i="35"/>
  <c r="EF147" i="35"/>
  <c r="EG147" i="35" s="1"/>
  <c r="ED147" i="35"/>
  <c r="ED181" i="35"/>
  <c r="EF181" i="35"/>
  <c r="EG181" i="35" s="1"/>
  <c r="ED183" i="35"/>
  <c r="EF183" i="35"/>
  <c r="EG183" i="35" s="1"/>
  <c r="EF195" i="35"/>
  <c r="EG195" i="35" s="1"/>
  <c r="ED195" i="35"/>
  <c r="EF206" i="35"/>
  <c r="EG206" i="35" s="1"/>
  <c r="ED206" i="35"/>
  <c r="EF219" i="35"/>
  <c r="EG219" i="35" s="1"/>
  <c r="ED219" i="35"/>
  <c r="AA63" i="35"/>
  <c r="AB63" i="35" s="1"/>
  <c r="AA75" i="35"/>
  <c r="AB75" i="35" s="1"/>
  <c r="AB13" i="35"/>
  <c r="EF19" i="35"/>
  <c r="EG19" i="35" s="1"/>
  <c r="ED19" i="35"/>
  <c r="EF21" i="35"/>
  <c r="EG21" i="35" s="1"/>
  <c r="ED21" i="35"/>
  <c r="EF8" i="35"/>
  <c r="EG8" i="35" s="1"/>
  <c r="ED8" i="35"/>
  <c r="EF56" i="35"/>
  <c r="EG56" i="35" s="1"/>
  <c r="ED56" i="35"/>
  <c r="EF46" i="35"/>
  <c r="EG46" i="35" s="1"/>
  <c r="ED46" i="35"/>
  <c r="EF61" i="35"/>
  <c r="EG61" i="35" s="1"/>
  <c r="ED61" i="35"/>
  <c r="EF65" i="35"/>
  <c r="EG65" i="35" s="1"/>
  <c r="ED65" i="35"/>
  <c r="EF70" i="35"/>
  <c r="EG70" i="35" s="1"/>
  <c r="ED70" i="35"/>
  <c r="EF77" i="35"/>
  <c r="EG77" i="35" s="1"/>
  <c r="ED77" i="35"/>
  <c r="ED81" i="35"/>
  <c r="EF81" i="35"/>
  <c r="EG81" i="35" s="1"/>
  <c r="EF109" i="35"/>
  <c r="EG109" i="35" s="1"/>
  <c r="ED109" i="35"/>
  <c r="EF107" i="35"/>
  <c r="EG107" i="35" s="1"/>
  <c r="ED107" i="35"/>
  <c r="EF91" i="35"/>
  <c r="EG91" i="35" s="1"/>
  <c r="ED91" i="35"/>
  <c r="EF114" i="35"/>
  <c r="EG114" i="35" s="1"/>
  <c r="ED114" i="35"/>
  <c r="EF132" i="35"/>
  <c r="EG132" i="35" s="1"/>
  <c r="ED132" i="35"/>
  <c r="EF127" i="35"/>
  <c r="EG127" i="35" s="1"/>
  <c r="ED127" i="35"/>
  <c r="EF145" i="35"/>
  <c r="EG145" i="35" s="1"/>
  <c r="ED145" i="35"/>
  <c r="EF149" i="35"/>
  <c r="EG149" i="35" s="1"/>
  <c r="ED149" i="35"/>
  <c r="EF152" i="35"/>
  <c r="EG152" i="35" s="1"/>
  <c r="ED152" i="35"/>
  <c r="ED155" i="35"/>
  <c r="EF155" i="35"/>
  <c r="EG155" i="35" s="1"/>
  <c r="ED166" i="35"/>
  <c r="EF166" i="35"/>
  <c r="EG166" i="35" s="1"/>
  <c r="ED179" i="35"/>
  <c r="EF179" i="35"/>
  <c r="EG179" i="35" s="1"/>
  <c r="ED185" i="35"/>
  <c r="EF185" i="35"/>
  <c r="EG185" i="35" s="1"/>
  <c r="EF212" i="35"/>
  <c r="EG212" i="35" s="1"/>
  <c r="ED212" i="35"/>
  <c r="EF200" i="35"/>
  <c r="EG200" i="35" s="1"/>
  <c r="ED200" i="35"/>
  <c r="ED215" i="35"/>
  <c r="EF215" i="35"/>
  <c r="EG215" i="35" s="1"/>
  <c r="EF24" i="35"/>
  <c r="EG24" i="35" s="1"/>
  <c r="ED24" i="35"/>
  <c r="AB54" i="35"/>
  <c r="AA69" i="35"/>
  <c r="AB69" i="35" s="1"/>
  <c r="EF10" i="35"/>
  <c r="EG10" i="35" s="1"/>
  <c r="ED10" i="35"/>
  <c r="EF35" i="35"/>
  <c r="EG35" i="35" s="1"/>
  <c r="ED35" i="35"/>
  <c r="EF47" i="35"/>
  <c r="EG47" i="35" s="1"/>
  <c r="ED47" i="35"/>
  <c r="EF67" i="35"/>
  <c r="EG67" i="35" s="1"/>
  <c r="ED67" i="35"/>
  <c r="EF94" i="35"/>
  <c r="EG94" i="35" s="1"/>
  <c r="ED94" i="35"/>
  <c r="ED112" i="35"/>
  <c r="EF112" i="35"/>
  <c r="EG112" i="35" s="1"/>
  <c r="EF92" i="35"/>
  <c r="EG92" i="35" s="1"/>
  <c r="ED92" i="35"/>
  <c r="ED117" i="35"/>
  <c r="EF117" i="35"/>
  <c r="EG117" i="35" s="1"/>
  <c r="EF129" i="35"/>
  <c r="EG129" i="35" s="1"/>
  <c r="ED129" i="35"/>
  <c r="EF158" i="35"/>
  <c r="EG158" i="35" s="1"/>
  <c r="ED158" i="35"/>
  <c r="EF167" i="35"/>
  <c r="EG167" i="35" s="1"/>
  <c r="ED167" i="35"/>
  <c r="ED188" i="35"/>
  <c r="EF188" i="35"/>
  <c r="EG188" i="35" s="1"/>
  <c r="ED203" i="35"/>
  <c r="EF203" i="35"/>
  <c r="EG203" i="35" s="1"/>
  <c r="EF15" i="35"/>
  <c r="EG15" i="35" s="1"/>
  <c r="ED15" i="35"/>
  <c r="EF50" i="35"/>
  <c r="EG50" i="35" s="1"/>
  <c r="ED50" i="35"/>
  <c r="EF66" i="35"/>
  <c r="EG66" i="35" s="1"/>
  <c r="ED66" i="35"/>
  <c r="EF55" i="35"/>
  <c r="EG55" i="35" s="1"/>
  <c r="ED55" i="35"/>
  <c r="EF38" i="35"/>
  <c r="EG38" i="35" s="1"/>
  <c r="ED38" i="35"/>
  <c r="EF36" i="35"/>
  <c r="EG36" i="35" s="1"/>
  <c r="ED36" i="35"/>
  <c r="EF72" i="35"/>
  <c r="EG72" i="35" s="1"/>
  <c r="ED72" i="35"/>
  <c r="EF59" i="35"/>
  <c r="EG59" i="35" s="1"/>
  <c r="ED59" i="35"/>
  <c r="ED63" i="35"/>
  <c r="EF63" i="35"/>
  <c r="EG63" i="35" s="1"/>
  <c r="EF101" i="35"/>
  <c r="EG101" i="35" s="1"/>
  <c r="ED101" i="35"/>
  <c r="EF123" i="35"/>
  <c r="EG123" i="35" s="1"/>
  <c r="ED123" i="35"/>
  <c r="EF141" i="35"/>
  <c r="EG141" i="35" s="1"/>
  <c r="ED141" i="35"/>
  <c r="EF136" i="35"/>
  <c r="EG136" i="35" s="1"/>
  <c r="ED136" i="35"/>
  <c r="ED122" i="35"/>
  <c r="EF122" i="35"/>
  <c r="EG122" i="35" s="1"/>
  <c r="EF139" i="35"/>
  <c r="EG139" i="35" s="1"/>
  <c r="ED139" i="35"/>
  <c r="EF130" i="35"/>
  <c r="EG130" i="35" s="1"/>
  <c r="ED130" i="35"/>
  <c r="EF150" i="35"/>
  <c r="EG150" i="35" s="1"/>
  <c r="ED150" i="35"/>
  <c r="EF162" i="35"/>
  <c r="EG162" i="35" s="1"/>
  <c r="ED162" i="35"/>
  <c r="EF160" i="35"/>
  <c r="EG160" i="35" s="1"/>
  <c r="ED160" i="35"/>
  <c r="ED174" i="35"/>
  <c r="EF174" i="35"/>
  <c r="EG174" i="35" s="1"/>
  <c r="ED177" i="35"/>
  <c r="EF177" i="35"/>
  <c r="EG177" i="35" s="1"/>
  <c r="ED191" i="35"/>
  <c r="EF191" i="35"/>
  <c r="EG191" i="35" s="1"/>
  <c r="ED201" i="35"/>
  <c r="EF201" i="35"/>
  <c r="EG201" i="35" s="1"/>
  <c r="EF205" i="35"/>
  <c r="EG205" i="35" s="1"/>
  <c r="ED205" i="35"/>
  <c r="ED214" i="35"/>
  <c r="EF214" i="35"/>
  <c r="EG214" i="35" s="1"/>
  <c r="AB19" i="35"/>
  <c r="AB35" i="35"/>
  <c r="AA61" i="35"/>
  <c r="AB61" i="35" s="1"/>
  <c r="AA65" i="35"/>
  <c r="AB65" i="35" s="1"/>
  <c r="AA71" i="35"/>
  <c r="AB71" i="35" s="1"/>
  <c r="EF17" i="35"/>
  <c r="EG17" i="35" s="1"/>
  <c r="ED17" i="35"/>
  <c r="EF33" i="35"/>
  <c r="EG33" i="35" s="1"/>
  <c r="ED33" i="35"/>
  <c r="EF20" i="35"/>
  <c r="EG20" i="35" s="1"/>
  <c r="ED20" i="35"/>
  <c r="EF57" i="35"/>
  <c r="EG57" i="35" s="1"/>
  <c r="ED57" i="35"/>
  <c r="EF30" i="35"/>
  <c r="EG30" i="35" s="1"/>
  <c r="ED30" i="35"/>
  <c r="EF71" i="35"/>
  <c r="EG71" i="35" s="1"/>
  <c r="ED71" i="35"/>
  <c r="EF85" i="35"/>
  <c r="EG85" i="35" s="1"/>
  <c r="ED85" i="35"/>
  <c r="EF108" i="35"/>
  <c r="EG108" i="35" s="1"/>
  <c r="ED108" i="35"/>
  <c r="EF125" i="35"/>
  <c r="EG125" i="35" s="1"/>
  <c r="ED125" i="35"/>
  <c r="EF133" i="35"/>
  <c r="EG133" i="35" s="1"/>
  <c r="ED133" i="35"/>
  <c r="ED178" i="35"/>
  <c r="EF178" i="35"/>
  <c r="EG178" i="35" s="1"/>
  <c r="ED156" i="35"/>
  <c r="EF156" i="35"/>
  <c r="EG156" i="35" s="1"/>
  <c r="EF172" i="35"/>
  <c r="EG172" i="35" s="1"/>
  <c r="ED172" i="35"/>
  <c r="ED189" i="35"/>
  <c r="EF189" i="35"/>
  <c r="EG189" i="35" s="1"/>
  <c r="EF217" i="35"/>
  <c r="EG217" i="35" s="1"/>
  <c r="ED217" i="35"/>
  <c r="ED23" i="35"/>
  <c r="EF23" i="35"/>
  <c r="EG23" i="35" s="1"/>
  <c r="AB26" i="35"/>
  <c r="EF32" i="35"/>
  <c r="EG32" i="35" s="1"/>
  <c r="ED32" i="35"/>
  <c r="ED34" i="35"/>
  <c r="EF34" i="35"/>
  <c r="EG34" i="35" s="1"/>
  <c r="EF41" i="35"/>
  <c r="EG41" i="35" s="1"/>
  <c r="ED41" i="35"/>
  <c r="EF68" i="35"/>
  <c r="EG68" i="35" s="1"/>
  <c r="ED68" i="35"/>
  <c r="EF39" i="35"/>
  <c r="EG39" i="35" s="1"/>
  <c r="ED39" i="35"/>
  <c r="EF51" i="35"/>
  <c r="EG51" i="35" s="1"/>
  <c r="ED51" i="35"/>
  <c r="EF73" i="35"/>
  <c r="EG73" i="35" s="1"/>
  <c r="ED73" i="35"/>
  <c r="EF78" i="35"/>
  <c r="EG78" i="35" s="1"/>
  <c r="ED78" i="35"/>
  <c r="EF82" i="35"/>
  <c r="EG82" i="35" s="1"/>
  <c r="ED82" i="35"/>
  <c r="EF102" i="35"/>
  <c r="EG102" i="35" s="1"/>
  <c r="ED102" i="35"/>
  <c r="EF86" i="35"/>
  <c r="EG86" i="35" s="1"/>
  <c r="ED86" i="35"/>
  <c r="EF96" i="35"/>
  <c r="EG96" i="35" s="1"/>
  <c r="ED96" i="35"/>
  <c r="EF126" i="35"/>
  <c r="EG126" i="35" s="1"/>
  <c r="ED126" i="35"/>
  <c r="EF138" i="35"/>
  <c r="EG138" i="35" s="1"/>
  <c r="ED138" i="35"/>
  <c r="ED120" i="35"/>
  <c r="EF120" i="35"/>
  <c r="EG120" i="35" s="1"/>
  <c r="EF131" i="35"/>
  <c r="EG131" i="35" s="1"/>
  <c r="ED131" i="35"/>
  <c r="EF159" i="35"/>
  <c r="EG159" i="35" s="1"/>
  <c r="ED159" i="35"/>
  <c r="EF135" i="35"/>
  <c r="EG135" i="35" s="1"/>
  <c r="ED135" i="35"/>
  <c r="EF164" i="35"/>
  <c r="EG164" i="35" s="1"/>
  <c r="ED164" i="35"/>
  <c r="EF196" i="35"/>
  <c r="EG196" i="35" s="1"/>
  <c r="ED196" i="35"/>
  <c r="ED175" i="35"/>
  <c r="EF175" i="35"/>
  <c r="EG175" i="35" s="1"/>
  <c r="EF186" i="35"/>
  <c r="EG186" i="35" s="1"/>
  <c r="ED186" i="35"/>
  <c r="EF207" i="35"/>
  <c r="EG207" i="35" s="1"/>
  <c r="ED207" i="35"/>
  <c r="ED209" i="35"/>
  <c r="EF209" i="35"/>
  <c r="EG209" i="35" s="1"/>
  <c r="ED211" i="35"/>
  <c r="EF211" i="35"/>
  <c r="EG211" i="35" s="1"/>
  <c r="EF14" i="35"/>
  <c r="EG14" i="35" s="1"/>
  <c r="ED14" i="35"/>
  <c r="AB40" i="35"/>
  <c r="AB29" i="35"/>
  <c r="AA72" i="35"/>
  <c r="AB72" i="35" s="1"/>
  <c r="EF49" i="35"/>
  <c r="EG49" i="35" s="1"/>
  <c r="ED49" i="35"/>
  <c r="EF42" i="35"/>
  <c r="EG42" i="35" s="1"/>
  <c r="ED42" i="35"/>
  <c r="EF31" i="35"/>
  <c r="EG31" i="35" s="1"/>
  <c r="ED31" i="35"/>
  <c r="EF53" i="35"/>
  <c r="EG53" i="35" s="1"/>
  <c r="ED53" i="35"/>
  <c r="EF64" i="35"/>
  <c r="EG64" i="35" s="1"/>
  <c r="ED64" i="35"/>
  <c r="EF74" i="35"/>
  <c r="EG74" i="35" s="1"/>
  <c r="ED74" i="35"/>
  <c r="EF79" i="35"/>
  <c r="EG79" i="35" s="1"/>
  <c r="ED79" i="35"/>
  <c r="EF84" i="35"/>
  <c r="EG84" i="35" s="1"/>
  <c r="ED84" i="35"/>
  <c r="EF103" i="35"/>
  <c r="EG103" i="35" s="1"/>
  <c r="ED103" i="35"/>
  <c r="EF87" i="35"/>
  <c r="EG87" i="35" s="1"/>
  <c r="ED87" i="35"/>
  <c r="EF113" i="35"/>
  <c r="EG113" i="35" s="1"/>
  <c r="ED113" i="35"/>
  <c r="EF143" i="35"/>
  <c r="EG143" i="35" s="1"/>
  <c r="ED143" i="35"/>
  <c r="EF144" i="35"/>
  <c r="EG144" i="35" s="1"/>
  <c r="ED144" i="35"/>
  <c r="EF128" i="35"/>
  <c r="EG128" i="35" s="1"/>
  <c r="ED128" i="35"/>
  <c r="EF140" i="35"/>
  <c r="EG140" i="35" s="1"/>
  <c r="ED140" i="35"/>
  <c r="EF163" i="35"/>
  <c r="EG163" i="35" s="1"/>
  <c r="ED163" i="35"/>
  <c r="EF154" i="35"/>
  <c r="EG154" i="35" s="1"/>
  <c r="ED154" i="35"/>
  <c r="ED171" i="35"/>
  <c r="EF171" i="35"/>
  <c r="EG171" i="35" s="1"/>
  <c r="ED169" i="35"/>
  <c r="EF169" i="35"/>
  <c r="EG169" i="35" s="1"/>
  <c r="EF197" i="35"/>
  <c r="EG197" i="35" s="1"/>
  <c r="ED197" i="35"/>
  <c r="EF192" i="35"/>
  <c r="EG192" i="35" s="1"/>
  <c r="ED192" i="35"/>
  <c r="EF190" i="35"/>
  <c r="EG190" i="35" s="1"/>
  <c r="ED190" i="35"/>
  <c r="EF208" i="35"/>
  <c r="EG208" i="35" s="1"/>
  <c r="ED208" i="35"/>
  <c r="ED210" i="35"/>
  <c r="EF210" i="35"/>
  <c r="EG210" i="35" s="1"/>
  <c r="AA59" i="35"/>
  <c r="AB59" i="35" s="1"/>
  <c r="AA73" i="35"/>
  <c r="AB73" i="35" s="1"/>
  <c r="EF54" i="35"/>
  <c r="EG54" i="35" s="1"/>
  <c r="ED54" i="35"/>
  <c r="Y92" i="35"/>
  <c r="AA92" i="35" s="1"/>
  <c r="AB92" i="35" s="1"/>
  <c r="Y91" i="35"/>
  <c r="AA91" i="35" s="1"/>
  <c r="AB91" i="35" s="1"/>
  <c r="Y90" i="35"/>
  <c r="AA90" i="35" s="1"/>
  <c r="AB90" i="35" s="1"/>
  <c r="Y89" i="35"/>
  <c r="AA89" i="35" s="1"/>
  <c r="AB89" i="35" s="1"/>
  <c r="Y88" i="35"/>
  <c r="AA88" i="35" s="1"/>
  <c r="AB88" i="35" s="1"/>
  <c r="Y87" i="35"/>
  <c r="AA87" i="35" s="1"/>
  <c r="AB87" i="35" s="1"/>
  <c r="Y86" i="35"/>
  <c r="AA86" i="35" s="1"/>
  <c r="AB86" i="35" s="1"/>
  <c r="Y82" i="35"/>
  <c r="AA82" i="35" s="1"/>
  <c r="AB82" i="35" s="1"/>
  <c r="Y93" i="35"/>
  <c r="Y94" i="35" s="1"/>
  <c r="AA94" i="35" s="1"/>
  <c r="AB94" i="35" s="1"/>
  <c r="Y84" i="35"/>
  <c r="AA84" i="35" s="1"/>
  <c r="AB84" i="35" s="1"/>
  <c r="Y81" i="35"/>
  <c r="AA81" i="35" s="1"/>
  <c r="AB81" i="35" s="1"/>
  <c r="Y85" i="35"/>
  <c r="AA85" i="35" s="1"/>
  <c r="AB85" i="35" s="1"/>
  <c r="Y80" i="35"/>
  <c r="AA80" i="35" s="1"/>
  <c r="AB80" i="35" s="1"/>
  <c r="Y79" i="35"/>
  <c r="AA79" i="35" s="1"/>
  <c r="AB79" i="35" s="1"/>
  <c r="Y78" i="35"/>
  <c r="AA78" i="35" s="1"/>
  <c r="AB78" i="35" s="1"/>
  <c r="Y77" i="35"/>
  <c r="AA77" i="35" s="1"/>
  <c r="AB77" i="35" s="1"/>
  <c r="Y83" i="35"/>
  <c r="AA83" i="35" s="1"/>
  <c r="AB83" i="35" s="1"/>
  <c r="ED16" i="35"/>
  <c r="EF16" i="35"/>
  <c r="EG16" i="35" s="1"/>
  <c r="N220" i="35"/>
  <c r="O25" i="35"/>
  <c r="ED28" i="35"/>
  <c r="EF28" i="35"/>
  <c r="EG28" i="35" s="1"/>
  <c r="ED27" i="35"/>
  <c r="EF27" i="35"/>
  <c r="EG27" i="35" s="1"/>
  <c r="EF11" i="35"/>
  <c r="EG11" i="35" s="1"/>
  <c r="ED11" i="35"/>
  <c r="EF58" i="35"/>
  <c r="EG58" i="35" s="1"/>
  <c r="ED58" i="35"/>
  <c r="EF43" i="35"/>
  <c r="EG43" i="35" s="1"/>
  <c r="ED43" i="35"/>
  <c r="EF40" i="35"/>
  <c r="EG40" i="35" s="1"/>
  <c r="ED40" i="35"/>
  <c r="ED29" i="35"/>
  <c r="EF29" i="35"/>
  <c r="EG29" i="35" s="1"/>
  <c r="EF83" i="35"/>
  <c r="EG83" i="35" s="1"/>
  <c r="ED83" i="35"/>
  <c r="EF124" i="35"/>
  <c r="EG124" i="35" s="1"/>
  <c r="ED124" i="35"/>
  <c r="EF95" i="35"/>
  <c r="EG95" i="35" s="1"/>
  <c r="ED95" i="35"/>
  <c r="EF99" i="35"/>
  <c r="EG99" i="35" s="1"/>
  <c r="ED99" i="35"/>
  <c r="EF104" i="35"/>
  <c r="EG104" i="35" s="1"/>
  <c r="ED104" i="35"/>
  <c r="EF88" i="35"/>
  <c r="EG88" i="35" s="1"/>
  <c r="ED88" i="35"/>
  <c r="ED97" i="35"/>
  <c r="EF97" i="35"/>
  <c r="EG97" i="35" s="1"/>
  <c r="ED134" i="35"/>
  <c r="EF134" i="35"/>
  <c r="EG134" i="35" s="1"/>
  <c r="EF146" i="35"/>
  <c r="EG146" i="35" s="1"/>
  <c r="ED146" i="35"/>
  <c r="EF142" i="35"/>
  <c r="EG142" i="35" s="1"/>
  <c r="ED142" i="35"/>
  <c r="ED153" i="35"/>
  <c r="EF153" i="35"/>
  <c r="EG153" i="35" s="1"/>
  <c r="ED151" i="35"/>
  <c r="EF151" i="35"/>
  <c r="EG151" i="35" s="1"/>
  <c r="ED157" i="35"/>
  <c r="EF157" i="35"/>
  <c r="EG157" i="35" s="1"/>
  <c r="EF168" i="35"/>
  <c r="EG168" i="35" s="1"/>
  <c r="ED168" i="35"/>
  <c r="ED176" i="35"/>
  <c r="EF176" i="35"/>
  <c r="EG176" i="35" s="1"/>
  <c r="EF182" i="35"/>
  <c r="EG182" i="35" s="1"/>
  <c r="ED182" i="35"/>
  <c r="ED194" i="35"/>
  <c r="EF194" i="35"/>
  <c r="EG194" i="35" s="1"/>
  <c r="EF199" i="35"/>
  <c r="EG199" i="35" s="1"/>
  <c r="ED199" i="35"/>
  <c r="EF216" i="35"/>
  <c r="EG216" i="35" s="1"/>
  <c r="ED216" i="35"/>
  <c r="ED218" i="35"/>
  <c r="EF218" i="35"/>
  <c r="EG218" i="35" s="1"/>
  <c r="P220" i="35"/>
  <c r="AA25" i="35"/>
  <c r="AA66" i="35"/>
  <c r="AB66" i="35" s="1"/>
  <c r="AA74" i="35"/>
  <c r="AB74" i="35" s="1"/>
  <c r="C1" i="34"/>
  <c r="M17" i="34" s="1"/>
  <c r="E12" i="34"/>
  <c r="N12" i="34" s="1"/>
  <c r="F69" i="34"/>
  <c r="P66" i="34" s="1"/>
  <c r="B69" i="34"/>
  <c r="K66" i="34" s="1"/>
  <c r="G62" i="34"/>
  <c r="D62" i="34"/>
  <c r="B62" i="34"/>
  <c r="G60" i="34"/>
  <c r="D60" i="34"/>
  <c r="B60" i="34"/>
  <c r="M58" i="34"/>
  <c r="K58" i="34"/>
  <c r="G58" i="34"/>
  <c r="D58" i="34"/>
  <c r="B58" i="34"/>
  <c r="M57" i="34"/>
  <c r="K57" i="34"/>
  <c r="M56" i="34"/>
  <c r="K56" i="34"/>
  <c r="G56" i="34"/>
  <c r="D56" i="34"/>
  <c r="B56" i="34"/>
  <c r="M55" i="34"/>
  <c r="K55" i="34"/>
  <c r="M54" i="34"/>
  <c r="K54" i="34"/>
  <c r="G54" i="34"/>
  <c r="D54" i="34"/>
  <c r="B54" i="34"/>
  <c r="M53" i="34"/>
  <c r="M52" i="34"/>
  <c r="K52" i="34"/>
  <c r="G52" i="34"/>
  <c r="D52" i="34"/>
  <c r="B52" i="34"/>
  <c r="M51" i="34"/>
  <c r="D43" i="34"/>
  <c r="D42" i="34"/>
  <c r="D41" i="34"/>
  <c r="D40" i="34"/>
  <c r="E35" i="34"/>
  <c r="E31" i="34"/>
  <c r="E30" i="34"/>
  <c r="E29" i="34"/>
  <c r="AG23" i="34"/>
  <c r="AF22" i="34"/>
  <c r="AG22" i="34" s="1"/>
  <c r="N9" i="34"/>
  <c r="E9" i="34"/>
  <c r="G7" i="34"/>
  <c r="B3" i="34"/>
  <c r="AF33" i="22"/>
  <c r="AF32" i="22"/>
  <c r="AF31" i="22"/>
  <c r="AE33" i="22"/>
  <c r="AE32" i="22"/>
  <c r="AE31" i="22"/>
  <c r="AE34" i="22" s="1"/>
  <c r="AC7" i="35" l="1"/>
  <c r="AD7" i="35" s="1"/>
  <c r="AE7" i="35" s="1"/>
  <c r="AG24" i="34"/>
  <c r="O7" i="19"/>
  <c r="FO8" i="35"/>
  <c r="O28" i="19"/>
  <c r="O74" i="19"/>
  <c r="O175" i="19"/>
  <c r="O93" i="19"/>
  <c r="O88" i="19"/>
  <c r="O159" i="19"/>
  <c r="O15" i="19"/>
  <c r="O17" i="19"/>
  <c r="O174" i="19"/>
  <c r="O147" i="19"/>
  <c r="O146" i="19"/>
  <c r="O104" i="19"/>
  <c r="O83" i="19"/>
  <c r="O58" i="19"/>
  <c r="O96" i="19"/>
  <c r="O78" i="19"/>
  <c r="O68" i="19"/>
  <c r="O156" i="19"/>
  <c r="O59" i="19"/>
  <c r="O55" i="19"/>
  <c r="O129" i="19"/>
  <c r="O94" i="19"/>
  <c r="O10" i="19"/>
  <c r="O145" i="19"/>
  <c r="O91" i="19"/>
  <c r="O77" i="19"/>
  <c r="O19" i="19"/>
  <c r="O80" i="19"/>
  <c r="O60" i="19"/>
  <c r="O142" i="19"/>
  <c r="O38" i="19"/>
  <c r="O103" i="19"/>
  <c r="O30" i="19"/>
  <c r="O137" i="19"/>
  <c r="O29" i="19"/>
  <c r="O16" i="19"/>
  <c r="O163" i="19"/>
  <c r="O84" i="19"/>
  <c r="O120" i="19"/>
  <c r="O108" i="19"/>
  <c r="O57" i="19"/>
  <c r="O117" i="19"/>
  <c r="O155" i="19"/>
  <c r="O116" i="19"/>
  <c r="O119" i="19"/>
  <c r="O106" i="19"/>
  <c r="O69" i="19"/>
  <c r="O48" i="19"/>
  <c r="O110" i="19"/>
  <c r="O87" i="19"/>
  <c r="O42" i="19"/>
  <c r="O211" i="19"/>
  <c r="O133" i="19"/>
  <c r="O63" i="19"/>
  <c r="O111" i="19"/>
  <c r="O126" i="19"/>
  <c r="O39" i="19"/>
  <c r="O32" i="19"/>
  <c r="O35" i="19"/>
  <c r="O21" i="19"/>
  <c r="O121" i="19"/>
  <c r="O144" i="19"/>
  <c r="O49" i="19"/>
  <c r="O182" i="19"/>
  <c r="O11" i="19"/>
  <c r="O86" i="19"/>
  <c r="O73" i="19"/>
  <c r="O41" i="19"/>
  <c r="O160" i="19"/>
  <c r="O139" i="19"/>
  <c r="O123" i="19"/>
  <c r="O72" i="19"/>
  <c r="O67" i="19"/>
  <c r="O127" i="19"/>
  <c r="O107" i="19"/>
  <c r="O70" i="19"/>
  <c r="O56" i="19"/>
  <c r="O52" i="19"/>
  <c r="O161" i="19"/>
  <c r="O75" i="19"/>
  <c r="O128" i="19"/>
  <c r="O124" i="19"/>
  <c r="O82" i="19"/>
  <c r="O149" i="19"/>
  <c r="O202" i="19"/>
  <c r="O97" i="19"/>
  <c r="O140" i="19"/>
  <c r="O113" i="19"/>
  <c r="O79" i="19"/>
  <c r="O31" i="19"/>
  <c r="O34" i="19"/>
  <c r="O85" i="19"/>
  <c r="O122" i="19"/>
  <c r="O105" i="19"/>
  <c r="O118" i="19"/>
  <c r="O9" i="19"/>
  <c r="O37" i="19"/>
  <c r="O71" i="19"/>
  <c r="O81" i="19"/>
  <c r="O43" i="19"/>
  <c r="O158" i="19"/>
  <c r="O44" i="19"/>
  <c r="O64" i="19"/>
  <c r="O125" i="19"/>
  <c r="O90" i="19"/>
  <c r="O95" i="19"/>
  <c r="O40" i="19"/>
  <c r="O14" i="19"/>
  <c r="O135" i="19"/>
  <c r="O138" i="19"/>
  <c r="O102" i="19"/>
  <c r="O51" i="19"/>
  <c r="O162" i="19"/>
  <c r="O101" i="19"/>
  <c r="O36" i="19"/>
  <c r="O50" i="19"/>
  <c r="O92" i="19"/>
  <c r="O47" i="19"/>
  <c r="O152" i="19"/>
  <c r="O132" i="19"/>
  <c r="O109" i="19"/>
  <c r="O65" i="19"/>
  <c r="O8" i="19"/>
  <c r="O181" i="19"/>
  <c r="O62" i="19"/>
  <c r="O89" i="19"/>
  <c r="O199" i="19"/>
  <c r="O168" i="19"/>
  <c r="O150" i="19"/>
  <c r="O136" i="19"/>
  <c r="O114" i="19"/>
  <c r="O61" i="19"/>
  <c r="O165" i="19"/>
  <c r="O192" i="19"/>
  <c r="O154" i="19"/>
  <c r="O209" i="19"/>
  <c r="O172" i="19"/>
  <c r="O203" i="19"/>
  <c r="O166" i="19"/>
  <c r="O206" i="19"/>
  <c r="O204" i="19"/>
  <c r="O76" i="19"/>
  <c r="O45" i="19"/>
  <c r="O115" i="19"/>
  <c r="O194" i="19"/>
  <c r="O210" i="19"/>
  <c r="O196" i="19"/>
  <c r="O131" i="19"/>
  <c r="O23" i="19"/>
  <c r="O205" i="19"/>
  <c r="O130" i="19"/>
  <c r="O141" i="19"/>
  <c r="O200" i="19"/>
  <c r="O46" i="19"/>
  <c r="O193" i="19"/>
  <c r="O157" i="19"/>
  <c r="O218" i="19"/>
  <c r="O151" i="19"/>
  <c r="O134" i="19"/>
  <c r="O197" i="19"/>
  <c r="O143" i="19"/>
  <c r="O53" i="19"/>
  <c r="O201" i="19"/>
  <c r="O188" i="19"/>
  <c r="O195" i="19"/>
  <c r="O198" i="19"/>
  <c r="O187" i="19"/>
  <c r="O99" i="19"/>
  <c r="O169" i="19"/>
  <c r="O207" i="19"/>
  <c r="O164" i="19"/>
  <c r="O178" i="19"/>
  <c r="O66" i="19"/>
  <c r="O212" i="19"/>
  <c r="O183" i="19"/>
  <c r="O184" i="19"/>
  <c r="O180" i="19"/>
  <c r="O176" i="19"/>
  <c r="O153" i="19"/>
  <c r="O27" i="19"/>
  <c r="O208" i="19"/>
  <c r="O217" i="19"/>
  <c r="O20" i="19"/>
  <c r="O191" i="19"/>
  <c r="O185" i="19"/>
  <c r="O25" i="19"/>
  <c r="O100" i="19"/>
  <c r="O173" i="19"/>
  <c r="O216" i="19"/>
  <c r="O171" i="19"/>
  <c r="O186" i="19"/>
  <c r="O189" i="19"/>
  <c r="O167" i="19"/>
  <c r="O24" i="19"/>
  <c r="O54" i="19"/>
  <c r="O190" i="19"/>
  <c r="O33" i="19"/>
  <c r="O214" i="19"/>
  <c r="O177" i="19"/>
  <c r="O112" i="19"/>
  <c r="O215" i="19"/>
  <c r="O179" i="19"/>
  <c r="O219" i="19"/>
  <c r="O213" i="19"/>
  <c r="O170" i="19"/>
  <c r="O148" i="19"/>
  <c r="O98" i="19"/>
  <c r="B41" i="37"/>
  <c r="AB21" i="37"/>
  <c r="AC18" i="35"/>
  <c r="AD18" i="35" s="1"/>
  <c r="AE18" i="35" s="1"/>
  <c r="AF18" i="35" s="1"/>
  <c r="AD58" i="35"/>
  <c r="AE58" i="35" s="1"/>
  <c r="AF58" i="35" s="1"/>
  <c r="AD57" i="35"/>
  <c r="AE57" i="35" s="1"/>
  <c r="AF57" i="35" s="1"/>
  <c r="AC70" i="35"/>
  <c r="AD70" i="35" s="1"/>
  <c r="AE70" i="35" s="1"/>
  <c r="AF70" i="35" s="1"/>
  <c r="AC67" i="35"/>
  <c r="AD67" i="35" s="1"/>
  <c r="AE67" i="35" s="1"/>
  <c r="AF67" i="35" s="1"/>
  <c r="AC30" i="35"/>
  <c r="AD30" i="35" s="1"/>
  <c r="AE30" i="35" s="1"/>
  <c r="AF30" i="35" s="1"/>
  <c r="AC90" i="35"/>
  <c r="AD90" i="35" s="1"/>
  <c r="AE38" i="35"/>
  <c r="AF38" i="35" s="1"/>
  <c r="AE22" i="35"/>
  <c r="AF22" i="35" s="1"/>
  <c r="AC91" i="35"/>
  <c r="AD91" i="35" s="1"/>
  <c r="AC84" i="35"/>
  <c r="AD84" i="35" s="1"/>
  <c r="AE16" i="35"/>
  <c r="AF16" i="35" s="1"/>
  <c r="AE10" i="35"/>
  <c r="AF10" i="35" s="1"/>
  <c r="AE48" i="35"/>
  <c r="AF48" i="35" s="1"/>
  <c r="AE15" i="35"/>
  <c r="AF15" i="35" s="1"/>
  <c r="AE12" i="35"/>
  <c r="AF12" i="35" s="1"/>
  <c r="AC92" i="35"/>
  <c r="AD92" i="35" s="1"/>
  <c r="AE20" i="35"/>
  <c r="AF20" i="35" s="1"/>
  <c r="AC75" i="35"/>
  <c r="AD75" i="35" s="1"/>
  <c r="AC74" i="35"/>
  <c r="AD74" i="35" s="1"/>
  <c r="AC66" i="35"/>
  <c r="AD66" i="35" s="1"/>
  <c r="AC83" i="35"/>
  <c r="AD83" i="35" s="1"/>
  <c r="AC94" i="35"/>
  <c r="AD94" i="35" s="1"/>
  <c r="AC77" i="35"/>
  <c r="AD77" i="35" s="1"/>
  <c r="AC82" i="35"/>
  <c r="AD82" i="35" s="1"/>
  <c r="AE8" i="35"/>
  <c r="AF8" i="35" s="1"/>
  <c r="AE46" i="35"/>
  <c r="AF46" i="35" s="1"/>
  <c r="AE45" i="35"/>
  <c r="AF45" i="35" s="1"/>
  <c r="AE28" i="35"/>
  <c r="AF28" i="35" s="1"/>
  <c r="AC63" i="35"/>
  <c r="AD63" i="35" s="1"/>
  <c r="AC81" i="35"/>
  <c r="AD81" i="35" s="1"/>
  <c r="AC78" i="35"/>
  <c r="AD78" i="35" s="1"/>
  <c r="AC86" i="35"/>
  <c r="AD86" i="35" s="1"/>
  <c r="AE34" i="35"/>
  <c r="AF34" i="35" s="1"/>
  <c r="AE50" i="35"/>
  <c r="AF50" i="35" s="1"/>
  <c r="AE68" i="35"/>
  <c r="AF68" i="35" s="1"/>
  <c r="AC79" i="35"/>
  <c r="AD79" i="35" s="1"/>
  <c r="AC87" i="35"/>
  <c r="AD87" i="35" s="1"/>
  <c r="AE11" i="35"/>
  <c r="AF11" i="35" s="1"/>
  <c r="AE14" i="35"/>
  <c r="AF14" i="35" s="1"/>
  <c r="AE51" i="35"/>
  <c r="AF51" i="35" s="1"/>
  <c r="AC80" i="35"/>
  <c r="AD80" i="35" s="1"/>
  <c r="AC73" i="35"/>
  <c r="AD73" i="35" s="1"/>
  <c r="AE21" i="35"/>
  <c r="AF21" i="35" s="1"/>
  <c r="AC61" i="35"/>
  <c r="AD61" i="35" s="1"/>
  <c r="AC69" i="35"/>
  <c r="AD69" i="35" s="1"/>
  <c r="AE31" i="35"/>
  <c r="AF31" i="35" s="1"/>
  <c r="AE24" i="35"/>
  <c r="AF24" i="35" s="1"/>
  <c r="AC88" i="35"/>
  <c r="AD88" i="35" s="1"/>
  <c r="AE23" i="35"/>
  <c r="AF23" i="35" s="1"/>
  <c r="AC85" i="35"/>
  <c r="AD85" i="35" s="1"/>
  <c r="AC89" i="35"/>
  <c r="AD89" i="35" s="1"/>
  <c r="AC59" i="35"/>
  <c r="AD59" i="35" s="1"/>
  <c r="AE41" i="35"/>
  <c r="AF41" i="35" s="1"/>
  <c r="AE43" i="35"/>
  <c r="AF43" i="35" s="1"/>
  <c r="AC26" i="35"/>
  <c r="AD26" i="35" s="1"/>
  <c r="AC71" i="35"/>
  <c r="AD71" i="35" s="1"/>
  <c r="AE32" i="35"/>
  <c r="AF32" i="35" s="1"/>
  <c r="AE36" i="35"/>
  <c r="AF36" i="35" s="1"/>
  <c r="AC13" i="35"/>
  <c r="AD13" i="35" s="1"/>
  <c r="AC76" i="35"/>
  <c r="AD76" i="35" s="1"/>
  <c r="AC52" i="35"/>
  <c r="AD52" i="35" s="1"/>
  <c r="AE49" i="35"/>
  <c r="AF49" i="35" s="1"/>
  <c r="O220" i="35"/>
  <c r="AB25" i="35"/>
  <c r="AE60" i="35"/>
  <c r="AF60" i="35" s="1"/>
  <c r="AE37" i="35"/>
  <c r="AF37" i="35" s="1"/>
  <c r="AC62" i="35"/>
  <c r="AD62" i="35" s="1"/>
  <c r="AC54" i="35"/>
  <c r="AD54" i="35" s="1"/>
  <c r="AC39" i="35"/>
  <c r="AD39" i="35" s="1"/>
  <c r="AC29" i="35"/>
  <c r="AD29" i="35" s="1"/>
  <c r="AC19" i="35"/>
  <c r="AD19" i="35" s="1"/>
  <c r="AE9" i="35"/>
  <c r="AF9" i="35" s="1"/>
  <c r="AE55" i="35"/>
  <c r="AF55" i="35" s="1"/>
  <c r="AC72" i="35"/>
  <c r="AD72" i="35" s="1"/>
  <c r="AC40" i="35"/>
  <c r="AD40" i="35" s="1"/>
  <c r="AE44" i="35"/>
  <c r="AF44" i="35" s="1"/>
  <c r="AE17" i="35"/>
  <c r="AF17" i="35" s="1"/>
  <c r="AC64" i="35"/>
  <c r="AD64" i="35" s="1"/>
  <c r="AE53" i="35"/>
  <c r="AF53" i="35" s="1"/>
  <c r="AC65" i="35"/>
  <c r="AD65" i="35" s="1"/>
  <c r="AA93" i="35"/>
  <c r="AB93" i="35" s="1"/>
  <c r="AC35" i="35"/>
  <c r="AD35" i="35" s="1"/>
  <c r="AE27" i="35"/>
  <c r="AF27" i="35" s="1"/>
  <c r="AE42" i="35"/>
  <c r="AF42" i="35" s="1"/>
  <c r="AE56" i="35"/>
  <c r="AF56" i="35" s="1"/>
  <c r="AE47" i="35"/>
  <c r="AF47" i="35" s="1"/>
  <c r="Y111" i="35"/>
  <c r="Y110" i="35"/>
  <c r="AA110" i="35" s="1"/>
  <c r="AB110" i="35" s="1"/>
  <c r="Y98" i="35"/>
  <c r="Y97" i="35"/>
  <c r="AA97" i="35" s="1"/>
  <c r="AB97" i="35" s="1"/>
  <c r="Y96" i="35"/>
  <c r="AA96" i="35" s="1"/>
  <c r="AB96" i="35" s="1"/>
  <c r="Y109" i="35"/>
  <c r="AA109" i="35" s="1"/>
  <c r="AB109" i="35" s="1"/>
  <c r="Y108" i="35"/>
  <c r="AA108" i="35" s="1"/>
  <c r="AB108" i="35" s="1"/>
  <c r="Y107" i="35"/>
  <c r="AA107" i="35" s="1"/>
  <c r="AB107" i="35" s="1"/>
  <c r="Y106" i="35"/>
  <c r="AA106" i="35" s="1"/>
  <c r="AB106" i="35" s="1"/>
  <c r="Y105" i="35"/>
  <c r="AA105" i="35" s="1"/>
  <c r="AB105" i="35" s="1"/>
  <c r="Y104" i="35"/>
  <c r="AA104" i="35" s="1"/>
  <c r="AB104" i="35" s="1"/>
  <c r="Y103" i="35"/>
  <c r="AA103" i="35" s="1"/>
  <c r="AB103" i="35" s="1"/>
  <c r="Y102" i="35"/>
  <c r="AA102" i="35" s="1"/>
  <c r="AB102" i="35" s="1"/>
  <c r="Y101" i="35"/>
  <c r="AA101" i="35" s="1"/>
  <c r="AB101" i="35" s="1"/>
  <c r="Y100" i="35"/>
  <c r="AA100" i="35" s="1"/>
  <c r="AB100" i="35" s="1"/>
  <c r="Y95" i="35"/>
  <c r="AA95" i="35" s="1"/>
  <c r="AB95" i="35" s="1"/>
  <c r="Y99" i="35"/>
  <c r="AA99" i="35" s="1"/>
  <c r="AB99" i="35" s="1"/>
  <c r="AE33" i="35"/>
  <c r="AF33" i="35" s="1"/>
  <c r="F33" i="34"/>
  <c r="W16" i="34"/>
  <c r="AG25" i="34"/>
  <c r="AG26" i="34"/>
  <c r="L1" i="34"/>
  <c r="V17" i="34"/>
  <c r="AF7" i="35" l="1"/>
  <c r="AG7" i="35" s="1"/>
  <c r="O18" i="19"/>
  <c r="B42" i="37"/>
  <c r="AC21" i="37"/>
  <c r="AG56" i="35"/>
  <c r="AH56" i="35" s="1"/>
  <c r="AG17" i="35"/>
  <c r="AH17" i="35" s="1"/>
  <c r="AG24" i="35"/>
  <c r="AH24" i="35" s="1"/>
  <c r="AE69" i="35"/>
  <c r="AF69" i="35" s="1"/>
  <c r="AE77" i="35"/>
  <c r="AF77" i="35" s="1"/>
  <c r="AG41" i="35"/>
  <c r="AH41" i="35" s="1"/>
  <c r="AG47" i="35"/>
  <c r="AH47" i="35" s="1"/>
  <c r="AE65" i="35"/>
  <c r="AF65" i="35" s="1"/>
  <c r="AE62" i="35"/>
  <c r="AF62" i="35" s="1"/>
  <c r="AE52" i="35"/>
  <c r="AF52" i="35" s="1"/>
  <c r="AG32" i="35"/>
  <c r="AH32" i="35" s="1"/>
  <c r="AE89" i="35"/>
  <c r="AF89" i="35" s="1"/>
  <c r="AE61" i="35"/>
  <c r="AF61" i="35" s="1"/>
  <c r="AE94" i="35"/>
  <c r="AF94" i="35" s="1"/>
  <c r="AG37" i="35"/>
  <c r="AH37" i="35" s="1"/>
  <c r="AE71" i="35"/>
  <c r="AF71" i="35" s="1"/>
  <c r="AE85" i="35"/>
  <c r="AF85" i="35" s="1"/>
  <c r="AG21" i="35"/>
  <c r="AH21" i="35" s="1"/>
  <c r="AE83" i="35"/>
  <c r="AF83" i="35" s="1"/>
  <c r="AG67" i="35"/>
  <c r="AH67" i="35" s="1"/>
  <c r="AE72" i="35"/>
  <c r="AF72" i="35" s="1"/>
  <c r="AE26" i="35"/>
  <c r="AF26" i="35" s="1"/>
  <c r="AG23" i="35"/>
  <c r="AH23" i="35" s="1"/>
  <c r="AG45" i="35"/>
  <c r="AH45" i="35" s="1"/>
  <c r="AE66" i="35"/>
  <c r="AF66" i="35" s="1"/>
  <c r="AG15" i="35"/>
  <c r="AH15" i="35" s="1"/>
  <c r="AE29" i="35"/>
  <c r="AF29" i="35" s="1"/>
  <c r="AE13" i="35"/>
  <c r="AF13" i="35" s="1"/>
  <c r="AE79" i="35"/>
  <c r="AF79" i="35" s="1"/>
  <c r="AE78" i="35"/>
  <c r="AF78" i="35" s="1"/>
  <c r="AE74" i="35"/>
  <c r="AF74" i="35" s="1"/>
  <c r="AG48" i="35"/>
  <c r="AH48" i="35" s="1"/>
  <c r="AG33" i="35"/>
  <c r="AH33" i="35" s="1"/>
  <c r="AG57" i="35"/>
  <c r="AH57" i="35" s="1"/>
  <c r="AE64" i="35"/>
  <c r="AF64" i="35" s="1"/>
  <c r="AG36" i="35"/>
  <c r="AH36" i="35" s="1"/>
  <c r="AE80" i="35"/>
  <c r="AF80" i="35" s="1"/>
  <c r="AG68" i="35"/>
  <c r="AH68" i="35" s="1"/>
  <c r="AE75" i="35"/>
  <c r="AF75" i="35" s="1"/>
  <c r="AG10" i="35"/>
  <c r="AH10" i="35" s="1"/>
  <c r="AG38" i="35"/>
  <c r="AH38" i="35" s="1"/>
  <c r="AG18" i="35"/>
  <c r="AH18" i="35" s="1"/>
  <c r="AG58" i="35"/>
  <c r="AH58" i="35" s="1"/>
  <c r="AG51" i="35"/>
  <c r="AH51" i="35" s="1"/>
  <c r="AG8" i="35"/>
  <c r="AH8" i="35" s="1"/>
  <c r="AG20" i="35"/>
  <c r="AH20" i="35" s="1"/>
  <c r="AG16" i="35"/>
  <c r="AH16" i="35" s="1"/>
  <c r="AG70" i="35"/>
  <c r="AH70" i="35" s="1"/>
  <c r="AE35" i="35"/>
  <c r="AF35" i="35" s="1"/>
  <c r="AG31" i="35"/>
  <c r="AH31" i="35" s="1"/>
  <c r="AG14" i="35"/>
  <c r="AH14" i="35" s="1"/>
  <c r="AE82" i="35"/>
  <c r="AF82" i="35" s="1"/>
  <c r="AC106" i="35"/>
  <c r="AD106" i="35" s="1"/>
  <c r="Y112" i="35"/>
  <c r="AA111" i="35"/>
  <c r="AB111" i="35" s="1"/>
  <c r="AG53" i="35"/>
  <c r="AH53" i="35" s="1"/>
  <c r="AC25" i="35"/>
  <c r="AD25" i="35" s="1"/>
  <c r="AE87" i="35"/>
  <c r="AF87" i="35" s="1"/>
  <c r="AG34" i="35"/>
  <c r="AH34" i="35" s="1"/>
  <c r="AE63" i="35"/>
  <c r="AF63" i="35" s="1"/>
  <c r="AE91" i="35"/>
  <c r="AF91" i="35" s="1"/>
  <c r="AC107" i="35"/>
  <c r="AD107" i="35" s="1"/>
  <c r="AE40" i="35"/>
  <c r="AF40" i="35" s="1"/>
  <c r="AC100" i="35"/>
  <c r="AD100" i="35" s="1"/>
  <c r="AC108" i="35"/>
  <c r="AD108" i="35" s="1"/>
  <c r="AE19" i="35"/>
  <c r="AF19" i="35" s="1"/>
  <c r="AG49" i="35"/>
  <c r="AH49" i="35" s="1"/>
  <c r="AE59" i="35"/>
  <c r="AF59" i="35" s="1"/>
  <c r="AE88" i="35"/>
  <c r="AF88" i="35" s="1"/>
  <c r="AE86" i="35"/>
  <c r="AF86" i="35" s="1"/>
  <c r="AG28" i="35"/>
  <c r="AH28" i="35" s="1"/>
  <c r="AE92" i="35"/>
  <c r="AF92" i="35" s="1"/>
  <c r="AG22" i="35"/>
  <c r="AH22" i="35" s="1"/>
  <c r="AC95" i="35"/>
  <c r="AD95" i="35" s="1"/>
  <c r="AE54" i="35"/>
  <c r="AF54" i="35" s="1"/>
  <c r="AC101" i="35"/>
  <c r="AD101" i="35" s="1"/>
  <c r="AC109" i="35"/>
  <c r="AD109" i="35" s="1"/>
  <c r="AC96" i="35"/>
  <c r="AD96" i="35" s="1"/>
  <c r="AC93" i="35"/>
  <c r="AD93" i="35" s="1"/>
  <c r="AG12" i="35"/>
  <c r="AH12" i="35" s="1"/>
  <c r="AG9" i="35"/>
  <c r="AH9" i="35" s="1"/>
  <c r="AC97" i="35"/>
  <c r="AD97" i="35" s="1"/>
  <c r="AC99" i="35"/>
  <c r="AD99" i="35" s="1"/>
  <c r="AG27" i="35"/>
  <c r="AH27" i="35" s="1"/>
  <c r="AC102" i="35"/>
  <c r="AD102" i="35" s="1"/>
  <c r="AC103" i="35"/>
  <c r="AD103" i="35" s="1"/>
  <c r="AG30" i="35"/>
  <c r="AH30" i="35" s="1"/>
  <c r="AC104" i="35"/>
  <c r="AD104" i="35" s="1"/>
  <c r="AA98" i="35"/>
  <c r="AE84" i="35"/>
  <c r="AF84" i="35" s="1"/>
  <c r="AE90" i="35"/>
  <c r="AF90" i="35" s="1"/>
  <c r="AC105" i="35"/>
  <c r="AD105" i="35" s="1"/>
  <c r="AC110" i="35"/>
  <c r="AD110" i="35" s="1"/>
  <c r="AG42" i="35"/>
  <c r="AH42" i="35" s="1"/>
  <c r="AG44" i="35"/>
  <c r="AH44" i="35" s="1"/>
  <c r="AG55" i="35"/>
  <c r="AH55" i="35" s="1"/>
  <c r="AE39" i="35"/>
  <c r="AF39" i="35" s="1"/>
  <c r="AG60" i="35"/>
  <c r="AH60" i="35" s="1"/>
  <c r="AE76" i="35"/>
  <c r="AF76" i="35" s="1"/>
  <c r="AG43" i="35"/>
  <c r="AH43" i="35" s="1"/>
  <c r="AE73" i="35"/>
  <c r="AF73" i="35" s="1"/>
  <c r="AG11" i="35"/>
  <c r="AH11" i="35" s="1"/>
  <c r="AG50" i="35"/>
  <c r="AH50" i="35" s="1"/>
  <c r="AE81" i="35"/>
  <c r="AF81" i="35" s="1"/>
  <c r="AG46" i="35"/>
  <c r="AH46" i="35" s="1"/>
  <c r="W17" i="34"/>
  <c r="Z20" i="34" s="1"/>
  <c r="M59" i="34" s="1"/>
  <c r="X20" i="34"/>
  <c r="Z21" i="34"/>
  <c r="V18" i="34" s="1"/>
  <c r="V19" i="34" s="1"/>
  <c r="V20" i="34" s="1"/>
  <c r="V21" i="34" s="1"/>
  <c r="V22" i="34" s="1"/>
  <c r="V23" i="34" s="1"/>
  <c r="V24" i="34" s="1"/>
  <c r="V25" i="34" s="1"/>
  <c r="V26" i="34" s="1"/>
  <c r="V27" i="34" s="1"/>
  <c r="V28" i="34" s="1"/>
  <c r="V29" i="34" s="1"/>
  <c r="V30" i="34" s="1"/>
  <c r="V31" i="34" s="1"/>
  <c r="V32" i="34" s="1"/>
  <c r="V33" i="34" s="1"/>
  <c r="V34" i="34" s="1"/>
  <c r="V35" i="34" s="1"/>
  <c r="V36" i="34" s="1"/>
  <c r="V37" i="34" s="1"/>
  <c r="V38" i="34" s="1"/>
  <c r="V39" i="34" s="1"/>
  <c r="V40" i="34" s="1"/>
  <c r="V41" i="34" s="1"/>
  <c r="V42" i="34" s="1"/>
  <c r="V43" i="34" s="1"/>
  <c r="V44" i="34" s="1"/>
  <c r="V45" i="34" s="1"/>
  <c r="V46" i="34" s="1"/>
  <c r="V47" i="34" s="1"/>
  <c r="V48" i="34" s="1"/>
  <c r="V49" i="34" s="1"/>
  <c r="V50" i="34" s="1"/>
  <c r="V51" i="34" s="1"/>
  <c r="V52" i="34" s="1"/>
  <c r="V53" i="34" s="1"/>
  <c r="V54" i="34" s="1"/>
  <c r="V55" i="34" s="1"/>
  <c r="V56" i="34" s="1"/>
  <c r="V57" i="34" s="1"/>
  <c r="V58" i="34" s="1"/>
  <c r="V59" i="34" s="1"/>
  <c r="X21" i="34"/>
  <c r="AH7" i="35" l="1"/>
  <c r="AI7" i="35" s="1"/>
  <c r="B43" i="37"/>
  <c r="AD21" i="37"/>
  <c r="AI11" i="35"/>
  <c r="AJ11" i="35" s="1"/>
  <c r="AI8" i="35"/>
  <c r="AJ8" i="35" s="1"/>
  <c r="AI10" i="35"/>
  <c r="AJ10" i="35" s="1"/>
  <c r="AI14" i="35"/>
  <c r="AJ14" i="35" s="1"/>
  <c r="AI12" i="35"/>
  <c r="AJ12" i="35" s="1"/>
  <c r="AI15" i="35"/>
  <c r="AJ15" i="35" s="1"/>
  <c r="AI9" i="35"/>
  <c r="AJ9" i="35" s="1"/>
  <c r="AG73" i="35"/>
  <c r="AH73" i="35" s="1"/>
  <c r="AI55" i="35"/>
  <c r="AG63" i="35"/>
  <c r="AH63" i="35" s="1"/>
  <c r="AI33" i="35"/>
  <c r="AE99" i="35"/>
  <c r="AF99" i="35" s="1"/>
  <c r="AE109" i="35"/>
  <c r="AF109" i="35" s="1"/>
  <c r="AI36" i="35"/>
  <c r="AG74" i="35"/>
  <c r="AH74" i="35" s="1"/>
  <c r="AG65" i="35"/>
  <c r="AH65" i="35" s="1"/>
  <c r="AE108" i="35"/>
  <c r="AF108" i="35" s="1"/>
  <c r="AG61" i="35"/>
  <c r="AH61" i="35" s="1"/>
  <c r="AE100" i="35"/>
  <c r="AF100" i="35" s="1"/>
  <c r="AG76" i="35"/>
  <c r="AH76" i="35" s="1"/>
  <c r="AG40" i="35"/>
  <c r="AH40" i="35" s="1"/>
  <c r="AI51" i="35"/>
  <c r="AG72" i="35"/>
  <c r="AH72" i="35" s="1"/>
  <c r="AI44" i="35"/>
  <c r="AE104" i="35"/>
  <c r="AF104" i="35" s="1"/>
  <c r="AE101" i="35"/>
  <c r="AF101" i="35" s="1"/>
  <c r="AE110" i="35"/>
  <c r="AF110" i="35" s="1"/>
  <c r="AG54" i="35"/>
  <c r="AH54" i="35" s="1"/>
  <c r="AE105" i="35"/>
  <c r="AF105" i="35" s="1"/>
  <c r="AG88" i="35"/>
  <c r="AH88" i="35" s="1"/>
  <c r="AG66" i="35"/>
  <c r="AH66" i="35" s="1"/>
  <c r="AG71" i="35"/>
  <c r="AH71" i="35" s="1"/>
  <c r="AG92" i="35"/>
  <c r="AH92" i="35" s="1"/>
  <c r="AI43" i="35"/>
  <c r="AJ43" i="35" s="1"/>
  <c r="AG81" i="35"/>
  <c r="AH81" i="35" s="1"/>
  <c r="AG90" i="35"/>
  <c r="AH90" i="35" s="1"/>
  <c r="AE102" i="35"/>
  <c r="AF102" i="35" s="1"/>
  <c r="AG59" i="35"/>
  <c r="AH59" i="35" s="1"/>
  <c r="AI34" i="35"/>
  <c r="AJ34" i="35" s="1"/>
  <c r="AI28" i="35"/>
  <c r="AG69" i="35"/>
  <c r="AH69" i="35" s="1"/>
  <c r="AI30" i="35"/>
  <c r="AJ30" i="35" s="1"/>
  <c r="AI50" i="35"/>
  <c r="AJ50" i="35" s="1"/>
  <c r="AG39" i="35"/>
  <c r="AH39" i="35" s="1"/>
  <c r="AE93" i="35"/>
  <c r="AF93" i="35" s="1"/>
  <c r="AI49" i="35"/>
  <c r="AG91" i="35"/>
  <c r="AH91" i="35" s="1"/>
  <c r="AI56" i="35"/>
  <c r="AE25" i="35"/>
  <c r="AI70" i="35"/>
  <c r="AG89" i="35"/>
  <c r="AH89" i="35" s="1"/>
  <c r="AI53" i="35"/>
  <c r="AI16" i="35"/>
  <c r="AJ16" i="35" s="1"/>
  <c r="AI58" i="35"/>
  <c r="AG75" i="35"/>
  <c r="AH75" i="35" s="1"/>
  <c r="AG64" i="35"/>
  <c r="AH64" i="35" s="1"/>
  <c r="AG29" i="35"/>
  <c r="AH29" i="35" s="1"/>
  <c r="AI23" i="35"/>
  <c r="AJ23" i="35" s="1"/>
  <c r="AG83" i="35"/>
  <c r="AH83" i="35" s="1"/>
  <c r="AI37" i="35"/>
  <c r="AI32" i="35"/>
  <c r="AI47" i="35"/>
  <c r="AI24" i="35"/>
  <c r="AG13" i="35"/>
  <c r="AH13" i="35" s="1"/>
  <c r="AI45" i="35"/>
  <c r="AI67" i="35"/>
  <c r="AJ67" i="35" s="1"/>
  <c r="AC111" i="35"/>
  <c r="AD111" i="35" s="1"/>
  <c r="AI27" i="35"/>
  <c r="AG82" i="35"/>
  <c r="AH82" i="35" s="1"/>
  <c r="Y129" i="35"/>
  <c r="Y121" i="35"/>
  <c r="AA121" i="35" s="1"/>
  <c r="AB121" i="35" s="1"/>
  <c r="Y128" i="35"/>
  <c r="AA128" i="35" s="1"/>
  <c r="AB128" i="35" s="1"/>
  <c r="Y120" i="35"/>
  <c r="AA120" i="35" s="1"/>
  <c r="AB120" i="35" s="1"/>
  <c r="Y127" i="35"/>
  <c r="AA127" i="35" s="1"/>
  <c r="AB127" i="35" s="1"/>
  <c r="Y119" i="35"/>
  <c r="AA119" i="35" s="1"/>
  <c r="AB119" i="35" s="1"/>
  <c r="Y115" i="35"/>
  <c r="AA115" i="35" s="1"/>
  <c r="AB115" i="35" s="1"/>
  <c r="Y126" i="35"/>
  <c r="AA126" i="35" s="1"/>
  <c r="AB126" i="35" s="1"/>
  <c r="Y117" i="35"/>
  <c r="AA117" i="35" s="1"/>
  <c r="AB117" i="35" s="1"/>
  <c r="Y116" i="35"/>
  <c r="AA116" i="35" s="1"/>
  <c r="AB116" i="35" s="1"/>
  <c r="Y114" i="35"/>
  <c r="AA114" i="35" s="1"/>
  <c r="AB114" i="35" s="1"/>
  <c r="Y125" i="35"/>
  <c r="AA125" i="35" s="1"/>
  <c r="AB125" i="35" s="1"/>
  <c r="Y118" i="35"/>
  <c r="AA118" i="35" s="1"/>
  <c r="AB118" i="35" s="1"/>
  <c r="Y124" i="35"/>
  <c r="AA124" i="35" s="1"/>
  <c r="AB124" i="35" s="1"/>
  <c r="Y123" i="35"/>
  <c r="AA123" i="35" s="1"/>
  <c r="AB123" i="35" s="1"/>
  <c r="Y122" i="35"/>
  <c r="AA122" i="35" s="1"/>
  <c r="AB122" i="35" s="1"/>
  <c r="Y113" i="35"/>
  <c r="AA113" i="35" s="1"/>
  <c r="AB113" i="35" s="1"/>
  <c r="AA112" i="35"/>
  <c r="AB112" i="35" s="1"/>
  <c r="AI31" i="35"/>
  <c r="AI20" i="35"/>
  <c r="AI18" i="35"/>
  <c r="AJ18" i="35" s="1"/>
  <c r="AI68" i="35"/>
  <c r="AI57" i="35"/>
  <c r="AG78" i="35"/>
  <c r="AH78" i="35" s="1"/>
  <c r="AG26" i="35"/>
  <c r="AH26" i="35" s="1"/>
  <c r="AI21" i="35"/>
  <c r="AG94" i="35"/>
  <c r="AH94" i="35" s="1"/>
  <c r="AG52" i="35"/>
  <c r="AH52" i="35" s="1"/>
  <c r="AI41" i="35"/>
  <c r="AJ41" i="35" s="1"/>
  <c r="AI17" i="35"/>
  <c r="AI48" i="35"/>
  <c r="AI46" i="35"/>
  <c r="AI60" i="35"/>
  <c r="AJ60" i="35" s="1"/>
  <c r="AI42" i="35"/>
  <c r="AJ42" i="35" s="1"/>
  <c r="AG84" i="35"/>
  <c r="AH84" i="35" s="1"/>
  <c r="AE103" i="35"/>
  <c r="AF103" i="35" s="1"/>
  <c r="AE97" i="35"/>
  <c r="AF97" i="35" s="1"/>
  <c r="AE96" i="35"/>
  <c r="AF96" i="35" s="1"/>
  <c r="AE95" i="35"/>
  <c r="AF95" i="35" s="1"/>
  <c r="AG86" i="35"/>
  <c r="AH86" i="35" s="1"/>
  <c r="AG19" i="35"/>
  <c r="AH19" i="35" s="1"/>
  <c r="AE107" i="35"/>
  <c r="AF107" i="35" s="1"/>
  <c r="AG87" i="35"/>
  <c r="AH87" i="35" s="1"/>
  <c r="AB98" i="35"/>
  <c r="AI22" i="35"/>
  <c r="AE106" i="35"/>
  <c r="AF106" i="35" s="1"/>
  <c r="AG35" i="35"/>
  <c r="AH35" i="35" s="1"/>
  <c r="AI38" i="35"/>
  <c r="AG80" i="35"/>
  <c r="AH80" i="35" s="1"/>
  <c r="AG79" i="35"/>
  <c r="AH79" i="35" s="1"/>
  <c r="AG85" i="35"/>
  <c r="AH85" i="35" s="1"/>
  <c r="AG62" i="35"/>
  <c r="AH62" i="35" s="1"/>
  <c r="AG77" i="35"/>
  <c r="AH77" i="35" s="1"/>
  <c r="AJ7" i="35" l="1"/>
  <c r="AK11" i="35"/>
  <c r="AO11" i="35" s="1"/>
  <c r="AK42" i="35"/>
  <c r="AO42" i="35" s="1"/>
  <c r="AK60" i="35"/>
  <c r="AO60" i="35" s="1"/>
  <c r="AK12" i="35"/>
  <c r="AO12" i="35" s="1"/>
  <c r="AK50" i="35"/>
  <c r="AO50" i="35" s="1"/>
  <c r="AK14" i="35"/>
  <c r="AO14" i="35" s="1"/>
  <c r="AK15" i="35"/>
  <c r="AO15" i="35" s="1"/>
  <c r="AK41" i="35"/>
  <c r="AO41" i="35" s="1"/>
  <c r="AK18" i="35"/>
  <c r="AO18" i="35" s="1"/>
  <c r="AK67" i="35"/>
  <c r="AO67" i="35" s="1"/>
  <c r="AK23" i="35"/>
  <c r="AO23" i="35" s="1"/>
  <c r="AK30" i="35"/>
  <c r="AO30" i="35" s="1"/>
  <c r="AK43" i="35"/>
  <c r="AO43" i="35" s="1"/>
  <c r="AK10" i="35"/>
  <c r="AO10" i="35" s="1"/>
  <c r="AK34" i="35"/>
  <c r="AO34" i="35" s="1"/>
  <c r="AK9" i="35"/>
  <c r="AO9" i="35" s="1"/>
  <c r="AK16" i="35"/>
  <c r="AO16" i="35" s="1"/>
  <c r="AK8" i="35"/>
  <c r="AO8" i="35" s="1"/>
  <c r="B44" i="37"/>
  <c r="AE21" i="37"/>
  <c r="AJ17" i="35"/>
  <c r="AJ46" i="35"/>
  <c r="AJ20" i="35"/>
  <c r="AJ21" i="35"/>
  <c r="AJ49" i="35"/>
  <c r="AJ45" i="35"/>
  <c r="AJ68" i="35"/>
  <c r="AJ28" i="35"/>
  <c r="AJ56" i="35"/>
  <c r="AI13" i="35"/>
  <c r="AJ13" i="35" s="1"/>
  <c r="AJ33" i="35"/>
  <c r="AJ24" i="35"/>
  <c r="AJ36" i="35"/>
  <c r="AJ70" i="35"/>
  <c r="AJ44" i="35"/>
  <c r="AJ38" i="35"/>
  <c r="AJ57" i="35"/>
  <c r="AJ32" i="35"/>
  <c r="AJ51" i="35"/>
  <c r="AJ53" i="35"/>
  <c r="AJ55" i="35"/>
  <c r="AJ22" i="35"/>
  <c r="AJ58" i="35"/>
  <c r="AJ27" i="35"/>
  <c r="AJ47" i="35"/>
  <c r="AJ31" i="35"/>
  <c r="AJ37" i="35"/>
  <c r="AJ48" i="35"/>
  <c r="AG105" i="35"/>
  <c r="AH105" i="35" s="1"/>
  <c r="AG107" i="35"/>
  <c r="AH107" i="35" s="1"/>
  <c r="AI26" i="35"/>
  <c r="AG102" i="35"/>
  <c r="AH102" i="35" s="1"/>
  <c r="AI73" i="35"/>
  <c r="AI78" i="35"/>
  <c r="AJ78" i="35" s="1"/>
  <c r="AI83" i="35"/>
  <c r="AI74" i="35"/>
  <c r="AI91" i="35"/>
  <c r="AG109" i="35"/>
  <c r="AH109" i="35" s="1"/>
  <c r="AI84" i="35"/>
  <c r="AJ84" i="35" s="1"/>
  <c r="AG99" i="35"/>
  <c r="AH99" i="35" s="1"/>
  <c r="AI85" i="35"/>
  <c r="AI76" i="35"/>
  <c r="AG103" i="35"/>
  <c r="AH103" i="35" s="1"/>
  <c r="AI29" i="35"/>
  <c r="AJ29" i="35" s="1"/>
  <c r="AI69" i="35"/>
  <c r="AI52" i="35"/>
  <c r="AG101" i="35"/>
  <c r="AH101" i="35" s="1"/>
  <c r="AI94" i="35"/>
  <c r="AI75" i="35"/>
  <c r="AG93" i="35"/>
  <c r="AH93" i="35" s="1"/>
  <c r="AG104" i="35"/>
  <c r="AH104" i="35" s="1"/>
  <c r="AI63" i="35"/>
  <c r="AG95" i="35"/>
  <c r="AH95" i="35" s="1"/>
  <c r="AE111" i="35"/>
  <c r="AF111" i="35" s="1"/>
  <c r="AI62" i="35"/>
  <c r="AI39" i="35"/>
  <c r="AI65" i="35"/>
  <c r="AC117" i="35"/>
  <c r="AD117" i="35" s="1"/>
  <c r="AI92" i="35"/>
  <c r="AI86" i="35"/>
  <c r="AJ86" i="35" s="1"/>
  <c r="AI82" i="35"/>
  <c r="AI89" i="35"/>
  <c r="AC98" i="35"/>
  <c r="AD98" i="35" s="1"/>
  <c r="AC123" i="35"/>
  <c r="AD123" i="35" s="1"/>
  <c r="AC115" i="35"/>
  <c r="AD115" i="35" s="1"/>
  <c r="AC122" i="35"/>
  <c r="AD122" i="35" s="1"/>
  <c r="AC124" i="35"/>
  <c r="AD124" i="35" s="1"/>
  <c r="AI64" i="35"/>
  <c r="AI81" i="35"/>
  <c r="AJ81" i="35" s="1"/>
  <c r="AI71" i="35"/>
  <c r="AJ71" i="35" s="1"/>
  <c r="AI54" i="35"/>
  <c r="AI40" i="35"/>
  <c r="AI61" i="35"/>
  <c r="AC118" i="35"/>
  <c r="AD118" i="35" s="1"/>
  <c r="AC127" i="35"/>
  <c r="AD127" i="35" s="1"/>
  <c r="Y130" i="35"/>
  <c r="AA129" i="35"/>
  <c r="AB129" i="35" s="1"/>
  <c r="AI35" i="35"/>
  <c r="AI80" i="35"/>
  <c r="AJ80" i="35" s="1"/>
  <c r="AG96" i="35"/>
  <c r="AH96" i="35" s="1"/>
  <c r="AC125" i="35"/>
  <c r="AD125" i="35" s="1"/>
  <c r="AC120" i="35"/>
  <c r="AD120" i="35" s="1"/>
  <c r="AI59" i="35"/>
  <c r="AI66" i="35"/>
  <c r="AG110" i="35"/>
  <c r="AH110" i="35" s="1"/>
  <c r="AI72" i="35"/>
  <c r="AG108" i="35"/>
  <c r="AH108" i="35" s="1"/>
  <c r="AG97" i="35"/>
  <c r="AH97" i="35" s="1"/>
  <c r="AG100" i="35"/>
  <c r="AH100" i="35" s="1"/>
  <c r="AI87" i="35"/>
  <c r="AC119" i="35"/>
  <c r="AD119" i="35" s="1"/>
  <c r="AG106" i="35"/>
  <c r="AH106" i="35" s="1"/>
  <c r="AC114" i="35"/>
  <c r="AD114" i="35" s="1"/>
  <c r="AC128" i="35"/>
  <c r="AD128" i="35" s="1"/>
  <c r="AF25" i="35"/>
  <c r="AI88" i="35"/>
  <c r="AI19" i="35"/>
  <c r="AC113" i="35"/>
  <c r="AD113" i="35" s="1"/>
  <c r="AI90" i="35"/>
  <c r="AC126" i="35"/>
  <c r="AD126" i="35" s="1"/>
  <c r="AI79" i="35"/>
  <c r="AI77" i="35"/>
  <c r="AC112" i="35"/>
  <c r="AD112" i="35" s="1"/>
  <c r="AC116" i="35"/>
  <c r="AD116" i="35" s="1"/>
  <c r="AC121" i="35"/>
  <c r="AD121" i="35" s="1"/>
  <c r="AN187" i="22"/>
  <c r="AN188" i="22"/>
  <c r="AN189" i="22"/>
  <c r="AN190" i="22"/>
  <c r="H171" i="22"/>
  <c r="H170" i="22"/>
  <c r="H168" i="22"/>
  <c r="H167" i="22"/>
  <c r="W183" i="22"/>
  <c r="U183" i="22"/>
  <c r="S183" i="22"/>
  <c r="J183" i="22"/>
  <c r="H183" i="22"/>
  <c r="W182" i="22"/>
  <c r="U182" i="22"/>
  <c r="S182" i="22"/>
  <c r="J182" i="22"/>
  <c r="H182" i="22"/>
  <c r="W181" i="22"/>
  <c r="U181" i="22"/>
  <c r="S181" i="22"/>
  <c r="J181" i="22"/>
  <c r="H181" i="22"/>
  <c r="W180" i="22"/>
  <c r="U180" i="22"/>
  <c r="S180" i="22"/>
  <c r="J180" i="22"/>
  <c r="H180" i="22"/>
  <c r="W179" i="22"/>
  <c r="U179" i="22"/>
  <c r="S179" i="22"/>
  <c r="J179" i="22"/>
  <c r="H179" i="22"/>
  <c r="W178" i="22"/>
  <c r="U178" i="22"/>
  <c r="S178" i="22"/>
  <c r="J178" i="22"/>
  <c r="H178" i="22"/>
  <c r="W177" i="22"/>
  <c r="U177" i="22"/>
  <c r="S177" i="22"/>
  <c r="J177" i="22"/>
  <c r="H177" i="22"/>
  <c r="W176" i="22"/>
  <c r="U176" i="22"/>
  <c r="S176" i="22"/>
  <c r="J176" i="22"/>
  <c r="H176" i="22"/>
  <c r="W175" i="22"/>
  <c r="U175" i="22"/>
  <c r="S175" i="22"/>
  <c r="J175" i="22"/>
  <c r="H175" i="22"/>
  <c r="W174" i="22"/>
  <c r="U174" i="22"/>
  <c r="S174" i="22"/>
  <c r="J174" i="22"/>
  <c r="H174" i="22"/>
  <c r="W173" i="22"/>
  <c r="U173" i="22"/>
  <c r="S173" i="22"/>
  <c r="J173" i="22"/>
  <c r="H173" i="22"/>
  <c r="W172" i="22"/>
  <c r="U172" i="22"/>
  <c r="S172" i="22"/>
  <c r="J172" i="22"/>
  <c r="H172" i="22"/>
  <c r="W171" i="22"/>
  <c r="U171" i="22"/>
  <c r="S171" i="22"/>
  <c r="J171" i="22"/>
  <c r="W170" i="22"/>
  <c r="U170" i="22"/>
  <c r="S170" i="22"/>
  <c r="J170" i="22"/>
  <c r="W169" i="22"/>
  <c r="U169" i="22"/>
  <c r="S169" i="22"/>
  <c r="J169" i="22"/>
  <c r="H169" i="22"/>
  <c r="W168" i="22"/>
  <c r="U168" i="22"/>
  <c r="S168" i="22"/>
  <c r="J168" i="22"/>
  <c r="AU167" i="22"/>
  <c r="AU166" i="22"/>
  <c r="AU165" i="22"/>
  <c r="AU164" i="22"/>
  <c r="AU163" i="22"/>
  <c r="AU162" i="22"/>
  <c r="AU161" i="22"/>
  <c r="AU160" i="22"/>
  <c r="AU159" i="22"/>
  <c r="AU158" i="22"/>
  <c r="AU157" i="22"/>
  <c r="AU156" i="22"/>
  <c r="AU155" i="22"/>
  <c r="AU154" i="22"/>
  <c r="AU153" i="22"/>
  <c r="AU152" i="22"/>
  <c r="AU151" i="22"/>
  <c r="AU150" i="22"/>
  <c r="AU149" i="22"/>
  <c r="AU148" i="22"/>
  <c r="AU147" i="22"/>
  <c r="AU146" i="22"/>
  <c r="AU145" i="22"/>
  <c r="AU144" i="22"/>
  <c r="AU143" i="22"/>
  <c r="AU142" i="22"/>
  <c r="AU141" i="22"/>
  <c r="AU140" i="22"/>
  <c r="AU139" i="22"/>
  <c r="AU138" i="22"/>
  <c r="AU137" i="22"/>
  <c r="AU136" i="22"/>
  <c r="AU135" i="22"/>
  <c r="AU134" i="22"/>
  <c r="AU133" i="22"/>
  <c r="AU132" i="22"/>
  <c r="AU131" i="22"/>
  <c r="AU130" i="22"/>
  <c r="AU129" i="22"/>
  <c r="AU128" i="22"/>
  <c r="AU127" i="22"/>
  <c r="AU126" i="22"/>
  <c r="AU125" i="22"/>
  <c r="AU124" i="22"/>
  <c r="AU123" i="22"/>
  <c r="AU122" i="22"/>
  <c r="AU121" i="22"/>
  <c r="AU120" i="22"/>
  <c r="AU119" i="22"/>
  <c r="AU118" i="22"/>
  <c r="AU117" i="22"/>
  <c r="AU116" i="22"/>
  <c r="AU115" i="22"/>
  <c r="AU114" i="22"/>
  <c r="AU113" i="22"/>
  <c r="AU112" i="22"/>
  <c r="AU111" i="22"/>
  <c r="AU110" i="22"/>
  <c r="AU109" i="22"/>
  <c r="AU108" i="22"/>
  <c r="AU107" i="22"/>
  <c r="AU106" i="22"/>
  <c r="AU105" i="22"/>
  <c r="AU104" i="22"/>
  <c r="AU103" i="22"/>
  <c r="AU102" i="22"/>
  <c r="AU101" i="22"/>
  <c r="AU100" i="22"/>
  <c r="AU99" i="22"/>
  <c r="AU98" i="22"/>
  <c r="AU97" i="22"/>
  <c r="AU96" i="22"/>
  <c r="AU95" i="22"/>
  <c r="AU94" i="22"/>
  <c r="AU93" i="22"/>
  <c r="AU92" i="22"/>
  <c r="AU91" i="22"/>
  <c r="AU90" i="22"/>
  <c r="AU89" i="22"/>
  <c r="AU88" i="22"/>
  <c r="AU87" i="22"/>
  <c r="AU86" i="22"/>
  <c r="AU85" i="22"/>
  <c r="AU84" i="22"/>
  <c r="AU83" i="22"/>
  <c r="AU82" i="22"/>
  <c r="AU81" i="22"/>
  <c r="AU80" i="22"/>
  <c r="AU79" i="22"/>
  <c r="AU78" i="22"/>
  <c r="AU77" i="22"/>
  <c r="AU76" i="22"/>
  <c r="AU75" i="22"/>
  <c r="AU74" i="22"/>
  <c r="AU73" i="22"/>
  <c r="AU72" i="22"/>
  <c r="AU71" i="22"/>
  <c r="AU70" i="22"/>
  <c r="AU69" i="22"/>
  <c r="AU68" i="22"/>
  <c r="AU67" i="22"/>
  <c r="AU66" i="22"/>
  <c r="AU65" i="22"/>
  <c r="AU64" i="22"/>
  <c r="AU63" i="22"/>
  <c r="AU62" i="22"/>
  <c r="AU61" i="22"/>
  <c r="AU60" i="22"/>
  <c r="AU59" i="22"/>
  <c r="AU58" i="22"/>
  <c r="AU57" i="22"/>
  <c r="AU56" i="22"/>
  <c r="AU55" i="22"/>
  <c r="AU54" i="22"/>
  <c r="AU53" i="22"/>
  <c r="AU52" i="22"/>
  <c r="AU51" i="22"/>
  <c r="AU50" i="22"/>
  <c r="AU49" i="22"/>
  <c r="AU48" i="22"/>
  <c r="AU47" i="22"/>
  <c r="AU46" i="22"/>
  <c r="AU45" i="22"/>
  <c r="AU44" i="22"/>
  <c r="AU43" i="22"/>
  <c r="AU42" i="22"/>
  <c r="AU41" i="22"/>
  <c r="AU40" i="22"/>
  <c r="AU39" i="22"/>
  <c r="AU38" i="22"/>
  <c r="AU37" i="22"/>
  <c r="AU36" i="22"/>
  <c r="AU35" i="22"/>
  <c r="AU34" i="22"/>
  <c r="AU33" i="22"/>
  <c r="AU32" i="22"/>
  <c r="AU31" i="22"/>
  <c r="AU30" i="22"/>
  <c r="AU29" i="22"/>
  <c r="AU28" i="22"/>
  <c r="AU27" i="22"/>
  <c r="AU26" i="22"/>
  <c r="AU25" i="22"/>
  <c r="AU24" i="22"/>
  <c r="AU23" i="22"/>
  <c r="AU22" i="22"/>
  <c r="AU21" i="22"/>
  <c r="AU20" i="22"/>
  <c r="AU19" i="22"/>
  <c r="AU18" i="22"/>
  <c r="AU17" i="22"/>
  <c r="AU16" i="22"/>
  <c r="AU15" i="22"/>
  <c r="AU14" i="22"/>
  <c r="AU13" i="22"/>
  <c r="AU12" i="22"/>
  <c r="AU11" i="22"/>
  <c r="AU10" i="22"/>
  <c r="AU9" i="22"/>
  <c r="AU8" i="22"/>
  <c r="AU7" i="22"/>
  <c r="J7" i="22"/>
  <c r="H7" i="22"/>
  <c r="J8" i="22"/>
  <c r="J9" i="22"/>
  <c r="J10" i="22"/>
  <c r="J11" i="22"/>
  <c r="J12" i="22"/>
  <c r="J13" i="22"/>
  <c r="J14" i="22"/>
  <c r="J15" i="22"/>
  <c r="J16" i="22"/>
  <c r="J17" i="22"/>
  <c r="J18" i="22"/>
  <c r="J19" i="22"/>
  <c r="J20" i="22"/>
  <c r="J21" i="22"/>
  <c r="J22" i="22"/>
  <c r="J23" i="22"/>
  <c r="J24" i="22"/>
  <c r="J25" i="22"/>
  <c r="J26" i="22"/>
  <c r="J27" i="22"/>
  <c r="J28" i="22"/>
  <c r="J29" i="22"/>
  <c r="J30" i="22"/>
  <c r="J31" i="22"/>
  <c r="J32" i="22"/>
  <c r="J33" i="22"/>
  <c r="J34" i="22"/>
  <c r="J35" i="22"/>
  <c r="J36" i="22"/>
  <c r="J37" i="22"/>
  <c r="J38" i="22"/>
  <c r="J39" i="22"/>
  <c r="J40" i="22"/>
  <c r="J41" i="22"/>
  <c r="J42" i="22"/>
  <c r="J43" i="22"/>
  <c r="J44" i="22"/>
  <c r="J45" i="22"/>
  <c r="J46" i="22"/>
  <c r="J47" i="22"/>
  <c r="J48" i="22"/>
  <c r="J49" i="22"/>
  <c r="J50" i="22"/>
  <c r="J51" i="22"/>
  <c r="J52" i="22"/>
  <c r="J53" i="22"/>
  <c r="J54" i="22"/>
  <c r="J55" i="22"/>
  <c r="J56" i="22"/>
  <c r="J57" i="22"/>
  <c r="J58" i="22"/>
  <c r="J59" i="22"/>
  <c r="J60" i="22"/>
  <c r="J61" i="22"/>
  <c r="J62" i="22"/>
  <c r="J63" i="22"/>
  <c r="J64" i="22"/>
  <c r="J65" i="22"/>
  <c r="J66" i="22"/>
  <c r="J67" i="22"/>
  <c r="J68" i="22"/>
  <c r="J69" i="22"/>
  <c r="J70" i="22"/>
  <c r="J71" i="22"/>
  <c r="J72" i="22"/>
  <c r="J73" i="22"/>
  <c r="J74" i="22"/>
  <c r="J75" i="22"/>
  <c r="J76" i="22"/>
  <c r="J77" i="22"/>
  <c r="J78" i="22"/>
  <c r="J79" i="22"/>
  <c r="J80" i="22"/>
  <c r="J81" i="22"/>
  <c r="J82" i="22"/>
  <c r="J83" i="22"/>
  <c r="J84" i="22"/>
  <c r="J85" i="22"/>
  <c r="J86" i="22"/>
  <c r="J87" i="22"/>
  <c r="J88" i="22"/>
  <c r="J89" i="22"/>
  <c r="J90" i="22"/>
  <c r="J91" i="22"/>
  <c r="J92" i="22"/>
  <c r="J93" i="22"/>
  <c r="J94" i="22"/>
  <c r="J95" i="22"/>
  <c r="J96" i="22"/>
  <c r="J97" i="22"/>
  <c r="J98" i="22"/>
  <c r="J99" i="22"/>
  <c r="J100" i="22"/>
  <c r="J101" i="22"/>
  <c r="J102" i="22"/>
  <c r="J103" i="22"/>
  <c r="J104" i="22"/>
  <c r="J105" i="22"/>
  <c r="J106" i="22"/>
  <c r="J107" i="22"/>
  <c r="J108" i="22"/>
  <c r="J109" i="22"/>
  <c r="J110" i="22"/>
  <c r="J111" i="22"/>
  <c r="J112" i="22"/>
  <c r="J113" i="22"/>
  <c r="J114" i="22"/>
  <c r="J115" i="22"/>
  <c r="J116" i="22"/>
  <c r="J117" i="22"/>
  <c r="J118" i="22"/>
  <c r="J119" i="22"/>
  <c r="J120" i="22"/>
  <c r="J121" i="22"/>
  <c r="J122" i="22"/>
  <c r="J123" i="22"/>
  <c r="J124" i="22"/>
  <c r="J125" i="22"/>
  <c r="J126" i="22"/>
  <c r="J127" i="22"/>
  <c r="J128" i="22"/>
  <c r="J129" i="22"/>
  <c r="J130" i="22"/>
  <c r="J131" i="22"/>
  <c r="J132" i="22"/>
  <c r="J133" i="22"/>
  <c r="J134" i="22"/>
  <c r="J135" i="22"/>
  <c r="J136" i="22"/>
  <c r="J137" i="22"/>
  <c r="J138" i="22"/>
  <c r="J139" i="22"/>
  <c r="J140" i="22"/>
  <c r="J141" i="22"/>
  <c r="J142" i="22"/>
  <c r="J143" i="22"/>
  <c r="J144" i="22"/>
  <c r="J145" i="22"/>
  <c r="J146" i="22"/>
  <c r="J147" i="22"/>
  <c r="J148" i="22"/>
  <c r="J149" i="22"/>
  <c r="J150" i="22"/>
  <c r="J151" i="22"/>
  <c r="J152" i="22"/>
  <c r="J153" i="22"/>
  <c r="J154" i="22"/>
  <c r="J155" i="22"/>
  <c r="J156" i="22"/>
  <c r="J157" i="22"/>
  <c r="J158" i="22"/>
  <c r="J159" i="22"/>
  <c r="J160" i="22"/>
  <c r="J161" i="22"/>
  <c r="J162" i="22"/>
  <c r="J163" i="22"/>
  <c r="J164" i="22"/>
  <c r="J165" i="22"/>
  <c r="J166" i="22"/>
  <c r="J167" i="22"/>
  <c r="AK7" i="35" l="1"/>
  <c r="AO7" i="35" s="1"/>
  <c r="AP34" i="35"/>
  <c r="AQ34" i="35" s="1"/>
  <c r="AP15" i="35"/>
  <c r="AQ15" i="35" s="1"/>
  <c r="AP10" i="35"/>
  <c r="AP14" i="35"/>
  <c r="AQ14" i="35" s="1"/>
  <c r="AP50" i="35"/>
  <c r="AQ50" i="35" s="1"/>
  <c r="AP30" i="35"/>
  <c r="AQ30" i="35" s="1"/>
  <c r="AP12" i="35"/>
  <c r="AQ12" i="35" s="1"/>
  <c r="AP43" i="35"/>
  <c r="AQ43" i="35" s="1"/>
  <c r="AP23" i="35"/>
  <c r="AQ23" i="35" s="1"/>
  <c r="AP60" i="35"/>
  <c r="AQ60" i="35" s="1"/>
  <c r="AP8" i="35"/>
  <c r="AQ8" i="35" s="1"/>
  <c r="AP67" i="35"/>
  <c r="AQ67" i="35" s="1"/>
  <c r="AP42" i="35"/>
  <c r="AQ42" i="35" s="1"/>
  <c r="AP16" i="35"/>
  <c r="AQ16" i="35" s="1"/>
  <c r="AP18" i="35"/>
  <c r="AQ18" i="35" s="1"/>
  <c r="AP11" i="35"/>
  <c r="AQ11" i="35" s="1"/>
  <c r="AP9" i="35"/>
  <c r="AQ9" i="35" s="1"/>
  <c r="AP41" i="35"/>
  <c r="AQ41" i="35" s="1"/>
  <c r="AK71" i="35"/>
  <c r="AO71" i="35" s="1"/>
  <c r="AK22" i="35"/>
  <c r="AO22" i="35" s="1"/>
  <c r="AK81" i="35"/>
  <c r="AO81" i="35" s="1"/>
  <c r="AK55" i="35"/>
  <c r="AO55" i="35" s="1"/>
  <c r="AK36" i="35"/>
  <c r="AO36" i="35" s="1"/>
  <c r="AK49" i="35"/>
  <c r="AO49" i="35" s="1"/>
  <c r="AK86" i="35"/>
  <c r="AO86" i="35" s="1"/>
  <c r="AK29" i="35"/>
  <c r="AO29" i="35" s="1"/>
  <c r="AK48" i="35"/>
  <c r="AO48" i="35" s="1"/>
  <c r="AK53" i="35"/>
  <c r="AO53" i="35" s="1"/>
  <c r="AK24" i="35"/>
  <c r="AO24" i="35" s="1"/>
  <c r="AK21" i="35"/>
  <c r="AO21" i="35" s="1"/>
  <c r="AK37" i="35"/>
  <c r="AO37" i="35" s="1"/>
  <c r="AK51" i="35"/>
  <c r="AO51" i="35" s="1"/>
  <c r="AK33" i="35"/>
  <c r="AO33" i="35" s="1"/>
  <c r="AK20" i="35"/>
  <c r="AO20" i="35" s="1"/>
  <c r="AK78" i="35"/>
  <c r="AO78" i="35" s="1"/>
  <c r="AK31" i="35"/>
  <c r="AO31" i="35" s="1"/>
  <c r="AK32" i="35"/>
  <c r="AO32" i="35" s="1"/>
  <c r="AK13" i="35"/>
  <c r="AO13" i="35" s="1"/>
  <c r="AK46" i="35"/>
  <c r="AO46" i="35" s="1"/>
  <c r="AK70" i="35"/>
  <c r="AO70" i="35" s="1"/>
  <c r="AK47" i="35"/>
  <c r="AO47" i="35" s="1"/>
  <c r="AK57" i="35"/>
  <c r="AO57" i="35" s="1"/>
  <c r="AK56" i="35"/>
  <c r="AO56" i="35" s="1"/>
  <c r="AK17" i="35"/>
  <c r="AO17" i="35" s="1"/>
  <c r="AK45" i="35"/>
  <c r="AO45" i="35" s="1"/>
  <c r="AK27" i="35"/>
  <c r="AO27" i="35" s="1"/>
  <c r="AK38" i="35"/>
  <c r="AO38" i="35" s="1"/>
  <c r="AK28" i="35"/>
  <c r="AO28" i="35" s="1"/>
  <c r="AK80" i="35"/>
  <c r="AO80" i="35" s="1"/>
  <c r="AK84" i="35"/>
  <c r="AO84" i="35" s="1"/>
  <c r="AK58" i="35"/>
  <c r="AO58" i="35" s="1"/>
  <c r="AK44" i="35"/>
  <c r="AO44" i="35" s="1"/>
  <c r="AK68" i="35"/>
  <c r="AO68" i="35" s="1"/>
  <c r="B45" i="37"/>
  <c r="AF21" i="37"/>
  <c r="AJ35" i="35"/>
  <c r="AJ26" i="35"/>
  <c r="AJ89" i="35"/>
  <c r="AJ92" i="35"/>
  <c r="AJ79" i="35"/>
  <c r="AJ76" i="35"/>
  <c r="AJ52" i="35"/>
  <c r="AJ40" i="35"/>
  <c r="AJ73" i="35"/>
  <c r="AJ72" i="35"/>
  <c r="AJ69" i="35"/>
  <c r="AJ65" i="35"/>
  <c r="AJ64" i="35"/>
  <c r="AJ87" i="35"/>
  <c r="AJ54" i="35"/>
  <c r="AJ74" i="35"/>
  <c r="AJ66" i="35"/>
  <c r="AJ75" i="35"/>
  <c r="AJ77" i="35"/>
  <c r="AJ88" i="35"/>
  <c r="AJ90" i="35"/>
  <c r="AJ83" i="35"/>
  <c r="AJ91" i="35"/>
  <c r="AJ63" i="35"/>
  <c r="AJ19" i="35"/>
  <c r="AJ39" i="35"/>
  <c r="AJ62" i="35"/>
  <c r="AJ82" i="35"/>
  <c r="AJ61" i="35"/>
  <c r="AJ94" i="35"/>
  <c r="AJ85" i="35"/>
  <c r="AJ59" i="35"/>
  <c r="AI103" i="35"/>
  <c r="AI102" i="35"/>
  <c r="AE115" i="35"/>
  <c r="AF115" i="35" s="1"/>
  <c r="AE120" i="35"/>
  <c r="AF120" i="35" s="1"/>
  <c r="AE123" i="35"/>
  <c r="AF123" i="35" s="1"/>
  <c r="AI95" i="35"/>
  <c r="AI109" i="35"/>
  <c r="AG111" i="35"/>
  <c r="AH111" i="35" s="1"/>
  <c r="AI108" i="35"/>
  <c r="AE125" i="35"/>
  <c r="AF125" i="35" s="1"/>
  <c r="AE122" i="35"/>
  <c r="AF122" i="35" s="1"/>
  <c r="AE121" i="35"/>
  <c r="AF121" i="35" s="1"/>
  <c r="AI110" i="35"/>
  <c r="AI93" i="35"/>
  <c r="AI101" i="35"/>
  <c r="AI107" i="35"/>
  <c r="AJ107" i="35" s="1"/>
  <c r="AE118" i="35"/>
  <c r="AF118" i="35" s="1"/>
  <c r="AE113" i="35"/>
  <c r="AF113" i="35" s="1"/>
  <c r="AE114" i="35"/>
  <c r="AF114" i="35" s="1"/>
  <c r="AE117" i="35"/>
  <c r="AF117" i="35" s="1"/>
  <c r="AG25" i="35"/>
  <c r="AH25" i="35" s="1"/>
  <c r="AI105" i="35"/>
  <c r="AE128" i="35"/>
  <c r="AF128" i="35" s="1"/>
  <c r="AE119" i="35"/>
  <c r="AF119" i="35" s="1"/>
  <c r="AI97" i="35"/>
  <c r="AI104" i="35"/>
  <c r="AI99" i="35"/>
  <c r="AE98" i="35"/>
  <c r="AF98" i="35" s="1"/>
  <c r="AI106" i="35"/>
  <c r="AJ106" i="35" s="1"/>
  <c r="AE116" i="35"/>
  <c r="AF116" i="35" s="1"/>
  <c r="AE126" i="35"/>
  <c r="AF126" i="35" s="1"/>
  <c r="AI100" i="35"/>
  <c r="AC129" i="35"/>
  <c r="AD129" i="35" s="1"/>
  <c r="AE112" i="35"/>
  <c r="AF112" i="35" s="1"/>
  <c r="AI96" i="35"/>
  <c r="AJ96" i="35" s="1"/>
  <c r="Y135" i="35"/>
  <c r="AA135" i="35" s="1"/>
  <c r="AB135" i="35" s="1"/>
  <c r="Y147" i="35"/>
  <c r="Y146" i="35"/>
  <c r="AA146" i="35" s="1"/>
  <c r="AB146" i="35" s="1"/>
  <c r="Y138" i="35"/>
  <c r="AA138" i="35" s="1"/>
  <c r="AB138" i="35" s="1"/>
  <c r="Y134" i="35"/>
  <c r="AA134" i="35" s="1"/>
  <c r="AB134" i="35" s="1"/>
  <c r="Y131" i="35"/>
  <c r="AA131" i="35" s="1"/>
  <c r="AB131" i="35" s="1"/>
  <c r="Y143" i="35"/>
  <c r="AA143" i="35" s="1"/>
  <c r="AB143" i="35" s="1"/>
  <c r="Y136" i="35"/>
  <c r="AA136" i="35" s="1"/>
  <c r="AB136" i="35" s="1"/>
  <c r="Y140" i="35"/>
  <c r="AA140" i="35" s="1"/>
  <c r="AB140" i="35" s="1"/>
  <c r="Y145" i="35"/>
  <c r="AA145" i="35" s="1"/>
  <c r="AB145" i="35" s="1"/>
  <c r="Y137" i="35"/>
  <c r="AA137" i="35" s="1"/>
  <c r="AB137" i="35" s="1"/>
  <c r="Y139" i="35"/>
  <c r="AA139" i="35" s="1"/>
  <c r="AB139" i="35" s="1"/>
  <c r="Y141" i="35"/>
  <c r="AA141" i="35" s="1"/>
  <c r="AB141" i="35" s="1"/>
  <c r="Y132" i="35"/>
  <c r="AA132" i="35" s="1"/>
  <c r="AB132" i="35" s="1"/>
  <c r="Y144" i="35"/>
  <c r="AA144" i="35" s="1"/>
  <c r="AB144" i="35" s="1"/>
  <c r="Y133" i="35"/>
  <c r="AA133" i="35" s="1"/>
  <c r="AB133" i="35" s="1"/>
  <c r="Y142" i="35"/>
  <c r="AA142" i="35" s="1"/>
  <c r="AB142" i="35" s="1"/>
  <c r="AA130" i="35"/>
  <c r="AE127" i="35"/>
  <c r="AF127" i="35" s="1"/>
  <c r="AE124" i="35"/>
  <c r="AF124" i="35" s="1"/>
  <c r="L7" i="22"/>
  <c r="L173" i="22"/>
  <c r="I181" i="22"/>
  <c r="L181" i="22"/>
  <c r="I168" i="22"/>
  <c r="L168" i="22"/>
  <c r="L182" i="22"/>
  <c r="I172" i="22"/>
  <c r="L172" i="22"/>
  <c r="L180" i="22"/>
  <c r="L178" i="22"/>
  <c r="L170" i="22"/>
  <c r="I175" i="22"/>
  <c r="L175" i="22"/>
  <c r="I183" i="22"/>
  <c r="L183" i="22"/>
  <c r="I171" i="22"/>
  <c r="L171" i="22"/>
  <c r="I177" i="22"/>
  <c r="L177" i="22"/>
  <c r="L174" i="22"/>
  <c r="L169" i="22"/>
  <c r="I179" i="22"/>
  <c r="L179" i="22"/>
  <c r="I176" i="22"/>
  <c r="L176" i="22"/>
  <c r="I167" i="22"/>
  <c r="L167" i="22"/>
  <c r="AN191" i="22"/>
  <c r="I180" i="22"/>
  <c r="I170" i="22"/>
  <c r="I174" i="22"/>
  <c r="I169" i="22"/>
  <c r="I173" i="22"/>
  <c r="M173" i="22" s="1"/>
  <c r="I178" i="22"/>
  <c r="M178" i="22" s="1"/>
  <c r="I182" i="22"/>
  <c r="G54" i="33"/>
  <c r="B54" i="33"/>
  <c r="G44" i="33"/>
  <c r="D44" i="33"/>
  <c r="B44" i="33"/>
  <c r="G42" i="33"/>
  <c r="D42" i="33"/>
  <c r="B42" i="33"/>
  <c r="G40" i="33"/>
  <c r="D40" i="33"/>
  <c r="B40" i="33"/>
  <c r="G38" i="33"/>
  <c r="D38" i="33"/>
  <c r="B38" i="33"/>
  <c r="G36" i="33"/>
  <c r="D36" i="33"/>
  <c r="B36" i="33"/>
  <c r="G34" i="33"/>
  <c r="D34" i="33"/>
  <c r="B34" i="33"/>
  <c r="Q28" i="33"/>
  <c r="L28" i="33"/>
  <c r="E12" i="33"/>
  <c r="O12" i="33" s="1"/>
  <c r="E9" i="33"/>
  <c r="O9" i="33" s="1"/>
  <c r="G7" i="33"/>
  <c r="E7" i="33"/>
  <c r="O7" i="33" s="1"/>
  <c r="E6" i="33"/>
  <c r="O6" i="33" s="1"/>
  <c r="C1" i="33"/>
  <c r="N17" i="33" s="1"/>
  <c r="N19" i="33" s="1"/>
  <c r="AR11" i="35" l="1"/>
  <c r="EA11" i="35" s="1"/>
  <c r="AR43" i="35"/>
  <c r="AR18" i="35"/>
  <c r="AR12" i="35"/>
  <c r="AR16" i="35"/>
  <c r="EA16" i="35" s="1"/>
  <c r="AR30" i="35"/>
  <c r="EA30" i="35" s="1"/>
  <c r="AR42" i="35"/>
  <c r="EA42" i="35" s="1"/>
  <c r="AR50" i="35"/>
  <c r="AR67" i="35"/>
  <c r="AR14" i="35"/>
  <c r="EA14" i="35" s="1"/>
  <c r="AR8" i="35"/>
  <c r="EA8" i="35" s="1"/>
  <c r="AR41" i="35"/>
  <c r="AR60" i="35"/>
  <c r="EA60" i="35" s="1"/>
  <c r="AR15" i="35"/>
  <c r="AR9" i="35"/>
  <c r="AR23" i="35"/>
  <c r="AR34" i="35"/>
  <c r="EA34" i="35" s="1"/>
  <c r="AP17" i="35"/>
  <c r="AQ17" i="35" s="1"/>
  <c r="AP22" i="35"/>
  <c r="AQ22" i="35" s="1"/>
  <c r="AP44" i="35"/>
  <c r="AQ44" i="35" s="1"/>
  <c r="AP31" i="35"/>
  <c r="AQ31" i="35" s="1"/>
  <c r="AP53" i="35"/>
  <c r="AQ53" i="35" s="1"/>
  <c r="AP58" i="35"/>
  <c r="AQ58" i="35" s="1"/>
  <c r="AP56" i="35"/>
  <c r="AQ56" i="35" s="1"/>
  <c r="AP78" i="35"/>
  <c r="AQ78" i="35" s="1"/>
  <c r="AP48" i="35"/>
  <c r="AQ48" i="35" s="1"/>
  <c r="AP71" i="35"/>
  <c r="AQ71" i="35" s="1"/>
  <c r="AQ10" i="35"/>
  <c r="AP57" i="35"/>
  <c r="AQ57" i="35" s="1"/>
  <c r="AP29" i="35"/>
  <c r="AQ29" i="35" s="1"/>
  <c r="AP80" i="35"/>
  <c r="AQ80" i="35" s="1"/>
  <c r="AP47" i="35"/>
  <c r="AQ47" i="35" s="1"/>
  <c r="AP33" i="35"/>
  <c r="AQ33" i="35" s="1"/>
  <c r="AP86" i="35"/>
  <c r="AQ86" i="35" s="1"/>
  <c r="AP7" i="35"/>
  <c r="AQ7" i="35" s="1"/>
  <c r="AP28" i="35"/>
  <c r="AQ28" i="35" s="1"/>
  <c r="AP70" i="35"/>
  <c r="AQ70" i="35" s="1"/>
  <c r="AP51" i="35"/>
  <c r="AQ51" i="35" s="1"/>
  <c r="AP49" i="35"/>
  <c r="AQ49" i="35" s="1"/>
  <c r="AP38" i="35"/>
  <c r="AQ38" i="35" s="1"/>
  <c r="AP46" i="35"/>
  <c r="AQ46" i="35" s="1"/>
  <c r="AP37" i="35"/>
  <c r="AQ37" i="35" s="1"/>
  <c r="AP36" i="35"/>
  <c r="AQ36" i="35" s="1"/>
  <c r="AP84" i="35"/>
  <c r="AQ84" i="35" s="1"/>
  <c r="AP20" i="35"/>
  <c r="AQ20" i="35" s="1"/>
  <c r="AP27" i="35"/>
  <c r="AQ27" i="35" s="1"/>
  <c r="AP13" i="35"/>
  <c r="AQ13" i="35" s="1"/>
  <c r="AP21" i="35"/>
  <c r="AQ21" i="35" s="1"/>
  <c r="AP55" i="35"/>
  <c r="AQ55" i="35" s="1"/>
  <c r="AP68" i="35"/>
  <c r="AQ68" i="35" s="1"/>
  <c r="AP45" i="35"/>
  <c r="AQ45" i="35" s="1"/>
  <c r="AP32" i="35"/>
  <c r="AQ32" i="35" s="1"/>
  <c r="AP24" i="35"/>
  <c r="AQ24" i="35" s="1"/>
  <c r="AP81" i="35"/>
  <c r="AQ81" i="35" s="1"/>
  <c r="AK39" i="35"/>
  <c r="AO39" i="35" s="1"/>
  <c r="AK59" i="35"/>
  <c r="AO59" i="35" s="1"/>
  <c r="AK40" i="35"/>
  <c r="AO40" i="35" s="1"/>
  <c r="AK85" i="35"/>
  <c r="AO85" i="35" s="1"/>
  <c r="AK91" i="35"/>
  <c r="AO91" i="35" s="1"/>
  <c r="AK54" i="35"/>
  <c r="AO54" i="35" s="1"/>
  <c r="AK52" i="35"/>
  <c r="AO52" i="35" s="1"/>
  <c r="AK107" i="35"/>
  <c r="AO107" i="35" s="1"/>
  <c r="AK94" i="35"/>
  <c r="AO94" i="35" s="1"/>
  <c r="AK83" i="35"/>
  <c r="AO83" i="35" s="1"/>
  <c r="AK87" i="35"/>
  <c r="AO87" i="35" s="1"/>
  <c r="AK76" i="35"/>
  <c r="AO76" i="35" s="1"/>
  <c r="AK75" i="35"/>
  <c r="AO75" i="35" s="1"/>
  <c r="AK63" i="35"/>
  <c r="AO63" i="35" s="1"/>
  <c r="AK74" i="35"/>
  <c r="AO74" i="35" s="1"/>
  <c r="AK106" i="35"/>
  <c r="AO106" i="35" s="1"/>
  <c r="AK61" i="35"/>
  <c r="AO61" i="35" s="1"/>
  <c r="AK90" i="35"/>
  <c r="AO90" i="35" s="1"/>
  <c r="AK64" i="35"/>
  <c r="AO64" i="35" s="1"/>
  <c r="AK79" i="35"/>
  <c r="AO79" i="35" s="1"/>
  <c r="AK82" i="35"/>
  <c r="AO82" i="35" s="1"/>
  <c r="AK88" i="35"/>
  <c r="AO88" i="35" s="1"/>
  <c r="AK65" i="35"/>
  <c r="AO65" i="35" s="1"/>
  <c r="AK92" i="35"/>
  <c r="AO92" i="35" s="1"/>
  <c r="AK96" i="35"/>
  <c r="AO96" i="35" s="1"/>
  <c r="AK62" i="35"/>
  <c r="AO62" i="35" s="1"/>
  <c r="AK77" i="35"/>
  <c r="AO77" i="35" s="1"/>
  <c r="AK69" i="35"/>
  <c r="AO69" i="35" s="1"/>
  <c r="AK89" i="35"/>
  <c r="AO89" i="35" s="1"/>
  <c r="AK72" i="35"/>
  <c r="AO72" i="35" s="1"/>
  <c r="AK26" i="35"/>
  <c r="AO26" i="35" s="1"/>
  <c r="AK19" i="35"/>
  <c r="AO19" i="35" s="1"/>
  <c r="AK66" i="35"/>
  <c r="AO66" i="35" s="1"/>
  <c r="AK73" i="35"/>
  <c r="AO73" i="35" s="1"/>
  <c r="AK35" i="35"/>
  <c r="AO35" i="35" s="1"/>
  <c r="AU42" i="35"/>
  <c r="AW42" i="35" s="1"/>
  <c r="AU14" i="35"/>
  <c r="AW14" i="35" s="1"/>
  <c r="AU30" i="35"/>
  <c r="AW30" i="35" s="1"/>
  <c r="AU8" i="35"/>
  <c r="AW8" i="35" s="1"/>
  <c r="AU16" i="35"/>
  <c r="AW16" i="35" s="1"/>
  <c r="AU34" i="35"/>
  <c r="AW34" i="35" s="1"/>
  <c r="B46" i="37"/>
  <c r="AG21" i="37"/>
  <c r="AJ105" i="35"/>
  <c r="AJ95" i="35"/>
  <c r="AJ93" i="35"/>
  <c r="AJ109" i="35"/>
  <c r="AJ100" i="35"/>
  <c r="AJ108" i="35"/>
  <c r="AJ103" i="35"/>
  <c r="AJ97" i="35"/>
  <c r="AJ101" i="35"/>
  <c r="AJ99" i="35"/>
  <c r="AJ104" i="35"/>
  <c r="AJ102" i="35"/>
  <c r="AJ110" i="35"/>
  <c r="AG119" i="35"/>
  <c r="AH119" i="35" s="1"/>
  <c r="AG123" i="35"/>
  <c r="AH123" i="35" s="1"/>
  <c r="AG124" i="35"/>
  <c r="AH124" i="35" s="1"/>
  <c r="AG128" i="35"/>
  <c r="AH128" i="35" s="1"/>
  <c r="AG114" i="35"/>
  <c r="AH114" i="35" s="1"/>
  <c r="AE129" i="35"/>
  <c r="AF129" i="35" s="1"/>
  <c r="AI111" i="35"/>
  <c r="AG115" i="35"/>
  <c r="AH115" i="35" s="1"/>
  <c r="AG127" i="35"/>
  <c r="AH127" i="35" s="1"/>
  <c r="AG118" i="35"/>
  <c r="AH118" i="35" s="1"/>
  <c r="AG117" i="35"/>
  <c r="AH117" i="35" s="1"/>
  <c r="AG125" i="35"/>
  <c r="AH125" i="35" s="1"/>
  <c r="AC139" i="35"/>
  <c r="AD139" i="35" s="1"/>
  <c r="AC138" i="35"/>
  <c r="AD138" i="35" s="1"/>
  <c r="AG116" i="35"/>
  <c r="AH116" i="35" s="1"/>
  <c r="AC137" i="35"/>
  <c r="AD137" i="35" s="1"/>
  <c r="AB130" i="35"/>
  <c r="AC145" i="35"/>
  <c r="AD145" i="35" s="1"/>
  <c r="Y148" i="35"/>
  <c r="AA147" i="35"/>
  <c r="AB147" i="35" s="1"/>
  <c r="AG112" i="35"/>
  <c r="AH112" i="35" s="1"/>
  <c r="AC142" i="35"/>
  <c r="AD142" i="35" s="1"/>
  <c r="AC140" i="35"/>
  <c r="AD140" i="35" s="1"/>
  <c r="AC135" i="35"/>
  <c r="AD135" i="35" s="1"/>
  <c r="AC133" i="35"/>
  <c r="AD133" i="35" s="1"/>
  <c r="AC136" i="35"/>
  <c r="AD136" i="35" s="1"/>
  <c r="AG98" i="35"/>
  <c r="AH98" i="35" s="1"/>
  <c r="AG113" i="35"/>
  <c r="AH113" i="35" s="1"/>
  <c r="AG121" i="35"/>
  <c r="AH121" i="35" s="1"/>
  <c r="AG120" i="35"/>
  <c r="AH120" i="35" s="1"/>
  <c r="AC144" i="35"/>
  <c r="AD144" i="35" s="1"/>
  <c r="AC143" i="35"/>
  <c r="AD143" i="35" s="1"/>
  <c r="AG122" i="35"/>
  <c r="AH122" i="35" s="1"/>
  <c r="AC146" i="35"/>
  <c r="AD146" i="35" s="1"/>
  <c r="AC132" i="35"/>
  <c r="AD132" i="35" s="1"/>
  <c r="AC131" i="35"/>
  <c r="AD131" i="35" s="1"/>
  <c r="AG126" i="35"/>
  <c r="AH126" i="35" s="1"/>
  <c r="AC141" i="35"/>
  <c r="AD141" i="35" s="1"/>
  <c r="AC134" i="35"/>
  <c r="AD134" i="35" s="1"/>
  <c r="AI25" i="35"/>
  <c r="AJ25" i="35" s="1"/>
  <c r="M181" i="22"/>
  <c r="P181" i="22" s="1"/>
  <c r="M172" i="22"/>
  <c r="Q172" i="22" s="1"/>
  <c r="M168" i="22"/>
  <c r="B168" i="22" s="1"/>
  <c r="M180" i="22"/>
  <c r="M167" i="22"/>
  <c r="M179" i="22"/>
  <c r="Q179" i="22" s="1"/>
  <c r="M183" i="22"/>
  <c r="B183" i="22" s="1"/>
  <c r="M177" i="22"/>
  <c r="Q177" i="22" s="1"/>
  <c r="M176" i="22"/>
  <c r="B176" i="22" s="1"/>
  <c r="M182" i="22"/>
  <c r="B182" i="22" s="1"/>
  <c r="M175" i="22"/>
  <c r="M169" i="22"/>
  <c r="Q169" i="22" s="1"/>
  <c r="M171" i="22"/>
  <c r="Q171" i="22" s="1"/>
  <c r="M174" i="22"/>
  <c r="M170" i="22"/>
  <c r="B170" i="22" s="1"/>
  <c r="B178" i="22"/>
  <c r="B173" i="22"/>
  <c r="Q178" i="22"/>
  <c r="P178" i="22"/>
  <c r="Q173" i="22"/>
  <c r="P173" i="22"/>
  <c r="P180" i="22"/>
  <c r="N18" i="33"/>
  <c r="M1" i="33"/>
  <c r="AX16" i="35" l="1"/>
  <c r="AZ16" i="35" s="1"/>
  <c r="AX8" i="35"/>
  <c r="AZ8" i="35" s="1"/>
  <c r="AX30" i="35"/>
  <c r="AZ30" i="35" s="1"/>
  <c r="AX14" i="35"/>
  <c r="AZ14" i="35" s="1"/>
  <c r="AX34" i="35"/>
  <c r="AZ34" i="35" s="1"/>
  <c r="AX42" i="35"/>
  <c r="AZ42" i="35" s="1"/>
  <c r="AR24" i="35"/>
  <c r="EA24" i="35" s="1"/>
  <c r="AR20" i="35"/>
  <c r="EA20" i="35" s="1"/>
  <c r="AR70" i="35"/>
  <c r="EA70" i="35" s="1"/>
  <c r="AR29" i="35"/>
  <c r="EA29" i="35" s="1"/>
  <c r="AR53" i="35"/>
  <c r="EA53" i="35" s="1"/>
  <c r="AR32" i="35"/>
  <c r="EA32" i="35" s="1"/>
  <c r="AR84" i="35"/>
  <c r="EA84" i="35" s="1"/>
  <c r="AR28" i="35"/>
  <c r="EA28" i="35" s="1"/>
  <c r="AR57" i="35"/>
  <c r="EA57" i="35" s="1"/>
  <c r="AR31" i="35"/>
  <c r="EA31" i="35" s="1"/>
  <c r="AR45" i="35"/>
  <c r="AR36" i="35"/>
  <c r="EA36" i="35" s="1"/>
  <c r="AR7" i="35"/>
  <c r="EA7" i="35" s="1"/>
  <c r="AR10" i="35"/>
  <c r="AR44" i="35"/>
  <c r="EA44" i="35" s="1"/>
  <c r="AR68" i="35"/>
  <c r="EA68" i="35" s="1"/>
  <c r="AR37" i="35"/>
  <c r="EA37" i="35" s="1"/>
  <c r="AR86" i="35"/>
  <c r="EA86" i="35" s="1"/>
  <c r="AR71" i="35"/>
  <c r="EA71" i="35" s="1"/>
  <c r="AR55" i="35"/>
  <c r="EA55" i="35" s="1"/>
  <c r="AR46" i="35"/>
  <c r="AR33" i="35"/>
  <c r="EA33" i="35" s="1"/>
  <c r="AR48" i="35"/>
  <c r="EA48" i="35" s="1"/>
  <c r="AR22" i="35"/>
  <c r="EA22" i="35" s="1"/>
  <c r="AR21" i="35"/>
  <c r="EA21" i="35" s="1"/>
  <c r="AR38" i="35"/>
  <c r="EA38" i="35" s="1"/>
  <c r="AR47" i="35"/>
  <c r="EA47" i="35" s="1"/>
  <c r="AR78" i="35"/>
  <c r="AR17" i="35"/>
  <c r="EA17" i="35" s="1"/>
  <c r="AR13" i="35"/>
  <c r="AR49" i="35"/>
  <c r="EA49" i="35" s="1"/>
  <c r="AR80" i="35"/>
  <c r="EA80" i="35" s="1"/>
  <c r="AR56" i="35"/>
  <c r="AR81" i="35"/>
  <c r="AR27" i="35"/>
  <c r="EA27" i="35" s="1"/>
  <c r="AR51" i="35"/>
  <c r="EA51" i="35" s="1"/>
  <c r="AR58" i="35"/>
  <c r="EA58" i="35" s="1"/>
  <c r="AU60" i="35"/>
  <c r="AW60" i="35" s="1"/>
  <c r="AU11" i="35"/>
  <c r="AW11" i="35" s="1"/>
  <c r="AP107" i="35"/>
  <c r="AQ107" i="35" s="1"/>
  <c r="AP26" i="35"/>
  <c r="AQ26" i="35" s="1"/>
  <c r="AP65" i="35"/>
  <c r="AQ65" i="35" s="1"/>
  <c r="AP74" i="35"/>
  <c r="AQ74" i="35" s="1"/>
  <c r="AP52" i="35"/>
  <c r="AQ52" i="35" s="1"/>
  <c r="AU9" i="35"/>
  <c r="AW9" i="35" s="1"/>
  <c r="EA9" i="35"/>
  <c r="AU18" i="35"/>
  <c r="AW18" i="35" s="1"/>
  <c r="EA18" i="35"/>
  <c r="AP72" i="35"/>
  <c r="AQ72" i="35" s="1"/>
  <c r="AP88" i="35"/>
  <c r="AQ88" i="35" s="1"/>
  <c r="AP63" i="35"/>
  <c r="AQ63" i="35" s="1"/>
  <c r="AP54" i="35"/>
  <c r="AQ54" i="35" s="1"/>
  <c r="AP92" i="35"/>
  <c r="AQ92" i="35" s="1"/>
  <c r="AP89" i="35"/>
  <c r="AQ89" i="35" s="1"/>
  <c r="AP82" i="35"/>
  <c r="AQ82" i="35" s="1"/>
  <c r="AP75" i="35"/>
  <c r="AQ75" i="35" s="1"/>
  <c r="AP91" i="35"/>
  <c r="AQ91" i="35" s="1"/>
  <c r="EA41" i="35"/>
  <c r="AU41" i="35"/>
  <c r="AW41" i="35" s="1"/>
  <c r="EA23" i="35"/>
  <c r="AU23" i="35"/>
  <c r="AW23" i="35" s="1"/>
  <c r="AP69" i="35"/>
  <c r="AQ69" i="35" s="1"/>
  <c r="AP79" i="35"/>
  <c r="AQ79" i="35" s="1"/>
  <c r="AP76" i="35"/>
  <c r="AQ76" i="35" s="1"/>
  <c r="AP85" i="35"/>
  <c r="AQ85" i="35" s="1"/>
  <c r="EA50" i="35"/>
  <c r="AU50" i="35"/>
  <c r="AW50" i="35" s="1"/>
  <c r="AP106" i="35"/>
  <c r="AQ106" i="35" s="1"/>
  <c r="EA15" i="35"/>
  <c r="AU15" i="35"/>
  <c r="AW15" i="35" s="1"/>
  <c r="AP35" i="35"/>
  <c r="AQ35" i="35" s="1"/>
  <c r="AP77" i="35"/>
  <c r="AQ77" i="35" s="1"/>
  <c r="AP64" i="35"/>
  <c r="AQ64" i="35" s="1"/>
  <c r="AP87" i="35"/>
  <c r="AQ87" i="35" s="1"/>
  <c r="AP40" i="35"/>
  <c r="AQ40" i="35" s="1"/>
  <c r="AU12" i="35"/>
  <c r="AW12" i="35" s="1"/>
  <c r="EA12" i="35"/>
  <c r="AP19" i="35"/>
  <c r="AQ19" i="35" s="1"/>
  <c r="AP73" i="35"/>
  <c r="AQ73" i="35" s="1"/>
  <c r="AP62" i="35"/>
  <c r="AQ62" i="35" s="1"/>
  <c r="AP90" i="35"/>
  <c r="AQ90" i="35" s="1"/>
  <c r="AP83" i="35"/>
  <c r="AQ83" i="35" s="1"/>
  <c r="AP59" i="35"/>
  <c r="AQ59" i="35" s="1"/>
  <c r="AU67" i="35"/>
  <c r="AW67" i="35" s="1"/>
  <c r="EA67" i="35"/>
  <c r="AU84" i="35"/>
  <c r="AW84" i="35" s="1"/>
  <c r="AP66" i="35"/>
  <c r="AQ66" i="35" s="1"/>
  <c r="AP96" i="35"/>
  <c r="AQ96" i="35" s="1"/>
  <c r="AP61" i="35"/>
  <c r="AQ61" i="35" s="1"/>
  <c r="AP94" i="35"/>
  <c r="AQ94" i="35" s="1"/>
  <c r="AP39" i="35"/>
  <c r="AQ39" i="35" s="1"/>
  <c r="EA43" i="35"/>
  <c r="AU43" i="35"/>
  <c r="AW43" i="35" s="1"/>
  <c r="AK25" i="35"/>
  <c r="AO25" i="35" s="1"/>
  <c r="AK103" i="35"/>
  <c r="AO103" i="35" s="1"/>
  <c r="AK105" i="35"/>
  <c r="AO105" i="35" s="1"/>
  <c r="AK97" i="35"/>
  <c r="AO97" i="35" s="1"/>
  <c r="AK108" i="35"/>
  <c r="AO108" i="35" s="1"/>
  <c r="AK110" i="35"/>
  <c r="AO110" i="35" s="1"/>
  <c r="AK100" i="35"/>
  <c r="AO100" i="35" s="1"/>
  <c r="AK102" i="35"/>
  <c r="AO102" i="35" s="1"/>
  <c r="AK109" i="35"/>
  <c r="AO109" i="35" s="1"/>
  <c r="AK101" i="35"/>
  <c r="AO101" i="35" s="1"/>
  <c r="AK104" i="35"/>
  <c r="AO104" i="35" s="1"/>
  <c r="AK93" i="35"/>
  <c r="AO93" i="35" s="1"/>
  <c r="AK99" i="35"/>
  <c r="AO99" i="35" s="1"/>
  <c r="AK95" i="35"/>
  <c r="AO95" i="35" s="1"/>
  <c r="AV14" i="35"/>
  <c r="EL14" i="35" s="1"/>
  <c r="AV42" i="35"/>
  <c r="EL42" i="35" s="1"/>
  <c r="AU17" i="35"/>
  <c r="AW17" i="35" s="1"/>
  <c r="AU80" i="35"/>
  <c r="AW80" i="35" s="1"/>
  <c r="AV34" i="35"/>
  <c r="EL34" i="35" s="1"/>
  <c r="AU22" i="35"/>
  <c r="AW22" i="35" s="1"/>
  <c r="AU29" i="35"/>
  <c r="AW29" i="35" s="1"/>
  <c r="AU33" i="35"/>
  <c r="AW33" i="35" s="1"/>
  <c r="AU47" i="35"/>
  <c r="AW47" i="35" s="1"/>
  <c r="AU51" i="35"/>
  <c r="AW51" i="35" s="1"/>
  <c r="AU20" i="35"/>
  <c r="AW20" i="35" s="1"/>
  <c r="AU86" i="35"/>
  <c r="AW86" i="35" s="1"/>
  <c r="AU31" i="35"/>
  <c r="AW31" i="35" s="1"/>
  <c r="AU58" i="35"/>
  <c r="AW58" i="35" s="1"/>
  <c r="AU27" i="35"/>
  <c r="AW27" i="35" s="1"/>
  <c r="AU36" i="35"/>
  <c r="AW36" i="35" s="1"/>
  <c r="AU38" i="35"/>
  <c r="AW38" i="35" s="1"/>
  <c r="AU44" i="35"/>
  <c r="AW44" i="35" s="1"/>
  <c r="AU49" i="35"/>
  <c r="AW49" i="35" s="1"/>
  <c r="AV8" i="35"/>
  <c r="EK8" i="35" s="1"/>
  <c r="EJ8" i="35" s="1"/>
  <c r="AV16" i="35"/>
  <c r="EL16" i="35" s="1"/>
  <c r="AU28" i="35"/>
  <c r="AW28" i="35" s="1"/>
  <c r="AU32" i="35"/>
  <c r="AW32" i="35" s="1"/>
  <c r="AU37" i="35"/>
  <c r="AW37" i="35" s="1"/>
  <c r="AU24" i="35"/>
  <c r="AW24" i="35" s="1"/>
  <c r="AU57" i="35"/>
  <c r="AW57" i="35" s="1"/>
  <c r="AU21" i="35"/>
  <c r="AW21" i="35" s="1"/>
  <c r="AU68" i="35"/>
  <c r="AW68" i="35" s="1"/>
  <c r="AU70" i="35"/>
  <c r="AW70" i="35" s="1"/>
  <c r="AU45" i="35"/>
  <c r="AW45" i="35" s="1"/>
  <c r="AV30" i="35"/>
  <c r="EL30" i="35" s="1"/>
  <c r="AU53" i="35"/>
  <c r="AW53" i="35" s="1"/>
  <c r="AU55" i="35"/>
  <c r="AW55" i="35" s="1"/>
  <c r="B47" i="37"/>
  <c r="AH21" i="37"/>
  <c r="AJ111" i="35"/>
  <c r="AI116" i="35"/>
  <c r="AI121" i="35"/>
  <c r="AE131" i="35"/>
  <c r="AF131" i="35" s="1"/>
  <c r="AI122" i="35"/>
  <c r="AJ122" i="35" s="1"/>
  <c r="AI113" i="35"/>
  <c r="AI127" i="35"/>
  <c r="AE133" i="35"/>
  <c r="AF133" i="35" s="1"/>
  <c r="AE142" i="35"/>
  <c r="AF142" i="35" s="1"/>
  <c r="AE135" i="35"/>
  <c r="AF135" i="35" s="1"/>
  <c r="AI117" i="35"/>
  <c r="AI124" i="35"/>
  <c r="AI125" i="35"/>
  <c r="AJ125" i="35" s="1"/>
  <c r="AE134" i="35"/>
  <c r="AF134" i="35" s="1"/>
  <c r="AE136" i="35"/>
  <c r="AF136" i="35" s="1"/>
  <c r="AE138" i="35"/>
  <c r="AF138" i="35" s="1"/>
  <c r="AI118" i="35"/>
  <c r="AJ118" i="35" s="1"/>
  <c r="AI114" i="35"/>
  <c r="AE139" i="35"/>
  <c r="AF139" i="35" s="1"/>
  <c r="AE146" i="35"/>
  <c r="AF146" i="35" s="1"/>
  <c r="AE144" i="35"/>
  <c r="AF144" i="35" s="1"/>
  <c r="AI120" i="35"/>
  <c r="AE140" i="35"/>
  <c r="AF140" i="35" s="1"/>
  <c r="AC130" i="35"/>
  <c r="AD130" i="35" s="1"/>
  <c r="AE145" i="35"/>
  <c r="AF145" i="35" s="1"/>
  <c r="AG129" i="35"/>
  <c r="AH129" i="35" s="1"/>
  <c r="AI126" i="35"/>
  <c r="AE132" i="35"/>
  <c r="AF132" i="35" s="1"/>
  <c r="AE143" i="35"/>
  <c r="AF143" i="35" s="1"/>
  <c r="AI98" i="35"/>
  <c r="AI112" i="35"/>
  <c r="AI115" i="35"/>
  <c r="AI123" i="35"/>
  <c r="AE141" i="35"/>
  <c r="AF141" i="35" s="1"/>
  <c r="AC147" i="35"/>
  <c r="AD147" i="35" s="1"/>
  <c r="Y165" i="35"/>
  <c r="Y161" i="35"/>
  <c r="AA161" i="35" s="1"/>
  <c r="AB161" i="35" s="1"/>
  <c r="Y157" i="35"/>
  <c r="AA157" i="35" s="1"/>
  <c r="AB157" i="35" s="1"/>
  <c r="Y156" i="35"/>
  <c r="AA156" i="35" s="1"/>
  <c r="AB156" i="35" s="1"/>
  <c r="Y162" i="35"/>
  <c r="AA162" i="35" s="1"/>
  <c r="AB162" i="35" s="1"/>
  <c r="Y154" i="35"/>
  <c r="AA154" i="35" s="1"/>
  <c r="AB154" i="35" s="1"/>
  <c r="Y163" i="35"/>
  <c r="AA163" i="35" s="1"/>
  <c r="AB163" i="35" s="1"/>
  <c r="Y159" i="35"/>
  <c r="AA159" i="35" s="1"/>
  <c r="AB159" i="35" s="1"/>
  <c r="Y152" i="35"/>
  <c r="AA152" i="35" s="1"/>
  <c r="AB152" i="35" s="1"/>
  <c r="Y151" i="35"/>
  <c r="AA151" i="35" s="1"/>
  <c r="AB151" i="35" s="1"/>
  <c r="Y164" i="35"/>
  <c r="AA164" i="35" s="1"/>
  <c r="AB164" i="35" s="1"/>
  <c r="Y160" i="35"/>
  <c r="AA160" i="35" s="1"/>
  <c r="AB160" i="35" s="1"/>
  <c r="Y158" i="35"/>
  <c r="AA158" i="35" s="1"/>
  <c r="AB158" i="35" s="1"/>
  <c r="Y150" i="35"/>
  <c r="Y149" i="35"/>
  <c r="AA149" i="35" s="1"/>
  <c r="AB149" i="35" s="1"/>
  <c r="Y155" i="35"/>
  <c r="AA155" i="35" s="1"/>
  <c r="AB155" i="35" s="1"/>
  <c r="Y153" i="35"/>
  <c r="AA153" i="35" s="1"/>
  <c r="AB153" i="35" s="1"/>
  <c r="AA148" i="35"/>
  <c r="AB148" i="35" s="1"/>
  <c r="AE137" i="35"/>
  <c r="AF137" i="35" s="1"/>
  <c r="AI128" i="35"/>
  <c r="AI119" i="35"/>
  <c r="P169" i="22"/>
  <c r="R169" i="22" s="1"/>
  <c r="T169" i="22" s="1"/>
  <c r="Q180" i="22"/>
  <c r="R180" i="22" s="1"/>
  <c r="T180" i="22" s="1"/>
  <c r="B180" i="22"/>
  <c r="Q181" i="22"/>
  <c r="R181" i="22" s="1"/>
  <c r="T181" i="22" s="1"/>
  <c r="B181" i="22"/>
  <c r="B172" i="22"/>
  <c r="P172" i="22"/>
  <c r="P168" i="22"/>
  <c r="Q168" i="22"/>
  <c r="Q176" i="22"/>
  <c r="P176" i="22"/>
  <c r="B177" i="22"/>
  <c r="B171" i="22"/>
  <c r="P177" i="22"/>
  <c r="P182" i="22"/>
  <c r="Q182" i="22"/>
  <c r="P183" i="22"/>
  <c r="B174" i="22"/>
  <c r="P170" i="22"/>
  <c r="Q170" i="22"/>
  <c r="P174" i="22"/>
  <c r="B179" i="22"/>
  <c r="Q183" i="22"/>
  <c r="P171" i="22"/>
  <c r="R171" i="22" s="1"/>
  <c r="T171" i="22" s="1"/>
  <c r="V171" i="22" s="1"/>
  <c r="Q175" i="22"/>
  <c r="B169" i="22"/>
  <c r="P175" i="22"/>
  <c r="Q174" i="22"/>
  <c r="B175" i="22"/>
  <c r="P179" i="22"/>
  <c r="V181" i="22"/>
  <c r="R178" i="22"/>
  <c r="T178" i="22" s="1"/>
  <c r="R172" i="22"/>
  <c r="T172" i="22" s="1"/>
  <c r="R173" i="22"/>
  <c r="T173" i="22" s="1"/>
  <c r="I7" i="22"/>
  <c r="M7" i="22" s="1"/>
  <c r="P7" i="22" s="1"/>
  <c r="H36" i="22"/>
  <c r="BA34" i="35" l="1"/>
  <c r="BE34" i="35" s="1"/>
  <c r="BG34" i="35" s="1"/>
  <c r="BI34" i="35" s="1"/>
  <c r="BK34" i="35" s="1"/>
  <c r="BM34" i="35" s="1"/>
  <c r="BO34" i="35" s="1"/>
  <c r="BQ34" i="35" s="1"/>
  <c r="BA14" i="35"/>
  <c r="BE14" i="35" s="1"/>
  <c r="BG14" i="35" s="1"/>
  <c r="BI14" i="35" s="1"/>
  <c r="BK14" i="35" s="1"/>
  <c r="BM14" i="35" s="1"/>
  <c r="BO14" i="35" s="1"/>
  <c r="BQ14" i="35" s="1"/>
  <c r="BA30" i="35"/>
  <c r="BE30" i="35" s="1"/>
  <c r="BG30" i="35" s="1"/>
  <c r="BI30" i="35" s="1"/>
  <c r="BK30" i="35" s="1"/>
  <c r="BM30" i="35" s="1"/>
  <c r="BO30" i="35" s="1"/>
  <c r="BQ30" i="35" s="1"/>
  <c r="BA42" i="35"/>
  <c r="BE42" i="35" s="1"/>
  <c r="BG42" i="35" s="1"/>
  <c r="BI42" i="35" s="1"/>
  <c r="BK42" i="35" s="1"/>
  <c r="BM42" i="35" s="1"/>
  <c r="BO42" i="35" s="1"/>
  <c r="BQ42" i="35" s="1"/>
  <c r="BA8" i="35"/>
  <c r="BE8" i="35" s="1"/>
  <c r="BG8" i="35" s="1"/>
  <c r="BI8" i="35" s="1"/>
  <c r="BK8" i="35" s="1"/>
  <c r="BM8" i="35" s="1"/>
  <c r="BO8" i="35" s="1"/>
  <c r="BQ8" i="35" s="1"/>
  <c r="BA16" i="35"/>
  <c r="BE16" i="35" s="1"/>
  <c r="BG16" i="35" s="1"/>
  <c r="BI16" i="35" s="1"/>
  <c r="BK16" i="35" s="1"/>
  <c r="BM16" i="35" s="1"/>
  <c r="BO16" i="35" s="1"/>
  <c r="BQ16" i="35" s="1"/>
  <c r="AX31" i="35"/>
  <c r="AZ31" i="35" s="1"/>
  <c r="AX86" i="35"/>
  <c r="AX84" i="35"/>
  <c r="AZ84" i="35" s="1"/>
  <c r="AX20" i="35"/>
  <c r="AZ20" i="35" s="1"/>
  <c r="AX44" i="35"/>
  <c r="AX51" i="35"/>
  <c r="AX43" i="35"/>
  <c r="AZ43" i="35" s="1"/>
  <c r="AX23" i="35"/>
  <c r="AZ23" i="35" s="1"/>
  <c r="AX15" i="35"/>
  <c r="AX55" i="35"/>
  <c r="AX24" i="35"/>
  <c r="AX38" i="35"/>
  <c r="AX47" i="35"/>
  <c r="AX67" i="35"/>
  <c r="AZ67" i="35" s="1"/>
  <c r="AX12" i="35"/>
  <c r="AZ12" i="35" s="1"/>
  <c r="AX70" i="35"/>
  <c r="AZ70" i="35" s="1"/>
  <c r="AX32" i="35"/>
  <c r="AZ32" i="35" s="1"/>
  <c r="AX27" i="35"/>
  <c r="AX22" i="35"/>
  <c r="AX68" i="35"/>
  <c r="AZ68" i="35" s="1"/>
  <c r="AX80" i="35"/>
  <c r="AZ80" i="35" s="1"/>
  <c r="AX45" i="35"/>
  <c r="AZ45" i="35" s="1"/>
  <c r="AX21" i="35"/>
  <c r="AZ21" i="35" s="1"/>
  <c r="AX58" i="35"/>
  <c r="AZ58" i="35" s="1"/>
  <c r="AX37" i="35"/>
  <c r="AZ37" i="35" s="1"/>
  <c r="AX36" i="35"/>
  <c r="AZ36" i="35" s="1"/>
  <c r="AX33" i="35"/>
  <c r="AZ33" i="35" s="1"/>
  <c r="AX28" i="35"/>
  <c r="AZ28" i="35" s="1"/>
  <c r="AX49" i="35"/>
  <c r="AZ49" i="35" s="1"/>
  <c r="AX57" i="35"/>
  <c r="AZ57" i="35" s="1"/>
  <c r="AX29" i="35"/>
  <c r="AZ29" i="35" s="1"/>
  <c r="AX17" i="35"/>
  <c r="AZ17" i="35" s="1"/>
  <c r="AX18" i="35"/>
  <c r="AZ18" i="35" s="1"/>
  <c r="AX11" i="35"/>
  <c r="AZ11" i="35" s="1"/>
  <c r="AX60" i="35"/>
  <c r="AZ60" i="35" s="1"/>
  <c r="AX53" i="35"/>
  <c r="AZ53" i="35" s="1"/>
  <c r="AX9" i="35"/>
  <c r="AZ9" i="35" s="1"/>
  <c r="AX50" i="35"/>
  <c r="AZ50" i="35" s="1"/>
  <c r="AX41" i="35"/>
  <c r="AZ41" i="35" s="1"/>
  <c r="AR61" i="35"/>
  <c r="EA61" i="35" s="1"/>
  <c r="AR59" i="35"/>
  <c r="EA59" i="35" s="1"/>
  <c r="AR106" i="35"/>
  <c r="EA106" i="35" s="1"/>
  <c r="AR107" i="35"/>
  <c r="AR96" i="35"/>
  <c r="EA96" i="35" s="1"/>
  <c r="AR83" i="35"/>
  <c r="EA83" i="35" s="1"/>
  <c r="AR40" i="35"/>
  <c r="EA40" i="35" s="1"/>
  <c r="AR92" i="35"/>
  <c r="EA92" i="35" s="1"/>
  <c r="AR66" i="35"/>
  <c r="EA66" i="35" s="1"/>
  <c r="AR90" i="35"/>
  <c r="EA90" i="35" s="1"/>
  <c r="AR87" i="35"/>
  <c r="EA87" i="35" s="1"/>
  <c r="AR62" i="35"/>
  <c r="AR64" i="35"/>
  <c r="EA64" i="35" s="1"/>
  <c r="AR85" i="35"/>
  <c r="EA85" i="35" s="1"/>
  <c r="AR73" i="35"/>
  <c r="EA73" i="35" s="1"/>
  <c r="AR77" i="35"/>
  <c r="EA77" i="35" s="1"/>
  <c r="AR76" i="35"/>
  <c r="EA76" i="35" s="1"/>
  <c r="AR91" i="35"/>
  <c r="AR54" i="35"/>
  <c r="EA54" i="35" s="1"/>
  <c r="AR52" i="35"/>
  <c r="EA52" i="35" s="1"/>
  <c r="AR35" i="35"/>
  <c r="EA35" i="35" s="1"/>
  <c r="AR79" i="35"/>
  <c r="EA79" i="35" s="1"/>
  <c r="AR75" i="35"/>
  <c r="EA75" i="35" s="1"/>
  <c r="AR63" i="35"/>
  <c r="EA63" i="35" s="1"/>
  <c r="AR74" i="35"/>
  <c r="EA74" i="35" s="1"/>
  <c r="AR39" i="35"/>
  <c r="EA39" i="35" s="1"/>
  <c r="AR19" i="35"/>
  <c r="AR69" i="35"/>
  <c r="EA69" i="35" s="1"/>
  <c r="AR82" i="35"/>
  <c r="EA82" i="35" s="1"/>
  <c r="AR88" i="35"/>
  <c r="EA88" i="35" s="1"/>
  <c r="AR65" i="35"/>
  <c r="EA65" i="35" s="1"/>
  <c r="AR94" i="35"/>
  <c r="EA94" i="35" s="1"/>
  <c r="AR89" i="35"/>
  <c r="EA89" i="35" s="1"/>
  <c r="AR72" i="35"/>
  <c r="EA72" i="35" s="1"/>
  <c r="AR26" i="35"/>
  <c r="EA26" i="35" s="1"/>
  <c r="AV60" i="35"/>
  <c r="EL60" i="35" s="1"/>
  <c r="AV11" i="35"/>
  <c r="EK11" i="35" s="1"/>
  <c r="EJ11" i="35" s="1"/>
  <c r="EA46" i="35"/>
  <c r="EA56" i="35"/>
  <c r="AP93" i="35"/>
  <c r="AQ93" i="35" s="1"/>
  <c r="AP108" i="35"/>
  <c r="AQ108" i="35" s="1"/>
  <c r="EA45" i="35"/>
  <c r="AP104" i="35"/>
  <c r="AQ104" i="35" s="1"/>
  <c r="AP97" i="35"/>
  <c r="AQ97" i="35" s="1"/>
  <c r="AV9" i="35"/>
  <c r="AP105" i="35"/>
  <c r="AQ105" i="35" s="1"/>
  <c r="AV50" i="35"/>
  <c r="AU56" i="35"/>
  <c r="AW56" i="35" s="1"/>
  <c r="AP109" i="35"/>
  <c r="AQ109" i="35" s="1"/>
  <c r="AP103" i="35"/>
  <c r="AQ103" i="35" s="1"/>
  <c r="AV67" i="35"/>
  <c r="AV41" i="35"/>
  <c r="EA81" i="35"/>
  <c r="AU81" i="35"/>
  <c r="AW81" i="35" s="1"/>
  <c r="AU78" i="35"/>
  <c r="AW78" i="35" s="1"/>
  <c r="EA78" i="35"/>
  <c r="AU46" i="35"/>
  <c r="AW46" i="35" s="1"/>
  <c r="AP102" i="35"/>
  <c r="AQ102" i="35" s="1"/>
  <c r="AP25" i="35"/>
  <c r="AQ25" i="35" s="1"/>
  <c r="AU71" i="35"/>
  <c r="AW71" i="35" s="1"/>
  <c r="AP100" i="35"/>
  <c r="AQ100" i="35" s="1"/>
  <c r="AU7" i="35"/>
  <c r="AW7" i="35" s="1"/>
  <c r="AP101" i="35"/>
  <c r="AQ101" i="35" s="1"/>
  <c r="AV43" i="35"/>
  <c r="AU13" i="35"/>
  <c r="AW13" i="35" s="1"/>
  <c r="EA13" i="35"/>
  <c r="AU91" i="35"/>
  <c r="AW91" i="35" s="1"/>
  <c r="AP95" i="35"/>
  <c r="AQ95" i="35" s="1"/>
  <c r="AP110" i="35"/>
  <c r="AQ110" i="35" s="1"/>
  <c r="AU19" i="35"/>
  <c r="AW19" i="35" s="1"/>
  <c r="AV12" i="35"/>
  <c r="AV18" i="35"/>
  <c r="AU48" i="35"/>
  <c r="AW48" i="35" s="1"/>
  <c r="AP99" i="35"/>
  <c r="AQ99" i="35" s="1"/>
  <c r="EA10" i="35"/>
  <c r="AU10" i="35"/>
  <c r="AW10" i="35" s="1"/>
  <c r="AV23" i="35"/>
  <c r="AV15" i="35"/>
  <c r="AK111" i="35"/>
  <c r="AO111" i="35" s="1"/>
  <c r="AK125" i="35"/>
  <c r="AO125" i="35" s="1"/>
  <c r="AK122" i="35"/>
  <c r="AO122" i="35" s="1"/>
  <c r="AK118" i="35"/>
  <c r="AO118" i="35" s="1"/>
  <c r="AV22" i="35"/>
  <c r="EL22" i="35" s="1"/>
  <c r="EK14" i="35"/>
  <c r="EJ14" i="35" s="1"/>
  <c r="AV86" i="35"/>
  <c r="EL86" i="35" s="1"/>
  <c r="EK42" i="35"/>
  <c r="EJ42" i="35" s="1"/>
  <c r="EK16" i="35"/>
  <c r="EJ16" i="35" s="1"/>
  <c r="AV17" i="35"/>
  <c r="EL17" i="35" s="1"/>
  <c r="AV29" i="35"/>
  <c r="EL29" i="35" s="1"/>
  <c r="AV20" i="35"/>
  <c r="EK20" i="35" s="1"/>
  <c r="EJ20" i="35" s="1"/>
  <c r="AV80" i="35"/>
  <c r="EL80" i="35" s="1"/>
  <c r="AV33" i="35"/>
  <c r="EK33" i="35" s="1"/>
  <c r="EJ33" i="35" s="1"/>
  <c r="AV84" i="35"/>
  <c r="EL84" i="35" s="1"/>
  <c r="EK34" i="35"/>
  <c r="EJ34" i="35" s="1"/>
  <c r="AV47" i="35"/>
  <c r="EK47" i="35" s="1"/>
  <c r="EJ47" i="35" s="1"/>
  <c r="AV36" i="35"/>
  <c r="EK36" i="35" s="1"/>
  <c r="EJ36" i="35" s="1"/>
  <c r="AV70" i="35"/>
  <c r="EL70" i="35" s="1"/>
  <c r="EK30" i="35"/>
  <c r="EJ30" i="35" s="1"/>
  <c r="AV51" i="35"/>
  <c r="EL51" i="35" s="1"/>
  <c r="AV58" i="35"/>
  <c r="AU96" i="35"/>
  <c r="AW96" i="35" s="1"/>
  <c r="AU92" i="35"/>
  <c r="AW92" i="35" s="1"/>
  <c r="AV31" i="35"/>
  <c r="AU63" i="35"/>
  <c r="AW63" i="35" s="1"/>
  <c r="AV57" i="35"/>
  <c r="AV55" i="35"/>
  <c r="AU79" i="35"/>
  <c r="AW79" i="35" s="1"/>
  <c r="AU26" i="35"/>
  <c r="AW26" i="35" s="1"/>
  <c r="AU75" i="35"/>
  <c r="AW75" i="35" s="1"/>
  <c r="AU82" i="35"/>
  <c r="AW82" i="35" s="1"/>
  <c r="AU69" i="35"/>
  <c r="AW69" i="35" s="1"/>
  <c r="AU85" i="35"/>
  <c r="AW85" i="35" s="1"/>
  <c r="AU74" i="35"/>
  <c r="AW74" i="35" s="1"/>
  <c r="AU83" i="35"/>
  <c r="AW83" i="35" s="1"/>
  <c r="AU39" i="35"/>
  <c r="AW39" i="35" s="1"/>
  <c r="AV32" i="35"/>
  <c r="AU59" i="35"/>
  <c r="AW59" i="35" s="1"/>
  <c r="AU52" i="35"/>
  <c r="AW52" i="35" s="1"/>
  <c r="AU40" i="35"/>
  <c r="AW40" i="35" s="1"/>
  <c r="AU72" i="35"/>
  <c r="AW72" i="35" s="1"/>
  <c r="AV24" i="35"/>
  <c r="AU66" i="35"/>
  <c r="AW66" i="35" s="1"/>
  <c r="AU73" i="35"/>
  <c r="AW73" i="35" s="1"/>
  <c r="AU35" i="35"/>
  <c r="AW35" i="35" s="1"/>
  <c r="AV37" i="35"/>
  <c r="AU76" i="35"/>
  <c r="AW76" i="35" s="1"/>
  <c r="AV44" i="35"/>
  <c r="AV49" i="35"/>
  <c r="AU61" i="35"/>
  <c r="AW61" i="35" s="1"/>
  <c r="AU94" i="35"/>
  <c r="AW94" i="35" s="1"/>
  <c r="AV68" i="35"/>
  <c r="AU90" i="35"/>
  <c r="AW90" i="35" s="1"/>
  <c r="AV21" i="35"/>
  <c r="AU54" i="35"/>
  <c r="AW54" i="35" s="1"/>
  <c r="EL8" i="35"/>
  <c r="AV27" i="35"/>
  <c r="EL27" i="35" s="1"/>
  <c r="AU64" i="35"/>
  <c r="AW64" i="35" s="1"/>
  <c r="AV28" i="35"/>
  <c r="AU89" i="35"/>
  <c r="AW89" i="35" s="1"/>
  <c r="AV53" i="35"/>
  <c r="AV45" i="35"/>
  <c r="AV38" i="35"/>
  <c r="AU77" i="35"/>
  <c r="AW77" i="35" s="1"/>
  <c r="AU87" i="35"/>
  <c r="AW87" i="35" s="1"/>
  <c r="B48" i="37"/>
  <c r="AI21" i="37"/>
  <c r="AJ124" i="35"/>
  <c r="AJ128" i="35"/>
  <c r="AJ127" i="35"/>
  <c r="AJ119" i="35"/>
  <c r="AJ117" i="35"/>
  <c r="AJ114" i="35"/>
  <c r="AJ123" i="35"/>
  <c r="AJ98" i="35"/>
  <c r="AJ115" i="35"/>
  <c r="AJ112" i="35"/>
  <c r="AJ113" i="35"/>
  <c r="AJ116" i="35"/>
  <c r="AJ121" i="35"/>
  <c r="AJ120" i="35"/>
  <c r="AJ126" i="35"/>
  <c r="AG136" i="35"/>
  <c r="AH136" i="35" s="1"/>
  <c r="AG144" i="35"/>
  <c r="AH144" i="35" s="1"/>
  <c r="AG133" i="35"/>
  <c r="AH133" i="35" s="1"/>
  <c r="AE147" i="35"/>
  <c r="AF147" i="35" s="1"/>
  <c r="AG143" i="35"/>
  <c r="AH143" i="35" s="1"/>
  <c r="AG131" i="35"/>
  <c r="AH131" i="35" s="1"/>
  <c r="AG140" i="35"/>
  <c r="AH140" i="35" s="1"/>
  <c r="AG135" i="35"/>
  <c r="AH135" i="35" s="1"/>
  <c r="AC148" i="35"/>
  <c r="AD148" i="35" s="1"/>
  <c r="AC151" i="35"/>
  <c r="AD151" i="35" s="1"/>
  <c r="AC161" i="35"/>
  <c r="AD161" i="35" s="1"/>
  <c r="AG141" i="35"/>
  <c r="AH141" i="35" s="1"/>
  <c r="AI129" i="35"/>
  <c r="AG146" i="35"/>
  <c r="AH146" i="35" s="1"/>
  <c r="AG138" i="35"/>
  <c r="AH138" i="35" s="1"/>
  <c r="AC153" i="35"/>
  <c r="AD153" i="35" s="1"/>
  <c r="AC152" i="35"/>
  <c r="AD152" i="35" s="1"/>
  <c r="Y166" i="35"/>
  <c r="AA165" i="35"/>
  <c r="AB165" i="35" s="1"/>
  <c r="AE130" i="35"/>
  <c r="AF130" i="35" s="1"/>
  <c r="AC159" i="35"/>
  <c r="AD159" i="35" s="1"/>
  <c r="AG139" i="35"/>
  <c r="AH139" i="35" s="1"/>
  <c r="AC155" i="35"/>
  <c r="AD155" i="35" s="1"/>
  <c r="AC149" i="35"/>
  <c r="AD149" i="35" s="1"/>
  <c r="AC163" i="35"/>
  <c r="AD163" i="35" s="1"/>
  <c r="AG137" i="35"/>
  <c r="AH137" i="35" s="1"/>
  <c r="AA150" i="35"/>
  <c r="AC154" i="35"/>
  <c r="AD154" i="35" s="1"/>
  <c r="AG145" i="35"/>
  <c r="AH145" i="35" s="1"/>
  <c r="AC158" i="35"/>
  <c r="AD158" i="35" s="1"/>
  <c r="AC162" i="35"/>
  <c r="AD162" i="35" s="1"/>
  <c r="AC160" i="35"/>
  <c r="AD160" i="35" s="1"/>
  <c r="AC156" i="35"/>
  <c r="AD156" i="35" s="1"/>
  <c r="AG132" i="35"/>
  <c r="AH132" i="35" s="1"/>
  <c r="AG134" i="35"/>
  <c r="AH134" i="35" s="1"/>
  <c r="AG142" i="35"/>
  <c r="AH142" i="35" s="1"/>
  <c r="AC164" i="35"/>
  <c r="AD164" i="35" s="1"/>
  <c r="AC157" i="35"/>
  <c r="AD157" i="35" s="1"/>
  <c r="Y181" i="22"/>
  <c r="R176" i="22"/>
  <c r="T176" i="22" s="1"/>
  <c r="V176" i="22" s="1"/>
  <c r="R168" i="22"/>
  <c r="T168" i="22" s="1"/>
  <c r="V168" i="22" s="1"/>
  <c r="R177" i="22"/>
  <c r="T177" i="22" s="1"/>
  <c r="R182" i="22"/>
  <c r="T182" i="22" s="1"/>
  <c r="V182" i="22" s="1"/>
  <c r="R175" i="22"/>
  <c r="T175" i="22" s="1"/>
  <c r="V175" i="22" s="1"/>
  <c r="R170" i="22"/>
  <c r="T170" i="22" s="1"/>
  <c r="R174" i="22"/>
  <c r="T174" i="22" s="1"/>
  <c r="Q7" i="22"/>
  <c r="R183" i="22"/>
  <c r="T183" i="22" s="1"/>
  <c r="V183" i="22" s="1"/>
  <c r="R179" i="22"/>
  <c r="T179" i="22" s="1"/>
  <c r="V179" i="22" s="1"/>
  <c r="L36" i="22"/>
  <c r="Y171" i="22"/>
  <c r="V169" i="22"/>
  <c r="X171" i="22"/>
  <c r="V180" i="22"/>
  <c r="V178" i="22"/>
  <c r="X181" i="22"/>
  <c r="V173" i="22"/>
  <c r="V172" i="22"/>
  <c r="Y169" i="22"/>
  <c r="Y172" i="22"/>
  <c r="Y173" i="22"/>
  <c r="Y180" i="22"/>
  <c r="Y178" i="22"/>
  <c r="I36" i="22"/>
  <c r="H8" i="22"/>
  <c r="H9" i="22"/>
  <c r="H10" i="22"/>
  <c r="H11" i="22"/>
  <c r="H12" i="22"/>
  <c r="H13" i="22"/>
  <c r="H14" i="22"/>
  <c r="H15" i="22"/>
  <c r="H16" i="22"/>
  <c r="H17" i="22"/>
  <c r="H18" i="22"/>
  <c r="H19" i="22"/>
  <c r="H20" i="22"/>
  <c r="H21" i="22"/>
  <c r="H22" i="22"/>
  <c r="H23" i="22"/>
  <c r="H24" i="22"/>
  <c r="H25" i="22"/>
  <c r="H26" i="22"/>
  <c r="H27" i="22"/>
  <c r="H28" i="22"/>
  <c r="H29" i="22"/>
  <c r="H30" i="22"/>
  <c r="H31" i="22"/>
  <c r="H32" i="22"/>
  <c r="H33" i="22"/>
  <c r="H34" i="22"/>
  <c r="H35" i="22"/>
  <c r="H37" i="22"/>
  <c r="H38" i="22"/>
  <c r="H39" i="22"/>
  <c r="H40" i="22"/>
  <c r="H41" i="22"/>
  <c r="H42" i="22"/>
  <c r="H43" i="22"/>
  <c r="H44" i="22"/>
  <c r="H45" i="22"/>
  <c r="H46" i="22"/>
  <c r="H47" i="22"/>
  <c r="H48" i="22"/>
  <c r="H49" i="22"/>
  <c r="H50" i="22"/>
  <c r="H51" i="22"/>
  <c r="H52" i="22"/>
  <c r="H53" i="22"/>
  <c r="H54" i="22"/>
  <c r="H55" i="22"/>
  <c r="H56" i="22"/>
  <c r="H57" i="22"/>
  <c r="H58" i="22"/>
  <c r="H59" i="22"/>
  <c r="H60" i="22"/>
  <c r="H61" i="22"/>
  <c r="H62" i="22"/>
  <c r="H63" i="22"/>
  <c r="H64" i="22"/>
  <c r="H65" i="22"/>
  <c r="H66" i="22"/>
  <c r="H67" i="22"/>
  <c r="H68" i="22"/>
  <c r="H69" i="22"/>
  <c r="H70" i="22"/>
  <c r="H71" i="22"/>
  <c r="H72" i="22"/>
  <c r="H73" i="22"/>
  <c r="H74" i="22"/>
  <c r="H75" i="22"/>
  <c r="H76" i="22"/>
  <c r="H77" i="22"/>
  <c r="H78" i="22"/>
  <c r="H79" i="22"/>
  <c r="H80" i="22"/>
  <c r="H81" i="22"/>
  <c r="H82" i="22"/>
  <c r="H83" i="22"/>
  <c r="H84" i="22"/>
  <c r="H85" i="22"/>
  <c r="H86" i="22"/>
  <c r="H87" i="22"/>
  <c r="H88" i="22"/>
  <c r="H89" i="22"/>
  <c r="H90" i="22"/>
  <c r="H91" i="22"/>
  <c r="H92" i="22"/>
  <c r="H93" i="22"/>
  <c r="H94" i="22"/>
  <c r="H95" i="22"/>
  <c r="H96" i="22"/>
  <c r="H97" i="22"/>
  <c r="H98" i="22"/>
  <c r="H99" i="22"/>
  <c r="H100" i="22"/>
  <c r="H101" i="22"/>
  <c r="H102" i="22"/>
  <c r="H103" i="22"/>
  <c r="H104" i="22"/>
  <c r="H105" i="22"/>
  <c r="H106" i="22"/>
  <c r="H107" i="22"/>
  <c r="H108" i="22"/>
  <c r="H109" i="22"/>
  <c r="H110" i="22"/>
  <c r="H111" i="22"/>
  <c r="H112" i="22"/>
  <c r="H113" i="22"/>
  <c r="H114" i="22"/>
  <c r="H115" i="22"/>
  <c r="H116" i="22"/>
  <c r="H117" i="22"/>
  <c r="H118" i="22"/>
  <c r="H119" i="22"/>
  <c r="H120" i="22"/>
  <c r="H121" i="22"/>
  <c r="H122" i="22"/>
  <c r="H123" i="22"/>
  <c r="H124" i="22"/>
  <c r="H125" i="22"/>
  <c r="H126" i="22"/>
  <c r="H127" i="22"/>
  <c r="H128" i="22"/>
  <c r="H129" i="22"/>
  <c r="H130" i="22"/>
  <c r="H131" i="22"/>
  <c r="H132" i="22"/>
  <c r="H133" i="22"/>
  <c r="H134" i="22"/>
  <c r="H135" i="22"/>
  <c r="H136" i="22"/>
  <c r="H137" i="22"/>
  <c r="H138" i="22"/>
  <c r="H139" i="22"/>
  <c r="H140" i="22"/>
  <c r="H141" i="22"/>
  <c r="H142" i="22"/>
  <c r="H143" i="22"/>
  <c r="H144" i="22"/>
  <c r="H145" i="22"/>
  <c r="H146" i="22"/>
  <c r="H147" i="22"/>
  <c r="H148" i="22"/>
  <c r="H149" i="22"/>
  <c r="H150" i="22"/>
  <c r="H151" i="22"/>
  <c r="H152" i="22"/>
  <c r="H153" i="22"/>
  <c r="H154" i="22"/>
  <c r="H155" i="22"/>
  <c r="H156" i="22"/>
  <c r="H157" i="22"/>
  <c r="H158" i="22"/>
  <c r="H159" i="22"/>
  <c r="H160" i="22"/>
  <c r="H161" i="22"/>
  <c r="H162" i="22"/>
  <c r="H163" i="22"/>
  <c r="H164" i="22"/>
  <c r="H165" i="22"/>
  <c r="H166" i="22"/>
  <c r="D53" i="10"/>
  <c r="G53" i="10"/>
  <c r="D57" i="10"/>
  <c r="G57" i="10"/>
  <c r="G61" i="10"/>
  <c r="D61" i="10"/>
  <c r="G59" i="10"/>
  <c r="G55" i="10"/>
  <c r="G51" i="10"/>
  <c r="D59" i="10"/>
  <c r="D55" i="10"/>
  <c r="D51" i="10"/>
  <c r="B61" i="10"/>
  <c r="B59" i="10"/>
  <c r="B57" i="10"/>
  <c r="B55" i="10"/>
  <c r="B53" i="10"/>
  <c r="B51" i="10"/>
  <c r="G44" i="9"/>
  <c r="H45" i="20" s="1"/>
  <c r="G42" i="9"/>
  <c r="H43" i="20" s="1"/>
  <c r="G40" i="9"/>
  <c r="H41" i="20" s="1"/>
  <c r="G38" i="9"/>
  <c r="H39" i="20" s="1"/>
  <c r="D44" i="9"/>
  <c r="D42" i="9"/>
  <c r="D43" i="20" s="1"/>
  <c r="D40" i="9"/>
  <c r="D41" i="20" s="1"/>
  <c r="D38" i="9"/>
  <c r="D39" i="20" s="1"/>
  <c r="B44" i="9"/>
  <c r="B45" i="20" s="1"/>
  <c r="B42" i="9"/>
  <c r="B43" i="20" s="1"/>
  <c r="B40" i="9"/>
  <c r="B41" i="20" s="1"/>
  <c r="B38" i="9"/>
  <c r="H45" i="8"/>
  <c r="H43" i="8"/>
  <c r="H41" i="8"/>
  <c r="H39" i="8"/>
  <c r="D45" i="8"/>
  <c r="D43" i="8"/>
  <c r="D41" i="8"/>
  <c r="D39" i="8"/>
  <c r="B45" i="8"/>
  <c r="B43" i="8"/>
  <c r="B41" i="8"/>
  <c r="B39" i="8"/>
  <c r="B62" i="5"/>
  <c r="B63" i="6" s="1"/>
  <c r="B63" i="7" s="1"/>
  <c r="B65" i="32"/>
  <c r="I31" i="31"/>
  <c r="M21" i="23"/>
  <c r="M19" i="23"/>
  <c r="P100" i="31"/>
  <c r="I100" i="31"/>
  <c r="A100" i="31"/>
  <c r="P99" i="31"/>
  <c r="I99" i="31"/>
  <c r="A99" i="31"/>
  <c r="P98" i="31"/>
  <c r="I98" i="31"/>
  <c r="A98" i="31"/>
  <c r="P97" i="31"/>
  <c r="I97" i="31"/>
  <c r="A97" i="31"/>
  <c r="D23" i="31"/>
  <c r="D21" i="31"/>
  <c r="E16" i="31"/>
  <c r="M12" i="31"/>
  <c r="I11" i="31"/>
  <c r="A10" i="31"/>
  <c r="H8" i="31"/>
  <c r="A117" i="31" s="1"/>
  <c r="A4" i="31"/>
  <c r="D3" i="31"/>
  <c r="H112" i="31" s="1"/>
  <c r="F68" i="10"/>
  <c r="B68" i="10"/>
  <c r="P64" i="10"/>
  <c r="K64" i="10"/>
  <c r="D42" i="10"/>
  <c r="D41" i="10"/>
  <c r="D40" i="10"/>
  <c r="D39" i="10"/>
  <c r="E35" i="10"/>
  <c r="E12" i="10"/>
  <c r="N12" i="10" s="1"/>
  <c r="X12" i="10" s="1"/>
  <c r="N9" i="10"/>
  <c r="X9" i="10" s="1"/>
  <c r="E9" i="10"/>
  <c r="G7" i="10"/>
  <c r="E7" i="10"/>
  <c r="N7" i="10" s="1"/>
  <c r="X7" i="10" s="1"/>
  <c r="E6" i="10"/>
  <c r="N6" i="10" s="1"/>
  <c r="X6" i="10" s="1"/>
  <c r="C1" i="10"/>
  <c r="M17" i="10" s="1"/>
  <c r="P100" i="30"/>
  <c r="I100" i="30"/>
  <c r="A100" i="30"/>
  <c r="P99" i="30"/>
  <c r="I99" i="30"/>
  <c r="A99" i="30"/>
  <c r="P98" i="30"/>
  <c r="I98" i="30"/>
  <c r="A98" i="30"/>
  <c r="P97" i="30"/>
  <c r="I97" i="30"/>
  <c r="A97" i="30"/>
  <c r="D23" i="30"/>
  <c r="D21" i="30"/>
  <c r="E16" i="30"/>
  <c r="M12" i="30"/>
  <c r="I11" i="30"/>
  <c r="A10" i="30"/>
  <c r="H8" i="30"/>
  <c r="A117" i="30" s="1"/>
  <c r="A4" i="30"/>
  <c r="D3" i="30"/>
  <c r="H112" i="30" s="1"/>
  <c r="P64" i="20"/>
  <c r="K64" i="20"/>
  <c r="G60" i="20"/>
  <c r="B60" i="20"/>
  <c r="D45" i="20"/>
  <c r="E19" i="20"/>
  <c r="E12" i="20"/>
  <c r="N12" i="20" s="1"/>
  <c r="E9" i="20"/>
  <c r="N9" i="20" s="1"/>
  <c r="H7" i="20"/>
  <c r="E7" i="20"/>
  <c r="N7" i="20" s="1"/>
  <c r="E6" i="20"/>
  <c r="N6" i="20" s="1"/>
  <c r="C1" i="20"/>
  <c r="L1" i="20" s="1"/>
  <c r="P100" i="29"/>
  <c r="I100" i="29"/>
  <c r="A100" i="29"/>
  <c r="P99" i="29"/>
  <c r="I99" i="29"/>
  <c r="A99" i="29"/>
  <c r="P98" i="29"/>
  <c r="I98" i="29"/>
  <c r="A98" i="29"/>
  <c r="P97" i="29"/>
  <c r="I97" i="29"/>
  <c r="A97" i="29"/>
  <c r="D23" i="29"/>
  <c r="D21" i="29"/>
  <c r="E16" i="29"/>
  <c r="M12" i="29"/>
  <c r="I11" i="29"/>
  <c r="A10" i="29"/>
  <c r="H8" i="29"/>
  <c r="A117" i="29" s="1"/>
  <c r="A4" i="29"/>
  <c r="D3" i="29"/>
  <c r="H112" i="29" s="1"/>
  <c r="G54" i="9"/>
  <c r="B54" i="9"/>
  <c r="B39" i="20"/>
  <c r="G36" i="9"/>
  <c r="H37" i="20" s="1"/>
  <c r="D36" i="9"/>
  <c r="D37" i="20" s="1"/>
  <c r="B36" i="9"/>
  <c r="B37" i="20" s="1"/>
  <c r="G34" i="9"/>
  <c r="H35" i="20" s="1"/>
  <c r="D34" i="9"/>
  <c r="D35" i="20" s="1"/>
  <c r="B34" i="9"/>
  <c r="B35" i="20" s="1"/>
  <c r="Q28" i="9"/>
  <c r="L28" i="9"/>
  <c r="E12" i="9"/>
  <c r="O12" i="9" s="1"/>
  <c r="E9" i="9"/>
  <c r="O9" i="9" s="1"/>
  <c r="G7" i="9"/>
  <c r="E7" i="9"/>
  <c r="O7" i="9" s="1"/>
  <c r="E6" i="9"/>
  <c r="O6" i="9" s="1"/>
  <c r="C1" i="9"/>
  <c r="N17" i="9" s="1"/>
  <c r="N18" i="9" s="1"/>
  <c r="P100" i="28"/>
  <c r="I100" i="28"/>
  <c r="A100" i="28"/>
  <c r="P99" i="28"/>
  <c r="I99" i="28"/>
  <c r="A99" i="28"/>
  <c r="P98" i="28"/>
  <c r="I98" i="28"/>
  <c r="A98" i="28"/>
  <c r="P97" i="28"/>
  <c r="I97" i="28"/>
  <c r="A97" i="28"/>
  <c r="D23" i="28"/>
  <c r="D21" i="28"/>
  <c r="E16" i="28"/>
  <c r="M12" i="28"/>
  <c r="I11" i="28"/>
  <c r="A10" i="28"/>
  <c r="H8" i="28"/>
  <c r="A117" i="28" s="1"/>
  <c r="A4" i="28"/>
  <c r="D3" i="28"/>
  <c r="H112" i="28" s="1"/>
  <c r="G65" i="8"/>
  <c r="B65" i="8"/>
  <c r="H37" i="8"/>
  <c r="D37" i="8"/>
  <c r="B37" i="8"/>
  <c r="H35" i="8"/>
  <c r="D35" i="8"/>
  <c r="B35" i="8"/>
  <c r="Q28" i="8"/>
  <c r="L28" i="8"/>
  <c r="E13" i="8"/>
  <c r="O13" i="8" s="1"/>
  <c r="E10" i="8"/>
  <c r="O10" i="8" s="1"/>
  <c r="H8" i="8"/>
  <c r="E8" i="8"/>
  <c r="O8" i="8" s="1"/>
  <c r="E7" i="8"/>
  <c r="O7" i="8" s="1"/>
  <c r="Q2" i="8"/>
  <c r="C2" i="8"/>
  <c r="M2" i="8" s="1"/>
  <c r="P100" i="27"/>
  <c r="I100" i="27"/>
  <c r="A100" i="27"/>
  <c r="P99" i="27"/>
  <c r="I99" i="27"/>
  <c r="A99" i="27"/>
  <c r="P98" i="27"/>
  <c r="I98" i="27"/>
  <c r="A98" i="27"/>
  <c r="P97" i="27"/>
  <c r="I97" i="27"/>
  <c r="A97" i="27"/>
  <c r="D23" i="27"/>
  <c r="D21" i="27"/>
  <c r="E16" i="27"/>
  <c r="M12" i="27"/>
  <c r="I11" i="27"/>
  <c r="A10" i="27"/>
  <c r="H8" i="27"/>
  <c r="A117" i="27" s="1"/>
  <c r="A4" i="27"/>
  <c r="D3" i="27"/>
  <c r="H112" i="27" s="1"/>
  <c r="F77" i="7"/>
  <c r="B77" i="7"/>
  <c r="D39" i="7"/>
  <c r="D38" i="7"/>
  <c r="D37" i="7"/>
  <c r="D36" i="7"/>
  <c r="R28" i="7"/>
  <c r="M28" i="7"/>
  <c r="E13" i="7"/>
  <c r="P13" i="7" s="1"/>
  <c r="E10" i="7"/>
  <c r="P10" i="7" s="1"/>
  <c r="P9" i="7"/>
  <c r="G8" i="7"/>
  <c r="E8" i="7"/>
  <c r="P8" i="7" s="1"/>
  <c r="E7" i="7"/>
  <c r="P7" i="7" s="1"/>
  <c r="Q2" i="7"/>
  <c r="C2" i="7"/>
  <c r="N2" i="7" s="1"/>
  <c r="P100" i="13"/>
  <c r="I100" i="13"/>
  <c r="A100" i="13"/>
  <c r="P99" i="13"/>
  <c r="I99" i="13"/>
  <c r="A99" i="13"/>
  <c r="P98" i="13"/>
  <c r="I98" i="13"/>
  <c r="A98" i="13"/>
  <c r="P97" i="13"/>
  <c r="I97" i="13"/>
  <c r="A97" i="13"/>
  <c r="D23" i="13"/>
  <c r="D21" i="13"/>
  <c r="E16" i="13"/>
  <c r="M12" i="13"/>
  <c r="I11" i="13"/>
  <c r="A10" i="13"/>
  <c r="H8" i="13"/>
  <c r="A117" i="13" s="1"/>
  <c r="A4" i="13"/>
  <c r="D3" i="13"/>
  <c r="H112" i="13" s="1"/>
  <c r="F79" i="6"/>
  <c r="B79" i="6"/>
  <c r="D38" i="6"/>
  <c r="D37" i="6"/>
  <c r="D36" i="6"/>
  <c r="D35" i="6"/>
  <c r="O28" i="6"/>
  <c r="J28" i="6"/>
  <c r="E20" i="6"/>
  <c r="E12" i="6"/>
  <c r="M12" i="6" s="1"/>
  <c r="E9" i="6"/>
  <c r="M9" i="6" s="1"/>
  <c r="G7" i="6"/>
  <c r="E7" i="6"/>
  <c r="M7" i="6" s="1"/>
  <c r="E6" i="6"/>
  <c r="M6" i="6" s="1"/>
  <c r="C2" i="6"/>
  <c r="K2" i="6" s="1"/>
  <c r="P100" i="26"/>
  <c r="I100" i="26"/>
  <c r="A100" i="26"/>
  <c r="P99" i="26"/>
  <c r="I99" i="26"/>
  <c r="A99" i="26"/>
  <c r="P98" i="26"/>
  <c r="I98" i="26"/>
  <c r="A98" i="26"/>
  <c r="P97" i="26"/>
  <c r="I97" i="26"/>
  <c r="A97" i="26"/>
  <c r="D23" i="26"/>
  <c r="D21" i="26"/>
  <c r="E16" i="26"/>
  <c r="M12" i="26"/>
  <c r="I11" i="26"/>
  <c r="A10" i="26"/>
  <c r="H8" i="26"/>
  <c r="A117" i="26" s="1"/>
  <c r="A4" i="26"/>
  <c r="D3" i="26"/>
  <c r="H112" i="26" s="1"/>
  <c r="O70" i="5"/>
  <c r="K70" i="5"/>
  <c r="F80" i="5"/>
  <c r="F79" i="23" s="1"/>
  <c r="P66" i="23" s="1"/>
  <c r="B80" i="5"/>
  <c r="B79" i="23" s="1"/>
  <c r="K66" i="23" s="1"/>
  <c r="G68" i="5"/>
  <c r="G69" i="6" s="1"/>
  <c r="G69" i="7" s="1"/>
  <c r="D68" i="5"/>
  <c r="D69" i="6" s="1"/>
  <c r="D69" i="7" s="1"/>
  <c r="B68" i="5"/>
  <c r="B69" i="6" s="1"/>
  <c r="B69" i="7" s="1"/>
  <c r="G66" i="5"/>
  <c r="G67" i="6" s="1"/>
  <c r="G67" i="7" s="1"/>
  <c r="D66" i="5"/>
  <c r="D67" i="6" s="1"/>
  <c r="D67" i="7" s="1"/>
  <c r="B66" i="5"/>
  <c r="B67" i="6" s="1"/>
  <c r="B67" i="7" s="1"/>
  <c r="G64" i="5"/>
  <c r="G65" i="6" s="1"/>
  <c r="G65" i="7" s="1"/>
  <c r="D64" i="5"/>
  <c r="D65" i="6" s="1"/>
  <c r="D65" i="7" s="1"/>
  <c r="B64" i="5"/>
  <c r="B65" i="6" s="1"/>
  <c r="B65" i="7" s="1"/>
  <c r="G62" i="5"/>
  <c r="G63" i="6" s="1"/>
  <c r="G63" i="7" s="1"/>
  <c r="D62" i="5"/>
  <c r="D63" i="6" s="1"/>
  <c r="D63" i="7" s="1"/>
  <c r="G60" i="5"/>
  <c r="G61" i="6" s="1"/>
  <c r="G61" i="7" s="1"/>
  <c r="D60" i="5"/>
  <c r="D61" i="6" s="1"/>
  <c r="D61" i="7" s="1"/>
  <c r="B60" i="5"/>
  <c r="B61" i="6" s="1"/>
  <c r="B61" i="7" s="1"/>
  <c r="G58" i="5"/>
  <c r="G59" i="6" s="1"/>
  <c r="G59" i="7" s="1"/>
  <c r="D58" i="5"/>
  <c r="D59" i="6" s="1"/>
  <c r="D59" i="7" s="1"/>
  <c r="B58" i="5"/>
  <c r="B59" i="6" s="1"/>
  <c r="B59" i="7" s="1"/>
  <c r="D38" i="5"/>
  <c r="D37" i="5"/>
  <c r="D36" i="5"/>
  <c r="D35" i="5"/>
  <c r="N12" i="5"/>
  <c r="E9" i="5"/>
  <c r="N9" i="5" s="1"/>
  <c r="G7" i="5"/>
  <c r="G7" i="38" s="1"/>
  <c r="E7" i="5"/>
  <c r="E6" i="5"/>
  <c r="C2" i="5"/>
  <c r="D1" i="5"/>
  <c r="F82" i="24"/>
  <c r="B82" i="24"/>
  <c r="O70" i="24"/>
  <c r="K70" i="24"/>
  <c r="G70" i="24"/>
  <c r="D70" i="24"/>
  <c r="B70" i="24"/>
  <c r="G68" i="24"/>
  <c r="D68" i="24"/>
  <c r="B68" i="24"/>
  <c r="G66" i="24"/>
  <c r="D66" i="24"/>
  <c r="B66" i="24"/>
  <c r="G64" i="24"/>
  <c r="D64" i="24"/>
  <c r="B64" i="24"/>
  <c r="G62" i="24"/>
  <c r="D62" i="24"/>
  <c r="B62" i="24"/>
  <c r="G60" i="24"/>
  <c r="D60" i="24"/>
  <c r="B60" i="24"/>
  <c r="D39" i="24"/>
  <c r="D38" i="24"/>
  <c r="D37" i="24"/>
  <c r="D36" i="24"/>
  <c r="N12" i="24"/>
  <c r="E9" i="24"/>
  <c r="N9" i="24" s="1"/>
  <c r="G7" i="24"/>
  <c r="E7" i="24"/>
  <c r="N7" i="24" s="1"/>
  <c r="E6" i="24"/>
  <c r="N6" i="24" s="1"/>
  <c r="C2" i="24"/>
  <c r="M17" i="24" s="1"/>
  <c r="W17" i="24" s="1"/>
  <c r="D1" i="24"/>
  <c r="G72" i="23"/>
  <c r="D72" i="23"/>
  <c r="B72" i="23"/>
  <c r="G70" i="23"/>
  <c r="D70" i="23"/>
  <c r="B70" i="23"/>
  <c r="M57" i="23"/>
  <c r="K57" i="23"/>
  <c r="G68" i="23"/>
  <c r="D68" i="23"/>
  <c r="B68" i="23"/>
  <c r="M56" i="23"/>
  <c r="K56" i="23"/>
  <c r="M55" i="23"/>
  <c r="K55" i="23"/>
  <c r="G66" i="23"/>
  <c r="D66" i="23"/>
  <c r="B66" i="23"/>
  <c r="M54" i="23"/>
  <c r="K54" i="23"/>
  <c r="M53" i="23"/>
  <c r="K53" i="23"/>
  <c r="G64" i="23"/>
  <c r="D64" i="23"/>
  <c r="B64" i="23"/>
  <c r="M52" i="23"/>
  <c r="K52" i="23"/>
  <c r="M51" i="23"/>
  <c r="K51" i="23"/>
  <c r="G62" i="23"/>
  <c r="D62" i="23"/>
  <c r="B62" i="23"/>
  <c r="M50" i="23"/>
  <c r="K50" i="23"/>
  <c r="M49" i="23"/>
  <c r="K49" i="23"/>
  <c r="M48" i="23"/>
  <c r="K48" i="23"/>
  <c r="M47" i="23"/>
  <c r="K47" i="23"/>
  <c r="M46" i="23"/>
  <c r="K46" i="23"/>
  <c r="M45" i="23"/>
  <c r="K45" i="23"/>
  <c r="M44" i="23"/>
  <c r="K44" i="23"/>
  <c r="M43" i="23"/>
  <c r="K43" i="23"/>
  <c r="M42" i="23"/>
  <c r="K42" i="23"/>
  <c r="D42" i="23"/>
  <c r="M41" i="23"/>
  <c r="K41" i="23"/>
  <c r="D41" i="23"/>
  <c r="M40" i="23"/>
  <c r="K40" i="23"/>
  <c r="D40" i="23"/>
  <c r="M39" i="23"/>
  <c r="K39" i="23"/>
  <c r="D39" i="23"/>
  <c r="M38" i="23"/>
  <c r="K38" i="23"/>
  <c r="M37" i="23"/>
  <c r="K37" i="23"/>
  <c r="M36" i="23"/>
  <c r="K36" i="23"/>
  <c r="M35" i="23"/>
  <c r="K35" i="23"/>
  <c r="M34" i="23"/>
  <c r="K34" i="23"/>
  <c r="M33" i="23"/>
  <c r="K33" i="23"/>
  <c r="M32" i="23"/>
  <c r="K32" i="23"/>
  <c r="M31" i="23"/>
  <c r="K31" i="23"/>
  <c r="M30" i="23"/>
  <c r="K30" i="23"/>
  <c r="M29" i="23"/>
  <c r="K29" i="23"/>
  <c r="M28" i="23"/>
  <c r="K28" i="23"/>
  <c r="M27" i="23"/>
  <c r="K27" i="23"/>
  <c r="M26" i="23"/>
  <c r="K26" i="23"/>
  <c r="M25" i="23"/>
  <c r="K25" i="23"/>
  <c r="M24" i="23"/>
  <c r="K24" i="23"/>
  <c r="M23" i="23"/>
  <c r="K23" i="23"/>
  <c r="M22" i="23"/>
  <c r="K22" i="23"/>
  <c r="K21" i="23"/>
  <c r="M20" i="23"/>
  <c r="K20" i="23"/>
  <c r="K19" i="23"/>
  <c r="M18" i="23"/>
  <c r="K18" i="23"/>
  <c r="E12" i="23"/>
  <c r="N12" i="23" s="1"/>
  <c r="N9" i="23"/>
  <c r="G7" i="23"/>
  <c r="C1" i="23"/>
  <c r="V17" i="23" s="1"/>
  <c r="P100" i="25"/>
  <c r="I100" i="25"/>
  <c r="A100" i="25"/>
  <c r="P99" i="25"/>
  <c r="I99" i="25"/>
  <c r="A99" i="25"/>
  <c r="P98" i="25"/>
  <c r="I98" i="25"/>
  <c r="A98" i="25"/>
  <c r="P97" i="25"/>
  <c r="I97" i="25"/>
  <c r="A97" i="25"/>
  <c r="D23" i="25"/>
  <c r="D21" i="25"/>
  <c r="E16" i="25"/>
  <c r="M12" i="25"/>
  <c r="I11" i="25"/>
  <c r="A10" i="25"/>
  <c r="H8" i="25"/>
  <c r="A117" i="25" s="1"/>
  <c r="A4" i="25"/>
  <c r="D3" i="25"/>
  <c r="H112" i="25" s="1"/>
  <c r="F78" i="32"/>
  <c r="P66" i="32" s="1"/>
  <c r="G71" i="32"/>
  <c r="D71" i="32"/>
  <c r="B71" i="32"/>
  <c r="M58" i="32"/>
  <c r="K58" i="32"/>
  <c r="G69" i="32"/>
  <c r="D69" i="32"/>
  <c r="B69" i="32"/>
  <c r="M57" i="32"/>
  <c r="K57" i="32"/>
  <c r="M56" i="32"/>
  <c r="K56" i="32"/>
  <c r="G67" i="32"/>
  <c r="D67" i="32"/>
  <c r="B67" i="32"/>
  <c r="M55" i="32"/>
  <c r="K55" i="32"/>
  <c r="M54" i="32"/>
  <c r="K54" i="32"/>
  <c r="G65" i="32"/>
  <c r="D65" i="32"/>
  <c r="M53" i="32"/>
  <c r="K53" i="32"/>
  <c r="M52" i="32"/>
  <c r="K52" i="32"/>
  <c r="G63" i="32"/>
  <c r="D63" i="32"/>
  <c r="B63" i="32"/>
  <c r="M51" i="32"/>
  <c r="K51" i="32"/>
  <c r="M50" i="32"/>
  <c r="K50" i="32"/>
  <c r="G61" i="32"/>
  <c r="D61" i="32"/>
  <c r="B61" i="32"/>
  <c r="M49" i="32"/>
  <c r="K49" i="32"/>
  <c r="M48" i="32"/>
  <c r="K48" i="32"/>
  <c r="M47" i="32"/>
  <c r="K47" i="32"/>
  <c r="M46" i="32"/>
  <c r="K46" i="32"/>
  <c r="M45" i="32"/>
  <c r="K45" i="32"/>
  <c r="M44" i="32"/>
  <c r="K44" i="32"/>
  <c r="M43" i="32"/>
  <c r="K43" i="32"/>
  <c r="M42" i="32"/>
  <c r="K42" i="32"/>
  <c r="D41" i="32"/>
  <c r="D40" i="32"/>
  <c r="D39" i="32"/>
  <c r="D38" i="32"/>
  <c r="E12" i="32"/>
  <c r="N12" i="32" s="1"/>
  <c r="N9" i="32"/>
  <c r="G7" i="32"/>
  <c r="C1" i="32"/>
  <c r="M17" i="32" s="1"/>
  <c r="W167" i="22"/>
  <c r="U167" i="22"/>
  <c r="S167" i="22"/>
  <c r="W166" i="22"/>
  <c r="U166" i="22"/>
  <c r="S166" i="22"/>
  <c r="W165" i="22"/>
  <c r="U165" i="22"/>
  <c r="S165" i="22"/>
  <c r="W164" i="22"/>
  <c r="U164" i="22"/>
  <c r="S164" i="22"/>
  <c r="W163" i="22"/>
  <c r="U163" i="22"/>
  <c r="S163" i="22"/>
  <c r="W162" i="22"/>
  <c r="U162" i="22"/>
  <c r="S162" i="22"/>
  <c r="W161" i="22"/>
  <c r="U161" i="22"/>
  <c r="S161" i="22"/>
  <c r="W160" i="22"/>
  <c r="U160" i="22"/>
  <c r="S160" i="22"/>
  <c r="W159" i="22"/>
  <c r="U159" i="22"/>
  <c r="S159" i="22"/>
  <c r="W158" i="22"/>
  <c r="U158" i="22"/>
  <c r="S158" i="22"/>
  <c r="W157" i="22"/>
  <c r="U157" i="22"/>
  <c r="S157" i="22"/>
  <c r="W156" i="22"/>
  <c r="U156" i="22"/>
  <c r="S156" i="22"/>
  <c r="W155" i="22"/>
  <c r="U155" i="22"/>
  <c r="S155" i="22"/>
  <c r="W154" i="22"/>
  <c r="U154" i="22"/>
  <c r="S154" i="22"/>
  <c r="W153" i="22"/>
  <c r="U153" i="22"/>
  <c r="S153" i="22"/>
  <c r="W152" i="22"/>
  <c r="U152" i="22"/>
  <c r="S152" i="22"/>
  <c r="W151" i="22"/>
  <c r="U151" i="22"/>
  <c r="S151" i="22"/>
  <c r="W150" i="22"/>
  <c r="U150" i="22"/>
  <c r="S150" i="22"/>
  <c r="W149" i="22"/>
  <c r="U149" i="22"/>
  <c r="S149" i="22"/>
  <c r="W148" i="22"/>
  <c r="U148" i="22"/>
  <c r="S148" i="22"/>
  <c r="W147" i="22"/>
  <c r="U147" i="22"/>
  <c r="S147" i="22"/>
  <c r="W146" i="22"/>
  <c r="U146" i="22"/>
  <c r="S146" i="22"/>
  <c r="W145" i="22"/>
  <c r="U145" i="22"/>
  <c r="S145" i="22"/>
  <c r="W144" i="22"/>
  <c r="U144" i="22"/>
  <c r="S144" i="22"/>
  <c r="W143" i="22"/>
  <c r="U143" i="22"/>
  <c r="S143" i="22"/>
  <c r="W142" i="22"/>
  <c r="U142" i="22"/>
  <c r="S142" i="22"/>
  <c r="W141" i="22"/>
  <c r="U141" i="22"/>
  <c r="S141" i="22"/>
  <c r="W140" i="22"/>
  <c r="U140" i="22"/>
  <c r="S140" i="22"/>
  <c r="W139" i="22"/>
  <c r="U139" i="22"/>
  <c r="S139" i="22"/>
  <c r="W138" i="22"/>
  <c r="U138" i="22"/>
  <c r="S138" i="22"/>
  <c r="W137" i="22"/>
  <c r="U137" i="22"/>
  <c r="S137" i="22"/>
  <c r="W136" i="22"/>
  <c r="U136" i="22"/>
  <c r="S136" i="22"/>
  <c r="W135" i="22"/>
  <c r="U135" i="22"/>
  <c r="S135" i="22"/>
  <c r="W134" i="22"/>
  <c r="U134" i="22"/>
  <c r="S134" i="22"/>
  <c r="W133" i="22"/>
  <c r="U133" i="22"/>
  <c r="S133" i="22"/>
  <c r="W132" i="22"/>
  <c r="U132" i="22"/>
  <c r="S132" i="22"/>
  <c r="W131" i="22"/>
  <c r="U131" i="22"/>
  <c r="S131" i="22"/>
  <c r="W130" i="22"/>
  <c r="U130" i="22"/>
  <c r="S130" i="22"/>
  <c r="W129" i="22"/>
  <c r="U129" i="22"/>
  <c r="S129" i="22"/>
  <c r="W128" i="22"/>
  <c r="U128" i="22"/>
  <c r="S128" i="22"/>
  <c r="W127" i="22"/>
  <c r="U127" i="22"/>
  <c r="S127" i="22"/>
  <c r="W126" i="22"/>
  <c r="U126" i="22"/>
  <c r="S126" i="22"/>
  <c r="W125" i="22"/>
  <c r="U125" i="22"/>
  <c r="S125" i="22"/>
  <c r="W124" i="22"/>
  <c r="U124" i="22"/>
  <c r="S124" i="22"/>
  <c r="W123" i="22"/>
  <c r="U123" i="22"/>
  <c r="S123" i="22"/>
  <c r="W122" i="22"/>
  <c r="U122" i="22"/>
  <c r="S122" i="22"/>
  <c r="W121" i="22"/>
  <c r="U121" i="22"/>
  <c r="S121" i="22"/>
  <c r="W120" i="22"/>
  <c r="U120" i="22"/>
  <c r="S120" i="22"/>
  <c r="W119" i="22"/>
  <c r="U119" i="22"/>
  <c r="S119" i="22"/>
  <c r="W118" i="22"/>
  <c r="U118" i="22"/>
  <c r="S118" i="22"/>
  <c r="W117" i="22"/>
  <c r="U117" i="22"/>
  <c r="S117" i="22"/>
  <c r="W116" i="22"/>
  <c r="U116" i="22"/>
  <c r="S116" i="22"/>
  <c r="W115" i="22"/>
  <c r="U115" i="22"/>
  <c r="S115" i="22"/>
  <c r="W114" i="22"/>
  <c r="U114" i="22"/>
  <c r="S114" i="22"/>
  <c r="W113" i="22"/>
  <c r="U113" i="22"/>
  <c r="S113" i="22"/>
  <c r="W112" i="22"/>
  <c r="U112" i="22"/>
  <c r="S112" i="22"/>
  <c r="W111" i="22"/>
  <c r="U111" i="22"/>
  <c r="S111" i="22"/>
  <c r="W110" i="22"/>
  <c r="U110" i="22"/>
  <c r="S110" i="22"/>
  <c r="W109" i="22"/>
  <c r="U109" i="22"/>
  <c r="S109" i="22"/>
  <c r="W108" i="22"/>
  <c r="U108" i="22"/>
  <c r="S108" i="22"/>
  <c r="W107" i="22"/>
  <c r="U107" i="22"/>
  <c r="S107" i="22"/>
  <c r="W106" i="22"/>
  <c r="U106" i="22"/>
  <c r="S106" i="22"/>
  <c r="W105" i="22"/>
  <c r="U105" i="22"/>
  <c r="S105" i="22"/>
  <c r="W104" i="22"/>
  <c r="U104" i="22"/>
  <c r="S104" i="22"/>
  <c r="W103" i="22"/>
  <c r="U103" i="22"/>
  <c r="S103" i="22"/>
  <c r="W102" i="22"/>
  <c r="U102" i="22"/>
  <c r="S102" i="22"/>
  <c r="W101" i="22"/>
  <c r="U101" i="22"/>
  <c r="S101" i="22"/>
  <c r="W100" i="22"/>
  <c r="U100" i="22"/>
  <c r="S100" i="22"/>
  <c r="W99" i="22"/>
  <c r="U99" i="22"/>
  <c r="S99" i="22"/>
  <c r="W98" i="22"/>
  <c r="U98" i="22"/>
  <c r="S98" i="22"/>
  <c r="W97" i="22"/>
  <c r="U97" i="22"/>
  <c r="S97" i="22"/>
  <c r="W96" i="22"/>
  <c r="U96" i="22"/>
  <c r="S96" i="22"/>
  <c r="W95" i="22"/>
  <c r="U95" i="22"/>
  <c r="S95" i="22"/>
  <c r="W94" i="22"/>
  <c r="U94" i="22"/>
  <c r="S94" i="22"/>
  <c r="W93" i="22"/>
  <c r="U93" i="22"/>
  <c r="S93" i="22"/>
  <c r="W92" i="22"/>
  <c r="U92" i="22"/>
  <c r="S92" i="22"/>
  <c r="W91" i="22"/>
  <c r="U91" i="22"/>
  <c r="S91" i="22"/>
  <c r="W90" i="22"/>
  <c r="U90" i="22"/>
  <c r="S90" i="22"/>
  <c r="W89" i="22"/>
  <c r="U89" i="22"/>
  <c r="S89" i="22"/>
  <c r="W88" i="22"/>
  <c r="U88" i="22"/>
  <c r="S88" i="22"/>
  <c r="W87" i="22"/>
  <c r="U87" i="22"/>
  <c r="S87" i="22"/>
  <c r="W86" i="22"/>
  <c r="U86" i="22"/>
  <c r="S86" i="22"/>
  <c r="W85" i="22"/>
  <c r="U85" i="22"/>
  <c r="S85" i="22"/>
  <c r="W84" i="22"/>
  <c r="U84" i="22"/>
  <c r="S84" i="22"/>
  <c r="W83" i="22"/>
  <c r="U83" i="22"/>
  <c r="S83" i="22"/>
  <c r="W82" i="22"/>
  <c r="U82" i="22"/>
  <c r="S82" i="22"/>
  <c r="W81" i="22"/>
  <c r="U81" i="22"/>
  <c r="S81" i="22"/>
  <c r="W80" i="22"/>
  <c r="U80" i="22"/>
  <c r="S80" i="22"/>
  <c r="W79" i="22"/>
  <c r="U79" i="22"/>
  <c r="S79" i="22"/>
  <c r="W78" i="22"/>
  <c r="U78" i="22"/>
  <c r="S78" i="22"/>
  <c r="W77" i="22"/>
  <c r="U77" i="22"/>
  <c r="S77" i="22"/>
  <c r="W76" i="22"/>
  <c r="U76" i="22"/>
  <c r="S76" i="22"/>
  <c r="W75" i="22"/>
  <c r="U75" i="22"/>
  <c r="S75" i="22"/>
  <c r="W74" i="22"/>
  <c r="U74" i="22"/>
  <c r="S74" i="22"/>
  <c r="W73" i="22"/>
  <c r="U73" i="22"/>
  <c r="S73" i="22"/>
  <c r="W72" i="22"/>
  <c r="U72" i="22"/>
  <c r="S72" i="22"/>
  <c r="W71" i="22"/>
  <c r="U71" i="22"/>
  <c r="S71" i="22"/>
  <c r="W70" i="22"/>
  <c r="U70" i="22"/>
  <c r="S70" i="22"/>
  <c r="W69" i="22"/>
  <c r="U69" i="22"/>
  <c r="S69" i="22"/>
  <c r="W68" i="22"/>
  <c r="U68" i="22"/>
  <c r="S68" i="22"/>
  <c r="W67" i="22"/>
  <c r="U67" i="22"/>
  <c r="S67" i="22"/>
  <c r="W66" i="22"/>
  <c r="U66" i="22"/>
  <c r="S66" i="22"/>
  <c r="W65" i="22"/>
  <c r="U65" i="22"/>
  <c r="S65" i="22"/>
  <c r="W64" i="22"/>
  <c r="U64" i="22"/>
  <c r="S64" i="22"/>
  <c r="W63" i="22"/>
  <c r="U63" i="22"/>
  <c r="S63" i="22"/>
  <c r="W62" i="22"/>
  <c r="U62" i="22"/>
  <c r="S62" i="22"/>
  <c r="W61" i="22"/>
  <c r="U61" i="22"/>
  <c r="S61" i="22"/>
  <c r="W60" i="22"/>
  <c r="U60" i="22"/>
  <c r="S60" i="22"/>
  <c r="W59" i="22"/>
  <c r="U59" i="22"/>
  <c r="S59" i="22"/>
  <c r="W58" i="22"/>
  <c r="U58" i="22"/>
  <c r="S58" i="22"/>
  <c r="W57" i="22"/>
  <c r="U57" i="22"/>
  <c r="S57" i="22"/>
  <c r="W56" i="22"/>
  <c r="U56" i="22"/>
  <c r="S56" i="22"/>
  <c r="W55" i="22"/>
  <c r="U55" i="22"/>
  <c r="S55" i="22"/>
  <c r="W54" i="22"/>
  <c r="U54" i="22"/>
  <c r="S54" i="22"/>
  <c r="W53" i="22"/>
  <c r="U53" i="22"/>
  <c r="S53" i="22"/>
  <c r="W52" i="22"/>
  <c r="U52" i="22"/>
  <c r="S52" i="22"/>
  <c r="W51" i="22"/>
  <c r="U51" i="22"/>
  <c r="S51" i="22"/>
  <c r="W50" i="22"/>
  <c r="U50" i="22"/>
  <c r="S50" i="22"/>
  <c r="W49" i="22"/>
  <c r="U49" i="22"/>
  <c r="S49" i="22"/>
  <c r="W48" i="22"/>
  <c r="U48" i="22"/>
  <c r="S48" i="22"/>
  <c r="W47" i="22"/>
  <c r="U47" i="22"/>
  <c r="S47" i="22"/>
  <c r="W46" i="22"/>
  <c r="U46" i="22"/>
  <c r="S46" i="22"/>
  <c r="W45" i="22"/>
  <c r="U45" i="22"/>
  <c r="S45" i="22"/>
  <c r="W44" i="22"/>
  <c r="U44" i="22"/>
  <c r="S44" i="22"/>
  <c r="W43" i="22"/>
  <c r="U43" i="22"/>
  <c r="S43" i="22"/>
  <c r="W42" i="22"/>
  <c r="U42" i="22"/>
  <c r="S42" i="22"/>
  <c r="W41" i="22"/>
  <c r="U41" i="22"/>
  <c r="S41" i="22"/>
  <c r="W40" i="22"/>
  <c r="U40" i="22"/>
  <c r="S40" i="22"/>
  <c r="W39" i="22"/>
  <c r="U39" i="22"/>
  <c r="S39" i="22"/>
  <c r="W38" i="22"/>
  <c r="U38" i="22"/>
  <c r="S38" i="22"/>
  <c r="W37" i="22"/>
  <c r="U37" i="22"/>
  <c r="S37" i="22"/>
  <c r="W36" i="22"/>
  <c r="U36" i="22"/>
  <c r="S36" i="22"/>
  <c r="W35" i="22"/>
  <c r="U35" i="22"/>
  <c r="S35" i="22"/>
  <c r="W34" i="22"/>
  <c r="U34" i="22"/>
  <c r="S34" i="22"/>
  <c r="W33" i="22"/>
  <c r="U33" i="22"/>
  <c r="S33" i="22"/>
  <c r="W32" i="22"/>
  <c r="U32" i="22"/>
  <c r="S32" i="22"/>
  <c r="W31" i="22"/>
  <c r="U31" i="22"/>
  <c r="S31" i="22"/>
  <c r="W30" i="22"/>
  <c r="U30" i="22"/>
  <c r="S30" i="22"/>
  <c r="W29" i="22"/>
  <c r="U29" i="22"/>
  <c r="S29" i="22"/>
  <c r="W28" i="22"/>
  <c r="U28" i="22"/>
  <c r="S28" i="22"/>
  <c r="W27" i="22"/>
  <c r="U27" i="22"/>
  <c r="S27" i="22"/>
  <c r="W26" i="22"/>
  <c r="U26" i="22"/>
  <c r="S26" i="22"/>
  <c r="W25" i="22"/>
  <c r="U25" i="22"/>
  <c r="S25" i="22"/>
  <c r="W24" i="22"/>
  <c r="U24" i="22"/>
  <c r="S24" i="22"/>
  <c r="W23" i="22"/>
  <c r="U23" i="22"/>
  <c r="S23" i="22"/>
  <c r="W22" i="22"/>
  <c r="U22" i="22"/>
  <c r="S22" i="22"/>
  <c r="W21" i="22"/>
  <c r="U21" i="22"/>
  <c r="S21" i="22"/>
  <c r="W20" i="22"/>
  <c r="U20" i="22"/>
  <c r="S20" i="22"/>
  <c r="AH19" i="22"/>
  <c r="AG19" i="22"/>
  <c r="W19" i="22"/>
  <c r="U19" i="22"/>
  <c r="S19" i="22"/>
  <c r="W18" i="22"/>
  <c r="U18" i="22"/>
  <c r="S18" i="22"/>
  <c r="W17" i="22"/>
  <c r="U17" i="22"/>
  <c r="S17" i="22"/>
  <c r="W16" i="22"/>
  <c r="U16" i="22"/>
  <c r="S16" i="22"/>
  <c r="W15" i="22"/>
  <c r="U15" i="22"/>
  <c r="S15" i="22"/>
  <c r="W14" i="22"/>
  <c r="U14" i="22"/>
  <c r="S14" i="22"/>
  <c r="W13" i="22"/>
  <c r="U13" i="22"/>
  <c r="S13" i="22"/>
  <c r="AH12" i="22"/>
  <c r="AG12" i="22"/>
  <c r="W12" i="22"/>
  <c r="U12" i="22"/>
  <c r="S12" i="22"/>
  <c r="W11" i="22"/>
  <c r="U11" i="22"/>
  <c r="S11" i="22"/>
  <c r="W10" i="22"/>
  <c r="U10" i="22"/>
  <c r="S10" i="22"/>
  <c r="W9" i="22"/>
  <c r="U9" i="22"/>
  <c r="S9" i="22"/>
  <c r="W8" i="22"/>
  <c r="U8" i="22"/>
  <c r="S8" i="22"/>
  <c r="W7" i="22"/>
  <c r="U7" i="22"/>
  <c r="S7" i="22"/>
  <c r="BS16" i="35" l="1"/>
  <c r="BU16" i="35" s="1"/>
  <c r="BS8" i="35"/>
  <c r="BU8" i="35" s="1"/>
  <c r="BS42" i="35"/>
  <c r="BS30" i="35"/>
  <c r="BU30" i="35" s="1"/>
  <c r="BS14" i="35"/>
  <c r="BU14" i="35" s="1"/>
  <c r="BS34" i="35"/>
  <c r="BU34" i="35" s="1"/>
  <c r="BA41" i="35"/>
  <c r="BE41" i="35" s="1"/>
  <c r="BG41" i="35" s="1"/>
  <c r="BI41" i="35" s="1"/>
  <c r="BK41" i="35" s="1"/>
  <c r="BM41" i="35" s="1"/>
  <c r="BO41" i="35" s="1"/>
  <c r="BQ41" i="35" s="1"/>
  <c r="BA17" i="35"/>
  <c r="BE17" i="35" s="1"/>
  <c r="BG17" i="35" s="1"/>
  <c r="BI17" i="35" s="1"/>
  <c r="BK17" i="35" s="1"/>
  <c r="BM17" i="35" s="1"/>
  <c r="BO17" i="35" s="1"/>
  <c r="BQ17" i="35" s="1"/>
  <c r="BA58" i="35"/>
  <c r="BE58" i="35" s="1"/>
  <c r="BG58" i="35" s="1"/>
  <c r="BI58" i="35" s="1"/>
  <c r="BK58" i="35" s="1"/>
  <c r="BM58" i="35" s="1"/>
  <c r="BO58" i="35" s="1"/>
  <c r="BQ58" i="35" s="1"/>
  <c r="BA32" i="35"/>
  <c r="BE32" i="35" s="1"/>
  <c r="BG32" i="35" s="1"/>
  <c r="BI32" i="35" s="1"/>
  <c r="BK32" i="35" s="1"/>
  <c r="BM32" i="35" s="1"/>
  <c r="BO32" i="35" s="1"/>
  <c r="BQ32" i="35" s="1"/>
  <c r="BA50" i="35"/>
  <c r="BE50" i="35" s="1"/>
  <c r="BG50" i="35" s="1"/>
  <c r="BI50" i="35" s="1"/>
  <c r="BK50" i="35" s="1"/>
  <c r="BM50" i="35" s="1"/>
  <c r="BO50" i="35" s="1"/>
  <c r="BQ50" i="35" s="1"/>
  <c r="BA57" i="35"/>
  <c r="BE57" i="35" s="1"/>
  <c r="BG57" i="35" s="1"/>
  <c r="BI57" i="35" s="1"/>
  <c r="BK57" i="35" s="1"/>
  <c r="BM57" i="35" s="1"/>
  <c r="BO57" i="35" s="1"/>
  <c r="BQ57" i="35" s="1"/>
  <c r="BA45" i="35"/>
  <c r="BE45" i="35" s="1"/>
  <c r="BG45" i="35" s="1"/>
  <c r="BI45" i="35" s="1"/>
  <c r="BK45" i="35" s="1"/>
  <c r="BM45" i="35" s="1"/>
  <c r="BO45" i="35" s="1"/>
  <c r="BQ45" i="35" s="1"/>
  <c r="BA23" i="35"/>
  <c r="BE23" i="35" s="1"/>
  <c r="BG23" i="35" s="1"/>
  <c r="BI23" i="35" s="1"/>
  <c r="BK23" i="35" s="1"/>
  <c r="BM23" i="35" s="1"/>
  <c r="BO23" i="35" s="1"/>
  <c r="BQ23" i="35" s="1"/>
  <c r="BA9" i="35"/>
  <c r="BE9" i="35" s="1"/>
  <c r="BG9" i="35" s="1"/>
  <c r="BI9" i="35" s="1"/>
  <c r="BK9" i="35" s="1"/>
  <c r="BM9" i="35" s="1"/>
  <c r="BO9" i="35" s="1"/>
  <c r="BQ9" i="35" s="1"/>
  <c r="BA49" i="35"/>
  <c r="BE49" i="35" s="1"/>
  <c r="BG49" i="35" s="1"/>
  <c r="BI49" i="35" s="1"/>
  <c r="BK49" i="35" s="1"/>
  <c r="BM49" i="35" s="1"/>
  <c r="BO49" i="35" s="1"/>
  <c r="BQ49" i="35" s="1"/>
  <c r="BA80" i="35"/>
  <c r="BE80" i="35" s="1"/>
  <c r="BG80" i="35" s="1"/>
  <c r="BI80" i="35" s="1"/>
  <c r="BK80" i="35" s="1"/>
  <c r="BM80" i="35" s="1"/>
  <c r="BO80" i="35" s="1"/>
  <c r="BQ80" i="35" s="1"/>
  <c r="BA12" i="35"/>
  <c r="BE12" i="35" s="1"/>
  <c r="BG12" i="35" s="1"/>
  <c r="BI12" i="35" s="1"/>
  <c r="BK12" i="35" s="1"/>
  <c r="BM12" i="35" s="1"/>
  <c r="BO12" i="35" s="1"/>
  <c r="BQ12" i="35" s="1"/>
  <c r="BA43" i="35"/>
  <c r="BE43" i="35" s="1"/>
  <c r="BG43" i="35" s="1"/>
  <c r="BI43" i="35" s="1"/>
  <c r="BK43" i="35" s="1"/>
  <c r="BM43" i="35" s="1"/>
  <c r="BO43" i="35" s="1"/>
  <c r="BQ43" i="35" s="1"/>
  <c r="BA31" i="35"/>
  <c r="BE31" i="35" s="1"/>
  <c r="BG31" i="35" s="1"/>
  <c r="BI31" i="35" s="1"/>
  <c r="BK31" i="35" s="1"/>
  <c r="BM31" i="35" s="1"/>
  <c r="BO31" i="35" s="1"/>
  <c r="BQ31" i="35" s="1"/>
  <c r="BA53" i="35"/>
  <c r="BE53" i="35" s="1"/>
  <c r="BG53" i="35" s="1"/>
  <c r="BI53" i="35" s="1"/>
  <c r="BK53" i="35" s="1"/>
  <c r="BM53" i="35" s="1"/>
  <c r="BO53" i="35" s="1"/>
  <c r="BQ53" i="35" s="1"/>
  <c r="BA28" i="35"/>
  <c r="BE28" i="35" s="1"/>
  <c r="BG28" i="35" s="1"/>
  <c r="BI28" i="35" s="1"/>
  <c r="BK28" i="35" s="1"/>
  <c r="BM28" i="35" s="1"/>
  <c r="BO28" i="35" s="1"/>
  <c r="BQ28" i="35" s="1"/>
  <c r="BA68" i="35"/>
  <c r="BE68" i="35" s="1"/>
  <c r="BG68" i="35" s="1"/>
  <c r="BI68" i="35" s="1"/>
  <c r="BK68" i="35" s="1"/>
  <c r="BM68" i="35" s="1"/>
  <c r="BO68" i="35" s="1"/>
  <c r="BQ68" i="35" s="1"/>
  <c r="BA21" i="35"/>
  <c r="BE21" i="35" s="1"/>
  <c r="BG21" i="35" s="1"/>
  <c r="BI21" i="35" s="1"/>
  <c r="BK21" i="35" s="1"/>
  <c r="BM21" i="35" s="1"/>
  <c r="BO21" i="35" s="1"/>
  <c r="BQ21" i="35" s="1"/>
  <c r="BA60" i="35"/>
  <c r="BE60" i="35" s="1"/>
  <c r="BG60" i="35" s="1"/>
  <c r="BI60" i="35" s="1"/>
  <c r="BK60" i="35" s="1"/>
  <c r="BM60" i="35" s="1"/>
  <c r="BO60" i="35" s="1"/>
  <c r="BQ60" i="35" s="1"/>
  <c r="BA33" i="35"/>
  <c r="BE33" i="35" s="1"/>
  <c r="BG33" i="35" s="1"/>
  <c r="BI33" i="35" s="1"/>
  <c r="BK33" i="35" s="1"/>
  <c r="BM33" i="35" s="1"/>
  <c r="BO33" i="35" s="1"/>
  <c r="BQ33" i="35" s="1"/>
  <c r="BA29" i="35"/>
  <c r="BE29" i="35" s="1"/>
  <c r="BG29" i="35" s="1"/>
  <c r="BI29" i="35" s="1"/>
  <c r="BK29" i="35" s="1"/>
  <c r="BM29" i="35" s="1"/>
  <c r="BO29" i="35" s="1"/>
  <c r="BQ29" i="35" s="1"/>
  <c r="BA36" i="35"/>
  <c r="BE36" i="35" s="1"/>
  <c r="BG36" i="35" s="1"/>
  <c r="BI36" i="35" s="1"/>
  <c r="BK36" i="35" s="1"/>
  <c r="BM36" i="35" s="1"/>
  <c r="BO36" i="35" s="1"/>
  <c r="BQ36" i="35" s="1"/>
  <c r="BA20" i="35"/>
  <c r="BE20" i="35" s="1"/>
  <c r="BG20" i="35" s="1"/>
  <c r="BI20" i="35" s="1"/>
  <c r="BK20" i="35" s="1"/>
  <c r="BM20" i="35" s="1"/>
  <c r="BO20" i="35" s="1"/>
  <c r="BQ20" i="35" s="1"/>
  <c r="BA70" i="35"/>
  <c r="BE70" i="35" s="1"/>
  <c r="BG70" i="35" s="1"/>
  <c r="BI70" i="35" s="1"/>
  <c r="BK70" i="35" s="1"/>
  <c r="BM70" i="35" s="1"/>
  <c r="BO70" i="35" s="1"/>
  <c r="BQ70" i="35" s="1"/>
  <c r="BA18" i="35"/>
  <c r="BE18" i="35" s="1"/>
  <c r="BG18" i="35" s="1"/>
  <c r="BI18" i="35" s="1"/>
  <c r="BK18" i="35" s="1"/>
  <c r="BM18" i="35" s="1"/>
  <c r="BO18" i="35" s="1"/>
  <c r="BQ18" i="35" s="1"/>
  <c r="BA37" i="35"/>
  <c r="BE37" i="35" s="1"/>
  <c r="BG37" i="35" s="1"/>
  <c r="BI37" i="35" s="1"/>
  <c r="BK37" i="35" s="1"/>
  <c r="BM37" i="35" s="1"/>
  <c r="BO37" i="35" s="1"/>
  <c r="BQ37" i="35" s="1"/>
  <c r="BA11" i="35"/>
  <c r="BE11" i="35" s="1"/>
  <c r="BG11" i="35" s="1"/>
  <c r="BI11" i="35" s="1"/>
  <c r="BK11" i="35" s="1"/>
  <c r="BM11" i="35" s="1"/>
  <c r="BO11" i="35" s="1"/>
  <c r="BQ11" i="35" s="1"/>
  <c r="BA84" i="35"/>
  <c r="BE84" i="35" s="1"/>
  <c r="BG84" i="35" s="1"/>
  <c r="BI84" i="35" s="1"/>
  <c r="BK84" i="35" s="1"/>
  <c r="BM84" i="35" s="1"/>
  <c r="BO84" i="35" s="1"/>
  <c r="BQ84" i="35" s="1"/>
  <c r="BA67" i="35"/>
  <c r="BE67" i="35" s="1"/>
  <c r="BG67" i="35" s="1"/>
  <c r="BI67" i="35" s="1"/>
  <c r="BK67" i="35" s="1"/>
  <c r="BM67" i="35" s="1"/>
  <c r="BO67" i="35" s="1"/>
  <c r="BQ67" i="35" s="1"/>
  <c r="AZ38" i="35"/>
  <c r="AZ24" i="35"/>
  <c r="AZ51" i="35"/>
  <c r="AZ22" i="35"/>
  <c r="AZ44" i="35"/>
  <c r="AZ55" i="35"/>
  <c r="AZ86" i="35"/>
  <c r="AZ47" i="35"/>
  <c r="AZ15" i="35"/>
  <c r="AZ27" i="35"/>
  <c r="AX39" i="35"/>
  <c r="AZ39" i="35" s="1"/>
  <c r="AX79" i="35"/>
  <c r="AX91" i="35"/>
  <c r="AZ91" i="35" s="1"/>
  <c r="AX94" i="35"/>
  <c r="AX83" i="35"/>
  <c r="AX64" i="35"/>
  <c r="AX46" i="35"/>
  <c r="AZ46" i="35" s="1"/>
  <c r="AX35" i="35"/>
  <c r="AZ35" i="35" s="1"/>
  <c r="AX71" i="35"/>
  <c r="AX87" i="35"/>
  <c r="AX72" i="35"/>
  <c r="AX63" i="35"/>
  <c r="AX56" i="35"/>
  <c r="AZ56" i="35" s="1"/>
  <c r="AX78" i="35"/>
  <c r="AX54" i="35"/>
  <c r="AZ54" i="35" s="1"/>
  <c r="AX76" i="35"/>
  <c r="AZ76" i="35" s="1"/>
  <c r="AX52" i="35"/>
  <c r="AZ52" i="35" s="1"/>
  <c r="AX92" i="35"/>
  <c r="AX81" i="35"/>
  <c r="AX59" i="35"/>
  <c r="AX75" i="35"/>
  <c r="AX96" i="35"/>
  <c r="AX89" i="35"/>
  <c r="AZ89" i="35" s="1"/>
  <c r="AX90" i="35"/>
  <c r="AZ90" i="35" s="1"/>
  <c r="AX26" i="35"/>
  <c r="AZ26" i="35" s="1"/>
  <c r="AX73" i="35"/>
  <c r="AZ73" i="35" s="1"/>
  <c r="AX66" i="35"/>
  <c r="AZ66" i="35" s="1"/>
  <c r="AX69" i="35"/>
  <c r="AZ69" i="35" s="1"/>
  <c r="AX61" i="35"/>
  <c r="AZ61" i="35" s="1"/>
  <c r="AX74" i="35"/>
  <c r="AZ74" i="35" s="1"/>
  <c r="AX82" i="35"/>
  <c r="AZ82" i="35" s="1"/>
  <c r="AX77" i="35"/>
  <c r="AZ77" i="35" s="1"/>
  <c r="AX85" i="35"/>
  <c r="AZ85" i="35" s="1"/>
  <c r="AX10" i="35"/>
  <c r="AZ10" i="35" s="1"/>
  <c r="AX48" i="35"/>
  <c r="AZ48" i="35" s="1"/>
  <c r="AX19" i="35"/>
  <c r="AZ19" i="35" s="1"/>
  <c r="AX13" i="35"/>
  <c r="AZ13" i="35" s="1"/>
  <c r="AX40" i="35"/>
  <c r="AZ40" i="35" s="1"/>
  <c r="AX7" i="35"/>
  <c r="AR101" i="35"/>
  <c r="EA101" i="35" s="1"/>
  <c r="AR102" i="35"/>
  <c r="AR104" i="35"/>
  <c r="EA104" i="35" s="1"/>
  <c r="AR103" i="35"/>
  <c r="EA103" i="35" s="1"/>
  <c r="AR99" i="35"/>
  <c r="EA99" i="35" s="1"/>
  <c r="AR110" i="35"/>
  <c r="EA110" i="35" s="1"/>
  <c r="AR100" i="35"/>
  <c r="EA100" i="35" s="1"/>
  <c r="AR109" i="35"/>
  <c r="EA109" i="35" s="1"/>
  <c r="AR95" i="35"/>
  <c r="EA95" i="35" s="1"/>
  <c r="AR105" i="35"/>
  <c r="EA105" i="35" s="1"/>
  <c r="AR108" i="35"/>
  <c r="EA108" i="35" s="1"/>
  <c r="AR93" i="35"/>
  <c r="EA93" i="35" s="1"/>
  <c r="AR25" i="35"/>
  <c r="EA25" i="35" s="1"/>
  <c r="AR97" i="35"/>
  <c r="EA97" i="35" s="1"/>
  <c r="AV71" i="35"/>
  <c r="EL71" i="35" s="1"/>
  <c r="AV56" i="35"/>
  <c r="EK56" i="35" s="1"/>
  <c r="EJ56" i="35" s="1"/>
  <c r="AV46" i="35"/>
  <c r="EK46" i="35" s="1"/>
  <c r="EJ46" i="35" s="1"/>
  <c r="E6" i="23"/>
  <c r="N6" i="23" s="1"/>
  <c r="E6" i="38"/>
  <c r="N6" i="38" s="1"/>
  <c r="E6" i="34"/>
  <c r="N6" i="34" s="1"/>
  <c r="E7" i="32"/>
  <c r="N7" i="32" s="1"/>
  <c r="E7" i="38"/>
  <c r="N7" i="38" s="1"/>
  <c r="E7" i="34"/>
  <c r="N7" i="34" s="1"/>
  <c r="EK60" i="35"/>
  <c r="EJ60" i="35" s="1"/>
  <c r="EL11" i="35"/>
  <c r="AV48" i="35"/>
  <c r="EL48" i="35" s="1"/>
  <c r="AU62" i="35"/>
  <c r="AW62" i="35" s="1"/>
  <c r="EA62" i="35"/>
  <c r="AP111" i="35"/>
  <c r="AQ111" i="35" s="1"/>
  <c r="EA19" i="35"/>
  <c r="EL23" i="35"/>
  <c r="EK23" i="35"/>
  <c r="EJ23" i="35" s="1"/>
  <c r="AV81" i="35"/>
  <c r="EK67" i="35"/>
  <c r="EJ67" i="35" s="1"/>
  <c r="EL67" i="35"/>
  <c r="AU97" i="35"/>
  <c r="AW97" i="35" s="1"/>
  <c r="AU107" i="35"/>
  <c r="AW107" i="35" s="1"/>
  <c r="EA107" i="35"/>
  <c r="AU88" i="35"/>
  <c r="AW88" i="35" s="1"/>
  <c r="AV19" i="35"/>
  <c r="EL19" i="35" s="1"/>
  <c r="AU106" i="35"/>
  <c r="AW106" i="35" s="1"/>
  <c r="AV10" i="35"/>
  <c r="AV7" i="35"/>
  <c r="AV78" i="35"/>
  <c r="EA91" i="35"/>
  <c r="AV13" i="35"/>
  <c r="AU65" i="35"/>
  <c r="AW65" i="35" s="1"/>
  <c r="EL43" i="35"/>
  <c r="EK43" i="35"/>
  <c r="EJ43" i="35" s="1"/>
  <c r="AP125" i="35"/>
  <c r="AQ125" i="35" s="1"/>
  <c r="AP118" i="35"/>
  <c r="AQ118" i="35" s="1"/>
  <c r="EK18" i="35"/>
  <c r="EJ18" i="35" s="1"/>
  <c r="EL18" i="35"/>
  <c r="EL12" i="35"/>
  <c r="EK12" i="35"/>
  <c r="EJ12" i="35" s="1"/>
  <c r="EK41" i="35"/>
  <c r="EJ41" i="35" s="1"/>
  <c r="EL41" i="35"/>
  <c r="EL50" i="35"/>
  <c r="EK50" i="35"/>
  <c r="EJ50" i="35" s="1"/>
  <c r="AV91" i="35"/>
  <c r="EL91" i="35" s="1"/>
  <c r="AP122" i="35"/>
  <c r="AQ122" i="35" s="1"/>
  <c r="EL15" i="35"/>
  <c r="EK15" i="35"/>
  <c r="EJ15" i="35" s="1"/>
  <c r="EL9" i="35"/>
  <c r="EK9" i="35"/>
  <c r="EJ9" i="35" s="1"/>
  <c r="L2" i="5"/>
  <c r="C2" i="38"/>
  <c r="AK116" i="35"/>
  <c r="AO116" i="35" s="1"/>
  <c r="AK119" i="35"/>
  <c r="AO119" i="35" s="1"/>
  <c r="AK113" i="35"/>
  <c r="AO113" i="35" s="1"/>
  <c r="AK127" i="35"/>
  <c r="AO127" i="35" s="1"/>
  <c r="AK117" i="35"/>
  <c r="AO117" i="35" s="1"/>
  <c r="AK112" i="35"/>
  <c r="AO112" i="35" s="1"/>
  <c r="AK128" i="35"/>
  <c r="AO128" i="35" s="1"/>
  <c r="AK121" i="35"/>
  <c r="AO121" i="35" s="1"/>
  <c r="AK115" i="35"/>
  <c r="AO115" i="35" s="1"/>
  <c r="AK124" i="35"/>
  <c r="AO124" i="35" s="1"/>
  <c r="AK120" i="35"/>
  <c r="AO120" i="35" s="1"/>
  <c r="AK114" i="35"/>
  <c r="AO114" i="35" s="1"/>
  <c r="AK98" i="35"/>
  <c r="AO98" i="35" s="1"/>
  <c r="AK126" i="35"/>
  <c r="AO126" i="35" s="1"/>
  <c r="AK123" i="35"/>
  <c r="AO123" i="35" s="1"/>
  <c r="EK22" i="35"/>
  <c r="EJ22" i="35" s="1"/>
  <c r="EK29" i="35"/>
  <c r="EJ29" i="35" s="1"/>
  <c r="EK80" i="35"/>
  <c r="EJ80" i="35" s="1"/>
  <c r="EK86" i="35"/>
  <c r="EJ86" i="35" s="1"/>
  <c r="EL33" i="35"/>
  <c r="AV96" i="35"/>
  <c r="EL96" i="35" s="1"/>
  <c r="EK17" i="35"/>
  <c r="EJ17" i="35" s="1"/>
  <c r="EL20" i="35"/>
  <c r="EK84" i="35"/>
  <c r="EJ84" i="35" s="1"/>
  <c r="EL47" i="35"/>
  <c r="AV26" i="35"/>
  <c r="EK70" i="35"/>
  <c r="EJ70" i="35" s="1"/>
  <c r="AV75" i="35"/>
  <c r="EK75" i="35" s="1"/>
  <c r="EJ75" i="35" s="1"/>
  <c r="EL36" i="35"/>
  <c r="AV63" i="35"/>
  <c r="AV92" i="35"/>
  <c r="EL92" i="35" s="1"/>
  <c r="AV73" i="35"/>
  <c r="AU103" i="35"/>
  <c r="AW103" i="35" s="1"/>
  <c r="AV61" i="35"/>
  <c r="EL61" i="35" s="1"/>
  <c r="AU99" i="35"/>
  <c r="AW99" i="35" s="1"/>
  <c r="EK58" i="35"/>
  <c r="EJ58" i="35" s="1"/>
  <c r="EL58" i="35"/>
  <c r="EK51" i="35"/>
  <c r="EJ51" i="35" s="1"/>
  <c r="AU100" i="35"/>
  <c r="AW100" i="35" s="1"/>
  <c r="AV94" i="35"/>
  <c r="EL94" i="35" s="1"/>
  <c r="AU104" i="35"/>
  <c r="AW104" i="35" s="1"/>
  <c r="EK31" i="35"/>
  <c r="EJ31" i="35" s="1"/>
  <c r="EL31" i="35"/>
  <c r="AV85" i="35"/>
  <c r="EK57" i="35"/>
  <c r="EJ57" i="35" s="1"/>
  <c r="EL57" i="35"/>
  <c r="AV83" i="35"/>
  <c r="AV79" i="35"/>
  <c r="EL55" i="35"/>
  <c r="EK55" i="35"/>
  <c r="EJ55" i="35" s="1"/>
  <c r="AU101" i="35"/>
  <c r="AW101" i="35" s="1"/>
  <c r="AU110" i="35"/>
  <c r="AW110" i="35" s="1"/>
  <c r="AV76" i="35"/>
  <c r="EL38" i="35"/>
  <c r="EK38" i="35"/>
  <c r="EJ38" i="35" s="1"/>
  <c r="AV74" i="35"/>
  <c r="AV69" i="35"/>
  <c r="EK45" i="35"/>
  <c r="EJ45" i="35" s="1"/>
  <c r="EL45" i="35"/>
  <c r="EK44" i="35"/>
  <c r="EJ44" i="35" s="1"/>
  <c r="EL44" i="35"/>
  <c r="EK37" i="35"/>
  <c r="EJ37" i="35" s="1"/>
  <c r="EL37" i="35"/>
  <c r="EK27" i="35"/>
  <c r="EJ27" i="35" s="1"/>
  <c r="AV72" i="35"/>
  <c r="EL28" i="35"/>
  <c r="EK28" i="35"/>
  <c r="EJ28" i="35" s="1"/>
  <c r="EL24" i="35"/>
  <c r="EK24" i="35"/>
  <c r="EJ24" i="35" s="1"/>
  <c r="AV82" i="35"/>
  <c r="EK53" i="35"/>
  <c r="EJ53" i="35" s="1"/>
  <c r="EL53" i="35"/>
  <c r="EL21" i="35"/>
  <c r="EK21" i="35"/>
  <c r="EJ21" i="35" s="1"/>
  <c r="EK68" i="35"/>
  <c r="EJ68" i="35" s="1"/>
  <c r="EL68" i="35"/>
  <c r="AU105" i="35"/>
  <c r="AW105" i="35" s="1"/>
  <c r="AV87" i="35"/>
  <c r="AV64" i="35"/>
  <c r="AV35" i="35"/>
  <c r="AV77" i="35"/>
  <c r="AV89" i="35"/>
  <c r="AU95" i="35"/>
  <c r="AW95" i="35" s="1"/>
  <c r="EL32" i="35"/>
  <c r="EK32" i="35"/>
  <c r="EJ32" i="35" s="1"/>
  <c r="AV40" i="35"/>
  <c r="AV39" i="35"/>
  <c r="AV59" i="35"/>
  <c r="AV90" i="35"/>
  <c r="EL49" i="35"/>
  <c r="EK49" i="35"/>
  <c r="EJ49" i="35" s="1"/>
  <c r="AV66" i="35"/>
  <c r="AV52" i="35"/>
  <c r="AV54" i="35"/>
  <c r="B49" i="37"/>
  <c r="AJ21" i="37"/>
  <c r="AJ129" i="35"/>
  <c r="AE155" i="35"/>
  <c r="AF155" i="35" s="1"/>
  <c r="AI134" i="35"/>
  <c r="AE148" i="35"/>
  <c r="AF148" i="35" s="1"/>
  <c r="AI135" i="35"/>
  <c r="AJ135" i="35" s="1"/>
  <c r="AI145" i="35"/>
  <c r="AI138" i="35"/>
  <c r="AI141" i="35"/>
  <c r="AJ141" i="35" s="1"/>
  <c r="AI143" i="35"/>
  <c r="AI131" i="35"/>
  <c r="AI133" i="35"/>
  <c r="AI136" i="35"/>
  <c r="AE149" i="35"/>
  <c r="AF149" i="35" s="1"/>
  <c r="AE156" i="35"/>
  <c r="AF156" i="35" s="1"/>
  <c r="AE162" i="35"/>
  <c r="AF162" i="35" s="1"/>
  <c r="AI139" i="35"/>
  <c r="AI142" i="35"/>
  <c r="AI132" i="35"/>
  <c r="AE153" i="35"/>
  <c r="AF153" i="35" s="1"/>
  <c r="AE161" i="35"/>
  <c r="AF161" i="35" s="1"/>
  <c r="AU25" i="35"/>
  <c r="AV25" i="35" s="1"/>
  <c r="AC165" i="35"/>
  <c r="AD165" i="35" s="1"/>
  <c r="AE160" i="35"/>
  <c r="AF160" i="35" s="1"/>
  <c r="AE154" i="35"/>
  <c r="AF154" i="35" s="1"/>
  <c r="AI137" i="35"/>
  <c r="AJ137" i="35" s="1"/>
  <c r="AE163" i="35"/>
  <c r="AF163" i="35" s="1"/>
  <c r="Y183" i="35"/>
  <c r="Y182" i="35"/>
  <c r="AA182" i="35" s="1"/>
  <c r="AB182" i="35" s="1"/>
  <c r="Y176" i="35"/>
  <c r="AA176" i="35" s="1"/>
  <c r="AB176" i="35" s="1"/>
  <c r="Y172" i="35"/>
  <c r="AA172" i="35" s="1"/>
  <c r="AB172" i="35" s="1"/>
  <c r="Y178" i="35"/>
  <c r="AA178" i="35" s="1"/>
  <c r="AB178" i="35" s="1"/>
  <c r="Y170" i="35"/>
  <c r="AA170" i="35" s="1"/>
  <c r="AB170" i="35" s="1"/>
  <c r="Y181" i="35"/>
  <c r="AA181" i="35" s="1"/>
  <c r="AB181" i="35" s="1"/>
  <c r="Y175" i="35"/>
  <c r="AA175" i="35" s="1"/>
  <c r="AB175" i="35" s="1"/>
  <c r="Y169" i="35"/>
  <c r="AA169" i="35" s="1"/>
  <c r="AB169" i="35" s="1"/>
  <c r="Y180" i="35"/>
  <c r="AA180" i="35" s="1"/>
  <c r="AB180" i="35" s="1"/>
  <c r="Y177" i="35"/>
  <c r="AA177" i="35" s="1"/>
  <c r="AB177" i="35" s="1"/>
  <c r="Y167" i="35"/>
  <c r="AA167" i="35" s="1"/>
  <c r="AB167" i="35" s="1"/>
  <c r="Y168" i="35"/>
  <c r="AA168" i="35" s="1"/>
  <c r="AB168" i="35" s="1"/>
  <c r="Y173" i="35"/>
  <c r="AA173" i="35" s="1"/>
  <c r="AB173" i="35" s="1"/>
  <c r="Y179" i="35"/>
  <c r="AA179" i="35" s="1"/>
  <c r="AB179" i="35" s="1"/>
  <c r="Y174" i="35"/>
  <c r="AA174" i="35" s="1"/>
  <c r="AB174" i="35" s="1"/>
  <c r="Y171" i="35"/>
  <c r="AA171" i="35" s="1"/>
  <c r="AB171" i="35" s="1"/>
  <c r="AA166" i="35"/>
  <c r="AB166" i="35" s="1"/>
  <c r="AI146" i="35"/>
  <c r="AJ146" i="35" s="1"/>
  <c r="AI144" i="35"/>
  <c r="AB150" i="35"/>
  <c r="AG130" i="35"/>
  <c r="AH130" i="35" s="1"/>
  <c r="AE152" i="35"/>
  <c r="AF152" i="35" s="1"/>
  <c r="AG147" i="35"/>
  <c r="AH147" i="35" s="1"/>
  <c r="AE157" i="35"/>
  <c r="AF157" i="35" s="1"/>
  <c r="AE158" i="35"/>
  <c r="AF158" i="35" s="1"/>
  <c r="AE159" i="35"/>
  <c r="AF159" i="35" s="1"/>
  <c r="AE151" i="35"/>
  <c r="AF151" i="35" s="1"/>
  <c r="AI140" i="35"/>
  <c r="AE164" i="35"/>
  <c r="AF164" i="35" s="1"/>
  <c r="AC181" i="22"/>
  <c r="Y168" i="22"/>
  <c r="AB168" i="22" s="1"/>
  <c r="Z181" i="22"/>
  <c r="AA181" i="22"/>
  <c r="AB181" i="22"/>
  <c r="V174" i="22"/>
  <c r="X174" i="22" s="1"/>
  <c r="Y176" i="22"/>
  <c r="Y183" i="22"/>
  <c r="X175" i="22"/>
  <c r="Y174" i="22"/>
  <c r="Y182" i="22"/>
  <c r="AB182" i="22" s="1"/>
  <c r="Y175" i="22"/>
  <c r="Y177" i="22"/>
  <c r="R7" i="22"/>
  <c r="T7" i="22" s="1"/>
  <c r="V7" i="22" s="1"/>
  <c r="V177" i="22"/>
  <c r="Y179" i="22"/>
  <c r="AC179" i="22" s="1"/>
  <c r="M36" i="22"/>
  <c r="P36" i="22" s="1"/>
  <c r="L159" i="22"/>
  <c r="L151" i="22"/>
  <c r="L143" i="22"/>
  <c r="L135" i="22"/>
  <c r="L127" i="22"/>
  <c r="L119" i="22"/>
  <c r="L111" i="22"/>
  <c r="L103" i="22"/>
  <c r="L95" i="22"/>
  <c r="L87" i="22"/>
  <c r="L79" i="22"/>
  <c r="L71" i="22"/>
  <c r="L63" i="22"/>
  <c r="L55" i="22"/>
  <c r="L47" i="22"/>
  <c r="L39" i="22"/>
  <c r="L30" i="22"/>
  <c r="L22" i="22"/>
  <c r="L14" i="22"/>
  <c r="L158" i="22"/>
  <c r="L134" i="22"/>
  <c r="L118" i="22"/>
  <c r="L102" i="22"/>
  <c r="L78" i="22"/>
  <c r="L62" i="22"/>
  <c r="L46" i="22"/>
  <c r="L29" i="22"/>
  <c r="L21" i="22"/>
  <c r="L165" i="22"/>
  <c r="L157" i="22"/>
  <c r="L149" i="22"/>
  <c r="L141" i="22"/>
  <c r="L133" i="22"/>
  <c r="L125" i="22"/>
  <c r="L117" i="22"/>
  <c r="L109" i="22"/>
  <c r="L101" i="22"/>
  <c r="L93" i="22"/>
  <c r="L85" i="22"/>
  <c r="L77" i="22"/>
  <c r="L69" i="22"/>
  <c r="L61" i="22"/>
  <c r="L53" i="22"/>
  <c r="L45" i="22"/>
  <c r="L37" i="22"/>
  <c r="L28" i="22"/>
  <c r="L20" i="22"/>
  <c r="L12" i="22"/>
  <c r="L164" i="22"/>
  <c r="L156" i="22"/>
  <c r="L148" i="22"/>
  <c r="L140" i="22"/>
  <c r="L132" i="22"/>
  <c r="L124" i="22"/>
  <c r="L116" i="22"/>
  <c r="L108" i="22"/>
  <c r="L100" i="22"/>
  <c r="L92" i="22"/>
  <c r="L84" i="22"/>
  <c r="L76" i="22"/>
  <c r="L68" i="22"/>
  <c r="L60" i="22"/>
  <c r="L52" i="22"/>
  <c r="L44" i="22"/>
  <c r="L35" i="22"/>
  <c r="L27" i="22"/>
  <c r="L19" i="22"/>
  <c r="L11" i="22"/>
  <c r="L166" i="22"/>
  <c r="L86" i="22"/>
  <c r="L163" i="22"/>
  <c r="L155" i="22"/>
  <c r="L147" i="22"/>
  <c r="L139" i="22"/>
  <c r="L131" i="22"/>
  <c r="L123" i="22"/>
  <c r="L115" i="22"/>
  <c r="L107" i="22"/>
  <c r="L99" i="22"/>
  <c r="L91" i="22"/>
  <c r="L83" i="22"/>
  <c r="L75" i="22"/>
  <c r="L67" i="22"/>
  <c r="L59" i="22"/>
  <c r="L51" i="22"/>
  <c r="L43" i="22"/>
  <c r="L34" i="22"/>
  <c r="L26" i="22"/>
  <c r="L18" i="22"/>
  <c r="L10" i="22"/>
  <c r="L142" i="22"/>
  <c r="L126" i="22"/>
  <c r="L110" i="22"/>
  <c r="L94" i="22"/>
  <c r="L70" i="22"/>
  <c r="L54" i="22"/>
  <c r="L38" i="22"/>
  <c r="L13" i="22"/>
  <c r="L162" i="22"/>
  <c r="L154" i="22"/>
  <c r="L146" i="22"/>
  <c r="L138" i="22"/>
  <c r="L130" i="22"/>
  <c r="L122" i="22"/>
  <c r="L114" i="22"/>
  <c r="L106" i="22"/>
  <c r="L98" i="22"/>
  <c r="L90" i="22"/>
  <c r="L82" i="22"/>
  <c r="L74" i="22"/>
  <c r="L66" i="22"/>
  <c r="L58" i="22"/>
  <c r="L50" i="22"/>
  <c r="L42" i="22"/>
  <c r="L33" i="22"/>
  <c r="L25" i="22"/>
  <c r="L17" i="22"/>
  <c r="L9" i="22"/>
  <c r="L150" i="22"/>
  <c r="L161" i="22"/>
  <c r="L153" i="22"/>
  <c r="L145" i="22"/>
  <c r="L137" i="22"/>
  <c r="L129" i="22"/>
  <c r="L121" i="22"/>
  <c r="L113" i="22"/>
  <c r="L105" i="22"/>
  <c r="L97" i="22"/>
  <c r="L89" i="22"/>
  <c r="L81" i="22"/>
  <c r="L73" i="22"/>
  <c r="L65" i="22"/>
  <c r="L57" i="22"/>
  <c r="L49" i="22"/>
  <c r="L41" i="22"/>
  <c r="L32" i="22"/>
  <c r="L24" i="22"/>
  <c r="L16" i="22"/>
  <c r="L8" i="22"/>
  <c r="L160" i="22"/>
  <c r="L152" i="22"/>
  <c r="L144" i="22"/>
  <c r="L136" i="22"/>
  <c r="L128" i="22"/>
  <c r="L120" i="22"/>
  <c r="L112" i="22"/>
  <c r="L104" i="22"/>
  <c r="L96" i="22"/>
  <c r="L88" i="22"/>
  <c r="L80" i="22"/>
  <c r="L72" i="22"/>
  <c r="L64" i="22"/>
  <c r="L56" i="22"/>
  <c r="L48" i="22"/>
  <c r="L40" i="22"/>
  <c r="L31" i="22"/>
  <c r="L23" i="22"/>
  <c r="L15" i="22"/>
  <c r="F31" i="23"/>
  <c r="F31" i="39" s="1"/>
  <c r="F32" i="39"/>
  <c r="F30" i="23"/>
  <c r="F30" i="39" s="1"/>
  <c r="AC171" i="22"/>
  <c r="AA171" i="22"/>
  <c r="AB171" i="22"/>
  <c r="Z171" i="22"/>
  <c r="X176" i="22"/>
  <c r="X172" i="22"/>
  <c r="X183" i="22"/>
  <c r="X179" i="22"/>
  <c r="X182" i="22"/>
  <c r="X173" i="22"/>
  <c r="X180" i="22"/>
  <c r="V170" i="22"/>
  <c r="X178" i="22"/>
  <c r="X169" i="22"/>
  <c r="X168" i="22"/>
  <c r="Y170" i="22"/>
  <c r="AC173" i="22"/>
  <c r="AB173" i="22"/>
  <c r="AA173" i="22"/>
  <c r="Z173" i="22"/>
  <c r="AA180" i="22"/>
  <c r="Z180" i="22"/>
  <c r="AC180" i="22"/>
  <c r="AB180" i="22"/>
  <c r="AC178" i="22"/>
  <c r="AB178" i="22"/>
  <c r="AA178" i="22"/>
  <c r="Z178" i="22"/>
  <c r="AA172" i="22"/>
  <c r="Z172" i="22"/>
  <c r="AC172" i="22"/>
  <c r="AB172" i="22"/>
  <c r="AC169" i="22"/>
  <c r="AB169" i="22"/>
  <c r="AA169" i="22"/>
  <c r="Z169" i="22"/>
  <c r="E9" i="32"/>
  <c r="E7" i="23"/>
  <c r="N7" i="23" s="1"/>
  <c r="B167" i="22"/>
  <c r="I159" i="22"/>
  <c r="I151" i="22"/>
  <c r="I143" i="22"/>
  <c r="I135" i="22"/>
  <c r="I127" i="22"/>
  <c r="I119" i="22"/>
  <c r="I111" i="22"/>
  <c r="I103" i="22"/>
  <c r="I95" i="22"/>
  <c r="I87" i="22"/>
  <c r="I79" i="22"/>
  <c r="I71" i="22"/>
  <c r="I63" i="22"/>
  <c r="I55" i="22"/>
  <c r="I47" i="22"/>
  <c r="I39" i="22"/>
  <c r="I31" i="22"/>
  <c r="I23" i="22"/>
  <c r="I15" i="22"/>
  <c r="I166" i="22"/>
  <c r="I158" i="22"/>
  <c r="I150" i="22"/>
  <c r="I142" i="22"/>
  <c r="I134" i="22"/>
  <c r="I126" i="22"/>
  <c r="I118" i="22"/>
  <c r="I110" i="22"/>
  <c r="I102" i="22"/>
  <c r="I94" i="22"/>
  <c r="I86" i="22"/>
  <c r="I78" i="22"/>
  <c r="I70" i="22"/>
  <c r="I62" i="22"/>
  <c r="I54" i="22"/>
  <c r="I46" i="22"/>
  <c r="I38" i="22"/>
  <c r="I30" i="22"/>
  <c r="I22" i="22"/>
  <c r="I14" i="22"/>
  <c r="I165" i="22"/>
  <c r="I157" i="22"/>
  <c r="I149" i="22"/>
  <c r="I141" i="22"/>
  <c r="I133" i="22"/>
  <c r="I125" i="22"/>
  <c r="I117" i="22"/>
  <c r="I109" i="22"/>
  <c r="I101" i="22"/>
  <c r="I93" i="22"/>
  <c r="I85" i="22"/>
  <c r="I77" i="22"/>
  <c r="I69" i="22"/>
  <c r="I61" i="22"/>
  <c r="I53" i="22"/>
  <c r="I45" i="22"/>
  <c r="I37" i="22"/>
  <c r="I29" i="22"/>
  <c r="I21" i="22"/>
  <c r="I13" i="22"/>
  <c r="I164" i="22"/>
  <c r="I156" i="22"/>
  <c r="I148" i="22"/>
  <c r="I140" i="22"/>
  <c r="I132" i="22"/>
  <c r="I124" i="22"/>
  <c r="I116" i="22"/>
  <c r="I108" i="22"/>
  <c r="I100" i="22"/>
  <c r="I92" i="22"/>
  <c r="I84" i="22"/>
  <c r="I76" i="22"/>
  <c r="I68" i="22"/>
  <c r="I60" i="22"/>
  <c r="I52" i="22"/>
  <c r="I44" i="22"/>
  <c r="I28" i="22"/>
  <c r="I20" i="22"/>
  <c r="I12" i="22"/>
  <c r="I163" i="22"/>
  <c r="I155" i="22"/>
  <c r="I147" i="22"/>
  <c r="I139" i="22"/>
  <c r="I131" i="22"/>
  <c r="I123" i="22"/>
  <c r="I115" i="22"/>
  <c r="I107" i="22"/>
  <c r="I99" i="22"/>
  <c r="I91" i="22"/>
  <c r="I83" i="22"/>
  <c r="I75" i="22"/>
  <c r="I67" i="22"/>
  <c r="I59" i="22"/>
  <c r="I51" i="22"/>
  <c r="I43" i="22"/>
  <c r="I35" i="22"/>
  <c r="I27" i="22"/>
  <c r="I19" i="22"/>
  <c r="I11" i="22"/>
  <c r="I162" i="22"/>
  <c r="I154" i="22"/>
  <c r="I146" i="22"/>
  <c r="I138" i="22"/>
  <c r="I130" i="22"/>
  <c r="I122" i="22"/>
  <c r="I114" i="22"/>
  <c r="I106" i="22"/>
  <c r="I98" i="22"/>
  <c r="I90" i="22"/>
  <c r="I82" i="22"/>
  <c r="I74" i="22"/>
  <c r="I66" i="22"/>
  <c r="I58" i="22"/>
  <c r="I50" i="22"/>
  <c r="I42" i="22"/>
  <c r="I34" i="22"/>
  <c r="I26" i="22"/>
  <c r="I18" i="22"/>
  <c r="I10" i="22"/>
  <c r="I161" i="22"/>
  <c r="I153" i="22"/>
  <c r="I145" i="22"/>
  <c r="I137" i="22"/>
  <c r="I129" i="22"/>
  <c r="I121" i="22"/>
  <c r="I113" i="22"/>
  <c r="I105" i="22"/>
  <c r="I97" i="22"/>
  <c r="I89" i="22"/>
  <c r="I81" i="22"/>
  <c r="I73" i="22"/>
  <c r="I65" i="22"/>
  <c r="I57" i="22"/>
  <c r="I49" i="22"/>
  <c r="I41" i="22"/>
  <c r="I33" i="22"/>
  <c r="I25" i="22"/>
  <c r="I17" i="22"/>
  <c r="I9" i="22"/>
  <c r="I160" i="22"/>
  <c r="I152" i="22"/>
  <c r="I144" i="22"/>
  <c r="I136" i="22"/>
  <c r="I128" i="22"/>
  <c r="I120" i="22"/>
  <c r="I112" i="22"/>
  <c r="I104" i="22"/>
  <c r="I96" i="22"/>
  <c r="I88" i="22"/>
  <c r="I80" i="22"/>
  <c r="I72" i="22"/>
  <c r="I64" i="22"/>
  <c r="I56" i="22"/>
  <c r="I48" i="22"/>
  <c r="I40" i="22"/>
  <c r="I32" i="22"/>
  <c r="I24" i="22"/>
  <c r="I16" i="22"/>
  <c r="I8" i="22"/>
  <c r="B7" i="22"/>
  <c r="I24" i="4"/>
  <c r="I16" i="4"/>
  <c r="G5" i="34" s="1"/>
  <c r="I22" i="4"/>
  <c r="O18" i="7"/>
  <c r="O19" i="7" s="1"/>
  <c r="L17" i="6"/>
  <c r="L18" i="6" s="1"/>
  <c r="E6" i="32"/>
  <c r="N6" i="32" s="1"/>
  <c r="B78" i="32"/>
  <c r="K66" i="32" s="1"/>
  <c r="E9" i="23"/>
  <c r="N7" i="5"/>
  <c r="N6" i="5"/>
  <c r="L1" i="23"/>
  <c r="L1" i="32"/>
  <c r="V17" i="32"/>
  <c r="X20" i="32" s="1"/>
  <c r="Z21" i="23"/>
  <c r="V18" i="23" s="1"/>
  <c r="V19" i="23" s="1"/>
  <c r="V20" i="23" s="1"/>
  <c r="V21" i="23" s="1"/>
  <c r="V22" i="23" s="1"/>
  <c r="V23" i="23" s="1"/>
  <c r="V24" i="23" s="1"/>
  <c r="V25" i="23" s="1"/>
  <c r="V26" i="23" s="1"/>
  <c r="V27" i="23" s="1"/>
  <c r="V28" i="23" s="1"/>
  <c r="V29" i="23" s="1"/>
  <c r="V30" i="23" s="1"/>
  <c r="V31" i="23" s="1"/>
  <c r="V32" i="23" s="1"/>
  <c r="V33" i="23" s="1"/>
  <c r="V34" i="23" s="1"/>
  <c r="V35" i="23" s="1"/>
  <c r="V36" i="23" s="1"/>
  <c r="V37" i="23" s="1"/>
  <c r="V38" i="23" s="1"/>
  <c r="V39" i="23" s="1"/>
  <c r="V40" i="23" s="1"/>
  <c r="V41" i="23" s="1"/>
  <c r="V42" i="23" s="1"/>
  <c r="V43" i="23" s="1"/>
  <c r="V44" i="23" s="1"/>
  <c r="V45" i="23" s="1"/>
  <c r="V46" i="23" s="1"/>
  <c r="V47" i="23" s="1"/>
  <c r="V48" i="23" s="1"/>
  <c r="V49" i="23" s="1"/>
  <c r="V50" i="23" s="1"/>
  <c r="V51" i="23" s="1"/>
  <c r="V52" i="23" s="1"/>
  <c r="V53" i="23" s="1"/>
  <c r="V54" i="23" s="1"/>
  <c r="V55" i="23" s="1"/>
  <c r="V56" i="23" s="1"/>
  <c r="V57" i="23" s="1"/>
  <c r="V58" i="23" s="1"/>
  <c r="V59" i="23" s="1"/>
  <c r="X21" i="23"/>
  <c r="X20" i="23"/>
  <c r="AA20" i="24"/>
  <c r="W18" i="24" s="1"/>
  <c r="W19" i="24" s="1"/>
  <c r="W20" i="24" s="1"/>
  <c r="W21" i="24" s="1"/>
  <c r="W22" i="24" s="1"/>
  <c r="W23" i="24" s="1"/>
  <c r="W24" i="24" s="1"/>
  <c r="W25" i="24" s="1"/>
  <c r="W26" i="24" s="1"/>
  <c r="W27" i="24" s="1"/>
  <c r="W28" i="24" s="1"/>
  <c r="W29" i="24" s="1"/>
  <c r="W30" i="24" s="1"/>
  <c r="W31" i="24" s="1"/>
  <c r="W32" i="24" s="1"/>
  <c r="W33" i="24" s="1"/>
  <c r="W34" i="24" s="1"/>
  <c r="W35" i="24" s="1"/>
  <c r="W36" i="24" s="1"/>
  <c r="W37" i="24" s="1"/>
  <c r="W38" i="24" s="1"/>
  <c r="W39" i="24" s="1"/>
  <c r="W40" i="24" s="1"/>
  <c r="W41" i="24" s="1"/>
  <c r="W42" i="24" s="1"/>
  <c r="W43" i="24" s="1"/>
  <c r="W44" i="24" s="1"/>
  <c r="W45" i="24" s="1"/>
  <c r="W46" i="24" s="1"/>
  <c r="W47" i="24" s="1"/>
  <c r="W48" i="24" s="1"/>
  <c r="W49" i="24" s="1"/>
  <c r="W50" i="24" s="1"/>
  <c r="W51" i="24" s="1"/>
  <c r="W52" i="24" s="1"/>
  <c r="W53" i="24" s="1"/>
  <c r="W54" i="24" s="1"/>
  <c r="W55" i="24" s="1"/>
  <c r="W56" i="24" s="1"/>
  <c r="W57" i="24" s="1"/>
  <c r="W58" i="24" s="1"/>
  <c r="W59" i="24" s="1"/>
  <c r="W60" i="24" s="1"/>
  <c r="W61" i="24" s="1"/>
  <c r="W62" i="24" s="1"/>
  <c r="Y20" i="24"/>
  <c r="Y19" i="24"/>
  <c r="M17" i="5"/>
  <c r="W17" i="5" s="1"/>
  <c r="M1" i="9"/>
  <c r="N18" i="8"/>
  <c r="N19" i="8" s="1"/>
  <c r="L2" i="24"/>
  <c r="L1" i="10"/>
  <c r="U1" i="10" s="1"/>
  <c r="M17" i="23"/>
  <c r="E29" i="32"/>
  <c r="F30" i="32"/>
  <c r="F29" i="32"/>
  <c r="I17" i="4"/>
  <c r="E31" i="32"/>
  <c r="E30" i="32"/>
  <c r="P42" i="4"/>
  <c r="T42" i="4"/>
  <c r="M17" i="20"/>
  <c r="V15" i="20" s="1"/>
  <c r="BX14" i="35" l="1"/>
  <c r="BZ14" i="35" s="1"/>
  <c r="BX30" i="35"/>
  <c r="BX8" i="35"/>
  <c r="BX34" i="35"/>
  <c r="BX16" i="35"/>
  <c r="BU42" i="35"/>
  <c r="BS70" i="35"/>
  <c r="BU70" i="35" s="1"/>
  <c r="BS20" i="35"/>
  <c r="BU20" i="35" s="1"/>
  <c r="BS29" i="35"/>
  <c r="BU29" i="35" s="1"/>
  <c r="BS9" i="35"/>
  <c r="BU9" i="35" s="1"/>
  <c r="BS33" i="35"/>
  <c r="BU33" i="35" s="1"/>
  <c r="BS23" i="35"/>
  <c r="BU23" i="35" s="1"/>
  <c r="BS49" i="35"/>
  <c r="BU49" i="35" s="1"/>
  <c r="BS60" i="35"/>
  <c r="BU60" i="35" s="1"/>
  <c r="BS45" i="35"/>
  <c r="BU45" i="35" s="1"/>
  <c r="BS80" i="35"/>
  <c r="BS57" i="35"/>
  <c r="BU57" i="35" s="1"/>
  <c r="BS67" i="35"/>
  <c r="BU67" i="35" s="1"/>
  <c r="BS68" i="35"/>
  <c r="BU68" i="35" s="1"/>
  <c r="BS50" i="35"/>
  <c r="BU50" i="35" s="1"/>
  <c r="BS36" i="35"/>
  <c r="BS84" i="35"/>
  <c r="BU84" i="35" s="1"/>
  <c r="BS28" i="35"/>
  <c r="BU28" i="35" s="1"/>
  <c r="BS32" i="35"/>
  <c r="BU32" i="35" s="1"/>
  <c r="BS12" i="35"/>
  <c r="BU12" i="35" s="1"/>
  <c r="BS21" i="35"/>
  <c r="BU21" i="35" s="1"/>
  <c r="BS11" i="35"/>
  <c r="BU11" i="35" s="1"/>
  <c r="BS53" i="35"/>
  <c r="BU53" i="35" s="1"/>
  <c r="BS58" i="35"/>
  <c r="BU58" i="35" s="1"/>
  <c r="BS37" i="35"/>
  <c r="BU37" i="35" s="1"/>
  <c r="BS31" i="35"/>
  <c r="BU31" i="35" s="1"/>
  <c r="BS17" i="35"/>
  <c r="BU17" i="35" s="1"/>
  <c r="BS18" i="35"/>
  <c r="BU18" i="35" s="1"/>
  <c r="BS43" i="35"/>
  <c r="BS41" i="35"/>
  <c r="BU41" i="35" s="1"/>
  <c r="BA48" i="35"/>
  <c r="BE48" i="35" s="1"/>
  <c r="BG48" i="35" s="1"/>
  <c r="BI48" i="35" s="1"/>
  <c r="BK48" i="35" s="1"/>
  <c r="BM48" i="35" s="1"/>
  <c r="BO48" i="35" s="1"/>
  <c r="BQ48" i="35" s="1"/>
  <c r="BA66" i="35"/>
  <c r="BE66" i="35" s="1"/>
  <c r="BG66" i="35" s="1"/>
  <c r="BI66" i="35" s="1"/>
  <c r="BK66" i="35" s="1"/>
  <c r="BM66" i="35" s="1"/>
  <c r="BO66" i="35" s="1"/>
  <c r="BQ66" i="35" s="1"/>
  <c r="BA54" i="35"/>
  <c r="BE54" i="35" s="1"/>
  <c r="BG54" i="35" s="1"/>
  <c r="BI54" i="35" s="1"/>
  <c r="BK54" i="35" s="1"/>
  <c r="BM54" i="35" s="1"/>
  <c r="BO54" i="35" s="1"/>
  <c r="BQ54" i="35" s="1"/>
  <c r="BA10" i="35"/>
  <c r="BE10" i="35" s="1"/>
  <c r="BG10" i="35" s="1"/>
  <c r="BI10" i="35" s="1"/>
  <c r="BK10" i="35" s="1"/>
  <c r="BM10" i="35" s="1"/>
  <c r="BO10" i="35" s="1"/>
  <c r="BQ10" i="35" s="1"/>
  <c r="BA85" i="35"/>
  <c r="BE85" i="35" s="1"/>
  <c r="BG85" i="35" s="1"/>
  <c r="BI85" i="35" s="1"/>
  <c r="BK85" i="35" s="1"/>
  <c r="BM85" i="35" s="1"/>
  <c r="BO85" i="35" s="1"/>
  <c r="BQ85" i="35" s="1"/>
  <c r="BA26" i="35"/>
  <c r="BE26" i="35" s="1"/>
  <c r="BG26" i="35" s="1"/>
  <c r="BI26" i="35" s="1"/>
  <c r="BK26" i="35" s="1"/>
  <c r="BM26" i="35" s="1"/>
  <c r="BO26" i="35" s="1"/>
  <c r="BQ26" i="35" s="1"/>
  <c r="BA27" i="35"/>
  <c r="BE27" i="35" s="1"/>
  <c r="BG27" i="35" s="1"/>
  <c r="BI27" i="35" s="1"/>
  <c r="BK27" i="35" s="1"/>
  <c r="BM27" i="35" s="1"/>
  <c r="BO27" i="35" s="1"/>
  <c r="BQ27" i="35" s="1"/>
  <c r="BA51" i="35"/>
  <c r="BE51" i="35" s="1"/>
  <c r="BG51" i="35" s="1"/>
  <c r="BI51" i="35" s="1"/>
  <c r="BK51" i="35" s="1"/>
  <c r="BM51" i="35" s="1"/>
  <c r="BO51" i="35" s="1"/>
  <c r="BQ51" i="35" s="1"/>
  <c r="BA73" i="35"/>
  <c r="BE73" i="35" s="1"/>
  <c r="BG73" i="35" s="1"/>
  <c r="BI73" i="35" s="1"/>
  <c r="BK73" i="35" s="1"/>
  <c r="BM73" i="35" s="1"/>
  <c r="BO73" i="35" s="1"/>
  <c r="BQ73" i="35" s="1"/>
  <c r="BA39" i="35"/>
  <c r="BE39" i="35" s="1"/>
  <c r="BG39" i="35" s="1"/>
  <c r="BI39" i="35" s="1"/>
  <c r="BK39" i="35" s="1"/>
  <c r="BM39" i="35" s="1"/>
  <c r="BO39" i="35" s="1"/>
  <c r="BQ39" i="35" s="1"/>
  <c r="BA77" i="35"/>
  <c r="BE77" i="35" s="1"/>
  <c r="BG77" i="35" s="1"/>
  <c r="BI77" i="35" s="1"/>
  <c r="BK77" i="35" s="1"/>
  <c r="BM77" i="35" s="1"/>
  <c r="BO77" i="35" s="1"/>
  <c r="BQ77" i="35" s="1"/>
  <c r="BA90" i="35"/>
  <c r="BE90" i="35" s="1"/>
  <c r="BG90" i="35" s="1"/>
  <c r="BI90" i="35" s="1"/>
  <c r="BK90" i="35" s="1"/>
  <c r="BM90" i="35" s="1"/>
  <c r="BO90" i="35" s="1"/>
  <c r="BQ90" i="35" s="1"/>
  <c r="BA15" i="35"/>
  <c r="BE15" i="35" s="1"/>
  <c r="BG15" i="35" s="1"/>
  <c r="BI15" i="35" s="1"/>
  <c r="BK15" i="35" s="1"/>
  <c r="BM15" i="35" s="1"/>
  <c r="BO15" i="35" s="1"/>
  <c r="BQ15" i="35" s="1"/>
  <c r="BA24" i="35"/>
  <c r="BE24" i="35" s="1"/>
  <c r="BG24" i="35" s="1"/>
  <c r="BI24" i="35" s="1"/>
  <c r="BK24" i="35" s="1"/>
  <c r="BM24" i="35" s="1"/>
  <c r="BO24" i="35" s="1"/>
  <c r="BQ24" i="35" s="1"/>
  <c r="BA82" i="35"/>
  <c r="BE82" i="35" s="1"/>
  <c r="BG82" i="35" s="1"/>
  <c r="BI82" i="35" s="1"/>
  <c r="BK82" i="35" s="1"/>
  <c r="BM82" i="35" s="1"/>
  <c r="BO82" i="35" s="1"/>
  <c r="BQ82" i="35" s="1"/>
  <c r="BA89" i="35"/>
  <c r="BE89" i="35" s="1"/>
  <c r="BG89" i="35" s="1"/>
  <c r="BI89" i="35" s="1"/>
  <c r="BK89" i="35" s="1"/>
  <c r="BM89" i="35" s="1"/>
  <c r="BO89" i="35" s="1"/>
  <c r="BQ89" i="35" s="1"/>
  <c r="BA35" i="35"/>
  <c r="BE35" i="35" s="1"/>
  <c r="BG35" i="35" s="1"/>
  <c r="BI35" i="35" s="1"/>
  <c r="BK35" i="35" s="1"/>
  <c r="BM35" i="35" s="1"/>
  <c r="BO35" i="35" s="1"/>
  <c r="BQ35" i="35" s="1"/>
  <c r="BA47" i="35"/>
  <c r="BE47" i="35" s="1"/>
  <c r="BG47" i="35" s="1"/>
  <c r="BI47" i="35" s="1"/>
  <c r="BK47" i="35" s="1"/>
  <c r="BM47" i="35" s="1"/>
  <c r="BO47" i="35" s="1"/>
  <c r="BQ47" i="35" s="1"/>
  <c r="BA22" i="35"/>
  <c r="BE22" i="35" s="1"/>
  <c r="BG22" i="35" s="1"/>
  <c r="BI22" i="35" s="1"/>
  <c r="BK22" i="35" s="1"/>
  <c r="BM22" i="35" s="1"/>
  <c r="BO22" i="35" s="1"/>
  <c r="BQ22" i="35" s="1"/>
  <c r="BA40" i="35"/>
  <c r="BE40" i="35" s="1"/>
  <c r="BG40" i="35" s="1"/>
  <c r="BI40" i="35" s="1"/>
  <c r="BK40" i="35" s="1"/>
  <c r="BM40" i="35" s="1"/>
  <c r="BO40" i="35" s="1"/>
  <c r="BQ40" i="35" s="1"/>
  <c r="BA74" i="35"/>
  <c r="BE74" i="35" s="1"/>
  <c r="BG74" i="35" s="1"/>
  <c r="BI74" i="35" s="1"/>
  <c r="BK74" i="35" s="1"/>
  <c r="BM74" i="35" s="1"/>
  <c r="BO74" i="35" s="1"/>
  <c r="BQ74" i="35" s="1"/>
  <c r="BA86" i="35"/>
  <c r="BE86" i="35" s="1"/>
  <c r="BG86" i="35" s="1"/>
  <c r="BI86" i="35" s="1"/>
  <c r="BK86" i="35" s="1"/>
  <c r="BM86" i="35" s="1"/>
  <c r="BO86" i="35" s="1"/>
  <c r="BQ86" i="35" s="1"/>
  <c r="BA38" i="35"/>
  <c r="BE38" i="35" s="1"/>
  <c r="BG38" i="35" s="1"/>
  <c r="BI38" i="35" s="1"/>
  <c r="BK38" i="35" s="1"/>
  <c r="BM38" i="35" s="1"/>
  <c r="BO38" i="35" s="1"/>
  <c r="BQ38" i="35" s="1"/>
  <c r="BA13" i="35"/>
  <c r="BE13" i="35" s="1"/>
  <c r="BG13" i="35" s="1"/>
  <c r="BI13" i="35" s="1"/>
  <c r="BK13" i="35" s="1"/>
  <c r="BM13" i="35" s="1"/>
  <c r="BO13" i="35" s="1"/>
  <c r="BQ13" i="35" s="1"/>
  <c r="BA61" i="35"/>
  <c r="BE61" i="35" s="1"/>
  <c r="BG61" i="35" s="1"/>
  <c r="BI61" i="35" s="1"/>
  <c r="BK61" i="35" s="1"/>
  <c r="BM61" i="35" s="1"/>
  <c r="BO61" i="35" s="1"/>
  <c r="BQ61" i="35" s="1"/>
  <c r="BA52" i="35"/>
  <c r="BE52" i="35" s="1"/>
  <c r="BG52" i="35" s="1"/>
  <c r="BI52" i="35" s="1"/>
  <c r="BK52" i="35" s="1"/>
  <c r="BM52" i="35" s="1"/>
  <c r="BO52" i="35" s="1"/>
  <c r="BQ52" i="35" s="1"/>
  <c r="BA55" i="35"/>
  <c r="BE55" i="35" s="1"/>
  <c r="BG55" i="35" s="1"/>
  <c r="BI55" i="35" s="1"/>
  <c r="BK55" i="35" s="1"/>
  <c r="BM55" i="35" s="1"/>
  <c r="BO55" i="35" s="1"/>
  <c r="BQ55" i="35" s="1"/>
  <c r="BA19" i="35"/>
  <c r="BE19" i="35" s="1"/>
  <c r="BG19" i="35" s="1"/>
  <c r="BI19" i="35" s="1"/>
  <c r="BK19" i="35" s="1"/>
  <c r="BM19" i="35" s="1"/>
  <c r="BO19" i="35" s="1"/>
  <c r="BQ19" i="35" s="1"/>
  <c r="BA69" i="35"/>
  <c r="BE69" i="35" s="1"/>
  <c r="BG69" i="35" s="1"/>
  <c r="BI69" i="35" s="1"/>
  <c r="BK69" i="35" s="1"/>
  <c r="BM69" i="35" s="1"/>
  <c r="BO69" i="35" s="1"/>
  <c r="BQ69" i="35" s="1"/>
  <c r="BA76" i="35"/>
  <c r="BE76" i="35" s="1"/>
  <c r="BG76" i="35" s="1"/>
  <c r="BI76" i="35" s="1"/>
  <c r="BK76" i="35" s="1"/>
  <c r="BM76" i="35" s="1"/>
  <c r="BO76" i="35" s="1"/>
  <c r="BQ76" i="35" s="1"/>
  <c r="BA56" i="35"/>
  <c r="BE56" i="35" s="1"/>
  <c r="BG56" i="35" s="1"/>
  <c r="BI56" i="35" s="1"/>
  <c r="BK56" i="35" s="1"/>
  <c r="BM56" i="35" s="1"/>
  <c r="BO56" i="35" s="1"/>
  <c r="BQ56" i="35" s="1"/>
  <c r="BA46" i="35"/>
  <c r="BE46" i="35" s="1"/>
  <c r="BG46" i="35" s="1"/>
  <c r="BI46" i="35" s="1"/>
  <c r="BK46" i="35" s="1"/>
  <c r="BM46" i="35" s="1"/>
  <c r="BO46" i="35" s="1"/>
  <c r="BQ46" i="35" s="1"/>
  <c r="BA44" i="35"/>
  <c r="BE44" i="35" s="1"/>
  <c r="BG44" i="35" s="1"/>
  <c r="BI44" i="35" s="1"/>
  <c r="BK44" i="35" s="1"/>
  <c r="BM44" i="35" s="1"/>
  <c r="BO44" i="35" s="1"/>
  <c r="BQ44" i="35" s="1"/>
  <c r="AZ63" i="35"/>
  <c r="AZ64" i="35"/>
  <c r="BA91" i="35"/>
  <c r="BE91" i="35" s="1"/>
  <c r="BG91" i="35" s="1"/>
  <c r="BI91" i="35" s="1"/>
  <c r="BK91" i="35" s="1"/>
  <c r="BM91" i="35" s="1"/>
  <c r="BO91" i="35" s="1"/>
  <c r="BQ91" i="35" s="1"/>
  <c r="AZ79" i="35"/>
  <c r="AZ72" i="35"/>
  <c r="AZ7" i="35"/>
  <c r="AZ87" i="35"/>
  <c r="AZ78" i="35"/>
  <c r="AZ83" i="35"/>
  <c r="AZ81" i="35"/>
  <c r="AZ96" i="35"/>
  <c r="AZ71" i="35"/>
  <c r="AZ75" i="35"/>
  <c r="AZ94" i="35"/>
  <c r="AZ92" i="35"/>
  <c r="AZ59" i="35"/>
  <c r="AX107" i="35"/>
  <c r="AZ107" i="35" s="1"/>
  <c r="AX104" i="35"/>
  <c r="AZ104" i="35" s="1"/>
  <c r="AX103" i="35"/>
  <c r="AZ103" i="35" s="1"/>
  <c r="AX62" i="35"/>
  <c r="AX105" i="35"/>
  <c r="AX95" i="35"/>
  <c r="AZ95" i="35" s="1"/>
  <c r="AX99" i="35"/>
  <c r="AZ99" i="35" s="1"/>
  <c r="AX110" i="35"/>
  <c r="AZ110" i="35" s="1"/>
  <c r="AX88" i="35"/>
  <c r="AZ88" i="35" s="1"/>
  <c r="AX101" i="35"/>
  <c r="AZ101" i="35" s="1"/>
  <c r="AX97" i="35"/>
  <c r="AZ97" i="35" s="1"/>
  <c r="AX106" i="35"/>
  <c r="AZ106" i="35" s="1"/>
  <c r="AX100" i="35"/>
  <c r="AZ100" i="35" s="1"/>
  <c r="AX65" i="35"/>
  <c r="AZ65" i="35" s="1"/>
  <c r="AW25" i="35"/>
  <c r="EK71" i="35"/>
  <c r="EJ71" i="35" s="1"/>
  <c r="AR122" i="35"/>
  <c r="EA122" i="35" s="1"/>
  <c r="AR118" i="35"/>
  <c r="EA118" i="35" s="1"/>
  <c r="AR111" i="35"/>
  <c r="EA111" i="35" s="1"/>
  <c r="AR125" i="35"/>
  <c r="EL56" i="35"/>
  <c r="EL46" i="35"/>
  <c r="AV106" i="35"/>
  <c r="EL106" i="35" s="1"/>
  <c r="EK48" i="35"/>
  <c r="EJ48" i="35" s="1"/>
  <c r="AV88" i="35"/>
  <c r="EL88" i="35" s="1"/>
  <c r="AV62" i="35"/>
  <c r="EK91" i="35"/>
  <c r="EJ91" i="35" s="1"/>
  <c r="AV97" i="35"/>
  <c r="EK97" i="35" s="1"/>
  <c r="EJ97" i="35" s="1"/>
  <c r="AU109" i="35"/>
  <c r="AW109" i="35" s="1"/>
  <c r="AU93" i="35"/>
  <c r="AW93" i="35" s="1"/>
  <c r="EK19" i="35"/>
  <c r="EJ19" i="35" s="1"/>
  <c r="AP117" i="35"/>
  <c r="AQ117" i="35" s="1"/>
  <c r="AU102" i="35"/>
  <c r="AW102" i="35" s="1"/>
  <c r="AP123" i="35"/>
  <c r="AQ123" i="35" s="1"/>
  <c r="AP128" i="35"/>
  <c r="AQ128" i="35" s="1"/>
  <c r="EL13" i="35"/>
  <c r="EK13" i="35"/>
  <c r="EJ13" i="35" s="1"/>
  <c r="AP126" i="35"/>
  <c r="AQ126" i="35" s="1"/>
  <c r="AP112" i="35"/>
  <c r="AQ112" i="35" s="1"/>
  <c r="EK78" i="35"/>
  <c r="EJ78" i="35" s="1"/>
  <c r="EL78" i="35"/>
  <c r="EA102" i="35"/>
  <c r="AP114" i="35"/>
  <c r="AQ114" i="35" s="1"/>
  <c r="AP127" i="35"/>
  <c r="AQ127" i="35" s="1"/>
  <c r="EK10" i="35"/>
  <c r="EJ10" i="35" s="1"/>
  <c r="EL10" i="35"/>
  <c r="AV107" i="35"/>
  <c r="EK7" i="35"/>
  <c r="EJ7" i="35" s="1"/>
  <c r="EL7" i="35"/>
  <c r="AV65" i="35"/>
  <c r="EK65" i="35" s="1"/>
  <c r="EJ65" i="35" s="1"/>
  <c r="AP120" i="35"/>
  <c r="AQ120" i="35" s="1"/>
  <c r="AP113" i="35"/>
  <c r="AQ113" i="35" s="1"/>
  <c r="EL81" i="35"/>
  <c r="EK81" i="35"/>
  <c r="EJ81" i="35" s="1"/>
  <c r="AP124" i="35"/>
  <c r="AQ124" i="35" s="1"/>
  <c r="AP119" i="35"/>
  <c r="AQ119" i="35" s="1"/>
  <c r="AP115" i="35"/>
  <c r="AQ115" i="35" s="1"/>
  <c r="AP116" i="35"/>
  <c r="AQ116" i="35" s="1"/>
  <c r="AP98" i="35"/>
  <c r="AQ98" i="35" s="1"/>
  <c r="AU108" i="35"/>
  <c r="AW108" i="35" s="1"/>
  <c r="AP121" i="35"/>
  <c r="AQ121" i="35" s="1"/>
  <c r="L2" i="38"/>
  <c r="M17" i="38"/>
  <c r="W17" i="38" s="1"/>
  <c r="AK137" i="35"/>
  <c r="AO137" i="35" s="1"/>
  <c r="AK129" i="35"/>
  <c r="AO129" i="35" s="1"/>
  <c r="AK141" i="35"/>
  <c r="AO141" i="35" s="1"/>
  <c r="AK135" i="35"/>
  <c r="AO135" i="35" s="1"/>
  <c r="AK146" i="35"/>
  <c r="AO146" i="35" s="1"/>
  <c r="EK96" i="35"/>
  <c r="EJ96" i="35" s="1"/>
  <c r="E8" i="5"/>
  <c r="E8" i="39" s="1"/>
  <c r="N8" i="39" s="1"/>
  <c r="X8" i="39" s="1"/>
  <c r="E24" i="5"/>
  <c r="EL75" i="35"/>
  <c r="EL26" i="35"/>
  <c r="EK26" i="35"/>
  <c r="EJ26" i="35" s="1"/>
  <c r="AV101" i="35"/>
  <c r="EK101" i="35" s="1"/>
  <c r="EJ101" i="35" s="1"/>
  <c r="AV99" i="35"/>
  <c r="EL99" i="35" s="1"/>
  <c r="AV104" i="35"/>
  <c r="EK104" i="35" s="1"/>
  <c r="EJ104" i="35" s="1"/>
  <c r="AV103" i="35"/>
  <c r="EL103" i="35" s="1"/>
  <c r="EK63" i="35"/>
  <c r="EJ63" i="35" s="1"/>
  <c r="EL63" i="35"/>
  <c r="AU122" i="35"/>
  <c r="AW122" i="35" s="1"/>
  <c r="EK61" i="35"/>
  <c r="EJ61" i="35" s="1"/>
  <c r="EK94" i="35"/>
  <c r="EJ94" i="35" s="1"/>
  <c r="EK92" i="35"/>
  <c r="EJ92" i="35" s="1"/>
  <c r="EK73" i="35"/>
  <c r="EJ73" i="35" s="1"/>
  <c r="EL73" i="35"/>
  <c r="AV110" i="35"/>
  <c r="EL110" i="35" s="1"/>
  <c r="AV100" i="35"/>
  <c r="EL79" i="35"/>
  <c r="EK79" i="35"/>
  <c r="EJ79" i="35" s="1"/>
  <c r="EL83" i="35"/>
  <c r="EK83" i="35"/>
  <c r="EJ83" i="35" s="1"/>
  <c r="EK85" i="35"/>
  <c r="EJ85" i="35" s="1"/>
  <c r="EL85" i="35"/>
  <c r="AU118" i="35"/>
  <c r="AW118" i="35" s="1"/>
  <c r="EL40" i="35"/>
  <c r="EK40" i="35"/>
  <c r="EJ40" i="35" s="1"/>
  <c r="EK59" i="35"/>
  <c r="EJ59" i="35" s="1"/>
  <c r="EL59" i="35"/>
  <c r="EK76" i="35"/>
  <c r="EJ76" i="35" s="1"/>
  <c r="EL76" i="35"/>
  <c r="EK39" i="35"/>
  <c r="EJ39" i="35" s="1"/>
  <c r="EL39" i="35"/>
  <c r="EK64" i="35"/>
  <c r="EJ64" i="35" s="1"/>
  <c r="EL64" i="35"/>
  <c r="EL87" i="35"/>
  <c r="EK87" i="35"/>
  <c r="EJ87" i="35" s="1"/>
  <c r="AV105" i="35"/>
  <c r="EK77" i="35"/>
  <c r="EJ77" i="35" s="1"/>
  <c r="EL77" i="35"/>
  <c r="EK82" i="35"/>
  <c r="EJ82" i="35" s="1"/>
  <c r="EL82" i="35"/>
  <c r="EL90" i="35"/>
  <c r="EK90" i="35"/>
  <c r="EJ90" i="35" s="1"/>
  <c r="EL89" i="35"/>
  <c r="EK89" i="35"/>
  <c r="EJ89" i="35" s="1"/>
  <c r="EL35" i="35"/>
  <c r="EK35" i="35"/>
  <c r="EJ35" i="35" s="1"/>
  <c r="AU111" i="35"/>
  <c r="AW111" i="35" s="1"/>
  <c r="EL69" i="35"/>
  <c r="EK69" i="35"/>
  <c r="EJ69" i="35" s="1"/>
  <c r="EL54" i="35"/>
  <c r="EK54" i="35"/>
  <c r="EJ54" i="35" s="1"/>
  <c r="EL52" i="35"/>
  <c r="EK52" i="35"/>
  <c r="EJ52" i="35" s="1"/>
  <c r="EK72" i="35"/>
  <c r="EJ72" i="35" s="1"/>
  <c r="EL72" i="35"/>
  <c r="EL74" i="35"/>
  <c r="EK74" i="35"/>
  <c r="EJ74" i="35" s="1"/>
  <c r="EK66" i="35"/>
  <c r="EJ66" i="35" s="1"/>
  <c r="EL66" i="35"/>
  <c r="AV95" i="35"/>
  <c r="B50" i="37"/>
  <c r="AK21" i="37"/>
  <c r="AJ139" i="35"/>
  <c r="AJ134" i="35"/>
  <c r="AJ144" i="35"/>
  <c r="AJ142" i="35"/>
  <c r="AJ140" i="35"/>
  <c r="AJ143" i="35"/>
  <c r="AJ132" i="35"/>
  <c r="AJ145" i="35"/>
  <c r="AJ133" i="35"/>
  <c r="AJ136" i="35"/>
  <c r="AJ131" i="35"/>
  <c r="AJ138" i="35"/>
  <c r="AG162" i="35"/>
  <c r="AH162" i="35" s="1"/>
  <c r="AG155" i="35"/>
  <c r="AH155" i="35" s="1"/>
  <c r="AG164" i="35"/>
  <c r="AH164" i="35" s="1"/>
  <c r="AG163" i="35"/>
  <c r="AH163" i="35" s="1"/>
  <c r="AE165" i="35"/>
  <c r="AF165" i="35" s="1"/>
  <c r="AG148" i="35"/>
  <c r="AH148" i="35" s="1"/>
  <c r="AG159" i="35"/>
  <c r="AH159" i="35" s="1"/>
  <c r="AG160" i="35"/>
  <c r="AH160" i="35" s="1"/>
  <c r="AG161" i="35"/>
  <c r="AH161" i="35" s="1"/>
  <c r="AG149" i="35"/>
  <c r="AH149" i="35" s="1"/>
  <c r="AG153" i="35"/>
  <c r="AH153" i="35" s="1"/>
  <c r="AG158" i="35"/>
  <c r="AH158" i="35" s="1"/>
  <c r="AC177" i="35"/>
  <c r="AD177" i="35" s="1"/>
  <c r="AI130" i="35"/>
  <c r="AJ130" i="35" s="1"/>
  <c r="AC166" i="35"/>
  <c r="AD166" i="35" s="1"/>
  <c r="AC180" i="35"/>
  <c r="AD180" i="35" s="1"/>
  <c r="AC182" i="35"/>
  <c r="AD182" i="35" s="1"/>
  <c r="AC172" i="35"/>
  <c r="AD172" i="35" s="1"/>
  <c r="AI147" i="35"/>
  <c r="AC171" i="35"/>
  <c r="AD171" i="35" s="1"/>
  <c r="AC169" i="35"/>
  <c r="AD169" i="35" s="1"/>
  <c r="Y184" i="35"/>
  <c r="AA183" i="35"/>
  <c r="AB183" i="35" s="1"/>
  <c r="AG151" i="35"/>
  <c r="AH151" i="35" s="1"/>
  <c r="AG157" i="35"/>
  <c r="AH157" i="35" s="1"/>
  <c r="AC174" i="35"/>
  <c r="AD174" i="35" s="1"/>
  <c r="AC175" i="35"/>
  <c r="AD175" i="35" s="1"/>
  <c r="AC150" i="35"/>
  <c r="AD150" i="35" s="1"/>
  <c r="AC179" i="35"/>
  <c r="AD179" i="35" s="1"/>
  <c r="AC181" i="35"/>
  <c r="AD181" i="35" s="1"/>
  <c r="EL25" i="35"/>
  <c r="EK25" i="35"/>
  <c r="EJ25" i="35" s="1"/>
  <c r="AC167" i="35"/>
  <c r="AD167" i="35" s="1"/>
  <c r="AC173" i="35"/>
  <c r="AD173" i="35" s="1"/>
  <c r="AC170" i="35"/>
  <c r="AD170" i="35" s="1"/>
  <c r="AG154" i="35"/>
  <c r="AH154" i="35" s="1"/>
  <c r="AG152" i="35"/>
  <c r="AH152" i="35" s="1"/>
  <c r="AC176" i="35"/>
  <c r="AD176" i="35" s="1"/>
  <c r="AC168" i="35"/>
  <c r="AD168" i="35" s="1"/>
  <c r="AC178" i="35"/>
  <c r="AD178" i="35" s="1"/>
  <c r="AG156" i="35"/>
  <c r="AH156" i="35" s="1"/>
  <c r="AA168" i="22"/>
  <c r="AC168" i="22"/>
  <c r="AA176" i="22"/>
  <c r="AC176" i="22"/>
  <c r="AB176" i="22"/>
  <c r="Z176" i="22"/>
  <c r="Z168" i="22"/>
  <c r="AC183" i="22"/>
  <c r="M75" i="22"/>
  <c r="Q75" i="22" s="1"/>
  <c r="M139" i="22"/>
  <c r="P139" i="22" s="1"/>
  <c r="AA182" i="22"/>
  <c r="Z183" i="22"/>
  <c r="M70" i="22"/>
  <c r="B70" i="22" s="1"/>
  <c r="AC175" i="22"/>
  <c r="AA175" i="22"/>
  <c r="AB183" i="22"/>
  <c r="AA183" i="22"/>
  <c r="M134" i="22"/>
  <c r="Q134" i="22" s="1"/>
  <c r="M88" i="22"/>
  <c r="Q88" i="22" s="1"/>
  <c r="M57" i="22"/>
  <c r="M99" i="22"/>
  <c r="B99" i="22" s="1"/>
  <c r="M163" i="22"/>
  <c r="M20" i="22"/>
  <c r="Q20" i="22" s="1"/>
  <c r="M102" i="22"/>
  <c r="M34" i="22"/>
  <c r="M116" i="22"/>
  <c r="P116" i="22" s="1"/>
  <c r="M85" i="22"/>
  <c r="Q85" i="22" s="1"/>
  <c r="AB174" i="22"/>
  <c r="Z174" i="22"/>
  <c r="AA174" i="22"/>
  <c r="AC174" i="22"/>
  <c r="AC182" i="22"/>
  <c r="M154" i="22"/>
  <c r="P154" i="22" s="1"/>
  <c r="M135" i="22"/>
  <c r="P135" i="22" s="1"/>
  <c r="M13" i="22"/>
  <c r="Q13" i="22" s="1"/>
  <c r="Z182" i="22"/>
  <c r="M78" i="22"/>
  <c r="Q78" i="22" s="1"/>
  <c r="M158" i="22"/>
  <c r="P158" i="22" s="1"/>
  <c r="M21" i="22"/>
  <c r="Q21" i="22" s="1"/>
  <c r="Z175" i="22"/>
  <c r="AB175" i="22"/>
  <c r="F33" i="23"/>
  <c r="M17" i="22"/>
  <c r="Q17" i="22" s="1"/>
  <c r="M83" i="22"/>
  <c r="B83" i="22" s="1"/>
  <c r="M147" i="22"/>
  <c r="P147" i="22" s="1"/>
  <c r="M62" i="22"/>
  <c r="P62" i="22" s="1"/>
  <c r="M95" i="22"/>
  <c r="P95" i="22" s="1"/>
  <c r="M159" i="22"/>
  <c r="Q159" i="22" s="1"/>
  <c r="M146" i="22"/>
  <c r="P146" i="22" s="1"/>
  <c r="M115" i="22"/>
  <c r="Q115" i="22" s="1"/>
  <c r="M30" i="22"/>
  <c r="B30" i="22" s="1"/>
  <c r="M63" i="22"/>
  <c r="B63" i="22" s="1"/>
  <c r="M100" i="22"/>
  <c r="M69" i="22"/>
  <c r="P69" i="22" s="1"/>
  <c r="M133" i="22"/>
  <c r="P133" i="22" s="1"/>
  <c r="M23" i="22"/>
  <c r="Q23" i="22" s="1"/>
  <c r="M124" i="22"/>
  <c r="P124" i="22" s="1"/>
  <c r="X177" i="22"/>
  <c r="AC177" i="22"/>
  <c r="AB177" i="22"/>
  <c r="AA177" i="22"/>
  <c r="Z177" i="22"/>
  <c r="M61" i="22"/>
  <c r="B61" i="22" s="1"/>
  <c r="M125" i="22"/>
  <c r="Q125" i="22" s="1"/>
  <c r="M29" i="22"/>
  <c r="Q29" i="22" s="1"/>
  <c r="M53" i="22"/>
  <c r="Q53" i="22" s="1"/>
  <c r="M117" i="22"/>
  <c r="B117" i="22" s="1"/>
  <c r="M162" i="22"/>
  <c r="B162" i="22" s="1"/>
  <c r="M67" i="22"/>
  <c r="B67" i="22" s="1"/>
  <c r="M131" i="22"/>
  <c r="B131" i="22" s="1"/>
  <c r="M77" i="22"/>
  <c r="P77" i="22" s="1"/>
  <c r="M141" i="22"/>
  <c r="B141" i="22" s="1"/>
  <c r="M138" i="22"/>
  <c r="Q138" i="22" s="1"/>
  <c r="M107" i="22"/>
  <c r="Q107" i="22" s="1"/>
  <c r="M80" i="22"/>
  <c r="Q80" i="22" s="1"/>
  <c r="M49" i="22"/>
  <c r="M113" i="22"/>
  <c r="M94" i="22"/>
  <c r="P94" i="22" s="1"/>
  <c r="AB179" i="22"/>
  <c r="M45" i="22"/>
  <c r="M26" i="22"/>
  <c r="M28" i="22"/>
  <c r="M15" i="22"/>
  <c r="P15" i="22" s="1"/>
  <c r="Z179" i="22"/>
  <c r="M9" i="22"/>
  <c r="Q9" i="22" s="1"/>
  <c r="Q36" i="22"/>
  <c r="B36" i="22"/>
  <c r="M91" i="22"/>
  <c r="Q91" i="22" s="1"/>
  <c r="M155" i="22"/>
  <c r="AA179" i="22"/>
  <c r="M43" i="22"/>
  <c r="W16" i="23"/>
  <c r="W17" i="23" s="1"/>
  <c r="Z20" i="23" s="1"/>
  <c r="M59" i="23" s="1"/>
  <c r="M58" i="23" s="1"/>
  <c r="M32" i="22"/>
  <c r="Q32" i="22" s="1"/>
  <c r="M96" i="22"/>
  <c r="Q96" i="22" s="1"/>
  <c r="M160" i="22"/>
  <c r="Q160" i="22" s="1"/>
  <c r="M65" i="22"/>
  <c r="M129" i="22"/>
  <c r="P129" i="22" s="1"/>
  <c r="M98" i="22"/>
  <c r="B98" i="22" s="1"/>
  <c r="M44" i="22"/>
  <c r="Q44" i="22" s="1"/>
  <c r="M108" i="22"/>
  <c r="M46" i="22"/>
  <c r="M110" i="22"/>
  <c r="B110" i="22" s="1"/>
  <c r="M79" i="22"/>
  <c r="B79" i="22" s="1"/>
  <c r="M143" i="22"/>
  <c r="B143" i="22" s="1"/>
  <c r="M90" i="22"/>
  <c r="P90" i="22" s="1"/>
  <c r="M123" i="22"/>
  <c r="Q123" i="22" s="1"/>
  <c r="M104" i="22"/>
  <c r="P104" i="22" s="1"/>
  <c r="M73" i="22"/>
  <c r="Q73" i="22" s="1"/>
  <c r="M54" i="22"/>
  <c r="Q54" i="22" s="1"/>
  <c r="M118" i="22"/>
  <c r="P118" i="22" s="1"/>
  <c r="M87" i="22"/>
  <c r="B87" i="22" s="1"/>
  <c r="M151" i="22"/>
  <c r="B151" i="22" s="1"/>
  <c r="M31" i="22"/>
  <c r="M68" i="22"/>
  <c r="Q68" i="22" s="1"/>
  <c r="M33" i="22"/>
  <c r="M66" i="22"/>
  <c r="M35" i="22"/>
  <c r="Q35" i="22" s="1"/>
  <c r="M14" i="22"/>
  <c r="M122" i="22"/>
  <c r="M132" i="22"/>
  <c r="M37" i="22"/>
  <c r="M8" i="22"/>
  <c r="M72" i="22"/>
  <c r="B72" i="22" s="1"/>
  <c r="M136" i="22"/>
  <c r="M105" i="22"/>
  <c r="B105" i="22" s="1"/>
  <c r="M12" i="22"/>
  <c r="B12" i="22" s="1"/>
  <c r="M150" i="22"/>
  <c r="B150" i="22" s="1"/>
  <c r="M81" i="22"/>
  <c r="M50" i="22"/>
  <c r="B50" i="22" s="1"/>
  <c r="M19" i="22"/>
  <c r="M56" i="22"/>
  <c r="M120" i="22"/>
  <c r="P120" i="22" s="1"/>
  <c r="M153" i="22"/>
  <c r="Q153" i="22" s="1"/>
  <c r="M58" i="22"/>
  <c r="P58" i="22" s="1"/>
  <c r="M27" i="22"/>
  <c r="Q27" i="22" s="1"/>
  <c r="M165" i="22"/>
  <c r="Q165" i="22" s="1"/>
  <c r="M39" i="22"/>
  <c r="M103" i="22"/>
  <c r="B103" i="22" s="1"/>
  <c r="M106" i="22"/>
  <c r="Q106" i="22" s="1"/>
  <c r="M112" i="22"/>
  <c r="Q112" i="22" s="1"/>
  <c r="M114" i="22"/>
  <c r="Q114" i="22" s="1"/>
  <c r="M128" i="22"/>
  <c r="B128" i="22" s="1"/>
  <c r="M161" i="22"/>
  <c r="M76" i="22"/>
  <c r="P76" i="22" s="1"/>
  <c r="M140" i="22"/>
  <c r="M109" i="22"/>
  <c r="Q109" i="22" s="1"/>
  <c r="M142" i="22"/>
  <c r="Q142" i="22" s="1"/>
  <c r="M47" i="22"/>
  <c r="Q47" i="22" s="1"/>
  <c r="M111" i="22"/>
  <c r="B111" i="22" s="1"/>
  <c r="M71" i="22"/>
  <c r="B71" i="22" s="1"/>
  <c r="M42" i="22"/>
  <c r="P42" i="22" s="1"/>
  <c r="M11" i="22"/>
  <c r="B11" i="22" s="1"/>
  <c r="M10" i="22"/>
  <c r="B10" i="22" s="1"/>
  <c r="M84" i="22"/>
  <c r="M148" i="22"/>
  <c r="P148" i="22" s="1"/>
  <c r="M55" i="22"/>
  <c r="Q55" i="22" s="1"/>
  <c r="M64" i="22"/>
  <c r="P64" i="22" s="1"/>
  <c r="M97" i="22"/>
  <c r="P97" i="22" s="1"/>
  <c r="M92" i="22"/>
  <c r="M25" i="22"/>
  <c r="B25" i="22" s="1"/>
  <c r="M24" i="22"/>
  <c r="Q24" i="22" s="1"/>
  <c r="M59" i="22"/>
  <c r="M137" i="22"/>
  <c r="Q137" i="22" s="1"/>
  <c r="M41" i="22"/>
  <c r="M152" i="22"/>
  <c r="P152" i="22" s="1"/>
  <c r="M121" i="22"/>
  <c r="B121" i="22" s="1"/>
  <c r="M164" i="22"/>
  <c r="M38" i="22"/>
  <c r="Q38" i="22" s="1"/>
  <c r="M166" i="22"/>
  <c r="P166" i="22" s="1"/>
  <c r="M48" i="22"/>
  <c r="Q48" i="22" s="1"/>
  <c r="M145" i="22"/>
  <c r="P145" i="22" s="1"/>
  <c r="M60" i="22"/>
  <c r="M93" i="22"/>
  <c r="Q93" i="22" s="1"/>
  <c r="M157" i="22"/>
  <c r="M126" i="22"/>
  <c r="Q126" i="22" s="1"/>
  <c r="M89" i="22"/>
  <c r="B89" i="22" s="1"/>
  <c r="M101" i="22"/>
  <c r="Q101" i="22" s="1"/>
  <c r="M130" i="22"/>
  <c r="M40" i="22"/>
  <c r="Q40" i="22" s="1"/>
  <c r="M74" i="22"/>
  <c r="M86" i="22"/>
  <c r="P86" i="22" s="1"/>
  <c r="M52" i="22"/>
  <c r="B52" i="22" s="1"/>
  <c r="M149" i="22"/>
  <c r="M22" i="22"/>
  <c r="P22" i="22" s="1"/>
  <c r="M119" i="22"/>
  <c r="B119" i="22" s="1"/>
  <c r="M16" i="22"/>
  <c r="M144" i="22"/>
  <c r="Q144" i="22" s="1"/>
  <c r="M18" i="22"/>
  <c r="M82" i="22"/>
  <c r="Q82" i="22" s="1"/>
  <c r="M51" i="22"/>
  <c r="P51" i="22" s="1"/>
  <c r="M156" i="22"/>
  <c r="Q156" i="22" s="1"/>
  <c r="M127" i="22"/>
  <c r="X170" i="22"/>
  <c r="AC170" i="22"/>
  <c r="AA170" i="22"/>
  <c r="Z170" i="22"/>
  <c r="AB170" i="22"/>
  <c r="P167" i="22"/>
  <c r="Q167" i="22"/>
  <c r="B154" i="22"/>
  <c r="P134" i="22"/>
  <c r="Z21" i="32"/>
  <c r="V18" i="32" s="1"/>
  <c r="V19" i="32" s="1"/>
  <c r="V20" i="32" s="1"/>
  <c r="V21" i="32" s="1"/>
  <c r="V22" i="32" s="1"/>
  <c r="V23" i="32" s="1"/>
  <c r="V24" i="32" s="1"/>
  <c r="V25" i="32" s="1"/>
  <c r="V26" i="32" s="1"/>
  <c r="V27" i="32" s="1"/>
  <c r="V28" i="32" s="1"/>
  <c r="V29" i="32" s="1"/>
  <c r="V30" i="32" s="1"/>
  <c r="V31" i="32" s="1"/>
  <c r="V32" i="32" s="1"/>
  <c r="V33" i="32" s="1"/>
  <c r="V34" i="32" s="1"/>
  <c r="V35" i="32" s="1"/>
  <c r="V36" i="32" s="1"/>
  <c r="V37" i="32" s="1"/>
  <c r="V38" i="32" s="1"/>
  <c r="V39" i="32" s="1"/>
  <c r="V40" i="32" s="1"/>
  <c r="V41" i="32" s="1"/>
  <c r="V42" i="32" s="1"/>
  <c r="V43" i="32" s="1"/>
  <c r="V44" i="32" s="1"/>
  <c r="V45" i="32" s="1"/>
  <c r="V46" i="32" s="1"/>
  <c r="V47" i="32" s="1"/>
  <c r="V48" i="32" s="1"/>
  <c r="V49" i="32" s="1"/>
  <c r="V50" i="32" s="1"/>
  <c r="V51" i="32" s="1"/>
  <c r="V52" i="32" s="1"/>
  <c r="V53" i="32" s="1"/>
  <c r="V54" i="32" s="1"/>
  <c r="V55" i="32" s="1"/>
  <c r="V56" i="32" s="1"/>
  <c r="V57" i="32" s="1"/>
  <c r="V58" i="32" s="1"/>
  <c r="V59" i="32" s="1"/>
  <c r="X21" i="32"/>
  <c r="Y20" i="5"/>
  <c r="Y19" i="5"/>
  <c r="AA20" i="5"/>
  <c r="W18" i="5" s="1"/>
  <c r="W19" i="5" s="1"/>
  <c r="W20" i="5" s="1"/>
  <c r="W21" i="5" s="1"/>
  <c r="W22" i="5" s="1"/>
  <c r="W23" i="5" s="1"/>
  <c r="W24" i="5" s="1"/>
  <c r="W25" i="5" s="1"/>
  <c r="W26" i="5" s="1"/>
  <c r="W27" i="5" s="1"/>
  <c r="W28" i="5" s="1"/>
  <c r="W29" i="5" s="1"/>
  <c r="W30" i="5" s="1"/>
  <c r="W31" i="5" s="1"/>
  <c r="W32" i="5" s="1"/>
  <c r="W33" i="5" s="1"/>
  <c r="W34" i="5" s="1"/>
  <c r="W35" i="5" s="1"/>
  <c r="W36" i="5" s="1"/>
  <c r="W37" i="5" s="1"/>
  <c r="W38" i="5" s="1"/>
  <c r="W39" i="5" s="1"/>
  <c r="W40" i="5" s="1"/>
  <c r="W41" i="5" s="1"/>
  <c r="W42" i="5" s="1"/>
  <c r="W43" i="5" s="1"/>
  <c r="W44" i="5" s="1"/>
  <c r="W45" i="5" s="1"/>
  <c r="W46" i="5" s="1"/>
  <c r="W47" i="5" s="1"/>
  <c r="W48" i="5" s="1"/>
  <c r="W49" i="5" s="1"/>
  <c r="W50" i="5" s="1"/>
  <c r="W51" i="5" s="1"/>
  <c r="W52" i="5" s="1"/>
  <c r="W53" i="5" s="1"/>
  <c r="W54" i="5" s="1"/>
  <c r="W55" i="5" s="1"/>
  <c r="W56" i="5" s="1"/>
  <c r="W57" i="5" s="1"/>
  <c r="W58" i="5" s="1"/>
  <c r="W59" i="5" s="1"/>
  <c r="W60" i="5" s="1"/>
  <c r="W61" i="5" s="1"/>
  <c r="W62" i="5" s="1"/>
  <c r="W16" i="32"/>
  <c r="W17" i="32" s="1"/>
  <c r="Z20" i="32" s="1"/>
  <c r="M59" i="32" s="1"/>
  <c r="F32" i="32"/>
  <c r="D22" i="28"/>
  <c r="D22" i="31"/>
  <c r="D22" i="29"/>
  <c r="D22" i="30"/>
  <c r="D22" i="27"/>
  <c r="D22" i="13"/>
  <c r="D22" i="25"/>
  <c r="D22" i="26"/>
  <c r="T40" i="25"/>
  <c r="O40" i="25" s="1"/>
  <c r="T40" i="27"/>
  <c r="O40" i="27" s="1"/>
  <c r="P18" i="7"/>
  <c r="T40" i="13"/>
  <c r="O40" i="13" s="1"/>
  <c r="T40" i="30"/>
  <c r="O40" i="30" s="1"/>
  <c r="M17" i="6"/>
  <c r="T40" i="26"/>
  <c r="O40" i="26" s="1"/>
  <c r="F25" i="20"/>
  <c r="N17" i="20" s="1"/>
  <c r="T40" i="28"/>
  <c r="O40" i="28" s="1"/>
  <c r="T40" i="31"/>
  <c r="O40" i="31" s="1"/>
  <c r="T40" i="29"/>
  <c r="O40" i="29" s="1"/>
  <c r="F25" i="24"/>
  <c r="N17" i="24" s="1"/>
  <c r="F25" i="5"/>
  <c r="Z19" i="20"/>
  <c r="V19" i="20" s="1"/>
  <c r="V20" i="20" s="1"/>
  <c r="V21" i="20" s="1"/>
  <c r="V22" i="20" s="1"/>
  <c r="V23" i="20" s="1"/>
  <c r="V24" i="20" s="1"/>
  <c r="V25" i="20" s="1"/>
  <c r="V26" i="20" s="1"/>
  <c r="V27" i="20" s="1"/>
  <c r="V28" i="20" s="1"/>
  <c r="V29" i="20" s="1"/>
  <c r="V30" i="20" s="1"/>
  <c r="V31" i="20" s="1"/>
  <c r="V32" i="20" s="1"/>
  <c r="V33" i="20" s="1"/>
  <c r="V34" i="20" s="1"/>
  <c r="V35" i="20" s="1"/>
  <c r="V36" i="20" s="1"/>
  <c r="V37" i="20" s="1"/>
  <c r="V38" i="20" s="1"/>
  <c r="V39" i="20" s="1"/>
  <c r="V40" i="20" s="1"/>
  <c r="V41" i="20" s="1"/>
  <c r="V42" i="20" s="1"/>
  <c r="V43" i="20" s="1"/>
  <c r="V44" i="20" s="1"/>
  <c r="V45" i="20" s="1"/>
  <c r="V46" i="20" s="1"/>
  <c r="V47" i="20" s="1"/>
  <c r="V48" i="20" s="1"/>
  <c r="V49" i="20" s="1"/>
  <c r="V50" i="20" s="1"/>
  <c r="V51" i="20" s="1"/>
  <c r="V52" i="20" s="1"/>
  <c r="V53" i="20" s="1"/>
  <c r="V54" i="20" s="1"/>
  <c r="V55" i="20" s="1"/>
  <c r="V56" i="20" s="1"/>
  <c r="V57" i="20" s="1"/>
  <c r="V58" i="20" s="1"/>
  <c r="V59" i="20" s="1"/>
  <c r="V60" i="20" s="1"/>
  <c r="V61" i="20" s="1"/>
  <c r="V62" i="20" s="1"/>
  <c r="V63" i="20" s="1"/>
  <c r="V64" i="20" s="1"/>
  <c r="X19" i="20"/>
  <c r="BZ16" i="35" l="1"/>
  <c r="CA16" i="35" s="1"/>
  <c r="CB16" i="35" s="1"/>
  <c r="EB16" i="35" s="1"/>
  <c r="BZ34" i="35"/>
  <c r="CA34" i="35" s="1"/>
  <c r="CB34" i="35" s="1"/>
  <c r="BZ8" i="35"/>
  <c r="CA8" i="35" s="1"/>
  <c r="CG8" i="35" s="1"/>
  <c r="CH8" i="35" s="1"/>
  <c r="BZ30" i="35"/>
  <c r="CA30" i="35" s="1"/>
  <c r="CB30" i="35" s="1"/>
  <c r="CA14" i="35"/>
  <c r="CB14" i="35" s="1"/>
  <c r="CG16" i="35"/>
  <c r="CH16" i="35" s="1"/>
  <c r="CK16" i="35" s="1"/>
  <c r="BX32" i="35"/>
  <c r="BX23" i="35"/>
  <c r="BX41" i="35"/>
  <c r="BX28" i="35"/>
  <c r="BX33" i="35"/>
  <c r="BX31" i="35"/>
  <c r="BX68" i="35"/>
  <c r="BX70" i="35"/>
  <c r="BX37" i="35"/>
  <c r="BX67" i="35"/>
  <c r="BX58" i="35"/>
  <c r="BX57" i="35"/>
  <c r="CG30" i="35"/>
  <c r="CH30" i="35" s="1"/>
  <c r="CK30" i="35" s="1"/>
  <c r="BX21" i="35"/>
  <c r="BX60" i="35"/>
  <c r="BX84" i="35"/>
  <c r="BX9" i="35"/>
  <c r="BX29" i="35"/>
  <c r="BX17" i="35"/>
  <c r="BX50" i="35"/>
  <c r="BX20" i="35"/>
  <c r="BX53" i="35"/>
  <c r="BX12" i="35"/>
  <c r="BX49" i="35"/>
  <c r="BX11" i="35"/>
  <c r="BX45" i="35"/>
  <c r="BX18" i="35"/>
  <c r="BZ18" i="35" s="1"/>
  <c r="BX42" i="35"/>
  <c r="BZ42" i="35" s="1"/>
  <c r="BU43" i="35"/>
  <c r="BU36" i="35"/>
  <c r="BU80" i="35"/>
  <c r="BS35" i="35"/>
  <c r="BS86" i="35"/>
  <c r="BU86" i="35" s="1"/>
  <c r="BS15" i="35"/>
  <c r="BU15" i="35" s="1"/>
  <c r="BS48" i="35"/>
  <c r="BU48" i="35" s="1"/>
  <c r="BS44" i="35"/>
  <c r="BU44" i="35" s="1"/>
  <c r="BS74" i="35"/>
  <c r="BU74" i="35" s="1"/>
  <c r="BS90" i="35"/>
  <c r="BU90" i="35" s="1"/>
  <c r="BS56" i="35"/>
  <c r="BU56" i="35" s="1"/>
  <c r="BS22" i="35"/>
  <c r="BU22" i="35" s="1"/>
  <c r="BS39" i="35"/>
  <c r="BU39" i="35" s="1"/>
  <c r="BS76" i="35"/>
  <c r="BU76" i="35" s="1"/>
  <c r="BS73" i="35"/>
  <c r="BU73" i="35" s="1"/>
  <c r="BS52" i="35"/>
  <c r="BU52" i="35" s="1"/>
  <c r="BS69" i="35"/>
  <c r="BU69" i="35" s="1"/>
  <c r="BS51" i="35"/>
  <c r="BS85" i="35"/>
  <c r="BU85" i="35" s="1"/>
  <c r="BS61" i="35"/>
  <c r="BS89" i="35"/>
  <c r="BU89" i="35" s="1"/>
  <c r="BS91" i="35"/>
  <c r="BU91" i="35" s="1"/>
  <c r="BS13" i="35"/>
  <c r="BU13" i="35" s="1"/>
  <c r="BS82" i="35"/>
  <c r="BU82" i="35" s="1"/>
  <c r="BS54" i="35"/>
  <c r="BU54" i="35" s="1"/>
  <c r="BS38" i="35"/>
  <c r="BU38" i="35" s="1"/>
  <c r="BS24" i="35"/>
  <c r="BU24" i="35" s="1"/>
  <c r="BS66" i="35"/>
  <c r="BU66" i="35" s="1"/>
  <c r="BS46" i="35"/>
  <c r="BS40" i="35"/>
  <c r="BU40" i="35" s="1"/>
  <c r="BS77" i="35"/>
  <c r="BS19" i="35"/>
  <c r="BU19" i="35" s="1"/>
  <c r="BS27" i="35"/>
  <c r="BU27" i="35" s="1"/>
  <c r="BS10" i="35"/>
  <c r="BU10" i="35" s="1"/>
  <c r="BS55" i="35"/>
  <c r="BU55" i="35" s="1"/>
  <c r="BS47" i="35"/>
  <c r="BU47" i="35" s="1"/>
  <c r="BS26" i="35"/>
  <c r="E24" i="32"/>
  <c r="E33" i="32" s="1"/>
  <c r="E24" i="23"/>
  <c r="E34" i="23" s="1"/>
  <c r="BA92" i="35"/>
  <c r="BE92" i="35" s="1"/>
  <c r="BG92" i="35" s="1"/>
  <c r="BI92" i="35" s="1"/>
  <c r="BK92" i="35" s="1"/>
  <c r="BM92" i="35" s="1"/>
  <c r="BO92" i="35" s="1"/>
  <c r="BQ92" i="35" s="1"/>
  <c r="BA96" i="35"/>
  <c r="BE96" i="35" s="1"/>
  <c r="BG96" i="35" s="1"/>
  <c r="BI96" i="35" s="1"/>
  <c r="BK96" i="35" s="1"/>
  <c r="BM96" i="35" s="1"/>
  <c r="BO96" i="35" s="1"/>
  <c r="BQ96" i="35" s="1"/>
  <c r="BA72" i="35"/>
  <c r="BE72" i="35" s="1"/>
  <c r="BG72" i="35" s="1"/>
  <c r="BI72" i="35" s="1"/>
  <c r="BK72" i="35" s="1"/>
  <c r="BM72" i="35" s="1"/>
  <c r="BO72" i="35" s="1"/>
  <c r="BQ72" i="35" s="1"/>
  <c r="BA81" i="35"/>
  <c r="BE81" i="35" s="1"/>
  <c r="BG81" i="35" s="1"/>
  <c r="BI81" i="35" s="1"/>
  <c r="BK81" i="35" s="1"/>
  <c r="BM81" i="35" s="1"/>
  <c r="BO81" i="35" s="1"/>
  <c r="BQ81" i="35" s="1"/>
  <c r="CJ16" i="35"/>
  <c r="BA65" i="35"/>
  <c r="BE65" i="35" s="1"/>
  <c r="BG65" i="35" s="1"/>
  <c r="BI65" i="35" s="1"/>
  <c r="BK65" i="35" s="1"/>
  <c r="BM65" i="35" s="1"/>
  <c r="BO65" i="35" s="1"/>
  <c r="BQ65" i="35" s="1"/>
  <c r="BA83" i="35"/>
  <c r="BE83" i="35" s="1"/>
  <c r="BG83" i="35" s="1"/>
  <c r="BI83" i="35" s="1"/>
  <c r="BK83" i="35" s="1"/>
  <c r="BM83" i="35" s="1"/>
  <c r="BO83" i="35" s="1"/>
  <c r="BQ83" i="35" s="1"/>
  <c r="BA79" i="35"/>
  <c r="BE79" i="35" s="1"/>
  <c r="BG79" i="35" s="1"/>
  <c r="BI79" i="35" s="1"/>
  <c r="BK79" i="35" s="1"/>
  <c r="BM79" i="35" s="1"/>
  <c r="BO79" i="35" s="1"/>
  <c r="BQ79" i="35" s="1"/>
  <c r="BA100" i="35"/>
  <c r="BE100" i="35" s="1"/>
  <c r="BG100" i="35" s="1"/>
  <c r="BI100" i="35" s="1"/>
  <c r="BK100" i="35" s="1"/>
  <c r="BM100" i="35" s="1"/>
  <c r="BO100" i="35" s="1"/>
  <c r="BQ100" i="35" s="1"/>
  <c r="BA78" i="35"/>
  <c r="BE78" i="35" s="1"/>
  <c r="BG78" i="35" s="1"/>
  <c r="BI78" i="35" s="1"/>
  <c r="BK78" i="35" s="1"/>
  <c r="BM78" i="35" s="1"/>
  <c r="BO78" i="35" s="1"/>
  <c r="BQ78" i="35" s="1"/>
  <c r="BA64" i="35"/>
  <c r="BE64" i="35" s="1"/>
  <c r="BG64" i="35" s="1"/>
  <c r="BI64" i="35" s="1"/>
  <c r="BK64" i="35" s="1"/>
  <c r="BM64" i="35" s="1"/>
  <c r="BO64" i="35" s="1"/>
  <c r="BQ64" i="35" s="1"/>
  <c r="BA106" i="35"/>
  <c r="BE106" i="35" s="1"/>
  <c r="BG106" i="35" s="1"/>
  <c r="BI106" i="35" s="1"/>
  <c r="BK106" i="35" s="1"/>
  <c r="BM106" i="35" s="1"/>
  <c r="BO106" i="35" s="1"/>
  <c r="BQ106" i="35" s="1"/>
  <c r="BA88" i="35"/>
  <c r="BE88" i="35" s="1"/>
  <c r="BG88" i="35" s="1"/>
  <c r="BI88" i="35" s="1"/>
  <c r="BK88" i="35" s="1"/>
  <c r="BM88" i="35" s="1"/>
  <c r="BO88" i="35" s="1"/>
  <c r="BQ88" i="35" s="1"/>
  <c r="BA63" i="35"/>
  <c r="BE63" i="35" s="1"/>
  <c r="BG63" i="35" s="1"/>
  <c r="BI63" i="35" s="1"/>
  <c r="BK63" i="35" s="1"/>
  <c r="BM63" i="35" s="1"/>
  <c r="BO63" i="35" s="1"/>
  <c r="BQ63" i="35" s="1"/>
  <c r="BA97" i="35"/>
  <c r="BE97" i="35" s="1"/>
  <c r="BG97" i="35" s="1"/>
  <c r="BI97" i="35" s="1"/>
  <c r="BK97" i="35" s="1"/>
  <c r="BM97" i="35" s="1"/>
  <c r="BO97" i="35" s="1"/>
  <c r="BQ97" i="35" s="1"/>
  <c r="BA75" i="35"/>
  <c r="BE75" i="35" s="1"/>
  <c r="BG75" i="35" s="1"/>
  <c r="BI75" i="35" s="1"/>
  <c r="BK75" i="35" s="1"/>
  <c r="BM75" i="35" s="1"/>
  <c r="BO75" i="35" s="1"/>
  <c r="BQ75" i="35" s="1"/>
  <c r="BA87" i="35"/>
  <c r="BE87" i="35" s="1"/>
  <c r="BG87" i="35" s="1"/>
  <c r="BI87" i="35" s="1"/>
  <c r="BK87" i="35" s="1"/>
  <c r="BM87" i="35" s="1"/>
  <c r="BO87" i="35" s="1"/>
  <c r="BQ87" i="35" s="1"/>
  <c r="BA101" i="35"/>
  <c r="BE101" i="35" s="1"/>
  <c r="BG101" i="35" s="1"/>
  <c r="BI101" i="35" s="1"/>
  <c r="BK101" i="35" s="1"/>
  <c r="BM101" i="35" s="1"/>
  <c r="BO101" i="35" s="1"/>
  <c r="BQ101" i="35" s="1"/>
  <c r="BA103" i="35"/>
  <c r="BE103" i="35" s="1"/>
  <c r="BG103" i="35" s="1"/>
  <c r="BI103" i="35" s="1"/>
  <c r="BK103" i="35" s="1"/>
  <c r="BM103" i="35" s="1"/>
  <c r="BO103" i="35" s="1"/>
  <c r="BQ103" i="35" s="1"/>
  <c r="BA71" i="35"/>
  <c r="BE71" i="35" s="1"/>
  <c r="BG71" i="35" s="1"/>
  <c r="BI71" i="35" s="1"/>
  <c r="BK71" i="35" s="1"/>
  <c r="BM71" i="35" s="1"/>
  <c r="BO71" i="35" s="1"/>
  <c r="BQ71" i="35" s="1"/>
  <c r="BA99" i="35"/>
  <c r="BE99" i="35" s="1"/>
  <c r="BG99" i="35" s="1"/>
  <c r="BI99" i="35" s="1"/>
  <c r="BK99" i="35" s="1"/>
  <c r="BM99" i="35" s="1"/>
  <c r="BO99" i="35" s="1"/>
  <c r="BQ99" i="35" s="1"/>
  <c r="BA104" i="35"/>
  <c r="BE104" i="35" s="1"/>
  <c r="BG104" i="35" s="1"/>
  <c r="BI104" i="35" s="1"/>
  <c r="BK104" i="35" s="1"/>
  <c r="BM104" i="35" s="1"/>
  <c r="BO104" i="35" s="1"/>
  <c r="BQ104" i="35" s="1"/>
  <c r="BA7" i="35"/>
  <c r="BE7" i="35" s="1"/>
  <c r="BG7" i="35" s="1"/>
  <c r="BI7" i="35" s="1"/>
  <c r="BK7" i="35" s="1"/>
  <c r="BM7" i="35" s="1"/>
  <c r="BO7" i="35" s="1"/>
  <c r="BQ7" i="35" s="1"/>
  <c r="BA110" i="35"/>
  <c r="BE110" i="35" s="1"/>
  <c r="BG110" i="35" s="1"/>
  <c r="BI110" i="35" s="1"/>
  <c r="BK110" i="35" s="1"/>
  <c r="BM110" i="35" s="1"/>
  <c r="BO110" i="35" s="1"/>
  <c r="BQ110" i="35" s="1"/>
  <c r="BA95" i="35"/>
  <c r="BE95" i="35" s="1"/>
  <c r="BG95" i="35" s="1"/>
  <c r="BI95" i="35" s="1"/>
  <c r="BK95" i="35" s="1"/>
  <c r="BM95" i="35" s="1"/>
  <c r="BO95" i="35" s="1"/>
  <c r="BQ95" i="35" s="1"/>
  <c r="BA59" i="35"/>
  <c r="BE59" i="35" s="1"/>
  <c r="BG59" i="35" s="1"/>
  <c r="BI59" i="35" s="1"/>
  <c r="BK59" i="35" s="1"/>
  <c r="BM59" i="35" s="1"/>
  <c r="BO59" i="35" s="1"/>
  <c r="BQ59" i="35" s="1"/>
  <c r="BA94" i="35"/>
  <c r="AZ62" i="35"/>
  <c r="BA107" i="35"/>
  <c r="BE107" i="35" s="1"/>
  <c r="BG107" i="35" s="1"/>
  <c r="BI107" i="35" s="1"/>
  <c r="BK107" i="35" s="1"/>
  <c r="BM107" i="35" s="1"/>
  <c r="BO107" i="35" s="1"/>
  <c r="BQ107" i="35" s="1"/>
  <c r="AZ105" i="35"/>
  <c r="AX108" i="35"/>
  <c r="AX118" i="35"/>
  <c r="AZ118" i="35" s="1"/>
  <c r="AX102" i="35"/>
  <c r="AX111" i="35"/>
  <c r="AZ111" i="35" s="1"/>
  <c r="AX122" i="35"/>
  <c r="AZ122" i="35" s="1"/>
  <c r="AX25" i="35"/>
  <c r="AZ25" i="35" s="1"/>
  <c r="AX93" i="35"/>
  <c r="AZ93" i="35" s="1"/>
  <c r="AX109" i="35"/>
  <c r="AZ109" i="35" s="1"/>
  <c r="AR119" i="35"/>
  <c r="EA119" i="35" s="1"/>
  <c r="AR128" i="35"/>
  <c r="EA128" i="35" s="1"/>
  <c r="AR126" i="35"/>
  <c r="EA126" i="35" s="1"/>
  <c r="AR98" i="35"/>
  <c r="AR113" i="35"/>
  <c r="EA113" i="35" s="1"/>
  <c r="AR117" i="35"/>
  <c r="EA117" i="35" s="1"/>
  <c r="AR116" i="35"/>
  <c r="EA116" i="35" s="1"/>
  <c r="AR120" i="35"/>
  <c r="AR127" i="35"/>
  <c r="EA127" i="35" s="1"/>
  <c r="AR115" i="35"/>
  <c r="EA115" i="35" s="1"/>
  <c r="AR114" i="35"/>
  <c r="EA114" i="35" s="1"/>
  <c r="AR124" i="35"/>
  <c r="EA124" i="35" s="1"/>
  <c r="AR123" i="35"/>
  <c r="AV109" i="35"/>
  <c r="EK109" i="35" s="1"/>
  <c r="EJ109" i="35" s="1"/>
  <c r="AR121" i="35"/>
  <c r="EA121" i="35" s="1"/>
  <c r="AR112" i="35"/>
  <c r="EA112" i="35" s="1"/>
  <c r="EK106" i="35"/>
  <c r="EJ106" i="35" s="1"/>
  <c r="AV102" i="35"/>
  <c r="EL102" i="35" s="1"/>
  <c r="AV108" i="35"/>
  <c r="EK108" i="35" s="1"/>
  <c r="EJ108" i="35" s="1"/>
  <c r="Q116" i="22"/>
  <c r="B139" i="22"/>
  <c r="EK88" i="35"/>
  <c r="EJ88" i="35" s="1"/>
  <c r="EL65" i="35"/>
  <c r="EL97" i="35"/>
  <c r="EL62" i="35"/>
  <c r="EK62" i="35"/>
  <c r="EJ62" i="35" s="1"/>
  <c r="AV93" i="35"/>
  <c r="EL93" i="35" s="1"/>
  <c r="AU98" i="35"/>
  <c r="AW98" i="35" s="1"/>
  <c r="AP137" i="35"/>
  <c r="AQ137" i="35" s="1"/>
  <c r="EK107" i="35"/>
  <c r="EJ107" i="35" s="1"/>
  <c r="EL107" i="35"/>
  <c r="AP146" i="35"/>
  <c r="AQ146" i="35" s="1"/>
  <c r="AU125" i="35"/>
  <c r="AW125" i="35" s="1"/>
  <c r="EA125" i="35"/>
  <c r="AP135" i="35"/>
  <c r="AQ135" i="35" s="1"/>
  <c r="AU113" i="35"/>
  <c r="AW113" i="35" s="1"/>
  <c r="AP141" i="35"/>
  <c r="AQ141" i="35" s="1"/>
  <c r="AP129" i="35"/>
  <c r="AQ129" i="35" s="1"/>
  <c r="AU120" i="35"/>
  <c r="AW120" i="35" s="1"/>
  <c r="Y20" i="38"/>
  <c r="Y19" i="38"/>
  <c r="AA20" i="38"/>
  <c r="W18" i="38" s="1"/>
  <c r="W19" i="38" s="1"/>
  <c r="W20" i="38" s="1"/>
  <c r="W21" i="38" s="1"/>
  <c r="W22" i="38" s="1"/>
  <c r="W23" i="38" s="1"/>
  <c r="W24" i="38" s="1"/>
  <c r="W25" i="38" s="1"/>
  <c r="W26" i="38" s="1"/>
  <c r="W27" i="38" s="1"/>
  <c r="W28" i="38" s="1"/>
  <c r="W29" i="38" s="1"/>
  <c r="W30" i="38" s="1"/>
  <c r="W31" i="38" s="1"/>
  <c r="W32" i="38" s="1"/>
  <c r="W33" i="38" s="1"/>
  <c r="W34" i="38" s="1"/>
  <c r="W35" i="38" s="1"/>
  <c r="W36" i="38" s="1"/>
  <c r="W37" i="38" s="1"/>
  <c r="W38" i="38" s="1"/>
  <c r="W39" i="38" s="1"/>
  <c r="W40" i="38" s="1"/>
  <c r="W41" i="38" s="1"/>
  <c r="W42" i="38" s="1"/>
  <c r="W43" i="38" s="1"/>
  <c r="W44" i="38" s="1"/>
  <c r="W45" i="38" s="1"/>
  <c r="W46" i="38" s="1"/>
  <c r="W47" i="38" s="1"/>
  <c r="W48" i="38" s="1"/>
  <c r="W49" i="38" s="1"/>
  <c r="W50" i="38" s="1"/>
  <c r="W51" i="38" s="1"/>
  <c r="W52" i="38" s="1"/>
  <c r="W53" i="38" s="1"/>
  <c r="W54" i="38" s="1"/>
  <c r="W55" i="38" s="1"/>
  <c r="W56" i="38" s="1"/>
  <c r="W57" i="38" s="1"/>
  <c r="W58" i="38" s="1"/>
  <c r="W59" i="38" s="1"/>
  <c r="W60" i="38" s="1"/>
  <c r="W61" i="38" s="1"/>
  <c r="W62" i="38" s="1"/>
  <c r="E9" i="8"/>
  <c r="O9" i="8" s="1"/>
  <c r="E8" i="38"/>
  <c r="N8" i="38" s="1"/>
  <c r="F25" i="34"/>
  <c r="N17" i="34" s="1"/>
  <c r="F25" i="38"/>
  <c r="AK145" i="35"/>
  <c r="AO145" i="35" s="1"/>
  <c r="AK133" i="35"/>
  <c r="AO133" i="35" s="1"/>
  <c r="AK132" i="35"/>
  <c r="AO132" i="35" s="1"/>
  <c r="AK143" i="35"/>
  <c r="AO143" i="35" s="1"/>
  <c r="AK140" i="35"/>
  <c r="AO140" i="35" s="1"/>
  <c r="AK138" i="35"/>
  <c r="AO138" i="35" s="1"/>
  <c r="AK142" i="35"/>
  <c r="AO142" i="35" s="1"/>
  <c r="AK131" i="35"/>
  <c r="AO131" i="35" s="1"/>
  <c r="AK144" i="35"/>
  <c r="AO144" i="35" s="1"/>
  <c r="AK139" i="35"/>
  <c r="AO139" i="35" s="1"/>
  <c r="AK130" i="35"/>
  <c r="AO130" i="35" s="1"/>
  <c r="AK136" i="35"/>
  <c r="AO136" i="35" s="1"/>
  <c r="AK134" i="35"/>
  <c r="AO134" i="35" s="1"/>
  <c r="E8" i="33"/>
  <c r="O8" i="33" s="1"/>
  <c r="E13" i="5"/>
  <c r="E13" i="39" s="1"/>
  <c r="N13" i="39" s="1"/>
  <c r="X13" i="39" s="1"/>
  <c r="N8" i="5"/>
  <c r="E8" i="23"/>
  <c r="N8" i="23" s="1"/>
  <c r="E8" i="10"/>
  <c r="N8" i="10" s="1"/>
  <c r="X8" i="10" s="1"/>
  <c r="E8" i="20"/>
  <c r="N8" i="20" s="1"/>
  <c r="E11" i="5"/>
  <c r="E11" i="39" s="1"/>
  <c r="N11" i="39" s="1"/>
  <c r="X11" i="39" s="1"/>
  <c r="D39" i="4"/>
  <c r="E9" i="7"/>
  <c r="E8" i="9"/>
  <c r="O8" i="9" s="1"/>
  <c r="E10" i="5"/>
  <c r="E10" i="39" s="1"/>
  <c r="N10" i="39" s="1"/>
  <c r="X10" i="39" s="1"/>
  <c r="E8" i="6"/>
  <c r="M8" i="6" s="1"/>
  <c r="E25" i="6"/>
  <c r="E29" i="6" s="1"/>
  <c r="E8" i="34"/>
  <c r="N8" i="34" s="1"/>
  <c r="E8" i="32"/>
  <c r="N8" i="32" s="1"/>
  <c r="E28" i="5"/>
  <c r="E8" i="24"/>
  <c r="E29" i="24" s="1"/>
  <c r="E24" i="24"/>
  <c r="E31" i="24" s="1"/>
  <c r="E26" i="7"/>
  <c r="E30" i="7" s="1"/>
  <c r="E30" i="5"/>
  <c r="AV122" i="35"/>
  <c r="EK122" i="35" s="1"/>
  <c r="EJ122" i="35" s="1"/>
  <c r="EK110" i="35"/>
  <c r="EJ110" i="35" s="1"/>
  <c r="EL101" i="35"/>
  <c r="EK99" i="35"/>
  <c r="EJ99" i="35" s="1"/>
  <c r="EL104" i="35"/>
  <c r="EK103" i="35"/>
  <c r="EJ103" i="35" s="1"/>
  <c r="AV118" i="35"/>
  <c r="EL118" i="35" s="1"/>
  <c r="EK100" i="35"/>
  <c r="EJ100" i="35" s="1"/>
  <c r="EL100" i="35"/>
  <c r="AU128" i="35"/>
  <c r="AW128" i="35" s="1"/>
  <c r="AU126" i="35"/>
  <c r="AW126" i="35" s="1"/>
  <c r="AU121" i="35"/>
  <c r="AW121" i="35" s="1"/>
  <c r="AU116" i="35"/>
  <c r="AW116" i="35" s="1"/>
  <c r="AU124" i="35"/>
  <c r="AW124" i="35" s="1"/>
  <c r="AV111" i="35"/>
  <c r="AU127" i="35"/>
  <c r="AW127" i="35" s="1"/>
  <c r="AU119" i="35"/>
  <c r="AW119" i="35" s="1"/>
  <c r="AU115" i="35"/>
  <c r="AW115" i="35" s="1"/>
  <c r="AU117" i="35"/>
  <c r="AW117" i="35" s="1"/>
  <c r="AU112" i="35"/>
  <c r="AW112" i="35" s="1"/>
  <c r="EL95" i="35"/>
  <c r="EK95" i="35"/>
  <c r="EJ95" i="35" s="1"/>
  <c r="EK105" i="35"/>
  <c r="EJ105" i="35" s="1"/>
  <c r="EL105" i="35"/>
  <c r="B51" i="37"/>
  <c r="AL21" i="37"/>
  <c r="AJ147" i="35"/>
  <c r="AE182" i="35"/>
  <c r="AF182" i="35" s="1"/>
  <c r="AI149" i="35"/>
  <c r="AJ149" i="35" s="1"/>
  <c r="AI161" i="35"/>
  <c r="AE173" i="35"/>
  <c r="AF173" i="35" s="1"/>
  <c r="AE172" i="35"/>
  <c r="AF172" i="35" s="1"/>
  <c r="AE166" i="35"/>
  <c r="AF166" i="35" s="1"/>
  <c r="AI160" i="35"/>
  <c r="AI163" i="35"/>
  <c r="AI164" i="35"/>
  <c r="AJ164" i="35" s="1"/>
  <c r="AE178" i="35"/>
  <c r="AF178" i="35" s="1"/>
  <c r="AE179" i="35"/>
  <c r="AF179" i="35" s="1"/>
  <c r="AI159" i="35"/>
  <c r="AI155" i="35"/>
  <c r="AJ155" i="35" s="1"/>
  <c r="AI153" i="35"/>
  <c r="AI156" i="35"/>
  <c r="AI154" i="35"/>
  <c r="AI158" i="35"/>
  <c r="AI148" i="35"/>
  <c r="AI162" i="35"/>
  <c r="AI152" i="35"/>
  <c r="AJ152" i="35" s="1"/>
  <c r="AE150" i="35"/>
  <c r="AF150" i="35" s="1"/>
  <c r="AE175" i="35"/>
  <c r="AF175" i="35" s="1"/>
  <c r="AE171" i="35"/>
  <c r="AF171" i="35" s="1"/>
  <c r="AE177" i="35"/>
  <c r="AF177" i="35" s="1"/>
  <c r="AI151" i="35"/>
  <c r="AE174" i="35"/>
  <c r="AF174" i="35" s="1"/>
  <c r="AI157" i="35"/>
  <c r="AE176" i="35"/>
  <c r="AF176" i="35" s="1"/>
  <c r="AE167" i="35"/>
  <c r="AF167" i="35" s="1"/>
  <c r="AC183" i="35"/>
  <c r="AD183" i="35" s="1"/>
  <c r="AE181" i="35"/>
  <c r="AF181" i="35" s="1"/>
  <c r="AE169" i="35"/>
  <c r="AF169" i="35" s="1"/>
  <c r="AE168" i="35"/>
  <c r="AF168" i="35" s="1"/>
  <c r="AE170" i="35"/>
  <c r="AF170" i="35" s="1"/>
  <c r="Y199" i="35"/>
  <c r="AA199" i="35" s="1"/>
  <c r="AB199" i="35" s="1"/>
  <c r="Y198" i="35"/>
  <c r="AA198" i="35" s="1"/>
  <c r="AB198" i="35" s="1"/>
  <c r="Y190" i="35"/>
  <c r="AA190" i="35" s="1"/>
  <c r="AB190" i="35" s="1"/>
  <c r="Y189" i="35"/>
  <c r="AA189" i="35" s="1"/>
  <c r="AB189" i="35" s="1"/>
  <c r="Y192" i="35"/>
  <c r="AA192" i="35" s="1"/>
  <c r="AB192" i="35" s="1"/>
  <c r="Y191" i="35"/>
  <c r="AA191" i="35" s="1"/>
  <c r="AB191" i="35" s="1"/>
  <c r="Y188" i="35"/>
  <c r="AA188" i="35" s="1"/>
  <c r="AB188" i="35" s="1"/>
  <c r="Y197" i="35"/>
  <c r="AA197" i="35" s="1"/>
  <c r="AB197" i="35" s="1"/>
  <c r="Y186" i="35"/>
  <c r="AA186" i="35" s="1"/>
  <c r="AB186" i="35" s="1"/>
  <c r="Y201" i="35"/>
  <c r="Y196" i="35"/>
  <c r="AA196" i="35" s="1"/>
  <c r="AB196" i="35" s="1"/>
  <c r="Y185" i="35"/>
  <c r="AA185" i="35" s="1"/>
  <c r="AB185" i="35" s="1"/>
  <c r="Y195" i="35"/>
  <c r="AA195" i="35" s="1"/>
  <c r="AB195" i="35" s="1"/>
  <c r="Y194" i="35"/>
  <c r="AA194" i="35" s="1"/>
  <c r="AB194" i="35" s="1"/>
  <c r="Y187" i="35"/>
  <c r="AA187" i="35" s="1"/>
  <c r="AB187" i="35" s="1"/>
  <c r="Y193" i="35"/>
  <c r="AA193" i="35" s="1"/>
  <c r="AB193" i="35" s="1"/>
  <c r="Y200" i="35"/>
  <c r="AA200" i="35" s="1"/>
  <c r="AB200" i="35" s="1"/>
  <c r="AA184" i="35"/>
  <c r="AB184" i="35" s="1"/>
  <c r="AE180" i="35"/>
  <c r="AF180" i="35" s="1"/>
  <c r="AG165" i="35"/>
  <c r="AH165" i="35" s="1"/>
  <c r="B113" i="22"/>
  <c r="P88" i="22"/>
  <c r="Q100" i="22"/>
  <c r="B116" i="22"/>
  <c r="B146" i="22"/>
  <c r="Q139" i="22"/>
  <c r="B134" i="22"/>
  <c r="Q154" i="22"/>
  <c r="B75" i="22"/>
  <c r="P159" i="22"/>
  <c r="R159" i="22" s="1"/>
  <c r="B155" i="22"/>
  <c r="P75" i="22"/>
  <c r="R75" i="22" s="1"/>
  <c r="T75" i="22" s="1"/>
  <c r="Y75" i="22" s="1"/>
  <c r="B88" i="22"/>
  <c r="P70" i="22"/>
  <c r="Q70" i="22"/>
  <c r="B23" i="22"/>
  <c r="P44" i="22"/>
  <c r="B107" i="22"/>
  <c r="P140" i="22"/>
  <c r="B100" i="22"/>
  <c r="P50" i="22"/>
  <c r="P163" i="22"/>
  <c r="P107" i="22"/>
  <c r="R107" i="22" s="1"/>
  <c r="Q28" i="22"/>
  <c r="B163" i="22"/>
  <c r="B53" i="22"/>
  <c r="B28" i="22"/>
  <c r="P37" i="22"/>
  <c r="Q147" i="22"/>
  <c r="R147" i="22" s="1"/>
  <c r="T147" i="22" s="1"/>
  <c r="Q39" i="22"/>
  <c r="B37" i="22"/>
  <c r="Q90" i="22"/>
  <c r="R90" i="22" s="1"/>
  <c r="T90" i="22" s="1"/>
  <c r="P78" i="22"/>
  <c r="B69" i="22"/>
  <c r="P53" i="22"/>
  <c r="Q163" i="22"/>
  <c r="B9" i="22"/>
  <c r="P34" i="22"/>
  <c r="P17" i="22"/>
  <c r="Q113" i="22"/>
  <c r="B159" i="22"/>
  <c r="B34" i="22"/>
  <c r="P141" i="22"/>
  <c r="Q34" i="22"/>
  <c r="B125" i="22"/>
  <c r="B13" i="22"/>
  <c r="P83" i="22"/>
  <c r="Q63" i="22"/>
  <c r="P125" i="22"/>
  <c r="Q30" i="22"/>
  <c r="B160" i="22"/>
  <c r="P30" i="22"/>
  <c r="Q99" i="22"/>
  <c r="Q87" i="22"/>
  <c r="Q57" i="22"/>
  <c r="P99" i="22"/>
  <c r="B16" i="22"/>
  <c r="B20" i="22"/>
  <c r="Q164" i="22"/>
  <c r="B17" i="22"/>
  <c r="B24" i="22"/>
  <c r="B62" i="22"/>
  <c r="P24" i="22"/>
  <c r="R24" i="22" s="1"/>
  <c r="T24" i="22" s="1"/>
  <c r="P100" i="22"/>
  <c r="Q129" i="22"/>
  <c r="R129" i="22" s="1"/>
  <c r="T129" i="22" s="1"/>
  <c r="Q122" i="22"/>
  <c r="P20" i="22"/>
  <c r="R20" i="22" s="1"/>
  <c r="T20" i="22" s="1"/>
  <c r="Y20" i="22" s="1"/>
  <c r="B158" i="22"/>
  <c r="Q158" i="22"/>
  <c r="R158" i="22" s="1"/>
  <c r="Q62" i="22"/>
  <c r="R62" i="22" s="1"/>
  <c r="Q69" i="22"/>
  <c r="R69" i="22" s="1"/>
  <c r="Q45" i="22"/>
  <c r="P13" i="22"/>
  <c r="P10" i="22"/>
  <c r="B39" i="22"/>
  <c r="P28" i="22"/>
  <c r="R28" i="22" s="1"/>
  <c r="B45" i="22"/>
  <c r="B147" i="22"/>
  <c r="Q140" i="22"/>
  <c r="P39" i="22"/>
  <c r="P56" i="22"/>
  <c r="Q102" i="22"/>
  <c r="P106" i="22"/>
  <c r="R106" i="22" s="1"/>
  <c r="T106" i="22" s="1"/>
  <c r="Y106" i="22" s="1"/>
  <c r="P102" i="22"/>
  <c r="B102" i="22"/>
  <c r="P72" i="22"/>
  <c r="Q14" i="22"/>
  <c r="B85" i="22"/>
  <c r="P85" i="22"/>
  <c r="B135" i="22"/>
  <c r="B115" i="22"/>
  <c r="Q135" i="22"/>
  <c r="B31" i="22"/>
  <c r="B133" i="22"/>
  <c r="B78" i="22"/>
  <c r="Q49" i="22"/>
  <c r="B166" i="22"/>
  <c r="Q162" i="22"/>
  <c r="B95" i="22"/>
  <c r="B49" i="22"/>
  <c r="P49" i="22"/>
  <c r="P162" i="22"/>
  <c r="P142" i="22"/>
  <c r="B129" i="22"/>
  <c r="B90" i="22"/>
  <c r="Q95" i="22"/>
  <c r="P113" i="22"/>
  <c r="Q31" i="22"/>
  <c r="P31" i="22"/>
  <c r="B40" i="22"/>
  <c r="B148" i="22"/>
  <c r="P9" i="22"/>
  <c r="R9" i="22" s="1"/>
  <c r="B140" i="22"/>
  <c r="B21" i="22"/>
  <c r="Q148" i="22"/>
  <c r="Q133" i="22"/>
  <c r="Q50" i="22"/>
  <c r="Q33" i="22"/>
  <c r="P23" i="22"/>
  <c r="R23" i="22" s="1"/>
  <c r="B104" i="22"/>
  <c r="P21" i="22"/>
  <c r="Q37" i="22"/>
  <c r="B26" i="22"/>
  <c r="P151" i="22"/>
  <c r="P29" i="22"/>
  <c r="B138" i="22"/>
  <c r="P63" i="22"/>
  <c r="Q155" i="22"/>
  <c r="Q83" i="22"/>
  <c r="P138" i="22"/>
  <c r="R138" i="22" s="1"/>
  <c r="T138" i="22" s="1"/>
  <c r="Y138" i="22" s="1"/>
  <c r="P155" i="22"/>
  <c r="B76" i="22"/>
  <c r="B29" i="22"/>
  <c r="Q132" i="22"/>
  <c r="P65" i="22"/>
  <c r="P26" i="22"/>
  <c r="Q25" i="22"/>
  <c r="Q81" i="22"/>
  <c r="Q26" i="22"/>
  <c r="B77" i="22"/>
  <c r="P52" i="22"/>
  <c r="P115" i="22"/>
  <c r="Q61" i="22"/>
  <c r="Q121" i="22"/>
  <c r="Q12" i="22"/>
  <c r="P61" i="22"/>
  <c r="B124" i="22"/>
  <c r="B46" i="22"/>
  <c r="P96" i="22"/>
  <c r="P110" i="22"/>
  <c r="Q77" i="22"/>
  <c r="R77" i="22" s="1"/>
  <c r="Q146" i="22"/>
  <c r="B51" i="22"/>
  <c r="B118" i="22"/>
  <c r="Q124" i="22"/>
  <c r="P12" i="22"/>
  <c r="Q128" i="22"/>
  <c r="P14" i="22"/>
  <c r="Q43" i="22"/>
  <c r="B19" i="22"/>
  <c r="P73" i="22"/>
  <c r="R73" i="22" s="1"/>
  <c r="T73" i="22" s="1"/>
  <c r="Y73" i="22" s="1"/>
  <c r="B55" i="22"/>
  <c r="P112" i="22"/>
  <c r="Q161" i="22"/>
  <c r="B80" i="22"/>
  <c r="Q86" i="22"/>
  <c r="Q15" i="22"/>
  <c r="R15" i="22" s="1"/>
  <c r="T15" i="22" s="1"/>
  <c r="V15" i="22" s="1"/>
  <c r="P35" i="22"/>
  <c r="B84" i="22"/>
  <c r="P59" i="22"/>
  <c r="B48" i="22"/>
  <c r="B123" i="22"/>
  <c r="P80" i="22"/>
  <c r="B32" i="22"/>
  <c r="Q131" i="22"/>
  <c r="Q46" i="22"/>
  <c r="Q105" i="22"/>
  <c r="Q152" i="22"/>
  <c r="R152" i="22" s="1"/>
  <c r="T152" i="22" s="1"/>
  <c r="Y152" i="22" s="1"/>
  <c r="Z152" i="22" s="1"/>
  <c r="Q98" i="22"/>
  <c r="R36" i="22"/>
  <c r="T36" i="22" s="1"/>
  <c r="Y36" i="22" s="1"/>
  <c r="B15" i="22"/>
  <c r="B43" i="22"/>
  <c r="B35" i="22"/>
  <c r="P32" i="22"/>
  <c r="P131" i="22"/>
  <c r="P46" i="22"/>
  <c r="P105" i="22"/>
  <c r="P109" i="22"/>
  <c r="Q103" i="22"/>
  <c r="B68" i="22"/>
  <c r="P98" i="22"/>
  <c r="P114" i="22"/>
  <c r="R114" i="22" s="1"/>
  <c r="T114" i="22" s="1"/>
  <c r="Y114" i="22" s="1"/>
  <c r="Z114" i="22" s="1"/>
  <c r="P48" i="22"/>
  <c r="Q130" i="22"/>
  <c r="B8" i="22"/>
  <c r="B94" i="22"/>
  <c r="P54" i="22"/>
  <c r="P103" i="22"/>
  <c r="Q16" i="22"/>
  <c r="Q117" i="22"/>
  <c r="P130" i="22"/>
  <c r="Q84" i="22"/>
  <c r="Q19" i="22"/>
  <c r="P8" i="22"/>
  <c r="B109" i="22"/>
  <c r="B54" i="22"/>
  <c r="P16" i="22"/>
  <c r="P123" i="22"/>
  <c r="R123" i="22" s="1"/>
  <c r="Q94" i="22"/>
  <c r="R94" i="22" s="1"/>
  <c r="P153" i="22"/>
  <c r="P117" i="22"/>
  <c r="P84" i="22"/>
  <c r="P19" i="22"/>
  <c r="Q8" i="22"/>
  <c r="B152" i="22"/>
  <c r="B64" i="22"/>
  <c r="P43" i="22"/>
  <c r="B93" i="22"/>
  <c r="Q59" i="22"/>
  <c r="P68" i="22"/>
  <c r="B59" i="22"/>
  <c r="B156" i="22"/>
  <c r="P160" i="22"/>
  <c r="Q141" i="22"/>
  <c r="Q150" i="22"/>
  <c r="P41" i="22"/>
  <c r="P150" i="22"/>
  <c r="Q92" i="22"/>
  <c r="Q79" i="22"/>
  <c r="P91" i="22"/>
  <c r="P79" i="22"/>
  <c r="P122" i="22"/>
  <c r="P87" i="22"/>
  <c r="B91" i="22"/>
  <c r="B122" i="22"/>
  <c r="P45" i="22"/>
  <c r="B108" i="22"/>
  <c r="B112" i="22"/>
  <c r="B74" i="22"/>
  <c r="P47" i="22"/>
  <c r="R47" i="22" s="1"/>
  <c r="P121" i="22"/>
  <c r="Q110" i="22"/>
  <c r="P60" i="22"/>
  <c r="Q108" i="22"/>
  <c r="Q52" i="22"/>
  <c r="Q74" i="22"/>
  <c r="Q10" i="22"/>
  <c r="B41" i="22"/>
  <c r="B47" i="22"/>
  <c r="P108" i="22"/>
  <c r="B136" i="22"/>
  <c r="P55" i="22"/>
  <c r="Q41" i="22"/>
  <c r="B96" i="22"/>
  <c r="B97" i="22"/>
  <c r="B130" i="22"/>
  <c r="B58" i="22"/>
  <c r="B73" i="22"/>
  <c r="B165" i="22"/>
  <c r="Q136" i="22"/>
  <c r="Q120" i="22"/>
  <c r="Q71" i="22"/>
  <c r="Q66" i="22"/>
  <c r="P11" i="22"/>
  <c r="B120" i="22"/>
  <c r="B14" i="22"/>
  <c r="B66" i="22"/>
  <c r="B18" i="22"/>
  <c r="P136" i="22"/>
  <c r="P71" i="22"/>
  <c r="P66" i="22"/>
  <c r="P18" i="22"/>
  <c r="Q118" i="22"/>
  <c r="R118" i="22" s="1"/>
  <c r="T118" i="22" s="1"/>
  <c r="B60" i="22"/>
  <c r="P74" i="22"/>
  <c r="Q60" i="22"/>
  <c r="Q18" i="22"/>
  <c r="B142" i="22"/>
  <c r="B65" i="22"/>
  <c r="P143" i="22"/>
  <c r="P89" i="22"/>
  <c r="B106" i="22"/>
  <c r="P25" i="22"/>
  <c r="Q76" i="22"/>
  <c r="R76" i="22" s="1"/>
  <c r="Q104" i="22"/>
  <c r="R104" i="22" s="1"/>
  <c r="T104" i="22" s="1"/>
  <c r="Q151" i="22"/>
  <c r="R151" i="22" s="1"/>
  <c r="T151" i="22" s="1"/>
  <c r="V151" i="22" s="1"/>
  <c r="Q143" i="22"/>
  <c r="B132" i="22"/>
  <c r="B56" i="22"/>
  <c r="B38" i="22"/>
  <c r="Q72" i="22"/>
  <c r="Q56" i="22"/>
  <c r="Q65" i="22"/>
  <c r="Q11" i="22"/>
  <c r="P33" i="22"/>
  <c r="P165" i="22"/>
  <c r="P132" i="22"/>
  <c r="P81" i="22"/>
  <c r="P40" i="22"/>
  <c r="B44" i="22"/>
  <c r="P137" i="22"/>
  <c r="P144" i="22"/>
  <c r="Q22" i="22"/>
  <c r="B81" i="22"/>
  <c r="B33" i="22"/>
  <c r="B145" i="22"/>
  <c r="Q145" i="22"/>
  <c r="R145" i="22" s="1"/>
  <c r="T145" i="22" s="1"/>
  <c r="Y145" i="22" s="1"/>
  <c r="P128" i="22"/>
  <c r="P27" i="22"/>
  <c r="R27" i="22" s="1"/>
  <c r="T27" i="22" s="1"/>
  <c r="B92" i="22"/>
  <c r="B164" i="22"/>
  <c r="B157" i="22"/>
  <c r="B114" i="22"/>
  <c r="B27" i="22"/>
  <c r="B149" i="22"/>
  <c r="Q149" i="22"/>
  <c r="Q51" i="22"/>
  <c r="R51" i="22" s="1"/>
  <c r="T51" i="22" s="1"/>
  <c r="Y51" i="22" s="1"/>
  <c r="Q64" i="22"/>
  <c r="P82" i="22"/>
  <c r="R82" i="22" s="1"/>
  <c r="T82" i="22" s="1"/>
  <c r="V82" i="22" s="1"/>
  <c r="X82" i="22" s="1"/>
  <c r="P92" i="22"/>
  <c r="P164" i="22"/>
  <c r="B161" i="22"/>
  <c r="B82" i="22"/>
  <c r="P149" i="22"/>
  <c r="P156" i="22"/>
  <c r="R156" i="22" s="1"/>
  <c r="Q58" i="22"/>
  <c r="Q97" i="22"/>
  <c r="P126" i="22"/>
  <c r="Q157" i="22"/>
  <c r="Q111" i="22"/>
  <c r="Q42" i="22"/>
  <c r="R42" i="22" s="1"/>
  <c r="T42" i="22" s="1"/>
  <c r="B42" i="22"/>
  <c r="B86" i="22"/>
  <c r="B126" i="22"/>
  <c r="P161" i="22"/>
  <c r="P157" i="22"/>
  <c r="P111" i="22"/>
  <c r="B153" i="22"/>
  <c r="P93" i="22"/>
  <c r="R93" i="22" s="1"/>
  <c r="T93" i="22" s="1"/>
  <c r="Q166" i="22"/>
  <c r="B137" i="22"/>
  <c r="P101" i="22"/>
  <c r="B127" i="22"/>
  <c r="Q127" i="22"/>
  <c r="Q119" i="22"/>
  <c r="B144" i="22"/>
  <c r="P127" i="22"/>
  <c r="B22" i="22"/>
  <c r="B101" i="22"/>
  <c r="Q89" i="22"/>
  <c r="P119" i="22"/>
  <c r="P38" i="22"/>
  <c r="R38" i="22" s="1"/>
  <c r="T38" i="22" s="1"/>
  <c r="Y38" i="22" s="1"/>
  <c r="R13" i="22"/>
  <c r="T13" i="22" s="1"/>
  <c r="Y13" i="22" s="1"/>
  <c r="Q67" i="22"/>
  <c r="P67" i="22"/>
  <c r="P57" i="22"/>
  <c r="R17" i="22"/>
  <c r="B57" i="22"/>
  <c r="R44" i="22"/>
  <c r="R116" i="22"/>
  <c r="R134" i="22"/>
  <c r="T134" i="22" s="1"/>
  <c r="Y134" i="22" s="1"/>
  <c r="R88" i="22"/>
  <c r="R167" i="22"/>
  <c r="T167" i="22" s="1"/>
  <c r="Y167" i="22" s="1"/>
  <c r="F26" i="10"/>
  <c r="N17" i="10" s="1"/>
  <c r="F26" i="33"/>
  <c r="O17" i="33" s="1"/>
  <c r="Y7" i="22"/>
  <c r="F27" i="8"/>
  <c r="O18" i="8" s="1"/>
  <c r="F27" i="7"/>
  <c r="F26" i="6"/>
  <c r="F26" i="9"/>
  <c r="O17" i="9" s="1"/>
  <c r="N17" i="5"/>
  <c r="F25" i="23"/>
  <c r="N17" i="23" s="1"/>
  <c r="F25" i="32"/>
  <c r="N17" i="32" s="1"/>
  <c r="CG34" i="35" l="1"/>
  <c r="CH34" i="35" s="1"/>
  <c r="H34" i="19" s="1"/>
  <c r="Z34" i="19" s="1"/>
  <c r="EB30" i="35"/>
  <c r="CI30" i="35"/>
  <c r="CG14" i="35"/>
  <c r="CH14" i="35" s="1"/>
  <c r="H14" i="19" s="1"/>
  <c r="Z14" i="19" s="1"/>
  <c r="CB8" i="35"/>
  <c r="CJ8" i="35"/>
  <c r="CK8" i="35"/>
  <c r="I8" i="19" s="1"/>
  <c r="AA8" i="19" s="1"/>
  <c r="FA8" i="35"/>
  <c r="H8" i="19"/>
  <c r="Z8" i="19" s="1"/>
  <c r="CI34" i="35"/>
  <c r="EB34" i="35"/>
  <c r="BZ49" i="35"/>
  <c r="CA49" i="35" s="1"/>
  <c r="CG49" i="35" s="1"/>
  <c r="CH49" i="35" s="1"/>
  <c r="H49" i="19" s="1"/>
  <c r="Z49" i="19" s="1"/>
  <c r="BZ84" i="35"/>
  <c r="CA84" i="35" s="1"/>
  <c r="CB84" i="35" s="1"/>
  <c r="BZ37" i="35"/>
  <c r="CA37" i="35" s="1"/>
  <c r="CB37" i="35" s="1"/>
  <c r="BZ23" i="35"/>
  <c r="CA23" i="35" s="1"/>
  <c r="CG23" i="35" s="1"/>
  <c r="CH23" i="35" s="1"/>
  <c r="BZ12" i="35"/>
  <c r="CA12" i="35" s="1"/>
  <c r="CB12" i="35" s="1"/>
  <c r="EB12" i="35" s="1"/>
  <c r="BZ60" i="35"/>
  <c r="CA60" i="35" s="1"/>
  <c r="CG60" i="35" s="1"/>
  <c r="CH60" i="35" s="1"/>
  <c r="BZ32" i="35"/>
  <c r="CA32" i="35" s="1"/>
  <c r="CG32" i="35" s="1"/>
  <c r="CH32" i="35" s="1"/>
  <c r="BZ53" i="35"/>
  <c r="CA53" i="35" s="1"/>
  <c r="CG53" i="35" s="1"/>
  <c r="CH53" i="35" s="1"/>
  <c r="BZ21" i="35"/>
  <c r="CA21" i="35" s="1"/>
  <c r="CB21" i="35" s="1"/>
  <c r="BZ20" i="35"/>
  <c r="CA20" i="35" s="1"/>
  <c r="CG20" i="35" s="1"/>
  <c r="CH20" i="35" s="1"/>
  <c r="BZ68" i="35"/>
  <c r="CA68" i="35" s="1"/>
  <c r="CG68" i="35" s="1"/>
  <c r="CH68" i="35" s="1"/>
  <c r="BZ50" i="35"/>
  <c r="CA50" i="35" s="1"/>
  <c r="CG50" i="35" s="1"/>
  <c r="CH50" i="35" s="1"/>
  <c r="BZ57" i="35"/>
  <c r="CA57" i="35" s="1"/>
  <c r="CG57" i="35" s="1"/>
  <c r="CH57" i="35" s="1"/>
  <c r="BZ31" i="35"/>
  <c r="CA31" i="35" s="1"/>
  <c r="CB31" i="35" s="1"/>
  <c r="CI16" i="35"/>
  <c r="BZ70" i="35"/>
  <c r="CA70" i="35" s="1"/>
  <c r="CB70" i="35" s="1"/>
  <c r="BZ17" i="35"/>
  <c r="CA17" i="35" s="1"/>
  <c r="CB17" i="35" s="1"/>
  <c r="BZ58" i="35"/>
  <c r="CA58" i="35" s="1"/>
  <c r="CG58" i="35" s="1"/>
  <c r="CH58" i="35" s="1"/>
  <c r="H58" i="19" s="1"/>
  <c r="Z58" i="19" s="1"/>
  <c r="BZ33" i="35"/>
  <c r="CA33" i="35" s="1"/>
  <c r="CB33" i="35" s="1"/>
  <c r="BZ45" i="35"/>
  <c r="CA45" i="35" s="1"/>
  <c r="CB45" i="35" s="1"/>
  <c r="BZ29" i="35"/>
  <c r="CA29" i="35" s="1"/>
  <c r="CB29" i="35" s="1"/>
  <c r="BZ28" i="35"/>
  <c r="CA28" i="35" s="1"/>
  <c r="CG28" i="35" s="1"/>
  <c r="CH28" i="35" s="1"/>
  <c r="CJ28" i="35" s="1"/>
  <c r="BZ11" i="35"/>
  <c r="CA11" i="35" s="1"/>
  <c r="CG11" i="35" s="1"/>
  <c r="CH11" i="35" s="1"/>
  <c r="BZ9" i="35"/>
  <c r="CA9" i="35" s="1"/>
  <c r="CB9" i="35" s="1"/>
  <c r="BZ67" i="35"/>
  <c r="CA67" i="35" s="1"/>
  <c r="CB67" i="35" s="1"/>
  <c r="EB67" i="35" s="1"/>
  <c r="BZ41" i="35"/>
  <c r="CA41" i="35" s="1"/>
  <c r="CG41" i="35" s="1"/>
  <c r="CH41" i="35" s="1"/>
  <c r="CI14" i="35"/>
  <c r="EB14" i="35"/>
  <c r="CA42" i="35"/>
  <c r="CG42" i="35" s="1"/>
  <c r="CH42" i="35" s="1"/>
  <c r="CA18" i="35"/>
  <c r="CB18" i="35" s="1"/>
  <c r="EB18" i="35" s="1"/>
  <c r="H16" i="19"/>
  <c r="Z16" i="19" s="1"/>
  <c r="FA16" i="35"/>
  <c r="CB32" i="35"/>
  <c r="EB32" i="35" s="1"/>
  <c r="CB60" i="35"/>
  <c r="CI60" i="35" s="1"/>
  <c r="H30" i="19"/>
  <c r="Z30" i="19" s="1"/>
  <c r="CJ30" i="35"/>
  <c r="CL30" i="35" s="1"/>
  <c r="CZ30" i="35" s="1"/>
  <c r="W30" i="19" s="1"/>
  <c r="FA34" i="35"/>
  <c r="FA30" i="35"/>
  <c r="CB42" i="35"/>
  <c r="CI42" i="35" s="1"/>
  <c r="BX39" i="35"/>
  <c r="EB8" i="35"/>
  <c r="CI8" i="35"/>
  <c r="CB50" i="35"/>
  <c r="EB50" i="35" s="1"/>
  <c r="BX85" i="35"/>
  <c r="BX40" i="35"/>
  <c r="BX69" i="35"/>
  <c r="BX74" i="35"/>
  <c r="CB57" i="35"/>
  <c r="BX52" i="35"/>
  <c r="BX55" i="35"/>
  <c r="CK14" i="35"/>
  <c r="BX10" i="35"/>
  <c r="CG31" i="35"/>
  <c r="CH31" i="35" s="1"/>
  <c r="CJ31" i="35" s="1"/>
  <c r="CK34" i="35"/>
  <c r="CG21" i="35"/>
  <c r="CH21" i="35" s="1"/>
  <c r="FA21" i="35" s="1"/>
  <c r="BX54" i="35"/>
  <c r="BX73" i="35"/>
  <c r="BX91" i="35"/>
  <c r="BX86" i="35"/>
  <c r="BX27" i="35"/>
  <c r="BX56" i="35"/>
  <c r="BX90" i="35"/>
  <c r="BX66" i="35"/>
  <c r="BX24" i="35"/>
  <c r="BX38" i="35"/>
  <c r="CB49" i="35"/>
  <c r="FA14" i="35"/>
  <c r="BX82" i="35"/>
  <c r="BX76" i="35"/>
  <c r="BX48" i="35"/>
  <c r="CG45" i="35"/>
  <c r="CH45" i="35" s="1"/>
  <c r="H45" i="19" s="1"/>
  <c r="Z45" i="19" s="1"/>
  <c r="CJ14" i="35"/>
  <c r="BX89" i="35"/>
  <c r="BX19" i="35"/>
  <c r="BX22" i="35"/>
  <c r="BX47" i="35"/>
  <c r="BX44" i="35"/>
  <c r="CG12" i="35"/>
  <c r="CH12" i="35" s="1"/>
  <c r="CJ34" i="35"/>
  <c r="BX13" i="35"/>
  <c r="BX15" i="35"/>
  <c r="BX80" i="35"/>
  <c r="BZ80" i="35" s="1"/>
  <c r="BX43" i="35"/>
  <c r="BZ43" i="35" s="1"/>
  <c r="BX36" i="35"/>
  <c r="BZ36" i="35" s="1"/>
  <c r="BU77" i="35"/>
  <c r="BU46" i="35"/>
  <c r="BU35" i="35"/>
  <c r="BU51" i="35"/>
  <c r="BU26" i="35"/>
  <c r="BU61" i="35"/>
  <c r="BS65" i="35"/>
  <c r="BU65" i="35" s="1"/>
  <c r="BS63" i="35"/>
  <c r="BU63" i="35" s="1"/>
  <c r="BS107" i="35"/>
  <c r="BU107" i="35" s="1"/>
  <c r="BS101" i="35"/>
  <c r="BU101" i="35" s="1"/>
  <c r="BS88" i="35"/>
  <c r="BU88" i="35" s="1"/>
  <c r="BS83" i="35"/>
  <c r="BU83" i="35" s="1"/>
  <c r="BS103" i="35"/>
  <c r="BU103" i="35" s="1"/>
  <c r="BS81" i="35"/>
  <c r="BU81" i="35" s="1"/>
  <c r="BS64" i="35"/>
  <c r="BU64" i="35" s="1"/>
  <c r="BS72" i="35"/>
  <c r="BU72" i="35" s="1"/>
  <c r="BS59" i="35"/>
  <c r="BU59" i="35" s="1"/>
  <c r="BS96" i="35"/>
  <c r="BS99" i="35"/>
  <c r="BU99" i="35" s="1"/>
  <c r="BS95" i="35"/>
  <c r="BU95" i="35" s="1"/>
  <c r="BS75" i="35"/>
  <c r="BS100" i="35"/>
  <c r="BU100" i="35" s="1"/>
  <c r="BS92" i="35"/>
  <c r="BS104" i="35"/>
  <c r="BU104" i="35" s="1"/>
  <c r="BS71" i="35"/>
  <c r="BU71" i="35" s="1"/>
  <c r="BS106" i="35"/>
  <c r="BU106" i="35" s="1"/>
  <c r="BS78" i="35"/>
  <c r="BS110" i="35"/>
  <c r="BU110" i="35" s="1"/>
  <c r="BS97" i="35"/>
  <c r="BU97" i="35" s="1"/>
  <c r="BS79" i="35"/>
  <c r="BU79" i="35" s="1"/>
  <c r="BS7" i="35"/>
  <c r="BU7" i="35" s="1"/>
  <c r="BX7" i="35" s="1"/>
  <c r="BZ7" i="35" s="1"/>
  <c r="CA7" i="35" s="1"/>
  <c r="BS87" i="35"/>
  <c r="BU87" i="35" s="1"/>
  <c r="EB84" i="35"/>
  <c r="BE94" i="35"/>
  <c r="BG94" i="35" s="1"/>
  <c r="BI94" i="35" s="1"/>
  <c r="BK94" i="35" s="1"/>
  <c r="BM94" i="35" s="1"/>
  <c r="BO94" i="35" s="1"/>
  <c r="BQ94" i="35" s="1"/>
  <c r="I16" i="19"/>
  <c r="AA16" i="19" s="1"/>
  <c r="BA62" i="35"/>
  <c r="BE62" i="35" s="1"/>
  <c r="BG62" i="35" s="1"/>
  <c r="BI62" i="35" s="1"/>
  <c r="BK62" i="35" s="1"/>
  <c r="BM62" i="35" s="1"/>
  <c r="BO62" i="35" s="1"/>
  <c r="BQ62" i="35" s="1"/>
  <c r="CL16" i="35"/>
  <c r="BA105" i="35"/>
  <c r="BE105" i="35" s="1"/>
  <c r="BG105" i="35" s="1"/>
  <c r="BI105" i="35" s="1"/>
  <c r="BK105" i="35" s="1"/>
  <c r="BM105" i="35" s="1"/>
  <c r="BO105" i="35" s="1"/>
  <c r="BQ105" i="35" s="1"/>
  <c r="BA109" i="35"/>
  <c r="BE109" i="35" s="1"/>
  <c r="BG109" i="35" s="1"/>
  <c r="BI109" i="35" s="1"/>
  <c r="BK109" i="35" s="1"/>
  <c r="BM109" i="35" s="1"/>
  <c r="BO109" i="35" s="1"/>
  <c r="BQ109" i="35" s="1"/>
  <c r="BA93" i="35"/>
  <c r="BE93" i="35" s="1"/>
  <c r="BG93" i="35" s="1"/>
  <c r="BI93" i="35" s="1"/>
  <c r="BK93" i="35" s="1"/>
  <c r="BM93" i="35" s="1"/>
  <c r="BO93" i="35" s="1"/>
  <c r="BQ93" i="35" s="1"/>
  <c r="BA122" i="35"/>
  <c r="BE122" i="35" s="1"/>
  <c r="BG122" i="35" s="1"/>
  <c r="BI122" i="35" s="1"/>
  <c r="BK122" i="35" s="1"/>
  <c r="BM122" i="35" s="1"/>
  <c r="BO122" i="35" s="1"/>
  <c r="BQ122" i="35" s="1"/>
  <c r="CI84" i="35"/>
  <c r="BA25" i="35"/>
  <c r="BE25" i="35" s="1"/>
  <c r="BG25" i="35" s="1"/>
  <c r="BI25" i="35" s="1"/>
  <c r="BK25" i="35" s="1"/>
  <c r="BM25" i="35" s="1"/>
  <c r="BO25" i="35" s="1"/>
  <c r="BQ25" i="35" s="1"/>
  <c r="BA111" i="35"/>
  <c r="BE111" i="35" s="1"/>
  <c r="BG111" i="35" s="1"/>
  <c r="BI111" i="35" s="1"/>
  <c r="BK111" i="35" s="1"/>
  <c r="BM111" i="35" s="1"/>
  <c r="BO111" i="35" s="1"/>
  <c r="BQ111" i="35" s="1"/>
  <c r="BA118" i="35"/>
  <c r="BE118" i="35" s="1"/>
  <c r="BG118" i="35" s="1"/>
  <c r="BI118" i="35" s="1"/>
  <c r="BK118" i="35" s="1"/>
  <c r="BM118" i="35" s="1"/>
  <c r="BO118" i="35" s="1"/>
  <c r="AZ108" i="35"/>
  <c r="AZ102" i="35"/>
  <c r="AX116" i="35"/>
  <c r="AZ116" i="35" s="1"/>
  <c r="AX112" i="35"/>
  <c r="AZ112" i="35" s="1"/>
  <c r="AX126" i="35"/>
  <c r="AZ126" i="35" s="1"/>
  <c r="AX115" i="35"/>
  <c r="AZ115" i="35" s="1"/>
  <c r="AX128" i="35"/>
  <c r="AX119" i="35"/>
  <c r="AZ119" i="35" s="1"/>
  <c r="AX127" i="35"/>
  <c r="AZ127" i="35" s="1"/>
  <c r="AX120" i="35"/>
  <c r="AX124" i="35"/>
  <c r="AZ124" i="35" s="1"/>
  <c r="AX117" i="35"/>
  <c r="AZ117" i="35" s="1"/>
  <c r="AX98" i="35"/>
  <c r="AZ98" i="35" s="1"/>
  <c r="AX113" i="35"/>
  <c r="AZ113" i="35" s="1"/>
  <c r="AX121" i="35"/>
  <c r="AZ121" i="35" s="1"/>
  <c r="AX125" i="35"/>
  <c r="AZ125" i="35" s="1"/>
  <c r="EL109" i="35"/>
  <c r="EL108" i="35"/>
  <c r="AR137" i="35"/>
  <c r="EA137" i="35" s="1"/>
  <c r="AR146" i="35"/>
  <c r="AR129" i="35"/>
  <c r="EA129" i="35" s="1"/>
  <c r="AR141" i="35"/>
  <c r="EA141" i="35" s="1"/>
  <c r="AR135" i="35"/>
  <c r="EK102" i="35"/>
  <c r="EJ102" i="35" s="1"/>
  <c r="R19" i="22"/>
  <c r="T19" i="22" s="1"/>
  <c r="Y19" i="22" s="1"/>
  <c r="R14" i="22"/>
  <c r="T14" i="22" s="1"/>
  <c r="Y14" i="22" s="1"/>
  <c r="R34" i="22"/>
  <c r="T34" i="22" s="1"/>
  <c r="AV113" i="35"/>
  <c r="EL113" i="35" s="1"/>
  <c r="EK93" i="35"/>
  <c r="EJ93" i="35" s="1"/>
  <c r="EA120" i="35"/>
  <c r="AU114" i="35"/>
  <c r="AW114" i="35" s="1"/>
  <c r="AP143" i="35"/>
  <c r="AQ143" i="35" s="1"/>
  <c r="AV125" i="35"/>
  <c r="EA123" i="35"/>
  <c r="AP138" i="35"/>
  <c r="AQ138" i="35" s="1"/>
  <c r="AV98" i="35"/>
  <c r="EL98" i="35" s="1"/>
  <c r="AP134" i="35"/>
  <c r="AQ134" i="35" s="1"/>
  <c r="AP140" i="35"/>
  <c r="AQ140" i="35" s="1"/>
  <c r="AP130" i="35"/>
  <c r="AQ130" i="35" s="1"/>
  <c r="AP132" i="35"/>
  <c r="AQ132" i="35" s="1"/>
  <c r="AP139" i="35"/>
  <c r="AQ139" i="35" s="1"/>
  <c r="AP133" i="35"/>
  <c r="AQ133" i="35" s="1"/>
  <c r="AP144" i="35"/>
  <c r="AQ144" i="35" s="1"/>
  <c r="AP145" i="35"/>
  <c r="AQ145" i="35" s="1"/>
  <c r="AP136" i="35"/>
  <c r="AQ136" i="35" s="1"/>
  <c r="EA98" i="35"/>
  <c r="AU123" i="35"/>
  <c r="AW123" i="35" s="1"/>
  <c r="AP131" i="35"/>
  <c r="AQ131" i="35" s="1"/>
  <c r="AP142" i="35"/>
  <c r="AQ142" i="35" s="1"/>
  <c r="N17" i="38"/>
  <c r="F25" i="39"/>
  <c r="N17" i="39" s="1"/>
  <c r="N60" i="5"/>
  <c r="M60" i="5" s="1"/>
  <c r="E29" i="38"/>
  <c r="E13" i="34"/>
  <c r="N13" i="34" s="1"/>
  <c r="E13" i="38"/>
  <c r="N13" i="38" s="1"/>
  <c r="E11" i="34"/>
  <c r="N11" i="34" s="1"/>
  <c r="E11" i="38"/>
  <c r="N11" i="38" s="1"/>
  <c r="E10" i="34"/>
  <c r="N10" i="34" s="1"/>
  <c r="E10" i="38"/>
  <c r="N10" i="38" s="1"/>
  <c r="E14" i="8"/>
  <c r="O14" i="8" s="1"/>
  <c r="K13" i="31"/>
  <c r="D25" i="31" s="1"/>
  <c r="E10" i="24"/>
  <c r="N10" i="24" s="1"/>
  <c r="AK155" i="35"/>
  <c r="AO155" i="35" s="1"/>
  <c r="AK147" i="35"/>
  <c r="AO147" i="35" s="1"/>
  <c r="AK149" i="35"/>
  <c r="AO149" i="35" s="1"/>
  <c r="AK164" i="35"/>
  <c r="AO164" i="35" s="1"/>
  <c r="AK152" i="35"/>
  <c r="AO152" i="35" s="1"/>
  <c r="E11" i="24"/>
  <c r="N11" i="24" s="1"/>
  <c r="E13" i="24"/>
  <c r="N13" i="24" s="1"/>
  <c r="N8" i="24"/>
  <c r="E13" i="33"/>
  <c r="O13" i="33" s="1"/>
  <c r="D24" i="25"/>
  <c r="D24" i="30"/>
  <c r="E14" i="7"/>
  <c r="P14" i="7" s="1"/>
  <c r="E13" i="6"/>
  <c r="M13" i="6" s="1"/>
  <c r="D24" i="26"/>
  <c r="D24" i="31"/>
  <c r="D24" i="28"/>
  <c r="E13" i="20"/>
  <c r="N13" i="20" s="1"/>
  <c r="E11" i="8"/>
  <c r="O11" i="8" s="1"/>
  <c r="E10" i="32"/>
  <c r="N10" i="32" s="1"/>
  <c r="E10" i="20"/>
  <c r="N10" i="20" s="1"/>
  <c r="E10" i="9"/>
  <c r="O10" i="9" s="1"/>
  <c r="K13" i="26"/>
  <c r="D25" i="26" s="1"/>
  <c r="D24" i="13"/>
  <c r="E13" i="23"/>
  <c r="N13" i="23" s="1"/>
  <c r="D24" i="29"/>
  <c r="E13" i="9"/>
  <c r="O13" i="9" s="1"/>
  <c r="E13" i="32"/>
  <c r="N13" i="32" s="1"/>
  <c r="E13" i="10"/>
  <c r="N13" i="10" s="1"/>
  <c r="X13" i="10" s="1"/>
  <c r="N13" i="5"/>
  <c r="D24" i="27"/>
  <c r="E12" i="8"/>
  <c r="O12" i="8" s="1"/>
  <c r="E12" i="7"/>
  <c r="P12" i="7" s="1"/>
  <c r="E11" i="32"/>
  <c r="N11" i="32" s="1"/>
  <c r="E11" i="33"/>
  <c r="O11" i="33" s="1"/>
  <c r="E15" i="33"/>
  <c r="E16" i="33" s="1"/>
  <c r="E16" i="8"/>
  <c r="E17" i="8" s="1"/>
  <c r="U1" i="7"/>
  <c r="O20" i="7" s="1"/>
  <c r="N62" i="5"/>
  <c r="M62" i="5" s="1"/>
  <c r="N57" i="5"/>
  <c r="M57" i="5" s="1"/>
  <c r="X17" i="5"/>
  <c r="AA19" i="5" s="1"/>
  <c r="M64" i="5" s="1"/>
  <c r="E28" i="20"/>
  <c r="N56" i="20" s="1"/>
  <c r="E11" i="20"/>
  <c r="N11" i="20" s="1"/>
  <c r="E15" i="9"/>
  <c r="E16" i="9" s="1"/>
  <c r="E11" i="10"/>
  <c r="N11" i="10" s="1"/>
  <c r="X11" i="10" s="1"/>
  <c r="N59" i="5"/>
  <c r="M59" i="5" s="1"/>
  <c r="N56" i="5"/>
  <c r="M56" i="5" s="1"/>
  <c r="R1" i="6"/>
  <c r="L19" i="6" s="1"/>
  <c r="N63" i="5"/>
  <c r="M63" i="5" s="1"/>
  <c r="N11" i="5"/>
  <c r="E11" i="9"/>
  <c r="O11" i="9" s="1"/>
  <c r="N58" i="5"/>
  <c r="K58" i="5" s="1"/>
  <c r="E11" i="23"/>
  <c r="N11" i="23" s="1"/>
  <c r="F39" i="4"/>
  <c r="N61" i="5"/>
  <c r="M61" i="5" s="1"/>
  <c r="E11" i="6"/>
  <c r="M11" i="6" s="1"/>
  <c r="K13" i="25"/>
  <c r="D25" i="25" s="1"/>
  <c r="K13" i="28"/>
  <c r="D25" i="28" s="1"/>
  <c r="E11" i="7"/>
  <c r="P11" i="7" s="1"/>
  <c r="N10" i="5"/>
  <c r="E10" i="10"/>
  <c r="N10" i="10" s="1"/>
  <c r="X10" i="10" s="1"/>
  <c r="K13" i="13"/>
  <c r="D25" i="13" s="1"/>
  <c r="E10" i="33"/>
  <c r="O10" i="33" s="1"/>
  <c r="K13" i="30"/>
  <c r="D25" i="30" s="1"/>
  <c r="E10" i="6"/>
  <c r="M10" i="6" s="1"/>
  <c r="E10" i="23"/>
  <c r="N10" i="23" s="1"/>
  <c r="K13" i="29"/>
  <c r="D25" i="29" s="1"/>
  <c r="K13" i="27"/>
  <c r="D25" i="27" s="1"/>
  <c r="EL122" i="35"/>
  <c r="EK118" i="35"/>
  <c r="EJ118" i="35" s="1"/>
  <c r="AU137" i="35"/>
  <c r="AW137" i="35" s="1"/>
  <c r="AV126" i="35"/>
  <c r="EL126" i="35" s="1"/>
  <c r="AU129" i="35"/>
  <c r="AW129" i="35" s="1"/>
  <c r="AV116" i="35"/>
  <c r="AV121" i="35"/>
  <c r="AV120" i="35"/>
  <c r="AV117" i="35"/>
  <c r="AV115" i="35"/>
  <c r="AV112" i="35"/>
  <c r="AV119" i="35"/>
  <c r="AV124" i="35"/>
  <c r="AV128" i="35"/>
  <c r="AV127" i="35"/>
  <c r="EL111" i="35"/>
  <c r="EK111" i="35"/>
  <c r="EJ111" i="35" s="1"/>
  <c r="B52" i="37"/>
  <c r="AM21" i="37"/>
  <c r="AJ163" i="35"/>
  <c r="AJ148" i="35"/>
  <c r="AJ161" i="35"/>
  <c r="AJ158" i="35"/>
  <c r="AJ151" i="35"/>
  <c r="AJ162" i="35"/>
  <c r="AJ153" i="35"/>
  <c r="AJ159" i="35"/>
  <c r="AJ156" i="35"/>
  <c r="AJ157" i="35"/>
  <c r="AJ154" i="35"/>
  <c r="AJ160" i="35"/>
  <c r="AG180" i="35"/>
  <c r="AH180" i="35" s="1"/>
  <c r="AG172" i="35"/>
  <c r="AH172" i="35" s="1"/>
  <c r="AG168" i="35"/>
  <c r="AH168" i="35" s="1"/>
  <c r="AG182" i="35"/>
  <c r="AH182" i="35" s="1"/>
  <c r="AG166" i="35"/>
  <c r="AH166" i="35" s="1"/>
  <c r="AG177" i="35"/>
  <c r="AH177" i="35" s="1"/>
  <c r="AG173" i="35"/>
  <c r="AH173" i="35" s="1"/>
  <c r="AG174" i="35"/>
  <c r="AH174" i="35" s="1"/>
  <c r="AC195" i="35"/>
  <c r="AD195" i="35" s="1"/>
  <c r="AG167" i="35"/>
  <c r="AH167" i="35" s="1"/>
  <c r="AG171" i="35"/>
  <c r="AH171" i="35" s="1"/>
  <c r="AC185" i="35"/>
  <c r="AD185" i="35" s="1"/>
  <c r="AC189" i="35"/>
  <c r="AD189" i="35" s="1"/>
  <c r="AC196" i="35"/>
  <c r="AD196" i="35" s="1"/>
  <c r="AC190" i="35"/>
  <c r="AD190" i="35" s="1"/>
  <c r="AG170" i="35"/>
  <c r="AH170" i="35" s="1"/>
  <c r="AG169" i="35"/>
  <c r="AH169" i="35" s="1"/>
  <c r="AG175" i="35"/>
  <c r="AH175" i="35" s="1"/>
  <c r="AC184" i="35"/>
  <c r="AD184" i="35" s="1"/>
  <c r="Y202" i="35"/>
  <c r="AA201" i="35"/>
  <c r="AB201" i="35" s="1"/>
  <c r="AC198" i="35"/>
  <c r="AD198" i="35" s="1"/>
  <c r="AG181" i="35"/>
  <c r="AH181" i="35" s="1"/>
  <c r="AE183" i="35"/>
  <c r="AF183" i="35" s="1"/>
  <c r="AG178" i="35"/>
  <c r="AH178" i="35" s="1"/>
  <c r="AC200" i="35"/>
  <c r="AD200" i="35" s="1"/>
  <c r="AC186" i="35"/>
  <c r="AD186" i="35" s="1"/>
  <c r="AC199" i="35"/>
  <c r="AD199" i="35" s="1"/>
  <c r="AC192" i="35"/>
  <c r="AD192" i="35" s="1"/>
  <c r="AI165" i="35"/>
  <c r="AJ165" i="35" s="1"/>
  <c r="AC193" i="35"/>
  <c r="AD193" i="35" s="1"/>
  <c r="AC197" i="35"/>
  <c r="AD197" i="35" s="1"/>
  <c r="AG150" i="35"/>
  <c r="AC187" i="35"/>
  <c r="AD187" i="35" s="1"/>
  <c r="AC188" i="35"/>
  <c r="AD188" i="35" s="1"/>
  <c r="AG176" i="35"/>
  <c r="AH176" i="35" s="1"/>
  <c r="AC194" i="35"/>
  <c r="AD194" i="35" s="1"/>
  <c r="AC191" i="35"/>
  <c r="AD191" i="35" s="1"/>
  <c r="AG179" i="35"/>
  <c r="AH179" i="35" s="1"/>
  <c r="R154" i="22"/>
  <c r="R70" i="22"/>
  <c r="T70" i="22" s="1"/>
  <c r="Y70" i="22" s="1"/>
  <c r="Z70" i="22" s="1"/>
  <c r="R95" i="22"/>
  <c r="R139" i="22"/>
  <c r="T139" i="22" s="1"/>
  <c r="R26" i="22"/>
  <c r="T26" i="22" s="1"/>
  <c r="Y26" i="22" s="1"/>
  <c r="Z26" i="22" s="1"/>
  <c r="R112" i="22"/>
  <c r="T112" i="22" s="1"/>
  <c r="R100" i="22"/>
  <c r="R37" i="22"/>
  <c r="T37" i="22" s="1"/>
  <c r="R163" i="22"/>
  <c r="T163" i="22" s="1"/>
  <c r="V163" i="22" s="1"/>
  <c r="R53" i="22"/>
  <c r="T53" i="22" s="1"/>
  <c r="Y53" i="22" s="1"/>
  <c r="AB53" i="22" s="1"/>
  <c r="R50" i="22"/>
  <c r="T50" i="22" s="1"/>
  <c r="Y50" i="22" s="1"/>
  <c r="AC50" i="22" s="1"/>
  <c r="R78" i="22"/>
  <c r="T78" i="22" s="1"/>
  <c r="R164" i="22"/>
  <c r="T164" i="22" s="1"/>
  <c r="R83" i="22"/>
  <c r="T83" i="22" s="1"/>
  <c r="Y83" i="22" s="1"/>
  <c r="Z83" i="22" s="1"/>
  <c r="R140" i="22"/>
  <c r="T140" i="22" s="1"/>
  <c r="Y140" i="22" s="1"/>
  <c r="AC140" i="22" s="1"/>
  <c r="R29" i="22"/>
  <c r="T29" i="22" s="1"/>
  <c r="Y29" i="22" s="1"/>
  <c r="AB29" i="22" s="1"/>
  <c r="R49" i="22"/>
  <c r="T49" i="22" s="1"/>
  <c r="R33" i="22"/>
  <c r="T33" i="22" s="1"/>
  <c r="R99" i="22"/>
  <c r="T99" i="22" s="1"/>
  <c r="R39" i="22"/>
  <c r="T39" i="22" s="1"/>
  <c r="Y39" i="22" s="1"/>
  <c r="AC39" i="22" s="1"/>
  <c r="R113" i="22"/>
  <c r="R87" i="22"/>
  <c r="T87" i="22" s="1"/>
  <c r="Y87" i="22" s="1"/>
  <c r="R130" i="22"/>
  <c r="T130" i="22" s="1"/>
  <c r="R16" i="22"/>
  <c r="T16" i="22" s="1"/>
  <c r="R30" i="22"/>
  <c r="T30" i="22" s="1"/>
  <c r="R125" i="22"/>
  <c r="R48" i="22"/>
  <c r="T48" i="22" s="1"/>
  <c r="Y48" i="22" s="1"/>
  <c r="Z48" i="22" s="1"/>
  <c r="R59" i="22"/>
  <c r="T59" i="22" s="1"/>
  <c r="R8" i="22"/>
  <c r="T8" i="22" s="1"/>
  <c r="R102" i="22"/>
  <c r="T102" i="22" s="1"/>
  <c r="Y102" i="22" s="1"/>
  <c r="AB102" i="22" s="1"/>
  <c r="R10" i="22"/>
  <c r="T10" i="22" s="1"/>
  <c r="R85" i="22"/>
  <c r="T85" i="22" s="1"/>
  <c r="Y85" i="22" s="1"/>
  <c r="AC85" i="22" s="1"/>
  <c r="R96" i="22"/>
  <c r="T96" i="22" s="1"/>
  <c r="R122" i="22"/>
  <c r="T122" i="22" s="1"/>
  <c r="Y122" i="22" s="1"/>
  <c r="AC122" i="22" s="1"/>
  <c r="R115" i="22"/>
  <c r="T115" i="22" s="1"/>
  <c r="R84" i="22"/>
  <c r="T84" i="22" s="1"/>
  <c r="R121" i="22"/>
  <c r="T121" i="22" s="1"/>
  <c r="Y121" i="22" s="1"/>
  <c r="AA121" i="22" s="1"/>
  <c r="R133" i="22"/>
  <c r="T133" i="22" s="1"/>
  <c r="Y133" i="22" s="1"/>
  <c r="Z133" i="22" s="1"/>
  <c r="R64" i="22"/>
  <c r="T64" i="22" s="1"/>
  <c r="V64" i="22" s="1"/>
  <c r="X64" i="22" s="1"/>
  <c r="R146" i="22"/>
  <c r="T146" i="22" s="1"/>
  <c r="V146" i="22" s="1"/>
  <c r="R55" i="22"/>
  <c r="T55" i="22" s="1"/>
  <c r="V55" i="22" s="1"/>
  <c r="R142" i="22"/>
  <c r="T142" i="22" s="1"/>
  <c r="Y142" i="22" s="1"/>
  <c r="AA142" i="22" s="1"/>
  <c r="R21" i="22"/>
  <c r="T21" i="22" s="1"/>
  <c r="V21" i="22" s="1"/>
  <c r="R18" i="22"/>
  <c r="T18" i="22" s="1"/>
  <c r="Y18" i="22" s="1"/>
  <c r="AC18" i="22" s="1"/>
  <c r="R126" i="22"/>
  <c r="T126" i="22" s="1"/>
  <c r="R25" i="22"/>
  <c r="R105" i="22"/>
  <c r="T105" i="22" s="1"/>
  <c r="R135" i="22"/>
  <c r="T135" i="22" s="1"/>
  <c r="R148" i="22"/>
  <c r="T148" i="22" s="1"/>
  <c r="R81" i="22"/>
  <c r="T81" i="22" s="1"/>
  <c r="R63" i="22"/>
  <c r="T63" i="22" s="1"/>
  <c r="V63" i="22" s="1"/>
  <c r="R124" i="22"/>
  <c r="T124" i="22" s="1"/>
  <c r="R117" i="22"/>
  <c r="T117" i="22" s="1"/>
  <c r="R43" i="22"/>
  <c r="T43" i="22" s="1"/>
  <c r="Y43" i="22" s="1"/>
  <c r="R31" i="22"/>
  <c r="T31" i="22" s="1"/>
  <c r="Y31" i="22" s="1"/>
  <c r="Z31" i="22" s="1"/>
  <c r="R162" i="22"/>
  <c r="T162" i="22" s="1"/>
  <c r="Y162" i="22" s="1"/>
  <c r="R11" i="22"/>
  <c r="T11" i="22" s="1"/>
  <c r="Y11" i="22" s="1"/>
  <c r="AC11" i="22" s="1"/>
  <c r="R155" i="22"/>
  <c r="T155" i="22" s="1"/>
  <c r="V155" i="22" s="1"/>
  <c r="R46" i="22"/>
  <c r="T46" i="22" s="1"/>
  <c r="R86" i="22"/>
  <c r="T86" i="22" s="1"/>
  <c r="Y86" i="22" s="1"/>
  <c r="R22" i="22"/>
  <c r="T22" i="22" s="1"/>
  <c r="Y22" i="22" s="1"/>
  <c r="R165" i="22"/>
  <c r="T165" i="22" s="1"/>
  <c r="Y165" i="22" s="1"/>
  <c r="AC165" i="22" s="1"/>
  <c r="R91" i="22"/>
  <c r="T91" i="22" s="1"/>
  <c r="V91" i="22" s="1"/>
  <c r="R160" i="22"/>
  <c r="T160" i="22" s="1"/>
  <c r="Y160" i="22" s="1"/>
  <c r="AC160" i="22" s="1"/>
  <c r="R12" i="22"/>
  <c r="T12" i="22" s="1"/>
  <c r="R103" i="22"/>
  <c r="T103" i="22" s="1"/>
  <c r="R80" i="22"/>
  <c r="T80" i="22" s="1"/>
  <c r="R150" i="22"/>
  <c r="T150" i="22" s="1"/>
  <c r="Y150" i="22" s="1"/>
  <c r="R61" i="22"/>
  <c r="R128" i="22"/>
  <c r="T128" i="22" s="1"/>
  <c r="V128" i="22" s="1"/>
  <c r="R108" i="22"/>
  <c r="T108" i="22" s="1"/>
  <c r="R74" i="22"/>
  <c r="T74" i="22" s="1"/>
  <c r="R58" i="22"/>
  <c r="T58" i="22" s="1"/>
  <c r="R71" i="22"/>
  <c r="T71" i="22" s="1"/>
  <c r="R98" i="22"/>
  <c r="T98" i="22" s="1"/>
  <c r="Y98" i="22" s="1"/>
  <c r="Z98" i="22" s="1"/>
  <c r="R131" i="22"/>
  <c r="T131" i="22" s="1"/>
  <c r="Y131" i="22" s="1"/>
  <c r="Z131" i="22" s="1"/>
  <c r="R153" i="22"/>
  <c r="T153" i="22" s="1"/>
  <c r="R54" i="22"/>
  <c r="T54" i="22" s="1"/>
  <c r="V54" i="22" s="1"/>
  <c r="X54" i="22" s="1"/>
  <c r="R141" i="22"/>
  <c r="T141" i="22" s="1"/>
  <c r="V141" i="22" s="1"/>
  <c r="X141" i="22" s="1"/>
  <c r="R32" i="22"/>
  <c r="T32" i="22" s="1"/>
  <c r="R35" i="22"/>
  <c r="T35" i="22" s="1"/>
  <c r="R45" i="22"/>
  <c r="R41" i="22"/>
  <c r="T41" i="22" s="1"/>
  <c r="V41" i="22" s="1"/>
  <c r="X41" i="22" s="1"/>
  <c r="R166" i="22"/>
  <c r="T166" i="22" s="1"/>
  <c r="R68" i="22"/>
  <c r="T68" i="22" s="1"/>
  <c r="Y68" i="22" s="1"/>
  <c r="R120" i="22"/>
  <c r="T120" i="22" s="1"/>
  <c r="Y120" i="22" s="1"/>
  <c r="Z120" i="22" s="1"/>
  <c r="R79" i="22"/>
  <c r="T79" i="22" s="1"/>
  <c r="R157" i="22"/>
  <c r="T157" i="22" s="1"/>
  <c r="R132" i="22"/>
  <c r="T132" i="22" s="1"/>
  <c r="R66" i="22"/>
  <c r="T66" i="22" s="1"/>
  <c r="R89" i="22"/>
  <c r="T89" i="22" s="1"/>
  <c r="R109" i="22"/>
  <c r="T109" i="22" s="1"/>
  <c r="Y109" i="22" s="1"/>
  <c r="AA109" i="22" s="1"/>
  <c r="R137" i="22"/>
  <c r="T137" i="22" s="1"/>
  <c r="R110" i="22"/>
  <c r="T110" i="22" s="1"/>
  <c r="Y110" i="22" s="1"/>
  <c r="R97" i="22"/>
  <c r="R52" i="22"/>
  <c r="T52" i="22" s="1"/>
  <c r="Y52" i="22" s="1"/>
  <c r="Z52" i="22" s="1"/>
  <c r="R65" i="22"/>
  <c r="T65" i="22" s="1"/>
  <c r="R40" i="22"/>
  <c r="T40" i="22" s="1"/>
  <c r="Y40" i="22" s="1"/>
  <c r="Z40" i="22" s="1"/>
  <c r="R143" i="22"/>
  <c r="T143" i="22" s="1"/>
  <c r="Y143" i="22" s="1"/>
  <c r="Z143" i="22" s="1"/>
  <c r="R92" i="22"/>
  <c r="T92" i="22" s="1"/>
  <c r="R144" i="22"/>
  <c r="T144" i="22" s="1"/>
  <c r="R119" i="22"/>
  <c r="T119" i="22" s="1"/>
  <c r="R136" i="22"/>
  <c r="T136" i="22" s="1"/>
  <c r="Y136" i="22" s="1"/>
  <c r="AA136" i="22" s="1"/>
  <c r="R101" i="22"/>
  <c r="T101" i="22" s="1"/>
  <c r="R60" i="22"/>
  <c r="T60" i="22" s="1"/>
  <c r="Y60" i="22" s="1"/>
  <c r="AB60" i="22" s="1"/>
  <c r="R161" i="22"/>
  <c r="T161" i="22" s="1"/>
  <c r="V161" i="22" s="1"/>
  <c r="R111" i="22"/>
  <c r="T111" i="22" s="1"/>
  <c r="R72" i="22"/>
  <c r="R149" i="22"/>
  <c r="T149" i="22" s="1"/>
  <c r="Y149" i="22" s="1"/>
  <c r="Z149" i="22" s="1"/>
  <c r="R56" i="22"/>
  <c r="T56" i="22" s="1"/>
  <c r="V56" i="22" s="1"/>
  <c r="R127" i="22"/>
  <c r="T127" i="22" s="1"/>
  <c r="R57" i="22"/>
  <c r="T57" i="22" s="1"/>
  <c r="Y57" i="22" s="1"/>
  <c r="R67" i="22"/>
  <c r="T67" i="22" s="1"/>
  <c r="AA106" i="22"/>
  <c r="Z106" i="22"/>
  <c r="AC73" i="22"/>
  <c r="Z73" i="22"/>
  <c r="Z51" i="22"/>
  <c r="AC138" i="22"/>
  <c r="Z138" i="22"/>
  <c r="AB26" i="22"/>
  <c r="AB145" i="22"/>
  <c r="Z145" i="22"/>
  <c r="AA19" i="22"/>
  <c r="Z19" i="22"/>
  <c r="Z38" i="22"/>
  <c r="Z36" i="22"/>
  <c r="AC134" i="22"/>
  <c r="Z134" i="22"/>
  <c r="AC20" i="22"/>
  <c r="Z20" i="22"/>
  <c r="AB14" i="22"/>
  <c r="Z14" i="22"/>
  <c r="AC75" i="22"/>
  <c r="Z75" i="22"/>
  <c r="AA167" i="22"/>
  <c r="Z167" i="22"/>
  <c r="Z13" i="22"/>
  <c r="Z7" i="22"/>
  <c r="AA14" i="22"/>
  <c r="V14" i="22"/>
  <c r="X14" i="22" s="1"/>
  <c r="AC14" i="22"/>
  <c r="AC38" i="22"/>
  <c r="AB38" i="22"/>
  <c r="Y147" i="22"/>
  <c r="AA114" i="22"/>
  <c r="X163" i="22"/>
  <c r="Y93" i="22"/>
  <c r="AC83" i="22"/>
  <c r="V139" i="22"/>
  <c r="AA152" i="22"/>
  <c r="AC152" i="22"/>
  <c r="V38" i="22"/>
  <c r="X38" i="22" s="1"/>
  <c r="AA38" i="22"/>
  <c r="AA134" i="22"/>
  <c r="V24" i="22"/>
  <c r="Y24" i="22"/>
  <c r="V129" i="22"/>
  <c r="AC114" i="22"/>
  <c r="V19" i="22"/>
  <c r="X19" i="22" s="1"/>
  <c r="V147" i="22"/>
  <c r="Y139" i="22"/>
  <c r="AB19" i="22"/>
  <c r="Y129" i="22"/>
  <c r="Y117" i="22"/>
  <c r="AC117" i="22" s="1"/>
  <c r="AC19" i="22"/>
  <c r="V27" i="22"/>
  <c r="X27" i="22" s="1"/>
  <c r="V93" i="22"/>
  <c r="Y34" i="22"/>
  <c r="Z34" i="22" s="1"/>
  <c r="V34" i="22"/>
  <c r="X34" i="22" s="1"/>
  <c r="AB152" i="22"/>
  <c r="V138" i="22"/>
  <c r="AB75" i="22"/>
  <c r="V152" i="22"/>
  <c r="V134" i="22"/>
  <c r="X134" i="22" s="1"/>
  <c r="Y163" i="22"/>
  <c r="AC26" i="22"/>
  <c r="AA75" i="22"/>
  <c r="Y42" i="22"/>
  <c r="Z42" i="22" s="1"/>
  <c r="Y118" i="22"/>
  <c r="V42" i="22"/>
  <c r="X151" i="22"/>
  <c r="V75" i="22"/>
  <c r="AB134" i="22"/>
  <c r="AA138" i="22"/>
  <c r="T45" i="22"/>
  <c r="V45" i="22" s="1"/>
  <c r="X45" i="22" s="1"/>
  <c r="V104" i="22"/>
  <c r="T94" i="22"/>
  <c r="Y104" i="22"/>
  <c r="T158" i="22"/>
  <c r="Y27" i="22"/>
  <c r="AC7" i="22"/>
  <c r="T123" i="22"/>
  <c r="Y123" i="22" s="1"/>
  <c r="AB167" i="22"/>
  <c r="AC13" i="22"/>
  <c r="V13" i="22"/>
  <c r="Y151" i="22"/>
  <c r="AB138" i="22"/>
  <c r="AC106" i="22"/>
  <c r="AA13" i="22"/>
  <c r="V167" i="22"/>
  <c r="Y15" i="22"/>
  <c r="AB114" i="22"/>
  <c r="AA20" i="22"/>
  <c r="T107" i="22"/>
  <c r="Y107" i="22" s="1"/>
  <c r="AB7" i="22"/>
  <c r="AA7" i="22"/>
  <c r="T69" i="22"/>
  <c r="V114" i="22"/>
  <c r="AB36" i="22"/>
  <c r="Y82" i="22"/>
  <c r="AA36" i="22"/>
  <c r="V145" i="22"/>
  <c r="T113" i="22"/>
  <c r="T77" i="22"/>
  <c r="T44" i="22"/>
  <c r="AA145" i="22"/>
  <c r="AB13" i="22"/>
  <c r="AC167" i="22"/>
  <c r="T154" i="22"/>
  <c r="T23" i="22"/>
  <c r="T125" i="22"/>
  <c r="T9" i="22"/>
  <c r="T62" i="22"/>
  <c r="T17" i="22"/>
  <c r="T61" i="22"/>
  <c r="T25" i="22"/>
  <c r="T28" i="22"/>
  <c r="T97" i="22"/>
  <c r="T88" i="22"/>
  <c r="Y88" i="22" s="1"/>
  <c r="Z88" i="22" s="1"/>
  <c r="AC36" i="22"/>
  <c r="V36" i="22"/>
  <c r="AC145" i="22"/>
  <c r="V20" i="22"/>
  <c r="AB106" i="22"/>
  <c r="V70" i="22"/>
  <c r="V118" i="22"/>
  <c r="X118" i="22" s="1"/>
  <c r="Y90" i="22"/>
  <c r="AB20" i="22"/>
  <c r="V90" i="22"/>
  <c r="AB70" i="22"/>
  <c r="AA70" i="22"/>
  <c r="V106" i="22"/>
  <c r="X106" i="22" s="1"/>
  <c r="V51" i="22"/>
  <c r="T47" i="22"/>
  <c r="Y47" i="22" s="1"/>
  <c r="X15" i="22"/>
  <c r="AB51" i="22"/>
  <c r="AC51" i="22"/>
  <c r="AA51" i="22"/>
  <c r="V140" i="22"/>
  <c r="V73" i="22"/>
  <c r="AA73" i="22"/>
  <c r="AB73" i="22"/>
  <c r="AA165" i="22"/>
  <c r="T116" i="22"/>
  <c r="V165" i="22"/>
  <c r="AA83" i="22"/>
  <c r="V83" i="22"/>
  <c r="AB83" i="22"/>
  <c r="T72" i="22"/>
  <c r="Y72" i="22" s="1"/>
  <c r="Z72" i="22" s="1"/>
  <c r="T159" i="22"/>
  <c r="Y159" i="22" s="1"/>
  <c r="Z159" i="22" s="1"/>
  <c r="T95" i="22"/>
  <c r="T156" i="22"/>
  <c r="T100" i="22"/>
  <c r="T76" i="22"/>
  <c r="N56" i="24"/>
  <c r="N59" i="24"/>
  <c r="N57" i="24"/>
  <c r="N63" i="24"/>
  <c r="N60" i="24"/>
  <c r="N58" i="24"/>
  <c r="N62" i="24"/>
  <c r="X17" i="24"/>
  <c r="AA19" i="24" s="1"/>
  <c r="M64" i="24" s="1"/>
  <c r="M61" i="24" s="1"/>
  <c r="AG7" i="22"/>
  <c r="X7" i="22"/>
  <c r="CG70" i="35" l="1"/>
  <c r="CH70" i="35" s="1"/>
  <c r="CK70" i="35" s="1"/>
  <c r="CB23" i="35"/>
  <c r="CB58" i="35"/>
  <c r="EB58" i="35" s="1"/>
  <c r="CB41" i="35"/>
  <c r="CG33" i="35"/>
  <c r="CH33" i="35" s="1"/>
  <c r="CJ33" i="35" s="1"/>
  <c r="CL8" i="35"/>
  <c r="CG37" i="35"/>
  <c r="CH37" i="35" s="1"/>
  <c r="CK37" i="35" s="1"/>
  <c r="H57" i="19"/>
  <c r="Z57" i="19" s="1"/>
  <c r="CK57" i="35"/>
  <c r="EB21" i="35"/>
  <c r="CI21" i="35"/>
  <c r="H41" i="19"/>
  <c r="Z41" i="19" s="1"/>
  <c r="CJ41" i="35"/>
  <c r="CK41" i="35"/>
  <c r="I41" i="19" s="1"/>
  <c r="AA41" i="19" s="1"/>
  <c r="FA41" i="35"/>
  <c r="CB53" i="35"/>
  <c r="EB53" i="35" s="1"/>
  <c r="CB20" i="35"/>
  <c r="EB20" i="35" s="1"/>
  <c r="CB28" i="35"/>
  <c r="CG9" i="35"/>
  <c r="CH9" i="35" s="1"/>
  <c r="FA9" i="35" s="1"/>
  <c r="CB68" i="35"/>
  <c r="EB68" i="35" s="1"/>
  <c r="CI58" i="35"/>
  <c r="CB11" i="35"/>
  <c r="EB11" i="35" s="1"/>
  <c r="EB45" i="35"/>
  <c r="CI45" i="35"/>
  <c r="CI29" i="35"/>
  <c r="EB29" i="35"/>
  <c r="EB31" i="35"/>
  <c r="CI31" i="35"/>
  <c r="CJ53" i="35"/>
  <c r="FA53" i="35"/>
  <c r="CK53" i="35"/>
  <c r="H53" i="19"/>
  <c r="Z53" i="19" s="1"/>
  <c r="CI33" i="35"/>
  <c r="EB33" i="35"/>
  <c r="H60" i="19"/>
  <c r="Z60" i="19" s="1"/>
  <c r="CJ60" i="35"/>
  <c r="FA60" i="35"/>
  <c r="CK60" i="35"/>
  <c r="I60" i="19" s="1"/>
  <c r="AA60" i="19" s="1"/>
  <c r="FA50" i="35"/>
  <c r="CJ50" i="35"/>
  <c r="CK50" i="35"/>
  <c r="H50" i="19"/>
  <c r="Z50" i="19" s="1"/>
  <c r="CJ32" i="35"/>
  <c r="FA32" i="35"/>
  <c r="H32" i="19"/>
  <c r="Z32" i="19" s="1"/>
  <c r="CK32" i="35"/>
  <c r="I32" i="19" s="1"/>
  <c r="AA32" i="19" s="1"/>
  <c r="EB9" i="35"/>
  <c r="CI9" i="35"/>
  <c r="CK68" i="35"/>
  <c r="H68" i="19"/>
  <c r="Z68" i="19" s="1"/>
  <c r="FA68" i="35"/>
  <c r="CJ68" i="35"/>
  <c r="H11" i="19"/>
  <c r="Z11" i="19" s="1"/>
  <c r="FA11" i="35"/>
  <c r="CK11" i="35"/>
  <c r="CJ11" i="35"/>
  <c r="I11" i="19" s="1"/>
  <c r="AA11" i="19" s="1"/>
  <c r="EB17" i="35"/>
  <c r="CI17" i="35"/>
  <c r="CK20" i="35"/>
  <c r="FA20" i="35"/>
  <c r="CJ20" i="35"/>
  <c r="I20" i="19" s="1"/>
  <c r="AA20" i="19" s="1"/>
  <c r="H20" i="19"/>
  <c r="Z20" i="19" s="1"/>
  <c r="FA23" i="35"/>
  <c r="H23" i="19"/>
  <c r="Z23" i="19" s="1"/>
  <c r="CJ23" i="35"/>
  <c r="CK23" i="35"/>
  <c r="EB70" i="35"/>
  <c r="CI70" i="35"/>
  <c r="EB37" i="35"/>
  <c r="CI37" i="35"/>
  <c r="CJ57" i="35"/>
  <c r="BZ89" i="35"/>
  <c r="CA89" i="35" s="1"/>
  <c r="CB89" i="35" s="1"/>
  <c r="BZ38" i="35"/>
  <c r="CA38" i="35" s="1"/>
  <c r="CG38" i="35" s="1"/>
  <c r="CH38" i="35" s="1"/>
  <c r="BZ56" i="35"/>
  <c r="CA56" i="35" s="1"/>
  <c r="CG56" i="35" s="1"/>
  <c r="CH56" i="35" s="1"/>
  <c r="CJ56" i="35" s="1"/>
  <c r="CG17" i="35"/>
  <c r="CH17" i="35" s="1"/>
  <c r="CK17" i="35" s="1"/>
  <c r="BZ39" i="35"/>
  <c r="CA39" i="35" s="1"/>
  <c r="CG39" i="35" s="1"/>
  <c r="CH39" i="35" s="1"/>
  <c r="CG29" i="35"/>
  <c r="CH29" i="35" s="1"/>
  <c r="CK29" i="35" s="1"/>
  <c r="BZ24" i="35"/>
  <c r="CA24" i="35" s="1"/>
  <c r="CB24" i="35" s="1"/>
  <c r="BZ86" i="35"/>
  <c r="CA86" i="35" s="1"/>
  <c r="CG67" i="35"/>
  <c r="CH67" i="35" s="1"/>
  <c r="FA67" i="35" s="1"/>
  <c r="BZ27" i="35"/>
  <c r="CA27" i="35" s="1"/>
  <c r="CB27" i="35" s="1"/>
  <c r="CJ49" i="35"/>
  <c r="BZ44" i="35"/>
  <c r="CA44" i="35" s="1"/>
  <c r="CB44" i="35" s="1"/>
  <c r="BZ48" i="35"/>
  <c r="CA48" i="35" s="1"/>
  <c r="CG48" i="35" s="1"/>
  <c r="CH48" i="35" s="1"/>
  <c r="CK48" i="35" s="1"/>
  <c r="BZ91" i="35"/>
  <c r="CA91" i="35" s="1"/>
  <c r="CG91" i="35" s="1"/>
  <c r="CH91" i="35" s="1"/>
  <c r="BZ55" i="35"/>
  <c r="CA55" i="35" s="1"/>
  <c r="CG55" i="35" s="1"/>
  <c r="CH55" i="35" s="1"/>
  <c r="CI12" i="35"/>
  <c r="FA57" i="35"/>
  <c r="BZ47" i="35"/>
  <c r="CA47" i="35" s="1"/>
  <c r="CB47" i="35" s="1"/>
  <c r="EB47" i="35" s="1"/>
  <c r="BZ76" i="35"/>
  <c r="CA76" i="35" s="1"/>
  <c r="CB76" i="35" s="1"/>
  <c r="EB76" i="35" s="1"/>
  <c r="BZ66" i="35"/>
  <c r="CA66" i="35" s="1"/>
  <c r="CB66" i="35" s="1"/>
  <c r="BZ73" i="35"/>
  <c r="CA73" i="35" s="1"/>
  <c r="CG73" i="35" s="1"/>
  <c r="CH73" i="35" s="1"/>
  <c r="FA73" i="35" s="1"/>
  <c r="BZ52" i="35"/>
  <c r="CA52" i="35" s="1"/>
  <c r="CB52" i="35" s="1"/>
  <c r="EB52" i="35" s="1"/>
  <c r="BZ85" i="35"/>
  <c r="CA85" i="35" s="1"/>
  <c r="CG85" i="35" s="1"/>
  <c r="CH85" i="35" s="1"/>
  <c r="CK85" i="35" s="1"/>
  <c r="CK49" i="35"/>
  <c r="I49" i="19" s="1"/>
  <c r="AA49" i="19" s="1"/>
  <c r="FA49" i="35"/>
  <c r="BZ22" i="35"/>
  <c r="CA22" i="35" s="1"/>
  <c r="CB22" i="35" s="1"/>
  <c r="BZ82" i="35"/>
  <c r="CA82" i="35" s="1"/>
  <c r="CG82" i="35" s="1"/>
  <c r="CH82" i="35" s="1"/>
  <c r="BZ54" i="35"/>
  <c r="CA54" i="35" s="1"/>
  <c r="CG54" i="35" s="1"/>
  <c r="CH54" i="35" s="1"/>
  <c r="BZ10" i="35"/>
  <c r="CA10" i="35" s="1"/>
  <c r="CG10" i="35" s="1"/>
  <c r="CH10" i="35" s="1"/>
  <c r="BZ15" i="35"/>
  <c r="CA15" i="35" s="1"/>
  <c r="CG15" i="35" s="1"/>
  <c r="CH15" i="35" s="1"/>
  <c r="BZ19" i="35"/>
  <c r="CA19" i="35" s="1"/>
  <c r="CG19" i="35" s="1"/>
  <c r="CH19" i="35" s="1"/>
  <c r="H19" i="19" s="1"/>
  <c r="Z19" i="19" s="1"/>
  <c r="BZ90" i="35"/>
  <c r="CA90" i="35" s="1"/>
  <c r="CG90" i="35" s="1"/>
  <c r="CH90" i="35" s="1"/>
  <c r="FA90" i="35" s="1"/>
  <c r="BZ74" i="35"/>
  <c r="CA74" i="35" s="1"/>
  <c r="CB74" i="35" s="1"/>
  <c r="BZ40" i="35"/>
  <c r="CA40" i="35" s="1"/>
  <c r="CB40" i="35" s="1"/>
  <c r="BZ13" i="35"/>
  <c r="CA13" i="35" s="1"/>
  <c r="CB13" i="35" s="1"/>
  <c r="EB13" i="35" s="1"/>
  <c r="BZ69" i="35"/>
  <c r="CA69" i="35" s="1"/>
  <c r="CB69" i="35" s="1"/>
  <c r="EB69" i="35" s="1"/>
  <c r="CG84" i="35"/>
  <c r="CH84" i="35" s="1"/>
  <c r="CI18" i="35"/>
  <c r="H42" i="19"/>
  <c r="Z42" i="19" s="1"/>
  <c r="FA42" i="35"/>
  <c r="CJ42" i="35"/>
  <c r="CK42" i="35"/>
  <c r="EB60" i="35"/>
  <c r="CA43" i="35"/>
  <c r="CB43" i="35" s="1"/>
  <c r="CG18" i="35"/>
  <c r="CH18" i="35" s="1"/>
  <c r="EB42" i="35"/>
  <c r="CA80" i="35"/>
  <c r="CG80" i="35" s="1"/>
  <c r="CH80" i="35" s="1"/>
  <c r="CJ80" i="35" s="1"/>
  <c r="CI32" i="35"/>
  <c r="I34" i="19"/>
  <c r="AA34" i="19" s="1"/>
  <c r="CA36" i="35"/>
  <c r="CG36" i="35" s="1"/>
  <c r="CH36" i="35" s="1"/>
  <c r="FA36" i="35" s="1"/>
  <c r="FA45" i="35"/>
  <c r="CI67" i="35"/>
  <c r="CL14" i="35"/>
  <c r="J14" i="19" s="1"/>
  <c r="AB14" i="19" s="1"/>
  <c r="FA33" i="35"/>
  <c r="I30" i="19"/>
  <c r="AA30" i="19" s="1"/>
  <c r="CJ70" i="35"/>
  <c r="CL70" i="35" s="1"/>
  <c r="CZ70" i="35" s="1"/>
  <c r="W70" i="19" s="1"/>
  <c r="H70" i="19"/>
  <c r="Z70" i="19" s="1"/>
  <c r="H28" i="19"/>
  <c r="Z28" i="19" s="1"/>
  <c r="CK28" i="35"/>
  <c r="I28" i="19" s="1"/>
  <c r="AA28" i="19" s="1"/>
  <c r="FA37" i="35"/>
  <c r="H17" i="19"/>
  <c r="Z17" i="19" s="1"/>
  <c r="CJ17" i="35"/>
  <c r="I17" i="19" s="1"/>
  <c r="AA17" i="19" s="1"/>
  <c r="FA28" i="35"/>
  <c r="CI50" i="35"/>
  <c r="CK21" i="35"/>
  <c r="CI20" i="35"/>
  <c r="CJ9" i="35"/>
  <c r="CJ21" i="35"/>
  <c r="CL34" i="35"/>
  <c r="CT34" i="35" s="1"/>
  <c r="HA34" i="35" s="1"/>
  <c r="CJ58" i="35"/>
  <c r="H21" i="19"/>
  <c r="Z21" i="19" s="1"/>
  <c r="CG74" i="35"/>
  <c r="CH74" i="35" s="1"/>
  <c r="FA74" i="35" s="1"/>
  <c r="H33" i="19"/>
  <c r="Z33" i="19" s="1"/>
  <c r="CB54" i="35"/>
  <c r="EB54" i="35" s="1"/>
  <c r="CG27" i="35"/>
  <c r="CH27" i="35" s="1"/>
  <c r="CK33" i="35"/>
  <c r="CL33" i="35" s="1"/>
  <c r="GA33" i="35" s="1"/>
  <c r="GI33" i="35" s="1"/>
  <c r="GJ33" i="35" s="1"/>
  <c r="GM33" i="35" s="1"/>
  <c r="GO33" i="35" s="1"/>
  <c r="CK9" i="35"/>
  <c r="H9" i="19"/>
  <c r="Z9" i="19" s="1"/>
  <c r="CJ45" i="35"/>
  <c r="CB73" i="35"/>
  <c r="EB73" i="35" s="1"/>
  <c r="BX79" i="35"/>
  <c r="BX99" i="35"/>
  <c r="BX103" i="35"/>
  <c r="CK58" i="35"/>
  <c r="BX97" i="35"/>
  <c r="BX83" i="35"/>
  <c r="CB39" i="35"/>
  <c r="BX106" i="35"/>
  <c r="BX107" i="35"/>
  <c r="BX63" i="35"/>
  <c r="CG66" i="35"/>
  <c r="CH66" i="35" s="1"/>
  <c r="CJ66" i="35" s="1"/>
  <c r="BX71" i="35"/>
  <c r="BX65" i="35"/>
  <c r="CB55" i="35"/>
  <c r="EB55" i="35" s="1"/>
  <c r="FA70" i="35"/>
  <c r="BX87" i="35"/>
  <c r="CG44" i="35"/>
  <c r="CH44" i="35" s="1"/>
  <c r="CJ44" i="35" s="1"/>
  <c r="FA31" i="35"/>
  <c r="BX100" i="35"/>
  <c r="BX72" i="35"/>
  <c r="CB38" i="35"/>
  <c r="EB38" i="35" s="1"/>
  <c r="CB10" i="35"/>
  <c r="EB10" i="35" s="1"/>
  <c r="CI68" i="35"/>
  <c r="CL68" i="35" s="1"/>
  <c r="GS68" i="35" s="1"/>
  <c r="HG68" i="35" s="1"/>
  <c r="HO68" i="35" s="1"/>
  <c r="EB41" i="35"/>
  <c r="CI41" i="35"/>
  <c r="EB49" i="35"/>
  <c r="CI49" i="35"/>
  <c r="EB23" i="35"/>
  <c r="CI23" i="35"/>
  <c r="CL23" i="35" s="1"/>
  <c r="GA23" i="35" s="1"/>
  <c r="GC23" i="35" s="1"/>
  <c r="GE23" i="35" s="1"/>
  <c r="GG23" i="35" s="1"/>
  <c r="EB57" i="35"/>
  <c r="CI57" i="35"/>
  <c r="CL57" i="35" s="1"/>
  <c r="DB57" i="35" s="1"/>
  <c r="Y57" i="19" s="1"/>
  <c r="CK31" i="35"/>
  <c r="I31" i="19" s="1"/>
  <c r="AA31" i="19" s="1"/>
  <c r="FA29" i="35"/>
  <c r="BX64" i="35"/>
  <c r="H29" i="19"/>
  <c r="Z29" i="19" s="1"/>
  <c r="FA58" i="35"/>
  <c r="CK45" i="35"/>
  <c r="I45" i="19" s="1"/>
  <c r="AA45" i="19" s="1"/>
  <c r="BX110" i="35"/>
  <c r="BX88" i="35"/>
  <c r="FA17" i="35"/>
  <c r="BX101" i="35"/>
  <c r="CG40" i="35"/>
  <c r="CH40" i="35" s="1"/>
  <c r="CK40" i="35" s="1"/>
  <c r="H31" i="19"/>
  <c r="Z31" i="19" s="1"/>
  <c r="CJ29" i="35"/>
  <c r="CL29" i="35" s="1"/>
  <c r="J29" i="19" s="1"/>
  <c r="AB29" i="19" s="1"/>
  <c r="I14" i="19"/>
  <c r="AA14" i="19" s="1"/>
  <c r="BX104" i="35"/>
  <c r="BX59" i="35"/>
  <c r="CB15" i="35"/>
  <c r="EB15" i="35" s="1"/>
  <c r="BX95" i="35"/>
  <c r="BX81" i="35"/>
  <c r="BX51" i="35"/>
  <c r="BZ51" i="35" s="1"/>
  <c r="CB36" i="35"/>
  <c r="CI36" i="35" s="1"/>
  <c r="BX35" i="35"/>
  <c r="BZ35" i="35" s="1"/>
  <c r="BX61" i="35"/>
  <c r="BZ61" i="35" s="1"/>
  <c r="BX46" i="35"/>
  <c r="BZ46" i="35" s="1"/>
  <c r="BX26" i="35"/>
  <c r="BZ26" i="35" s="1"/>
  <c r="BX77" i="35"/>
  <c r="BZ77" i="35" s="1"/>
  <c r="BU92" i="35"/>
  <c r="BU96" i="35"/>
  <c r="BU75" i="35"/>
  <c r="BU78" i="35"/>
  <c r="BX78" i="35" s="1"/>
  <c r="CI76" i="35"/>
  <c r="CI13" i="35"/>
  <c r="BS105" i="35"/>
  <c r="BU105" i="35" s="1"/>
  <c r="BS122" i="35"/>
  <c r="BU122" i="35" s="1"/>
  <c r="BS62" i="35"/>
  <c r="BU62" i="35" s="1"/>
  <c r="BS93" i="35"/>
  <c r="BU93" i="35" s="1"/>
  <c r="BS94" i="35"/>
  <c r="BU94" i="35" s="1"/>
  <c r="BS25" i="35"/>
  <c r="BU25" i="35" s="1"/>
  <c r="BS111" i="35"/>
  <c r="BU111" i="35" s="1"/>
  <c r="BS109" i="35"/>
  <c r="BU109" i="35" s="1"/>
  <c r="BQ118" i="35"/>
  <c r="BS118" i="35" s="1"/>
  <c r="BU118" i="35" s="1"/>
  <c r="BX118" i="35" s="1"/>
  <c r="BZ118" i="35" s="1"/>
  <c r="CA118" i="35" s="1"/>
  <c r="CG7" i="35"/>
  <c r="CH7" i="35" s="1"/>
  <c r="CK7" i="35" s="1"/>
  <c r="CB7" i="35"/>
  <c r="CI7" i="35" s="1"/>
  <c r="I23" i="19"/>
  <c r="AA23" i="19" s="1"/>
  <c r="CY30" i="35"/>
  <c r="V30" i="19" s="1"/>
  <c r="CT30" i="35"/>
  <c r="CV30" i="35" s="1"/>
  <c r="CN30" i="35"/>
  <c r="CP30" i="35" s="1"/>
  <c r="GA30" i="35"/>
  <c r="GI30" i="35" s="1"/>
  <c r="J30" i="19"/>
  <c r="AB30" i="19" s="1"/>
  <c r="GS30" i="35"/>
  <c r="HG30" i="35" s="1"/>
  <c r="HO30" i="35" s="1"/>
  <c r="HS30" i="35" s="1"/>
  <c r="DB30" i="35"/>
  <c r="Y30" i="19" s="1"/>
  <c r="DA30" i="35"/>
  <c r="X30" i="19" s="1"/>
  <c r="CK56" i="35"/>
  <c r="I57" i="19"/>
  <c r="AA57" i="19" s="1"/>
  <c r="GA14" i="35"/>
  <c r="GC14" i="35" s="1"/>
  <c r="GE14" i="35" s="1"/>
  <c r="GG14" i="35" s="1"/>
  <c r="H74" i="19"/>
  <c r="Z74" i="19" s="1"/>
  <c r="CV34" i="35"/>
  <c r="HC34" i="35" s="1"/>
  <c r="GA34" i="35"/>
  <c r="GC34" i="35" s="1"/>
  <c r="GE34" i="35" s="1"/>
  <c r="GG34" i="35" s="1"/>
  <c r="DB34" i="35"/>
  <c r="Y34" i="19" s="1"/>
  <c r="CJ85" i="35"/>
  <c r="H85" i="19"/>
  <c r="Z85" i="19" s="1"/>
  <c r="FA85" i="35"/>
  <c r="BA117" i="35"/>
  <c r="BE117" i="35" s="1"/>
  <c r="BG117" i="35" s="1"/>
  <c r="BI117" i="35" s="1"/>
  <c r="BK117" i="35" s="1"/>
  <c r="BM117" i="35" s="1"/>
  <c r="BO117" i="35" s="1"/>
  <c r="BQ117" i="35" s="1"/>
  <c r="BA127" i="35"/>
  <c r="BE127" i="35" s="1"/>
  <c r="BG127" i="35" s="1"/>
  <c r="BI127" i="35" s="1"/>
  <c r="BK127" i="35" s="1"/>
  <c r="BM127" i="35" s="1"/>
  <c r="BO127" i="35" s="1"/>
  <c r="BQ127" i="35" s="1"/>
  <c r="H84" i="19"/>
  <c r="Z84" i="19" s="1"/>
  <c r="CK84" i="35"/>
  <c r="CJ84" i="35"/>
  <c r="FA84" i="35"/>
  <c r="BA119" i="35"/>
  <c r="BE119" i="35" s="1"/>
  <c r="BG119" i="35" s="1"/>
  <c r="BI119" i="35" s="1"/>
  <c r="BK119" i="35" s="1"/>
  <c r="BM119" i="35" s="1"/>
  <c r="BO119" i="35" s="1"/>
  <c r="BQ119" i="35" s="1"/>
  <c r="BA125" i="35"/>
  <c r="BE125" i="35" s="1"/>
  <c r="BG125" i="35" s="1"/>
  <c r="BI125" i="35" s="1"/>
  <c r="BK125" i="35" s="1"/>
  <c r="BM125" i="35" s="1"/>
  <c r="BO125" i="35" s="1"/>
  <c r="BQ125" i="35" s="1"/>
  <c r="BA115" i="35"/>
  <c r="BE115" i="35" s="1"/>
  <c r="BG115" i="35" s="1"/>
  <c r="BI115" i="35" s="1"/>
  <c r="BK115" i="35" s="1"/>
  <c r="BM115" i="35" s="1"/>
  <c r="BO115" i="35" s="1"/>
  <c r="BQ115" i="35" s="1"/>
  <c r="CJ12" i="35"/>
  <c r="CK12" i="35"/>
  <c r="H12" i="19"/>
  <c r="Z12" i="19" s="1"/>
  <c r="FA12" i="35"/>
  <c r="BA113" i="35"/>
  <c r="BE113" i="35" s="1"/>
  <c r="BG113" i="35" s="1"/>
  <c r="BI113" i="35" s="1"/>
  <c r="BK113" i="35" s="1"/>
  <c r="BM113" i="35" s="1"/>
  <c r="BO113" i="35" s="1"/>
  <c r="BQ113" i="35" s="1"/>
  <c r="BA126" i="35"/>
  <c r="BE126" i="35" s="1"/>
  <c r="BG126" i="35" s="1"/>
  <c r="BI126" i="35" s="1"/>
  <c r="BK126" i="35" s="1"/>
  <c r="BM126" i="35" s="1"/>
  <c r="BO126" i="35" s="1"/>
  <c r="BQ126" i="35" s="1"/>
  <c r="J16" i="19"/>
  <c r="AB16" i="19" s="1"/>
  <c r="CZ16" i="35"/>
  <c r="W16" i="19" s="1"/>
  <c r="GS16" i="35"/>
  <c r="HG16" i="35" s="1"/>
  <c r="HO16" i="35" s="1"/>
  <c r="CT16" i="35"/>
  <c r="DA16" i="35"/>
  <c r="X16" i="19" s="1"/>
  <c r="DB16" i="35"/>
  <c r="Y16" i="19" s="1"/>
  <c r="CY16" i="35"/>
  <c r="V16" i="19" s="1"/>
  <c r="CN16" i="35"/>
  <c r="GA16" i="35"/>
  <c r="DA8" i="35"/>
  <c r="X8" i="19" s="1"/>
  <c r="GA8" i="35"/>
  <c r="CT8" i="35"/>
  <c r="CY8" i="35"/>
  <c r="V8" i="19" s="1"/>
  <c r="DB8" i="35"/>
  <c r="Y8" i="19" s="1"/>
  <c r="J8" i="19"/>
  <c r="AB8" i="19" s="1"/>
  <c r="CN8" i="35"/>
  <c r="CZ8" i="35"/>
  <c r="W8" i="19" s="1"/>
  <c r="GS8" i="35"/>
  <c r="HG8" i="35" s="1"/>
  <c r="HO8" i="35" s="1"/>
  <c r="BA112" i="35"/>
  <c r="BE112" i="35" s="1"/>
  <c r="BG112" i="35" s="1"/>
  <c r="BI112" i="35" s="1"/>
  <c r="BK112" i="35" s="1"/>
  <c r="BM112" i="35" s="1"/>
  <c r="BO112" i="35" s="1"/>
  <c r="BQ112" i="35" s="1"/>
  <c r="BA98" i="35"/>
  <c r="BE98" i="35" s="1"/>
  <c r="BG98" i="35" s="1"/>
  <c r="BI98" i="35" s="1"/>
  <c r="BK98" i="35" s="1"/>
  <c r="BM98" i="35" s="1"/>
  <c r="BO98" i="35" s="1"/>
  <c r="BQ98" i="35" s="1"/>
  <c r="BA116" i="35"/>
  <c r="BE116" i="35" s="1"/>
  <c r="BG116" i="35" s="1"/>
  <c r="BI116" i="35" s="1"/>
  <c r="BK116" i="35" s="1"/>
  <c r="BM116" i="35" s="1"/>
  <c r="BO116" i="35" s="1"/>
  <c r="BQ116" i="35" s="1"/>
  <c r="BA124" i="35"/>
  <c r="BE124" i="35" s="1"/>
  <c r="BG124" i="35" s="1"/>
  <c r="BI124" i="35" s="1"/>
  <c r="BK124" i="35" s="1"/>
  <c r="BM124" i="35" s="1"/>
  <c r="BO124" i="35" s="1"/>
  <c r="BQ124" i="35" s="1"/>
  <c r="BA102" i="35"/>
  <c r="BE102" i="35" s="1"/>
  <c r="BG102" i="35" s="1"/>
  <c r="BI102" i="35" s="1"/>
  <c r="BK102" i="35" s="1"/>
  <c r="BM102" i="35" s="1"/>
  <c r="BO102" i="35" s="1"/>
  <c r="BQ102" i="35" s="1"/>
  <c r="BA108" i="35"/>
  <c r="BE108" i="35" s="1"/>
  <c r="BG108" i="35" s="1"/>
  <c r="BI108" i="35" s="1"/>
  <c r="BK108" i="35" s="1"/>
  <c r="BM108" i="35" s="1"/>
  <c r="BO108" i="35" s="1"/>
  <c r="BQ108" i="35" s="1"/>
  <c r="AZ128" i="35"/>
  <c r="AZ120" i="35"/>
  <c r="BA121" i="35"/>
  <c r="BE121" i="35" s="1"/>
  <c r="BG121" i="35" s="1"/>
  <c r="BI121" i="35" s="1"/>
  <c r="BK121" i="35" s="1"/>
  <c r="BM121" i="35" s="1"/>
  <c r="BO121" i="35" s="1"/>
  <c r="BQ121" i="35" s="1"/>
  <c r="AX129" i="35"/>
  <c r="AX123" i="35"/>
  <c r="AX137" i="35"/>
  <c r="AX114" i="35"/>
  <c r="AZ114" i="35" s="1"/>
  <c r="AR138" i="35"/>
  <c r="EA138" i="35" s="1"/>
  <c r="AR136" i="35"/>
  <c r="EA136" i="35" s="1"/>
  <c r="AR140" i="35"/>
  <c r="EA140" i="35" s="1"/>
  <c r="AR134" i="35"/>
  <c r="EA134" i="35" s="1"/>
  <c r="AR133" i="35"/>
  <c r="EA133" i="35" s="1"/>
  <c r="AR132" i="35"/>
  <c r="EA132" i="35" s="1"/>
  <c r="AR139" i="35"/>
  <c r="EA139" i="35" s="1"/>
  <c r="AR130" i="35"/>
  <c r="EA130" i="35" s="1"/>
  <c r="AR142" i="35"/>
  <c r="EA142" i="35" s="1"/>
  <c r="AR145" i="35"/>
  <c r="EA145" i="35" s="1"/>
  <c r="AR143" i="35"/>
  <c r="EA143" i="35" s="1"/>
  <c r="AR131" i="35"/>
  <c r="EA131" i="35" s="1"/>
  <c r="AR144" i="35"/>
  <c r="EA144" i="35" s="1"/>
  <c r="EK113" i="35"/>
  <c r="EJ113" i="35" s="1"/>
  <c r="AB165" i="22"/>
  <c r="AC70" i="22"/>
  <c r="Z165" i="22"/>
  <c r="AV123" i="35"/>
  <c r="EK123" i="35" s="1"/>
  <c r="EJ123" i="35" s="1"/>
  <c r="AV114" i="35"/>
  <c r="AU132" i="35"/>
  <c r="AW132" i="35" s="1"/>
  <c r="AP149" i="35"/>
  <c r="AQ149" i="35" s="1"/>
  <c r="EA135" i="35"/>
  <c r="AU135" i="35"/>
  <c r="AW135" i="35" s="1"/>
  <c r="AP147" i="35"/>
  <c r="AQ147" i="35" s="1"/>
  <c r="AU141" i="35"/>
  <c r="AW141" i="35" s="1"/>
  <c r="AP155" i="35"/>
  <c r="AQ155" i="35" s="1"/>
  <c r="AP164" i="35"/>
  <c r="AQ164" i="35" s="1"/>
  <c r="AU145" i="35"/>
  <c r="AW145" i="35" s="1"/>
  <c r="AU146" i="35"/>
  <c r="AW146" i="35" s="1"/>
  <c r="EA146" i="35"/>
  <c r="EK98" i="35"/>
  <c r="EJ98" i="35" s="1"/>
  <c r="AP152" i="35"/>
  <c r="AQ152" i="35" s="1"/>
  <c r="AU134" i="35"/>
  <c r="AW134" i="35" s="1"/>
  <c r="EL125" i="35"/>
  <c r="EK125" i="35"/>
  <c r="EJ125" i="35" s="1"/>
  <c r="K60" i="5"/>
  <c r="M57" i="10"/>
  <c r="M57" i="39"/>
  <c r="M58" i="38"/>
  <c r="N63" i="38"/>
  <c r="N60" i="38"/>
  <c r="N62" i="38"/>
  <c r="N61" i="38"/>
  <c r="N59" i="38"/>
  <c r="X17" i="38"/>
  <c r="AA19" i="38" s="1"/>
  <c r="M64" i="38" s="1"/>
  <c r="K62" i="5"/>
  <c r="AK151" i="35"/>
  <c r="AO151" i="35" s="1"/>
  <c r="AK165" i="35"/>
  <c r="AO165" i="35" s="1"/>
  <c r="AK160" i="35"/>
  <c r="AO160" i="35" s="1"/>
  <c r="AK158" i="35"/>
  <c r="AO158" i="35" s="1"/>
  <c r="AK154" i="35"/>
  <c r="AO154" i="35" s="1"/>
  <c r="AK161" i="35"/>
  <c r="AO161" i="35" s="1"/>
  <c r="AK157" i="35"/>
  <c r="AO157" i="35" s="1"/>
  <c r="AK148" i="35"/>
  <c r="AO148" i="35" s="1"/>
  <c r="AK156" i="35"/>
  <c r="AO156" i="35" s="1"/>
  <c r="AK163" i="35"/>
  <c r="AO163" i="35" s="1"/>
  <c r="AK159" i="35"/>
  <c r="AO159" i="35" s="1"/>
  <c r="AK153" i="35"/>
  <c r="AO153" i="35" s="1"/>
  <c r="AK162" i="35"/>
  <c r="AO162" i="35" s="1"/>
  <c r="M58" i="5"/>
  <c r="N59" i="20"/>
  <c r="M59" i="20" s="1"/>
  <c r="K63" i="5"/>
  <c r="N60" i="20"/>
  <c r="M60" i="20" s="1"/>
  <c r="N57" i="20"/>
  <c r="K57" i="20" s="1"/>
  <c r="N58" i="20"/>
  <c r="K58" i="20" s="1"/>
  <c r="K57" i="5"/>
  <c r="K61" i="5"/>
  <c r="K56" i="5"/>
  <c r="K59" i="5"/>
  <c r="AV137" i="35"/>
  <c r="EL137" i="35" s="1"/>
  <c r="EK126" i="35"/>
  <c r="EJ126" i="35" s="1"/>
  <c r="AV129" i="35"/>
  <c r="EL121" i="35"/>
  <c r="EK121" i="35"/>
  <c r="EJ121" i="35" s="1"/>
  <c r="EK116" i="35"/>
  <c r="EJ116" i="35" s="1"/>
  <c r="EL116" i="35"/>
  <c r="AU144" i="35"/>
  <c r="AW144" i="35" s="1"/>
  <c r="AU131" i="35"/>
  <c r="AW131" i="35" s="1"/>
  <c r="AU142" i="35"/>
  <c r="AW142" i="35" s="1"/>
  <c r="AU138" i="35"/>
  <c r="AW138" i="35" s="1"/>
  <c r="EL128" i="35"/>
  <c r="EK128" i="35"/>
  <c r="EJ128" i="35" s="1"/>
  <c r="EL117" i="35"/>
  <c r="EK117" i="35"/>
  <c r="EJ117" i="35" s="1"/>
  <c r="EK119" i="35"/>
  <c r="EJ119" i="35" s="1"/>
  <c r="EL119" i="35"/>
  <c r="EK124" i="35"/>
  <c r="EJ124" i="35" s="1"/>
  <c r="EL124" i="35"/>
  <c r="EL112" i="35"/>
  <c r="EK112" i="35"/>
  <c r="EJ112" i="35" s="1"/>
  <c r="EL115" i="35"/>
  <c r="EK115" i="35"/>
  <c r="EJ115" i="35" s="1"/>
  <c r="AU133" i="35"/>
  <c r="AW133" i="35" s="1"/>
  <c r="EK127" i="35"/>
  <c r="EJ127" i="35" s="1"/>
  <c r="EL127" i="35"/>
  <c r="AU139" i="35"/>
  <c r="AW139" i="35" s="1"/>
  <c r="EL120" i="35"/>
  <c r="EK120" i="35"/>
  <c r="EJ120" i="35" s="1"/>
  <c r="AU136" i="35"/>
  <c r="AW136" i="35" s="1"/>
  <c r="AU143" i="35"/>
  <c r="AW143" i="35" s="1"/>
  <c r="B53" i="37"/>
  <c r="AN21" i="37"/>
  <c r="AE184" i="35"/>
  <c r="AF184" i="35" s="1"/>
  <c r="AE187" i="35"/>
  <c r="AF187" i="35" s="1"/>
  <c r="AG183" i="35"/>
  <c r="AH183" i="35" s="1"/>
  <c r="AI167" i="35"/>
  <c r="AI168" i="35"/>
  <c r="AJ168" i="35" s="1"/>
  <c r="AE194" i="35"/>
  <c r="AF194" i="35" s="1"/>
  <c r="AI169" i="35"/>
  <c r="AJ169" i="35" s="1"/>
  <c r="AE193" i="35"/>
  <c r="AF193" i="35" s="1"/>
  <c r="AE197" i="35"/>
  <c r="AF197" i="35" s="1"/>
  <c r="AI178" i="35"/>
  <c r="AI179" i="35"/>
  <c r="AI176" i="35"/>
  <c r="AI181" i="35"/>
  <c r="AE195" i="35"/>
  <c r="AF195" i="35" s="1"/>
  <c r="AI174" i="35"/>
  <c r="AJ174" i="35" s="1"/>
  <c r="AE198" i="35"/>
  <c r="AF198" i="35" s="1"/>
  <c r="AI175" i="35"/>
  <c r="AE190" i="35"/>
  <c r="AF190" i="35" s="1"/>
  <c r="AI180" i="35"/>
  <c r="AE196" i="35"/>
  <c r="AF196" i="35" s="1"/>
  <c r="AE188" i="35"/>
  <c r="AF188" i="35" s="1"/>
  <c r="AC201" i="35"/>
  <c r="AD201" i="35" s="1"/>
  <c r="AE185" i="35"/>
  <c r="AF185" i="35" s="1"/>
  <c r="AI172" i="35"/>
  <c r="Y219" i="35"/>
  <c r="Y218" i="35"/>
  <c r="AA218" i="35" s="1"/>
  <c r="AB218" i="35" s="1"/>
  <c r="Y210" i="35"/>
  <c r="AA210" i="35" s="1"/>
  <c r="AB210" i="35" s="1"/>
  <c r="Y211" i="35"/>
  <c r="AA211" i="35" s="1"/>
  <c r="AB211" i="35" s="1"/>
  <c r="Y214" i="35"/>
  <c r="AA214" i="35" s="1"/>
  <c r="AB214" i="35" s="1"/>
  <c r="Y213" i="35"/>
  <c r="AA213" i="35" s="1"/>
  <c r="AB213" i="35" s="1"/>
  <c r="Y215" i="35"/>
  <c r="AA215" i="35" s="1"/>
  <c r="AB215" i="35" s="1"/>
  <c r="Y217" i="35"/>
  <c r="AA217" i="35" s="1"/>
  <c r="AB217" i="35" s="1"/>
  <c r="Y208" i="35"/>
  <c r="AA208" i="35" s="1"/>
  <c r="AB208" i="35" s="1"/>
  <c r="Y216" i="35"/>
  <c r="AA216" i="35" s="1"/>
  <c r="AB216" i="35" s="1"/>
  <c r="Y212" i="35"/>
  <c r="AA212" i="35" s="1"/>
  <c r="AB212" i="35" s="1"/>
  <c r="Y207" i="35"/>
  <c r="AA207" i="35" s="1"/>
  <c r="AB207" i="35" s="1"/>
  <c r="Y204" i="35"/>
  <c r="AA204" i="35" s="1"/>
  <c r="AB204" i="35" s="1"/>
  <c r="Y209" i="35"/>
  <c r="AA209" i="35" s="1"/>
  <c r="AB209" i="35" s="1"/>
  <c r="Y206" i="35"/>
  <c r="AA206" i="35" s="1"/>
  <c r="AB206" i="35" s="1"/>
  <c r="Y205" i="35"/>
  <c r="AA205" i="35" s="1"/>
  <c r="AB205" i="35" s="1"/>
  <c r="Y203" i="35"/>
  <c r="AA203" i="35" s="1"/>
  <c r="AB203" i="35" s="1"/>
  <c r="AA202" i="35"/>
  <c r="AB202" i="35" s="1"/>
  <c r="AE191" i="35"/>
  <c r="AF191" i="35" s="1"/>
  <c r="AE192" i="35"/>
  <c r="AF192" i="35" s="1"/>
  <c r="AE199" i="35"/>
  <c r="AF199" i="35" s="1"/>
  <c r="AI170" i="35"/>
  <c r="AI173" i="35"/>
  <c r="AI166" i="35"/>
  <c r="AE189" i="35"/>
  <c r="AF189" i="35" s="1"/>
  <c r="AU130" i="35"/>
  <c r="AV130" i="35" s="1"/>
  <c r="AE186" i="35"/>
  <c r="AF186" i="35" s="1"/>
  <c r="AI171" i="35"/>
  <c r="AI177" i="35"/>
  <c r="AI182" i="35"/>
  <c r="AH150" i="35"/>
  <c r="AE200" i="35"/>
  <c r="AF200" i="35" s="1"/>
  <c r="Y64" i="22"/>
  <c r="Z64" i="22" s="1"/>
  <c r="AA53" i="22"/>
  <c r="V26" i="22"/>
  <c r="X26" i="22" s="1"/>
  <c r="AA26" i="22"/>
  <c r="Y103" i="22"/>
  <c r="AC53" i="22"/>
  <c r="AA102" i="22"/>
  <c r="AA31" i="22"/>
  <c r="V18" i="22"/>
  <c r="AB50" i="22"/>
  <c r="Z53" i="22"/>
  <c r="Z18" i="22"/>
  <c r="AA50" i="22"/>
  <c r="V50" i="22"/>
  <c r="X50" i="22" s="1"/>
  <c r="Z29" i="22"/>
  <c r="Y155" i="22"/>
  <c r="AC155" i="22" s="1"/>
  <c r="V53" i="22"/>
  <c r="Z50" i="22"/>
  <c r="V29" i="22"/>
  <c r="AB87" i="22"/>
  <c r="V78" i="22"/>
  <c r="Y96" i="22"/>
  <c r="Z96" i="22" s="1"/>
  <c r="V87" i="22"/>
  <c r="AB122" i="22"/>
  <c r="AC87" i="22"/>
  <c r="V96" i="22"/>
  <c r="X96" i="22" s="1"/>
  <c r="V117" i="22"/>
  <c r="Z87" i="22"/>
  <c r="Y78" i="22"/>
  <c r="AC78" i="22" s="1"/>
  <c r="AA87" i="22"/>
  <c r="V103" i="22"/>
  <c r="AA140" i="22"/>
  <c r="V35" i="22"/>
  <c r="X35" i="22" s="1"/>
  <c r="AA39" i="22"/>
  <c r="AC29" i="22"/>
  <c r="AB39" i="22"/>
  <c r="AB18" i="22"/>
  <c r="Y35" i="22"/>
  <c r="Z35" i="22" s="1"/>
  <c r="Z140" i="22"/>
  <c r="AA29" i="22"/>
  <c r="AC121" i="22"/>
  <c r="AB22" i="22"/>
  <c r="Y21" i="22"/>
  <c r="AB21" i="22" s="1"/>
  <c r="AB140" i="22"/>
  <c r="AB121" i="22"/>
  <c r="Z121" i="22"/>
  <c r="Z39" i="22"/>
  <c r="V39" i="22"/>
  <c r="X39" i="22" s="1"/>
  <c r="AA18" i="22"/>
  <c r="V121" i="22"/>
  <c r="X155" i="22"/>
  <c r="AA98" i="22"/>
  <c r="Y32" i="22"/>
  <c r="AC32" i="22" s="1"/>
  <c r="AB142" i="22"/>
  <c r="Y146" i="22"/>
  <c r="Z146" i="22" s="1"/>
  <c r="V59" i="22"/>
  <c r="Z11" i="22"/>
  <c r="X55" i="22"/>
  <c r="Y59" i="22"/>
  <c r="Z59" i="22" s="1"/>
  <c r="Y55" i="22"/>
  <c r="AA55" i="22" s="1"/>
  <c r="AA122" i="22"/>
  <c r="AB31" i="22"/>
  <c r="Z102" i="22"/>
  <c r="AB109" i="22"/>
  <c r="AC102" i="22"/>
  <c r="V52" i="22"/>
  <c r="X52" i="22" s="1"/>
  <c r="V102" i="22"/>
  <c r="AC31" i="22"/>
  <c r="V122" i="22"/>
  <c r="X122" i="22" s="1"/>
  <c r="Y46" i="22"/>
  <c r="AB46" i="22" s="1"/>
  <c r="V43" i="22"/>
  <c r="X43" i="22" s="1"/>
  <c r="Z122" i="22"/>
  <c r="V31" i="22"/>
  <c r="V46" i="22"/>
  <c r="AA11" i="22"/>
  <c r="V142" i="22"/>
  <c r="X142" i="22" s="1"/>
  <c r="AB150" i="22"/>
  <c r="V85" i="22"/>
  <c r="X85" i="22" s="1"/>
  <c r="AB11" i="22"/>
  <c r="Y10" i="22"/>
  <c r="AA10" i="22" s="1"/>
  <c r="V10" i="22"/>
  <c r="X10" i="22" s="1"/>
  <c r="AB98" i="22"/>
  <c r="Z85" i="22"/>
  <c r="Z142" i="22"/>
  <c r="V11" i="22"/>
  <c r="X11" i="22" s="1"/>
  <c r="AC142" i="22"/>
  <c r="AC98" i="22"/>
  <c r="AB85" i="22"/>
  <c r="AA85" i="22"/>
  <c r="V98" i="22"/>
  <c r="Y101" i="22"/>
  <c r="AC101" i="22" s="1"/>
  <c r="Y141" i="22"/>
  <c r="Y80" i="22"/>
  <c r="V80" i="22"/>
  <c r="Y56" i="22"/>
  <c r="AB56" i="22" s="1"/>
  <c r="AB43" i="22"/>
  <c r="AA43" i="22"/>
  <c r="AC43" i="22"/>
  <c r="Z43" i="22"/>
  <c r="V157" i="22"/>
  <c r="Y81" i="22"/>
  <c r="Z81" i="22" s="1"/>
  <c r="V81" i="22"/>
  <c r="AC22" i="22"/>
  <c r="Z22" i="22"/>
  <c r="AA22" i="22"/>
  <c r="V22" i="22"/>
  <c r="V32" i="22"/>
  <c r="AA160" i="22"/>
  <c r="AB160" i="22"/>
  <c r="Z150" i="22"/>
  <c r="V160" i="22"/>
  <c r="X160" i="22" s="1"/>
  <c r="Z160" i="22"/>
  <c r="V137" i="22"/>
  <c r="AC150" i="22"/>
  <c r="V68" i="22"/>
  <c r="AA68" i="22"/>
  <c r="AA150" i="22"/>
  <c r="Y58" i="22"/>
  <c r="V58" i="22"/>
  <c r="Y137" i="22"/>
  <c r="Z137" i="22" s="1"/>
  <c r="V150" i="22"/>
  <c r="AC68" i="22"/>
  <c r="Z68" i="22"/>
  <c r="AB68" i="22"/>
  <c r="Y157" i="22"/>
  <c r="Z157" i="22" s="1"/>
  <c r="Y65" i="22"/>
  <c r="AA65" i="22" s="1"/>
  <c r="Y41" i="22"/>
  <c r="AB41" i="22" s="1"/>
  <c r="AC52" i="22"/>
  <c r="V166" i="22"/>
  <c r="AB52" i="22"/>
  <c r="AA52" i="22"/>
  <c r="V109" i="22"/>
  <c r="Y166" i="22"/>
  <c r="AB166" i="22" s="1"/>
  <c r="V101" i="22"/>
  <c r="V65" i="22"/>
  <c r="X65" i="22" s="1"/>
  <c r="Y127" i="22"/>
  <c r="AA127" i="22" s="1"/>
  <c r="Z109" i="22"/>
  <c r="V127" i="22"/>
  <c r="X127" i="22" s="1"/>
  <c r="Y161" i="22"/>
  <c r="AB161" i="22" s="1"/>
  <c r="AC109" i="22"/>
  <c r="V136" i="22"/>
  <c r="AB136" i="22"/>
  <c r="Z136" i="22"/>
  <c r="AC136" i="22"/>
  <c r="AC60" i="22"/>
  <c r="Z60" i="22"/>
  <c r="AA60" i="22"/>
  <c r="V60" i="22"/>
  <c r="AB57" i="22"/>
  <c r="AC57" i="22"/>
  <c r="V57" i="22"/>
  <c r="Z57" i="22"/>
  <c r="AA57" i="22"/>
  <c r="Z27" i="22"/>
  <c r="Z129" i="22"/>
  <c r="AA24" i="22"/>
  <c r="Z24" i="22"/>
  <c r="Z47" i="22"/>
  <c r="Z155" i="22"/>
  <c r="AA123" i="22"/>
  <c r="Z123" i="22"/>
  <c r="AC104" i="22"/>
  <c r="Z104" i="22"/>
  <c r="AB147" i="22"/>
  <c r="Z147" i="22"/>
  <c r="Z78" i="22"/>
  <c r="Z163" i="22"/>
  <c r="AB117" i="22"/>
  <c r="Z117" i="22"/>
  <c r="Z162" i="22"/>
  <c r="Z107" i="22"/>
  <c r="AC64" i="22"/>
  <c r="Z93" i="22"/>
  <c r="AB90" i="22"/>
  <c r="Z90" i="22"/>
  <c r="Z110" i="22"/>
  <c r="Z86" i="22"/>
  <c r="AB15" i="22"/>
  <c r="Z15" i="22"/>
  <c r="Z103" i="22"/>
  <c r="AB139" i="22"/>
  <c r="Z139" i="22"/>
  <c r="AA82" i="22"/>
  <c r="Z82" i="22"/>
  <c r="AA151" i="22"/>
  <c r="Z151" i="22"/>
  <c r="Z118" i="22"/>
  <c r="AB64" i="22"/>
  <c r="AC103" i="22"/>
  <c r="X21" i="22"/>
  <c r="X147" i="22"/>
  <c r="X152" i="22"/>
  <c r="AB24" i="22"/>
  <c r="X114" i="22"/>
  <c r="AC129" i="22"/>
  <c r="AC147" i="22"/>
  <c r="AA147" i="22"/>
  <c r="AC163" i="22"/>
  <c r="X138" i="22"/>
  <c r="AC118" i="22"/>
  <c r="AB129" i="22"/>
  <c r="AB118" i="22"/>
  <c r="AC24" i="22"/>
  <c r="AA129" i="22"/>
  <c r="X93" i="22"/>
  <c r="X146" i="22"/>
  <c r="AA118" i="22"/>
  <c r="AA15" i="22"/>
  <c r="AA117" i="22"/>
  <c r="X42" i="22"/>
  <c r="X117" i="22"/>
  <c r="AA103" i="22"/>
  <c r="AA163" i="22"/>
  <c r="AB103" i="22"/>
  <c r="X139" i="22"/>
  <c r="X24" i="22"/>
  <c r="AA93" i="22"/>
  <c r="AB151" i="22"/>
  <c r="AC123" i="22"/>
  <c r="X129" i="22"/>
  <c r="AB93" i="22"/>
  <c r="V123" i="22"/>
  <c r="AC93" i="22"/>
  <c r="AC139" i="22"/>
  <c r="X104" i="22"/>
  <c r="AA139" i="22"/>
  <c r="AB163" i="22"/>
  <c r="X13" i="22"/>
  <c r="X75" i="22"/>
  <c r="Y94" i="22"/>
  <c r="AB42" i="22"/>
  <c r="AA42" i="22"/>
  <c r="AC42" i="22"/>
  <c r="X161" i="22"/>
  <c r="X56" i="22"/>
  <c r="V94" i="22"/>
  <c r="AB34" i="22"/>
  <c r="AC34" i="22"/>
  <c r="AA34" i="22"/>
  <c r="AA104" i="22"/>
  <c r="AB96" i="22"/>
  <c r="AB104" i="22"/>
  <c r="AC162" i="22"/>
  <c r="AC15" i="22"/>
  <c r="V162" i="22"/>
  <c r="V86" i="22"/>
  <c r="AB27" i="22"/>
  <c r="Y45" i="22"/>
  <c r="Z45" i="22" s="1"/>
  <c r="Y63" i="22"/>
  <c r="Y158" i="22"/>
  <c r="Z158" i="22" s="1"/>
  <c r="V158" i="22"/>
  <c r="AA27" i="22"/>
  <c r="AB110" i="22"/>
  <c r="AC151" i="22"/>
  <c r="AC27" i="22"/>
  <c r="X167" i="22"/>
  <c r="AB123" i="22"/>
  <c r="X90" i="22"/>
  <c r="X63" i="22"/>
  <c r="AC110" i="22"/>
  <c r="X91" i="22"/>
  <c r="Y91" i="22"/>
  <c r="Z91" i="22" s="1"/>
  <c r="X150" i="22"/>
  <c r="X87" i="22"/>
  <c r="X145" i="22"/>
  <c r="V110" i="22"/>
  <c r="V107" i="22"/>
  <c r="X128" i="22"/>
  <c r="X36" i="22"/>
  <c r="AA110" i="22"/>
  <c r="AB162" i="22"/>
  <c r="AA162" i="22"/>
  <c r="Y128" i="22"/>
  <c r="Z128" i="22" s="1"/>
  <c r="AA155" i="22"/>
  <c r="AB155" i="22"/>
  <c r="AC86" i="22"/>
  <c r="V149" i="22"/>
  <c r="AC82" i="22"/>
  <c r="AB82" i="22"/>
  <c r="Y130" i="22"/>
  <c r="Z130" i="22" s="1"/>
  <c r="V130" i="22"/>
  <c r="Y77" i="22"/>
  <c r="Z77" i="22" s="1"/>
  <c r="V77" i="22"/>
  <c r="Y69" i="22"/>
  <c r="Z69" i="22" s="1"/>
  <c r="V69" i="22"/>
  <c r="Y12" i="22"/>
  <c r="Z12" i="22" s="1"/>
  <c r="V12" i="22"/>
  <c r="Y44" i="22"/>
  <c r="Z44" i="22" s="1"/>
  <c r="V44" i="22"/>
  <c r="Y113" i="22"/>
  <c r="Z113" i="22" s="1"/>
  <c r="V113" i="22"/>
  <c r="X20" i="22"/>
  <c r="X70" i="22"/>
  <c r="AB86" i="22"/>
  <c r="AA86" i="22"/>
  <c r="AB149" i="22"/>
  <c r="AA149" i="22"/>
  <c r="AC149" i="22"/>
  <c r="Y54" i="22"/>
  <c r="Z54" i="22" s="1"/>
  <c r="AC88" i="22"/>
  <c r="AB88" i="22"/>
  <c r="AA88" i="22"/>
  <c r="AA133" i="22"/>
  <c r="AB133" i="22"/>
  <c r="AC133" i="22"/>
  <c r="AC131" i="22"/>
  <c r="AA131" i="22"/>
  <c r="AB131" i="22"/>
  <c r="Y28" i="22"/>
  <c r="Z28" i="22" s="1"/>
  <c r="V28" i="22"/>
  <c r="Y25" i="22"/>
  <c r="Z25" i="22" s="1"/>
  <c r="V25" i="22"/>
  <c r="Y99" i="22"/>
  <c r="Z99" i="22" s="1"/>
  <c r="V99" i="22"/>
  <c r="AB137" i="22"/>
  <c r="Y61" i="22"/>
  <c r="Z61" i="22" s="1"/>
  <c r="V61" i="22"/>
  <c r="V133" i="22"/>
  <c r="Y125" i="22"/>
  <c r="Z125" i="22" s="1"/>
  <c r="V125" i="22"/>
  <c r="Y154" i="22"/>
  <c r="Z154" i="22" s="1"/>
  <c r="V154" i="22"/>
  <c r="X157" i="22"/>
  <c r="Y153" i="22"/>
  <c r="Z153" i="22" s="1"/>
  <c r="V153" i="22"/>
  <c r="V131" i="22"/>
  <c r="AB107" i="22"/>
  <c r="AC107" i="22"/>
  <c r="Y66" i="22"/>
  <c r="Z66" i="22" s="1"/>
  <c r="V66" i="22"/>
  <c r="Y33" i="22"/>
  <c r="Z33" i="22" s="1"/>
  <c r="V33" i="22"/>
  <c r="Y49" i="22"/>
  <c r="Z49" i="22" s="1"/>
  <c r="V49" i="22"/>
  <c r="Y62" i="22"/>
  <c r="Z62" i="22" s="1"/>
  <c r="V62" i="22"/>
  <c r="Y37" i="22"/>
  <c r="Z37" i="22" s="1"/>
  <c r="V37" i="22"/>
  <c r="Y67" i="22"/>
  <c r="Z67" i="22" s="1"/>
  <c r="V67" i="22"/>
  <c r="AA107" i="22"/>
  <c r="X102" i="22"/>
  <c r="AA137" i="22"/>
  <c r="V88" i="22"/>
  <c r="Y115" i="22"/>
  <c r="Z115" i="22" s="1"/>
  <c r="V115" i="22"/>
  <c r="V74" i="22"/>
  <c r="Y9" i="22"/>
  <c r="Z9" i="22" s="1"/>
  <c r="V9" i="22"/>
  <c r="Y105" i="22"/>
  <c r="Z105" i="22" s="1"/>
  <c r="V105" i="22"/>
  <c r="V97" i="22"/>
  <c r="Y97" i="22"/>
  <c r="Z97" i="22" s="1"/>
  <c r="Y126" i="22"/>
  <c r="Z126" i="22" s="1"/>
  <c r="V126" i="22"/>
  <c r="Y23" i="22"/>
  <c r="Z23" i="22" s="1"/>
  <c r="V23" i="22"/>
  <c r="Y89" i="22"/>
  <c r="Z89" i="22" s="1"/>
  <c r="V89" i="22"/>
  <c r="Y30" i="22"/>
  <c r="Z30" i="22" s="1"/>
  <c r="V30" i="22"/>
  <c r="Y144" i="22"/>
  <c r="Z144" i="22" s="1"/>
  <c r="V144" i="22"/>
  <c r="Y17" i="22"/>
  <c r="Z17" i="22" s="1"/>
  <c r="V17" i="22"/>
  <c r="Y74" i="22"/>
  <c r="Z74" i="22" s="1"/>
  <c r="AA90" i="22"/>
  <c r="AA78" i="22"/>
  <c r="AB78" i="22"/>
  <c r="Y111" i="22"/>
  <c r="Z111" i="22" s="1"/>
  <c r="V111" i="22"/>
  <c r="AC90" i="22"/>
  <c r="V47" i="22"/>
  <c r="AC47" i="22"/>
  <c r="AB47" i="22"/>
  <c r="AA47" i="22"/>
  <c r="X29" i="22"/>
  <c r="X51" i="22"/>
  <c r="X140" i="22"/>
  <c r="X18" i="22"/>
  <c r="X165" i="22"/>
  <c r="X73" i="22"/>
  <c r="Y116" i="22"/>
  <c r="Z116" i="22" s="1"/>
  <c r="V116" i="22"/>
  <c r="Y119" i="22"/>
  <c r="Z119" i="22" s="1"/>
  <c r="V119" i="22"/>
  <c r="Y132" i="22"/>
  <c r="Z132" i="22" s="1"/>
  <c r="V132" i="22"/>
  <c r="V135" i="22"/>
  <c r="Y108" i="22"/>
  <c r="Z108" i="22" s="1"/>
  <c r="V108" i="22"/>
  <c r="Y135" i="22"/>
  <c r="Z135" i="22" s="1"/>
  <c r="Y79" i="22"/>
  <c r="Z79" i="22" s="1"/>
  <c r="V79" i="22"/>
  <c r="Y92" i="22"/>
  <c r="Z92" i="22" s="1"/>
  <c r="V92" i="22"/>
  <c r="AB143" i="22"/>
  <c r="AA143" i="22"/>
  <c r="AC143" i="22"/>
  <c r="V8" i="22"/>
  <c r="Y8" i="22"/>
  <c r="Z8" i="22" s="1"/>
  <c r="X83" i="22"/>
  <c r="V143" i="22"/>
  <c r="Y164" i="22"/>
  <c r="Z164" i="22" s="1"/>
  <c r="V164" i="22"/>
  <c r="AC48" i="22"/>
  <c r="AA48" i="22"/>
  <c r="AB48" i="22"/>
  <c r="AA72" i="22"/>
  <c r="AB72" i="22"/>
  <c r="AC72" i="22"/>
  <c r="AA40" i="22"/>
  <c r="AB40" i="22"/>
  <c r="AC40" i="22"/>
  <c r="Y76" i="22"/>
  <c r="Z76" i="22" s="1"/>
  <c r="V76" i="22"/>
  <c r="V48" i="22"/>
  <c r="Y95" i="22"/>
  <c r="Z95" i="22" s="1"/>
  <c r="V95" i="22"/>
  <c r="AA120" i="22"/>
  <c r="AC120" i="22"/>
  <c r="AB120" i="22"/>
  <c r="V120" i="22"/>
  <c r="Y124" i="22"/>
  <c r="Z124" i="22" s="1"/>
  <c r="V124" i="22"/>
  <c r="Y100" i="22"/>
  <c r="Z100" i="22" s="1"/>
  <c r="V100" i="22"/>
  <c r="Y148" i="22"/>
  <c r="Z148" i="22" s="1"/>
  <c r="V148" i="22"/>
  <c r="V40" i="22"/>
  <c r="Y156" i="22"/>
  <c r="Z156" i="22" s="1"/>
  <c r="V156" i="22"/>
  <c r="AA159" i="22"/>
  <c r="AB159" i="22"/>
  <c r="AC159" i="22"/>
  <c r="V72" i="22"/>
  <c r="Y84" i="22"/>
  <c r="Z84" i="22" s="1"/>
  <c r="V84" i="22"/>
  <c r="V159" i="22"/>
  <c r="Y16" i="22"/>
  <c r="Z16" i="22" s="1"/>
  <c r="V16" i="22"/>
  <c r="Y112" i="22"/>
  <c r="Z112" i="22" s="1"/>
  <c r="V112" i="22"/>
  <c r="Y71" i="22"/>
  <c r="Z71" i="22" s="1"/>
  <c r="V71" i="22"/>
  <c r="K62" i="24"/>
  <c r="M62" i="24"/>
  <c r="AI10" i="22"/>
  <c r="AJ10" i="22" s="1"/>
  <c r="AI11" i="22"/>
  <c r="AJ11" i="22" s="1"/>
  <c r="AI9" i="22"/>
  <c r="M56" i="20"/>
  <c r="K56" i="20"/>
  <c r="M57" i="24"/>
  <c r="K57" i="24"/>
  <c r="K58" i="24"/>
  <c r="M58" i="24"/>
  <c r="M60" i="24"/>
  <c r="K60" i="24"/>
  <c r="M59" i="24"/>
  <c r="K59" i="24"/>
  <c r="M63" i="24"/>
  <c r="K63" i="24"/>
  <c r="K56" i="24"/>
  <c r="M56" i="24"/>
  <c r="I50" i="19" l="1"/>
  <c r="AA50" i="19" s="1"/>
  <c r="CB90" i="35"/>
  <c r="Q34" i="19"/>
  <c r="AF34" i="19" s="1"/>
  <c r="H37" i="19"/>
  <c r="Z37" i="19" s="1"/>
  <c r="CW34" i="35"/>
  <c r="CU34" i="35"/>
  <c r="R34" i="19" s="1"/>
  <c r="CJ37" i="35"/>
  <c r="CZ34" i="35"/>
  <c r="W34" i="19" s="1"/>
  <c r="CI53" i="35"/>
  <c r="CG89" i="35"/>
  <c r="CH89" i="35" s="1"/>
  <c r="CK89" i="35" s="1"/>
  <c r="CL50" i="35"/>
  <c r="J50" i="19" s="1"/>
  <c r="AB50" i="19" s="1"/>
  <c r="I53" i="19"/>
  <c r="AA53" i="19" s="1"/>
  <c r="I68" i="19"/>
  <c r="AA68" i="19" s="1"/>
  <c r="CL49" i="35"/>
  <c r="J49" i="19" s="1"/>
  <c r="AB49" i="19" s="1"/>
  <c r="H91" i="19"/>
  <c r="Z91" i="19" s="1"/>
  <c r="FA91" i="35"/>
  <c r="CK91" i="35"/>
  <c r="CJ91" i="35"/>
  <c r="CJ54" i="35"/>
  <c r="CK54" i="35"/>
  <c r="I54" i="19" s="1"/>
  <c r="AA54" i="19" s="1"/>
  <c r="H54" i="19"/>
  <c r="Z54" i="19" s="1"/>
  <c r="FA54" i="35"/>
  <c r="EB22" i="35"/>
  <c r="CI22" i="35"/>
  <c r="CL41" i="35"/>
  <c r="CG24" i="35"/>
  <c r="CH24" i="35" s="1"/>
  <c r="H24" i="19" s="1"/>
  <c r="Z24" i="19" s="1"/>
  <c r="CB91" i="35"/>
  <c r="EB91" i="35" s="1"/>
  <c r="CG22" i="35"/>
  <c r="CH22" i="35" s="1"/>
  <c r="H22" i="19" s="1"/>
  <c r="Z22" i="19" s="1"/>
  <c r="CL37" i="35"/>
  <c r="CT37" i="35" s="1"/>
  <c r="CG69" i="35"/>
  <c r="CH69" i="35" s="1"/>
  <c r="FA69" i="35" s="1"/>
  <c r="CB19" i="35"/>
  <c r="EB19" i="35" s="1"/>
  <c r="CL60" i="35"/>
  <c r="DB60" i="35" s="1"/>
  <c r="Y60" i="19" s="1"/>
  <c r="CK73" i="35"/>
  <c r="CG13" i="35"/>
  <c r="CH13" i="35" s="1"/>
  <c r="CG76" i="35"/>
  <c r="CH76" i="35" s="1"/>
  <c r="CI11" i="35"/>
  <c r="CL11" i="35" s="1"/>
  <c r="DB11" i="35" s="1"/>
  <c r="Y11" i="19" s="1"/>
  <c r="CL32" i="35"/>
  <c r="DB32" i="35" s="1"/>
  <c r="Y32" i="19" s="1"/>
  <c r="EB28" i="35"/>
  <c r="CI28" i="35"/>
  <c r="CJ73" i="35"/>
  <c r="I73" i="19" s="1"/>
  <c r="AA73" i="19" s="1"/>
  <c r="CB85" i="35"/>
  <c r="H73" i="19"/>
  <c r="Z73" i="19" s="1"/>
  <c r="CI24" i="35"/>
  <c r="EB24" i="35"/>
  <c r="FA39" i="35"/>
  <c r="CJ39" i="35"/>
  <c r="H39" i="19"/>
  <c r="Z39" i="19" s="1"/>
  <c r="CK39" i="35"/>
  <c r="EB44" i="35"/>
  <c r="CI44" i="35"/>
  <c r="EB40" i="35"/>
  <c r="CI40" i="35"/>
  <c r="CJ10" i="35"/>
  <c r="FA10" i="35"/>
  <c r="CK10" i="35"/>
  <c r="H10" i="19"/>
  <c r="Z10" i="19" s="1"/>
  <c r="EB74" i="35"/>
  <c r="CI74" i="35"/>
  <c r="EB27" i="35"/>
  <c r="CI27" i="35"/>
  <c r="EB89" i="35"/>
  <c r="CI89" i="35"/>
  <c r="EB66" i="35"/>
  <c r="CI66" i="35"/>
  <c r="FA82" i="35"/>
  <c r="H82" i="19"/>
  <c r="Z82" i="19" s="1"/>
  <c r="CK82" i="35"/>
  <c r="CJ82" i="35"/>
  <c r="H56" i="19"/>
  <c r="Z56" i="19" s="1"/>
  <c r="BZ106" i="35"/>
  <c r="CA106" i="35" s="1"/>
  <c r="CG106" i="35" s="1"/>
  <c r="CH106" i="35" s="1"/>
  <c r="CL42" i="35"/>
  <c r="CZ42" i="35" s="1"/>
  <c r="W42" i="19" s="1"/>
  <c r="H67" i="19"/>
  <c r="Z67" i="19" s="1"/>
  <c r="CK67" i="35"/>
  <c r="CJ67" i="35"/>
  <c r="H13" i="19"/>
  <c r="Z13" i="19" s="1"/>
  <c r="FA48" i="35"/>
  <c r="CI52" i="35"/>
  <c r="BZ81" i="35"/>
  <c r="CA81" i="35" s="1"/>
  <c r="CB81" i="35" s="1"/>
  <c r="CI81" i="35" s="1"/>
  <c r="CB82" i="35"/>
  <c r="EB82" i="35" s="1"/>
  <c r="BZ100" i="35"/>
  <c r="CA100" i="35" s="1"/>
  <c r="CG100" i="35" s="1"/>
  <c r="CH100" i="35" s="1"/>
  <c r="BZ71" i="35"/>
  <c r="CA71" i="35" s="1"/>
  <c r="CB71" i="35" s="1"/>
  <c r="BZ83" i="35"/>
  <c r="CA83" i="35" s="1"/>
  <c r="CG83" i="35" s="1"/>
  <c r="CH83" i="35" s="1"/>
  <c r="FA83" i="35" s="1"/>
  <c r="CL20" i="35"/>
  <c r="CZ20" i="35" s="1"/>
  <c r="W20" i="19" s="1"/>
  <c r="CG52" i="35"/>
  <c r="CH52" i="35" s="1"/>
  <c r="CG47" i="35"/>
  <c r="CH47" i="35" s="1"/>
  <c r="CB48" i="35"/>
  <c r="CG86" i="35"/>
  <c r="CH86" i="35" s="1"/>
  <c r="CB56" i="35"/>
  <c r="BZ65" i="35"/>
  <c r="CA65" i="35" s="1"/>
  <c r="CG65" i="35" s="1"/>
  <c r="CH65" i="35" s="1"/>
  <c r="CK13" i="35"/>
  <c r="CJ48" i="35"/>
  <c r="I48" i="19" s="1"/>
  <c r="AA48" i="19" s="1"/>
  <c r="FA56" i="35"/>
  <c r="BZ95" i="35"/>
  <c r="CA95" i="35" s="1"/>
  <c r="CG95" i="35" s="1"/>
  <c r="CH95" i="35" s="1"/>
  <c r="BZ101" i="35"/>
  <c r="CA101" i="35" s="1"/>
  <c r="CG101" i="35" s="1"/>
  <c r="CH101" i="35" s="1"/>
  <c r="BZ64" i="35"/>
  <c r="CA64" i="35" s="1"/>
  <c r="CB64" i="35" s="1"/>
  <c r="BZ97" i="35"/>
  <c r="CA97" i="35" s="1"/>
  <c r="CB97" i="35" s="1"/>
  <c r="EB97" i="35" s="1"/>
  <c r="I70" i="19"/>
  <c r="AA70" i="19" s="1"/>
  <c r="BZ78" i="35"/>
  <c r="CA78" i="35" s="1"/>
  <c r="BZ59" i="35"/>
  <c r="CA59" i="35" s="1"/>
  <c r="CB59" i="35" s="1"/>
  <c r="EB59" i="35" s="1"/>
  <c r="BZ88" i="35"/>
  <c r="CA88" i="35" s="1"/>
  <c r="CG88" i="35" s="1"/>
  <c r="CH88" i="35" s="1"/>
  <c r="BZ63" i="35"/>
  <c r="CA63" i="35" s="1"/>
  <c r="CB63" i="35" s="1"/>
  <c r="BZ103" i="35"/>
  <c r="CA103" i="35" s="1"/>
  <c r="CB103" i="35" s="1"/>
  <c r="CB86" i="35"/>
  <c r="CI86" i="35" s="1"/>
  <c r="CL53" i="35"/>
  <c r="CY53" i="35" s="1"/>
  <c r="V53" i="19" s="1"/>
  <c r="H48" i="19"/>
  <c r="Z48" i="19" s="1"/>
  <c r="BZ104" i="35"/>
  <c r="CA104" i="35" s="1"/>
  <c r="CB104" i="35" s="1"/>
  <c r="BZ110" i="35"/>
  <c r="CA110" i="35" s="1"/>
  <c r="CB110" i="35" s="1"/>
  <c r="BZ87" i="35"/>
  <c r="CA87" i="35" s="1"/>
  <c r="BZ99" i="35"/>
  <c r="CA99" i="35" s="1"/>
  <c r="CB99" i="35" s="1"/>
  <c r="CI19" i="35"/>
  <c r="CL67" i="35"/>
  <c r="DB67" i="35" s="1"/>
  <c r="Y67" i="19" s="1"/>
  <c r="BZ72" i="35"/>
  <c r="CA72" i="35" s="1"/>
  <c r="CG72" i="35" s="1"/>
  <c r="CH72" i="35" s="1"/>
  <c r="BZ107" i="35"/>
  <c r="CA107" i="35" s="1"/>
  <c r="CG107" i="35" s="1"/>
  <c r="CH107" i="35" s="1"/>
  <c r="CJ107" i="35" s="1"/>
  <c r="BZ79" i="35"/>
  <c r="CA79" i="35" s="1"/>
  <c r="CB79" i="35" s="1"/>
  <c r="CG43" i="35"/>
  <c r="CH43" i="35" s="1"/>
  <c r="FA43" i="35" s="1"/>
  <c r="DA14" i="35"/>
  <c r="X14" i="19" s="1"/>
  <c r="CL17" i="35"/>
  <c r="J17" i="19" s="1"/>
  <c r="AB17" i="19" s="1"/>
  <c r="I42" i="19"/>
  <c r="AA42" i="19" s="1"/>
  <c r="H36" i="19"/>
  <c r="Z36" i="19" s="1"/>
  <c r="CK36" i="35"/>
  <c r="CJ36" i="35"/>
  <c r="EB43" i="35"/>
  <c r="CI43" i="35"/>
  <c r="CA77" i="35"/>
  <c r="CG77" i="35" s="1"/>
  <c r="CH77" i="35" s="1"/>
  <c r="CA26" i="35"/>
  <c r="CB26" i="35" s="1"/>
  <c r="DB14" i="35"/>
  <c r="Y14" i="19" s="1"/>
  <c r="CA46" i="35"/>
  <c r="CB46" i="35" s="1"/>
  <c r="CB80" i="35"/>
  <c r="CA61" i="35"/>
  <c r="CG61" i="35" s="1"/>
  <c r="CH61" i="35" s="1"/>
  <c r="CJ61" i="35" s="1"/>
  <c r="CI55" i="35"/>
  <c r="FA18" i="35"/>
  <c r="H18" i="19"/>
  <c r="Z18" i="19" s="1"/>
  <c r="CJ18" i="35"/>
  <c r="CK18" i="35"/>
  <c r="CL21" i="35"/>
  <c r="DA21" i="35" s="1"/>
  <c r="X21" i="19" s="1"/>
  <c r="FA89" i="35"/>
  <c r="CY14" i="35"/>
  <c r="V14" i="19" s="1"/>
  <c r="CA35" i="35"/>
  <c r="CB35" i="35" s="1"/>
  <c r="EB35" i="35" s="1"/>
  <c r="CA51" i="35"/>
  <c r="CB51" i="35" s="1"/>
  <c r="EB51" i="35" s="1"/>
  <c r="CN14" i="35"/>
  <c r="GU14" i="35" s="1"/>
  <c r="HI14" i="35" s="1"/>
  <c r="CT14" i="35"/>
  <c r="Q14" i="19" s="1"/>
  <c r="AF14" i="19" s="1"/>
  <c r="CK74" i="35"/>
  <c r="GS14" i="35"/>
  <c r="HG14" i="35" s="1"/>
  <c r="HO14" i="35" s="1"/>
  <c r="HS14" i="35" s="1"/>
  <c r="CZ14" i="35"/>
  <c r="W14" i="19" s="1"/>
  <c r="I37" i="19"/>
  <c r="AA37" i="19" s="1"/>
  <c r="CL45" i="35"/>
  <c r="DB45" i="35" s="1"/>
  <c r="Y45" i="19" s="1"/>
  <c r="CK90" i="35"/>
  <c r="CL28" i="35"/>
  <c r="GS28" i="35" s="1"/>
  <c r="HG28" i="35" s="1"/>
  <c r="HO28" i="35" s="1"/>
  <c r="HR28" i="35" s="1"/>
  <c r="DA34" i="35"/>
  <c r="X34" i="19" s="1"/>
  <c r="CK19" i="35"/>
  <c r="H89" i="19"/>
  <c r="Z89" i="19" s="1"/>
  <c r="CJ89" i="35"/>
  <c r="I89" i="19" s="1"/>
  <c r="AA89" i="19" s="1"/>
  <c r="FA19" i="35"/>
  <c r="I9" i="19"/>
  <c r="AA9" i="19" s="1"/>
  <c r="CY34" i="35"/>
  <c r="V34" i="19" s="1"/>
  <c r="CJ19" i="35"/>
  <c r="GS34" i="35"/>
  <c r="HG34" i="35" s="1"/>
  <c r="HO34" i="35" s="1"/>
  <c r="HR34" i="35" s="1"/>
  <c r="J34" i="19"/>
  <c r="AB34" i="19" s="1"/>
  <c r="CN34" i="35"/>
  <c r="CP34" i="35" s="1"/>
  <c r="GW34" i="35" s="1"/>
  <c r="HK34" i="35" s="1"/>
  <c r="HM34" i="35" s="1"/>
  <c r="CX34" i="35"/>
  <c r="HE34" i="35" s="1"/>
  <c r="CL9" i="35"/>
  <c r="J9" i="19" s="1"/>
  <c r="AB9" i="19" s="1"/>
  <c r="GS70" i="35"/>
  <c r="HG70" i="35" s="1"/>
  <c r="HO70" i="35" s="1"/>
  <c r="HP70" i="35" s="1"/>
  <c r="GA70" i="35"/>
  <c r="GI70" i="35" s="1"/>
  <c r="GJ70" i="35" s="1"/>
  <c r="GM70" i="35" s="1"/>
  <c r="GO70" i="35" s="1"/>
  <c r="I21" i="19"/>
  <c r="AA21" i="19" s="1"/>
  <c r="CI38" i="35"/>
  <c r="FA24" i="35"/>
  <c r="I33" i="19"/>
  <c r="AA33" i="19" s="1"/>
  <c r="CJ24" i="35"/>
  <c r="H66" i="19"/>
  <c r="Z66" i="19" s="1"/>
  <c r="CK24" i="35"/>
  <c r="CK66" i="35"/>
  <c r="I66" i="19" s="1"/>
  <c r="AA66" i="19" s="1"/>
  <c r="CG71" i="35"/>
  <c r="CH71" i="35" s="1"/>
  <c r="CJ71" i="35" s="1"/>
  <c r="CT70" i="35"/>
  <c r="HA70" i="35" s="1"/>
  <c r="FA66" i="35"/>
  <c r="DB29" i="35"/>
  <c r="Y29" i="19" s="1"/>
  <c r="EB86" i="35"/>
  <c r="I58" i="19"/>
  <c r="AA58" i="19" s="1"/>
  <c r="CG79" i="35"/>
  <c r="CH79" i="35" s="1"/>
  <c r="CG104" i="35"/>
  <c r="CH104" i="35" s="1"/>
  <c r="FA104" i="35" s="1"/>
  <c r="CB88" i="35"/>
  <c r="EB88" i="35" s="1"/>
  <c r="CI54" i="35"/>
  <c r="CL54" i="35" s="1"/>
  <c r="CZ54" i="35" s="1"/>
  <c r="W54" i="19" s="1"/>
  <c r="H90" i="19"/>
  <c r="Z90" i="19" s="1"/>
  <c r="CJ90" i="35"/>
  <c r="EB36" i="35"/>
  <c r="CI73" i="35"/>
  <c r="CI69" i="35"/>
  <c r="FA44" i="35"/>
  <c r="CJ74" i="35"/>
  <c r="FA80" i="35"/>
  <c r="H40" i="19"/>
  <c r="Z40" i="19" s="1"/>
  <c r="DA29" i="35"/>
  <c r="X29" i="19" s="1"/>
  <c r="BX122" i="35"/>
  <c r="CJ40" i="35"/>
  <c r="I40" i="19" s="1"/>
  <c r="AA40" i="19" s="1"/>
  <c r="CN70" i="35"/>
  <c r="GU70" i="35" s="1"/>
  <c r="HI70" i="35" s="1"/>
  <c r="CI47" i="35"/>
  <c r="GS29" i="35"/>
  <c r="HG29" i="35" s="1"/>
  <c r="HO29" i="35" s="1"/>
  <c r="HS29" i="35" s="1"/>
  <c r="CY70" i="35"/>
  <c r="V70" i="19" s="1"/>
  <c r="CL31" i="35"/>
  <c r="CZ31" i="35" s="1"/>
  <c r="W31" i="19" s="1"/>
  <c r="FA40" i="35"/>
  <c r="BX105" i="35"/>
  <c r="EB39" i="35"/>
  <c r="CI39" i="35"/>
  <c r="CK44" i="35"/>
  <c r="H44" i="19"/>
  <c r="Z44" i="19" s="1"/>
  <c r="BX62" i="35"/>
  <c r="CZ37" i="35"/>
  <c r="W37" i="19" s="1"/>
  <c r="BX111" i="35"/>
  <c r="GA37" i="35"/>
  <c r="GC37" i="35" s="1"/>
  <c r="GE37" i="35" s="1"/>
  <c r="GG37" i="35" s="1"/>
  <c r="I29" i="19"/>
  <c r="AA29" i="19" s="1"/>
  <c r="BX25" i="35"/>
  <c r="BZ25" i="35" s="1"/>
  <c r="CA25" i="35" s="1"/>
  <c r="CB65" i="35"/>
  <c r="EB65" i="35" s="1"/>
  <c r="GS37" i="35"/>
  <c r="HG37" i="35" s="1"/>
  <c r="HO37" i="35" s="1"/>
  <c r="HS37" i="35" s="1"/>
  <c r="J37" i="19"/>
  <c r="AB37" i="19" s="1"/>
  <c r="J70" i="19"/>
  <c r="AB70" i="19" s="1"/>
  <c r="DB70" i="35"/>
  <c r="Y70" i="19" s="1"/>
  <c r="CI15" i="35"/>
  <c r="DA37" i="35"/>
  <c r="X37" i="19" s="1"/>
  <c r="GA29" i="35"/>
  <c r="GC29" i="35" s="1"/>
  <c r="GE29" i="35" s="1"/>
  <c r="GG29" i="35" s="1"/>
  <c r="BX109" i="35"/>
  <c r="CZ29" i="35"/>
  <c r="W29" i="19" s="1"/>
  <c r="BX93" i="35"/>
  <c r="CT29" i="35"/>
  <c r="CX29" i="35" s="1"/>
  <c r="U29" i="19" s="1"/>
  <c r="AK29" i="19" s="1"/>
  <c r="CI10" i="35"/>
  <c r="CL10" i="35" s="1"/>
  <c r="CL58" i="35"/>
  <c r="J58" i="19" s="1"/>
  <c r="AB58" i="19" s="1"/>
  <c r="CN29" i="35"/>
  <c r="GU29" i="35" s="1"/>
  <c r="HI29" i="35" s="1"/>
  <c r="CN37" i="35"/>
  <c r="CP37" i="35" s="1"/>
  <c r="DA70" i="35"/>
  <c r="X70" i="19" s="1"/>
  <c r="CY42" i="35"/>
  <c r="V42" i="19" s="1"/>
  <c r="CY29" i="35"/>
  <c r="V29" i="19" s="1"/>
  <c r="BX94" i="35"/>
  <c r="CI82" i="35"/>
  <c r="BX96" i="35"/>
  <c r="BZ96" i="35" s="1"/>
  <c r="CK80" i="35"/>
  <c r="I80" i="19" s="1"/>
  <c r="AA80" i="19" s="1"/>
  <c r="BX92" i="35"/>
  <c r="H80" i="19"/>
  <c r="Z80" i="19" s="1"/>
  <c r="BX75" i="35"/>
  <c r="CK43" i="35"/>
  <c r="CJ43" i="35"/>
  <c r="H43" i="19"/>
  <c r="Z43" i="19" s="1"/>
  <c r="DA17" i="35"/>
  <c r="X17" i="19" s="1"/>
  <c r="GA17" i="35"/>
  <c r="GI17" i="35" s="1"/>
  <c r="GK17" i="35" s="1"/>
  <c r="BS112" i="35"/>
  <c r="BS115" i="35"/>
  <c r="BS119" i="35"/>
  <c r="BU119" i="35" s="1"/>
  <c r="BS127" i="35"/>
  <c r="BS102" i="35"/>
  <c r="BU102" i="35" s="1"/>
  <c r="BS98" i="35"/>
  <c r="BU98" i="35" s="1"/>
  <c r="BS113" i="35"/>
  <c r="BU113" i="35" s="1"/>
  <c r="BS117" i="35"/>
  <c r="BU117" i="35" s="1"/>
  <c r="BS121" i="35"/>
  <c r="BU121" i="35" s="1"/>
  <c r="BS124" i="35"/>
  <c r="BU124" i="35" s="1"/>
  <c r="BS116" i="35"/>
  <c r="BU116" i="35" s="1"/>
  <c r="BS126" i="35"/>
  <c r="BS108" i="35"/>
  <c r="BU108" i="35" s="1"/>
  <c r="BS125" i="35"/>
  <c r="BU125" i="35" s="1"/>
  <c r="CY32" i="35"/>
  <c r="V32" i="19" s="1"/>
  <c r="EB7" i="35"/>
  <c r="GC30" i="35"/>
  <c r="GE30" i="35" s="1"/>
  <c r="GG30" i="35" s="1"/>
  <c r="CW30" i="35"/>
  <c r="T30" i="19" s="1"/>
  <c r="CX30" i="35"/>
  <c r="HE30" i="35" s="1"/>
  <c r="I91" i="19"/>
  <c r="AA91" i="19" s="1"/>
  <c r="CJ7" i="35"/>
  <c r="CL7" i="35" s="1"/>
  <c r="J7" i="19" s="1"/>
  <c r="AB7" i="19" s="1"/>
  <c r="H7" i="19"/>
  <c r="Z7" i="19" s="1"/>
  <c r="FA7" i="35"/>
  <c r="Q30" i="19"/>
  <c r="AF30" i="19" s="1"/>
  <c r="J32" i="19"/>
  <c r="AB32" i="19" s="1"/>
  <c r="CN32" i="35"/>
  <c r="GU32" i="35" s="1"/>
  <c r="HI32" i="35" s="1"/>
  <c r="CT32" i="35"/>
  <c r="Q32" i="19" s="1"/>
  <c r="AF32" i="19" s="1"/>
  <c r="DA32" i="35"/>
  <c r="X32" i="19" s="1"/>
  <c r="CZ32" i="35"/>
  <c r="W32" i="19" s="1"/>
  <c r="CZ57" i="35"/>
  <c r="W57" i="19" s="1"/>
  <c r="CY57" i="35"/>
  <c r="V57" i="19" s="1"/>
  <c r="CY33" i="35"/>
  <c r="V33" i="19" s="1"/>
  <c r="HA30" i="35"/>
  <c r="J57" i="19"/>
  <c r="AB57" i="19" s="1"/>
  <c r="GS57" i="35"/>
  <c r="HG57" i="35" s="1"/>
  <c r="HO57" i="35" s="1"/>
  <c r="HS57" i="35" s="1"/>
  <c r="CT57" i="35"/>
  <c r="HA57" i="35" s="1"/>
  <c r="GC33" i="35"/>
  <c r="GE33" i="35" s="1"/>
  <c r="GG33" i="35" s="1"/>
  <c r="CU30" i="35"/>
  <c r="HB30" i="35" s="1"/>
  <c r="GS32" i="35"/>
  <c r="HG32" i="35" s="1"/>
  <c r="HO32" i="35" s="1"/>
  <c r="HP32" i="35" s="1"/>
  <c r="GA32" i="35"/>
  <c r="GI32" i="35" s="1"/>
  <c r="J33" i="19"/>
  <c r="AB33" i="19" s="1"/>
  <c r="L30" i="19"/>
  <c r="GK33" i="35"/>
  <c r="DB33" i="35"/>
  <c r="Y33" i="19" s="1"/>
  <c r="GU30" i="35"/>
  <c r="HI30" i="35" s="1"/>
  <c r="CZ33" i="35"/>
  <c r="W33" i="19" s="1"/>
  <c r="CN33" i="35"/>
  <c r="CP33" i="35" s="1"/>
  <c r="CR33" i="35" s="1"/>
  <c r="P33" i="19" s="1"/>
  <c r="AE33" i="19" s="1"/>
  <c r="DA33" i="35"/>
  <c r="X33" i="19" s="1"/>
  <c r="GS33" i="35"/>
  <c r="HG33" i="35" s="1"/>
  <c r="HO33" i="35" s="1"/>
  <c r="HP33" i="35" s="1"/>
  <c r="I10" i="19"/>
  <c r="AA10" i="19" s="1"/>
  <c r="CT33" i="35"/>
  <c r="CW33" i="35" s="1"/>
  <c r="T33" i="19" s="1"/>
  <c r="GA57" i="35"/>
  <c r="GC57" i="35" s="1"/>
  <c r="GE57" i="35" s="1"/>
  <c r="GG57" i="35" s="1"/>
  <c r="DA57" i="35"/>
  <c r="X57" i="19" s="1"/>
  <c r="HQ30" i="35"/>
  <c r="CN57" i="35"/>
  <c r="L57" i="19" s="1"/>
  <c r="HP30" i="35"/>
  <c r="HR30" i="35"/>
  <c r="CZ58" i="35"/>
  <c r="W58" i="19" s="1"/>
  <c r="I82" i="19"/>
  <c r="AA82" i="19" s="1"/>
  <c r="DA60" i="35"/>
  <c r="X60" i="19" s="1"/>
  <c r="GS49" i="35"/>
  <c r="HG49" i="35" s="1"/>
  <c r="HO49" i="35" s="1"/>
  <c r="HQ49" i="35" s="1"/>
  <c r="I56" i="19"/>
  <c r="AA56" i="19" s="1"/>
  <c r="GA49" i="35"/>
  <c r="GC49" i="35" s="1"/>
  <c r="GE49" i="35" s="1"/>
  <c r="GG49" i="35" s="1"/>
  <c r="CT49" i="35"/>
  <c r="HA49" i="35" s="1"/>
  <c r="GI14" i="35"/>
  <c r="GJ14" i="35" s="1"/>
  <c r="GM14" i="35" s="1"/>
  <c r="GO14" i="35" s="1"/>
  <c r="H95" i="19"/>
  <c r="Z95" i="19" s="1"/>
  <c r="FA95" i="35"/>
  <c r="HB34" i="35"/>
  <c r="CN23" i="35"/>
  <c r="CP23" i="35" s="1"/>
  <c r="J23" i="19"/>
  <c r="AB23" i="19" s="1"/>
  <c r="CZ23" i="35"/>
  <c r="W23" i="19" s="1"/>
  <c r="GS23" i="35"/>
  <c r="HG23" i="35" s="1"/>
  <c r="HO23" i="35" s="1"/>
  <c r="HQ23" i="35" s="1"/>
  <c r="CT23" i="35"/>
  <c r="CU23" i="35" s="1"/>
  <c r="DB50" i="35"/>
  <c r="Y50" i="19" s="1"/>
  <c r="CY23" i="35"/>
  <c r="V23" i="19" s="1"/>
  <c r="DA23" i="35"/>
  <c r="X23" i="19" s="1"/>
  <c r="GI23" i="35"/>
  <c r="GK23" i="35" s="1"/>
  <c r="DB23" i="35"/>
  <c r="Y23" i="19" s="1"/>
  <c r="DA50" i="35"/>
  <c r="X50" i="19" s="1"/>
  <c r="S34" i="19"/>
  <c r="AI34" i="19" s="1"/>
  <c r="DB68" i="35"/>
  <c r="Y68" i="19" s="1"/>
  <c r="CT68" i="35"/>
  <c r="HA68" i="35" s="1"/>
  <c r="DA68" i="35"/>
  <c r="X68" i="19" s="1"/>
  <c r="GA68" i="35"/>
  <c r="GC68" i="35" s="1"/>
  <c r="GE68" i="35" s="1"/>
  <c r="GG68" i="35" s="1"/>
  <c r="DB49" i="35"/>
  <c r="Y49" i="19" s="1"/>
  <c r="CZ68" i="35"/>
  <c r="W68" i="19" s="1"/>
  <c r="CN68" i="35"/>
  <c r="GU68" i="35" s="1"/>
  <c r="HI68" i="35" s="1"/>
  <c r="CN60" i="35"/>
  <c r="GU60" i="35" s="1"/>
  <c r="HI60" i="35" s="1"/>
  <c r="J68" i="19"/>
  <c r="AB68" i="19" s="1"/>
  <c r="CZ49" i="35"/>
  <c r="W49" i="19" s="1"/>
  <c r="CY68" i="35"/>
  <c r="V68" i="19" s="1"/>
  <c r="CN49" i="35"/>
  <c r="GU49" i="35" s="1"/>
  <c r="HI49" i="35" s="1"/>
  <c r="DA49" i="35"/>
  <c r="X49" i="19" s="1"/>
  <c r="CY49" i="35"/>
  <c r="V49" i="19" s="1"/>
  <c r="GI34" i="35"/>
  <c r="GK34" i="35" s="1"/>
  <c r="CJ95" i="35"/>
  <c r="CK95" i="35"/>
  <c r="T34" i="19"/>
  <c r="AJ34" i="19" s="1"/>
  <c r="HD34" i="35"/>
  <c r="GS11" i="35"/>
  <c r="HG11" i="35" s="1"/>
  <c r="HO11" i="35" s="1"/>
  <c r="HP11" i="35" s="1"/>
  <c r="I85" i="19"/>
  <c r="AA85" i="19" s="1"/>
  <c r="CT50" i="35"/>
  <c r="CV50" i="35" s="1"/>
  <c r="S50" i="19" s="1"/>
  <c r="AI50" i="19" s="1"/>
  <c r="CZ50" i="35"/>
  <c r="W50" i="19" s="1"/>
  <c r="GA50" i="35"/>
  <c r="GC50" i="35" s="1"/>
  <c r="GE50" i="35" s="1"/>
  <c r="GG50" i="35" s="1"/>
  <c r="GS50" i="35"/>
  <c r="HG50" i="35" s="1"/>
  <c r="HO50" i="35" s="1"/>
  <c r="HP50" i="35" s="1"/>
  <c r="CN50" i="35"/>
  <c r="CP50" i="35" s="1"/>
  <c r="CR50" i="35" s="1"/>
  <c r="P50" i="19" s="1"/>
  <c r="AE50" i="19" s="1"/>
  <c r="CY50" i="35"/>
  <c r="V50" i="19" s="1"/>
  <c r="CN41" i="35"/>
  <c r="CZ41" i="35"/>
  <c r="W41" i="19" s="1"/>
  <c r="DB41" i="35"/>
  <c r="Y41" i="19" s="1"/>
  <c r="J41" i="19"/>
  <c r="AB41" i="19" s="1"/>
  <c r="DA41" i="35"/>
  <c r="X41" i="19" s="1"/>
  <c r="CT41" i="35"/>
  <c r="GA41" i="35"/>
  <c r="GS41" i="35"/>
  <c r="HG41" i="35" s="1"/>
  <c r="HO41" i="35" s="1"/>
  <c r="CY41" i="35"/>
  <c r="V41" i="19" s="1"/>
  <c r="GS67" i="35"/>
  <c r="HG67" i="35" s="1"/>
  <c r="HO67" i="35" s="1"/>
  <c r="CT67" i="35"/>
  <c r="CY67" i="35"/>
  <c r="V67" i="19" s="1"/>
  <c r="I12" i="19"/>
  <c r="AA12" i="19" s="1"/>
  <c r="CL12" i="35"/>
  <c r="CY12" i="35" s="1"/>
  <c r="V12" i="19" s="1"/>
  <c r="I84" i="19"/>
  <c r="AA84" i="19" s="1"/>
  <c r="GU16" i="35"/>
  <c r="HI16" i="35" s="1"/>
  <c r="L16" i="19"/>
  <c r="CP16" i="35"/>
  <c r="CK83" i="35"/>
  <c r="H83" i="19"/>
  <c r="Z83" i="19" s="1"/>
  <c r="CK15" i="35"/>
  <c r="CJ15" i="35"/>
  <c r="H15" i="19"/>
  <c r="Z15" i="19" s="1"/>
  <c r="FA15" i="35"/>
  <c r="CK22" i="35"/>
  <c r="CJ55" i="35"/>
  <c r="H55" i="19"/>
  <c r="Z55" i="19" s="1"/>
  <c r="CK55" i="35"/>
  <c r="FA55" i="35"/>
  <c r="CL84" i="35"/>
  <c r="H47" i="19"/>
  <c r="Z47" i="19" s="1"/>
  <c r="CJ47" i="35"/>
  <c r="CK47" i="35"/>
  <c r="FA47" i="35"/>
  <c r="HA8" i="35"/>
  <c r="CV8" i="35"/>
  <c r="CW8" i="35"/>
  <c r="Q8" i="19"/>
  <c r="AF8" i="19" s="1"/>
  <c r="CU8" i="35"/>
  <c r="CX8" i="35"/>
  <c r="BA128" i="35"/>
  <c r="BE128" i="35" s="1"/>
  <c r="BG128" i="35" s="1"/>
  <c r="BI128" i="35" s="1"/>
  <c r="BK128" i="35" s="1"/>
  <c r="BM128" i="35" s="1"/>
  <c r="BO128" i="35" s="1"/>
  <c r="BQ128" i="35" s="1"/>
  <c r="GI8" i="35"/>
  <c r="GC8" i="35"/>
  <c r="GE8" i="35" s="1"/>
  <c r="GG8" i="35" s="1"/>
  <c r="HA16" i="35"/>
  <c r="CV16" i="35"/>
  <c r="CX16" i="35"/>
  <c r="Q16" i="19"/>
  <c r="AF16" i="19" s="1"/>
  <c r="CW16" i="35"/>
  <c r="CU16" i="35"/>
  <c r="CK27" i="35"/>
  <c r="CJ27" i="35"/>
  <c r="H27" i="19"/>
  <c r="Z27" i="19" s="1"/>
  <c r="FA27" i="35"/>
  <c r="CK38" i="35"/>
  <c r="CJ38" i="35"/>
  <c r="H38" i="19"/>
  <c r="Z38" i="19" s="1"/>
  <c r="FA38" i="35"/>
  <c r="BA114" i="35"/>
  <c r="BE114" i="35" s="1"/>
  <c r="BG114" i="35" s="1"/>
  <c r="BI114" i="35" s="1"/>
  <c r="BK114" i="35" s="1"/>
  <c r="BM114" i="35" s="1"/>
  <c r="HQ8" i="35"/>
  <c r="HR8" i="35"/>
  <c r="HP8" i="35"/>
  <c r="HS8" i="35"/>
  <c r="HS16" i="35"/>
  <c r="HR16" i="35"/>
  <c r="HQ16" i="35"/>
  <c r="HP16" i="35"/>
  <c r="L8" i="19"/>
  <c r="GU8" i="35"/>
  <c r="HI8" i="35" s="1"/>
  <c r="CP8" i="35"/>
  <c r="GC16" i="35"/>
  <c r="GE16" i="35" s="1"/>
  <c r="GG16" i="35" s="1"/>
  <c r="GI16" i="35"/>
  <c r="BA120" i="35"/>
  <c r="BE120" i="35" s="1"/>
  <c r="BG120" i="35" s="1"/>
  <c r="BI120" i="35" s="1"/>
  <c r="BK120" i="35" s="1"/>
  <c r="BM120" i="35" s="1"/>
  <c r="BO120" i="35" s="1"/>
  <c r="BQ120" i="35" s="1"/>
  <c r="AZ129" i="35"/>
  <c r="AZ137" i="35"/>
  <c r="AZ123" i="35"/>
  <c r="AX139" i="35"/>
  <c r="AX132" i="35"/>
  <c r="AX135" i="35"/>
  <c r="AZ135" i="35" s="1"/>
  <c r="AX142" i="35"/>
  <c r="AZ142" i="35" s="1"/>
  <c r="AX134" i="35"/>
  <c r="AZ134" i="35" s="1"/>
  <c r="AX131" i="35"/>
  <c r="AX144" i="35"/>
  <c r="AZ144" i="35" s="1"/>
  <c r="AX143" i="35"/>
  <c r="AZ143" i="35" s="1"/>
  <c r="AX136" i="35"/>
  <c r="AX145" i="35"/>
  <c r="AZ145" i="35" s="1"/>
  <c r="AX138" i="35"/>
  <c r="AZ138" i="35" s="1"/>
  <c r="AX133" i="35"/>
  <c r="AZ133" i="35" s="1"/>
  <c r="AW130" i="35"/>
  <c r="AX146" i="35"/>
  <c r="AZ146" i="35" s="1"/>
  <c r="AX141" i="35"/>
  <c r="AZ141" i="35" s="1"/>
  <c r="AR147" i="35"/>
  <c r="EA147" i="35" s="1"/>
  <c r="AR164" i="35"/>
  <c r="AR155" i="35"/>
  <c r="AR152" i="35"/>
  <c r="EA152" i="35" s="1"/>
  <c r="AR149" i="35"/>
  <c r="HQ68" i="35"/>
  <c r="HR68" i="35"/>
  <c r="HP68" i="35"/>
  <c r="HS68" i="35"/>
  <c r="HS28" i="35"/>
  <c r="HQ28" i="35"/>
  <c r="S30" i="19"/>
  <c r="HC30" i="35"/>
  <c r="GK30" i="35"/>
  <c r="GJ30" i="35"/>
  <c r="GM30" i="35" s="1"/>
  <c r="GO30" i="35" s="1"/>
  <c r="HA37" i="35"/>
  <c r="CV37" i="35"/>
  <c r="CU37" i="35"/>
  <c r="CW37" i="35"/>
  <c r="Q37" i="19"/>
  <c r="AF37" i="19" s="1"/>
  <c r="CX37" i="35"/>
  <c r="N30" i="19"/>
  <c r="CR30" i="35"/>
  <c r="GW30" i="35"/>
  <c r="HK30" i="35" s="1"/>
  <c r="HM30" i="35" s="1"/>
  <c r="AV132" i="35"/>
  <c r="EK132" i="35" s="1"/>
  <c r="EJ132" i="35" s="1"/>
  <c r="AV134" i="35"/>
  <c r="EL134" i="35" s="1"/>
  <c r="EL123" i="35"/>
  <c r="EL114" i="35"/>
  <c r="EK114" i="35"/>
  <c r="EJ114" i="35" s="1"/>
  <c r="AP162" i="35"/>
  <c r="AQ162" i="35" s="1"/>
  <c r="AP154" i="35"/>
  <c r="AQ154" i="35" s="1"/>
  <c r="AP159" i="35"/>
  <c r="AQ159" i="35" s="1"/>
  <c r="AP160" i="35"/>
  <c r="AQ160" i="35" s="1"/>
  <c r="AV146" i="35"/>
  <c r="AP161" i="35"/>
  <c r="AQ161" i="35" s="1"/>
  <c r="AP163" i="35"/>
  <c r="AQ163" i="35" s="1"/>
  <c r="AP165" i="35"/>
  <c r="AQ165" i="35" s="1"/>
  <c r="AV135" i="35"/>
  <c r="AU140" i="35"/>
  <c r="AW140" i="35" s="1"/>
  <c r="AP156" i="35"/>
  <c r="AQ156" i="35" s="1"/>
  <c r="AP151" i="35"/>
  <c r="AQ151" i="35" s="1"/>
  <c r="AP158" i="35"/>
  <c r="AQ158" i="35" s="1"/>
  <c r="AV141" i="35"/>
  <c r="EL141" i="35" s="1"/>
  <c r="AP148" i="35"/>
  <c r="AQ148" i="35" s="1"/>
  <c r="AP153" i="35"/>
  <c r="AQ153" i="35" s="1"/>
  <c r="AP157" i="35"/>
  <c r="AQ157" i="35" s="1"/>
  <c r="K59" i="38"/>
  <c r="M59" i="38"/>
  <c r="K61" i="38"/>
  <c r="M61" i="38"/>
  <c r="M62" i="38"/>
  <c r="K62" i="38"/>
  <c r="M60" i="38"/>
  <c r="K60" i="38"/>
  <c r="M63" i="38"/>
  <c r="K63" i="38"/>
  <c r="K60" i="20"/>
  <c r="M58" i="20"/>
  <c r="AK174" i="35"/>
  <c r="AO174" i="35" s="1"/>
  <c r="AK169" i="35"/>
  <c r="AO169" i="35" s="1"/>
  <c r="AK168" i="35"/>
  <c r="AO168" i="35" s="1"/>
  <c r="K59" i="20"/>
  <c r="M57" i="20"/>
  <c r="EK137" i="35"/>
  <c r="EJ137" i="35" s="1"/>
  <c r="AU152" i="35"/>
  <c r="AW152" i="35" s="1"/>
  <c r="AV131" i="35"/>
  <c r="AU147" i="35"/>
  <c r="AW147" i="35" s="1"/>
  <c r="AV142" i="35"/>
  <c r="EL142" i="35" s="1"/>
  <c r="EK129" i="35"/>
  <c r="EJ129" i="35" s="1"/>
  <c r="EL129" i="35"/>
  <c r="AV136" i="35"/>
  <c r="AV139" i="35"/>
  <c r="AV133" i="35"/>
  <c r="AV144" i="35"/>
  <c r="AV143" i="35"/>
  <c r="AV145" i="35"/>
  <c r="AV138" i="35"/>
  <c r="B54" i="37"/>
  <c r="AO21" i="37"/>
  <c r="AJ173" i="35"/>
  <c r="AJ181" i="35"/>
  <c r="AJ167" i="35"/>
  <c r="AJ176" i="35"/>
  <c r="AJ178" i="35"/>
  <c r="AJ179" i="35"/>
  <c r="AJ177" i="35"/>
  <c r="AJ172" i="35"/>
  <c r="AJ175" i="35"/>
  <c r="AJ182" i="35"/>
  <c r="AJ171" i="35"/>
  <c r="AJ166" i="35"/>
  <c r="AJ180" i="35"/>
  <c r="AJ170" i="35"/>
  <c r="AG194" i="35"/>
  <c r="AH194" i="35" s="1"/>
  <c r="AG199" i="35"/>
  <c r="AH199" i="35" s="1"/>
  <c r="AG196" i="35"/>
  <c r="AH196" i="35" s="1"/>
  <c r="AG198" i="35"/>
  <c r="AH198" i="35" s="1"/>
  <c r="AG190" i="35"/>
  <c r="AH190" i="35" s="1"/>
  <c r="AG192" i="35"/>
  <c r="AH192" i="35" s="1"/>
  <c r="AI183" i="35"/>
  <c r="AG185" i="35"/>
  <c r="AH185" i="35" s="1"/>
  <c r="AG195" i="35"/>
  <c r="AH195" i="35" s="1"/>
  <c r="AG187" i="35"/>
  <c r="AH187" i="35" s="1"/>
  <c r="AG188" i="35"/>
  <c r="AH188" i="35" s="1"/>
  <c r="AG197" i="35"/>
  <c r="AH197" i="35" s="1"/>
  <c r="AG184" i="35"/>
  <c r="AH184" i="35" s="1"/>
  <c r="AC202" i="35"/>
  <c r="AD202" i="35" s="1"/>
  <c r="AG189" i="35"/>
  <c r="AH189" i="35" s="1"/>
  <c r="AC218" i="35"/>
  <c r="AD218" i="35" s="1"/>
  <c r="AC203" i="35"/>
  <c r="AD203" i="35" s="1"/>
  <c r="AC208" i="35"/>
  <c r="AD208" i="35" s="1"/>
  <c r="AA219" i="35"/>
  <c r="Y220" i="35"/>
  <c r="AG200" i="35"/>
  <c r="AH200" i="35" s="1"/>
  <c r="AG186" i="35"/>
  <c r="AH186" i="35" s="1"/>
  <c r="AC216" i="35"/>
  <c r="AD216" i="35" s="1"/>
  <c r="AI150" i="35"/>
  <c r="AC205" i="35"/>
  <c r="AD205" i="35" s="1"/>
  <c r="AC217" i="35"/>
  <c r="AD217" i="35" s="1"/>
  <c r="AE201" i="35"/>
  <c r="AF201" i="35" s="1"/>
  <c r="AC215" i="35"/>
  <c r="AD215" i="35" s="1"/>
  <c r="AG193" i="35"/>
  <c r="AH193" i="35" s="1"/>
  <c r="AC209" i="35"/>
  <c r="AD209" i="35" s="1"/>
  <c r="AC213" i="35"/>
  <c r="AD213" i="35" s="1"/>
  <c r="EL130" i="35"/>
  <c r="EK130" i="35"/>
  <c r="EJ130" i="35" s="1"/>
  <c r="AG191" i="35"/>
  <c r="AH191" i="35" s="1"/>
  <c r="AC204" i="35"/>
  <c r="AD204" i="35" s="1"/>
  <c r="AC214" i="35"/>
  <c r="AD214" i="35" s="1"/>
  <c r="AC206" i="35"/>
  <c r="AD206" i="35" s="1"/>
  <c r="AC207" i="35"/>
  <c r="AD207" i="35" s="1"/>
  <c r="AC211" i="35"/>
  <c r="AD211" i="35" s="1"/>
  <c r="AC212" i="35"/>
  <c r="AD212" i="35" s="1"/>
  <c r="AC210" i="35"/>
  <c r="AD210" i="35" s="1"/>
  <c r="AA64" i="22"/>
  <c r="AB127" i="22"/>
  <c r="X60" i="22"/>
  <c r="X78" i="22"/>
  <c r="AB32" i="22"/>
  <c r="Z166" i="22"/>
  <c r="X68" i="22"/>
  <c r="AC127" i="22"/>
  <c r="AA59" i="22"/>
  <c r="Z127" i="22"/>
  <c r="AC166" i="22"/>
  <c r="AA166" i="22"/>
  <c r="AA146" i="22"/>
  <c r="AB146" i="22"/>
  <c r="X53" i="22"/>
  <c r="AA35" i="22"/>
  <c r="Z21" i="22"/>
  <c r="AC157" i="22"/>
  <c r="X103" i="22"/>
  <c r="AC146" i="22"/>
  <c r="Z41" i="22"/>
  <c r="AA96" i="22"/>
  <c r="AA32" i="22"/>
  <c r="AC41" i="22"/>
  <c r="AC96" i="22"/>
  <c r="Z32" i="22"/>
  <c r="X136" i="22"/>
  <c r="X121" i="22"/>
  <c r="AB59" i="22"/>
  <c r="Z141" i="22"/>
  <c r="AC55" i="22"/>
  <c r="AC21" i="22"/>
  <c r="Z55" i="22"/>
  <c r="X80" i="22"/>
  <c r="AB141" i="22"/>
  <c r="AC59" i="22"/>
  <c r="AC141" i="22"/>
  <c r="X59" i="22"/>
  <c r="AA141" i="22"/>
  <c r="AB55" i="22"/>
  <c r="AA21" i="22"/>
  <c r="AC35" i="22"/>
  <c r="AB35" i="22"/>
  <c r="X81" i="22"/>
  <c r="Z56" i="22"/>
  <c r="AA41" i="22"/>
  <c r="AB101" i="22"/>
  <c r="Z46" i="22"/>
  <c r="AC46" i="22"/>
  <c r="AA46" i="22"/>
  <c r="AC81" i="22"/>
  <c r="AB10" i="22"/>
  <c r="Z10" i="22"/>
  <c r="Z101" i="22"/>
  <c r="X46" i="22"/>
  <c r="AG14" i="22"/>
  <c r="AI16" i="22" s="1"/>
  <c r="AJ16" i="22" s="1"/>
  <c r="X31" i="22"/>
  <c r="X58" i="22"/>
  <c r="AA81" i="22"/>
  <c r="AA101" i="22"/>
  <c r="AC10" i="22"/>
  <c r="AA157" i="22"/>
  <c r="AB157" i="22"/>
  <c r="AA80" i="22"/>
  <c r="AC80" i="22"/>
  <c r="X98" i="22"/>
  <c r="X101" i="22"/>
  <c r="AB81" i="22"/>
  <c r="AC56" i="22"/>
  <c r="AA56" i="22"/>
  <c r="Z80" i="22"/>
  <c r="AB80" i="22"/>
  <c r="AC137" i="22"/>
  <c r="X32" i="22"/>
  <c r="X22" i="22"/>
  <c r="X166" i="22"/>
  <c r="X137" i="22"/>
  <c r="AC65" i="22"/>
  <c r="AB65" i="22"/>
  <c r="AC58" i="22"/>
  <c r="X109" i="22"/>
  <c r="AB58" i="22"/>
  <c r="AA58" i="22"/>
  <c r="Z161" i="22"/>
  <c r="Z58" i="22"/>
  <c r="Z65" i="22"/>
  <c r="AA161" i="22"/>
  <c r="AC161" i="22"/>
  <c r="X57" i="22"/>
  <c r="AB63" i="22"/>
  <c r="Z63" i="22"/>
  <c r="AC94" i="22"/>
  <c r="Z94" i="22"/>
  <c r="AA63" i="22"/>
  <c r="X123" i="22"/>
  <c r="AB94" i="22"/>
  <c r="X94" i="22"/>
  <c r="AA94" i="22"/>
  <c r="X162" i="22"/>
  <c r="X86" i="22"/>
  <c r="AC63" i="22"/>
  <c r="AB45" i="22"/>
  <c r="AC45" i="22"/>
  <c r="AA45" i="22"/>
  <c r="X158" i="22"/>
  <c r="AB158" i="22"/>
  <c r="AA158" i="22"/>
  <c r="AC158" i="22"/>
  <c r="AC91" i="22"/>
  <c r="AB91" i="22"/>
  <c r="AA91" i="22"/>
  <c r="X107" i="22"/>
  <c r="AA128" i="22"/>
  <c r="AC128" i="22"/>
  <c r="AB128" i="22"/>
  <c r="X110" i="22"/>
  <c r="X12" i="22"/>
  <c r="AC77" i="22"/>
  <c r="AA77" i="22"/>
  <c r="AB77" i="22"/>
  <c r="AA12" i="22"/>
  <c r="AB12" i="22"/>
  <c r="AC12" i="22"/>
  <c r="X130" i="22"/>
  <c r="X149" i="22"/>
  <c r="X113" i="22"/>
  <c r="X69" i="22"/>
  <c r="AC130" i="22"/>
  <c r="AA130" i="22"/>
  <c r="AB130" i="22"/>
  <c r="AB113" i="22"/>
  <c r="AC113" i="22"/>
  <c r="AA113" i="22"/>
  <c r="X44" i="22"/>
  <c r="AC69" i="22"/>
  <c r="AB69" i="22"/>
  <c r="AA69" i="22"/>
  <c r="AA54" i="22"/>
  <c r="AC54" i="22"/>
  <c r="AB54" i="22"/>
  <c r="AA44" i="22"/>
  <c r="AB44" i="22"/>
  <c r="AC44" i="22"/>
  <c r="X77" i="22"/>
  <c r="X30" i="22"/>
  <c r="AC105" i="22"/>
  <c r="AA105" i="22"/>
  <c r="AB105" i="22"/>
  <c r="AA66" i="22"/>
  <c r="AB66" i="22"/>
  <c r="AC66" i="22"/>
  <c r="X131" i="22"/>
  <c r="AA154" i="22"/>
  <c r="AC154" i="22"/>
  <c r="AB154" i="22"/>
  <c r="AA61" i="22"/>
  <c r="AC61" i="22"/>
  <c r="AB61" i="22"/>
  <c r="AA74" i="22"/>
  <c r="AB74" i="22"/>
  <c r="AC74" i="22"/>
  <c r="X126" i="22"/>
  <c r="AA115" i="22"/>
  <c r="AC115" i="22"/>
  <c r="AB115" i="22"/>
  <c r="AB67" i="22"/>
  <c r="AA67" i="22"/>
  <c r="AC67" i="22"/>
  <c r="X49" i="22"/>
  <c r="X125" i="22"/>
  <c r="AA23" i="22"/>
  <c r="AC23" i="22"/>
  <c r="AB23" i="22"/>
  <c r="AC25" i="22"/>
  <c r="AA25" i="22"/>
  <c r="AB25" i="22"/>
  <c r="AB30" i="22"/>
  <c r="AC30" i="22"/>
  <c r="AA30" i="22"/>
  <c r="AC126" i="22"/>
  <c r="AA126" i="22"/>
  <c r="AB126" i="22"/>
  <c r="X9" i="22"/>
  <c r="X88" i="22"/>
  <c r="AC49" i="22"/>
  <c r="AA49" i="22"/>
  <c r="AB49" i="22"/>
  <c r="X28" i="22"/>
  <c r="X17" i="22"/>
  <c r="X89" i="22"/>
  <c r="X37" i="22"/>
  <c r="X33" i="22"/>
  <c r="X153" i="22"/>
  <c r="AC125" i="22"/>
  <c r="AB125" i="22"/>
  <c r="AA125" i="22"/>
  <c r="X99" i="22"/>
  <c r="AA28" i="22"/>
  <c r="AC28" i="22"/>
  <c r="AB28" i="22"/>
  <c r="AA97" i="22"/>
  <c r="AC97" i="22"/>
  <c r="AB97" i="22"/>
  <c r="AB153" i="22"/>
  <c r="AC153" i="22"/>
  <c r="AA153" i="22"/>
  <c r="X133" i="22"/>
  <c r="AC17" i="22"/>
  <c r="AA17" i="22"/>
  <c r="AB17" i="22"/>
  <c r="AB9" i="22"/>
  <c r="AC9" i="22"/>
  <c r="AA9" i="22"/>
  <c r="AC37" i="22"/>
  <c r="AB37" i="22"/>
  <c r="AA37" i="22"/>
  <c r="AA89" i="22"/>
  <c r="AB89" i="22"/>
  <c r="AC89" i="22"/>
  <c r="X97" i="22"/>
  <c r="X74" i="22"/>
  <c r="X62" i="22"/>
  <c r="AB33" i="22"/>
  <c r="AA33" i="22"/>
  <c r="AC33" i="22"/>
  <c r="AC99" i="22"/>
  <c r="AB99" i="22"/>
  <c r="AA99" i="22"/>
  <c r="X144" i="22"/>
  <c r="X23" i="22"/>
  <c r="X154" i="22"/>
  <c r="X61" i="22"/>
  <c r="X25" i="22"/>
  <c r="AA144" i="22"/>
  <c r="AB144" i="22"/>
  <c r="AC144" i="22"/>
  <c r="X105" i="22"/>
  <c r="X115" i="22"/>
  <c r="X67" i="22"/>
  <c r="AB62" i="22"/>
  <c r="AA62" i="22"/>
  <c r="AC62" i="22"/>
  <c r="X66" i="22"/>
  <c r="X47" i="22"/>
  <c r="X111" i="22"/>
  <c r="AA111" i="22"/>
  <c r="AC111" i="22"/>
  <c r="AB111" i="22"/>
  <c r="X116" i="22"/>
  <c r="AA116" i="22"/>
  <c r="AB116" i="22"/>
  <c r="AC116" i="22"/>
  <c r="AC132" i="22"/>
  <c r="AB132" i="22"/>
  <c r="AA132" i="22"/>
  <c r="X132" i="22"/>
  <c r="X119" i="22"/>
  <c r="AA119" i="22"/>
  <c r="AB119" i="22"/>
  <c r="AC119" i="22"/>
  <c r="X79" i="22"/>
  <c r="AB135" i="22"/>
  <c r="AC135" i="22"/>
  <c r="AA135" i="22"/>
  <c r="X108" i="22"/>
  <c r="X92" i="22"/>
  <c r="AC108" i="22"/>
  <c r="AA108" i="22"/>
  <c r="AB108" i="22"/>
  <c r="AB92" i="22"/>
  <c r="AC92" i="22"/>
  <c r="AA92" i="22"/>
  <c r="X135" i="22"/>
  <c r="AA79" i="22"/>
  <c r="AB79" i="22"/>
  <c r="AC79" i="22"/>
  <c r="AB8" i="22"/>
  <c r="AC8" i="22"/>
  <c r="AA8" i="22"/>
  <c r="X8" i="22"/>
  <c r="AC164" i="22"/>
  <c r="AB164" i="22"/>
  <c r="AA164" i="22"/>
  <c r="X143" i="22"/>
  <c r="X164" i="22"/>
  <c r="X16" i="22"/>
  <c r="X72" i="22"/>
  <c r="AA156" i="22"/>
  <c r="AC156" i="22"/>
  <c r="AB156" i="22"/>
  <c r="AA100" i="22"/>
  <c r="AC100" i="22"/>
  <c r="AB100" i="22"/>
  <c r="X40" i="22"/>
  <c r="X124" i="22"/>
  <c r="X76" i="22"/>
  <c r="AA16" i="22"/>
  <c r="AB16" i="22"/>
  <c r="AC16" i="22"/>
  <c r="X71" i="22"/>
  <c r="X159" i="22"/>
  <c r="X148" i="22"/>
  <c r="AC124" i="22"/>
  <c r="AA124" i="22"/>
  <c r="AB124" i="22"/>
  <c r="AA76" i="22"/>
  <c r="AB76" i="22"/>
  <c r="AC76" i="22"/>
  <c r="AB71" i="22"/>
  <c r="AA71" i="22"/>
  <c r="AC71" i="22"/>
  <c r="X120" i="22"/>
  <c r="X95" i="22"/>
  <c r="X84" i="22"/>
  <c r="AC148" i="22"/>
  <c r="AA148" i="22"/>
  <c r="AB148" i="22"/>
  <c r="X112" i="22"/>
  <c r="X156" i="22"/>
  <c r="X100" i="22"/>
  <c r="AA95" i="22"/>
  <c r="AC95" i="22"/>
  <c r="AB95" i="22"/>
  <c r="AB112" i="22"/>
  <c r="AA112" i="22"/>
  <c r="AC112" i="22"/>
  <c r="AA84" i="22"/>
  <c r="AC84" i="22"/>
  <c r="AB84" i="22"/>
  <c r="X48" i="22"/>
  <c r="AI12" i="22"/>
  <c r="AJ9" i="22"/>
  <c r="I36" i="19" l="1"/>
  <c r="AA36" i="19" s="1"/>
  <c r="CZ60" i="35"/>
  <c r="W60" i="19" s="1"/>
  <c r="CI97" i="35"/>
  <c r="CL73" i="35"/>
  <c r="CN73" i="35" s="1"/>
  <c r="CP73" i="35" s="1"/>
  <c r="GS60" i="35"/>
  <c r="HG60" i="35" s="1"/>
  <c r="HO60" i="35" s="1"/>
  <c r="HR60" i="35" s="1"/>
  <c r="CT60" i="35"/>
  <c r="Q60" i="19" s="1"/>
  <c r="AF60" i="19" s="1"/>
  <c r="GA60" i="35"/>
  <c r="GC60" i="35" s="1"/>
  <c r="GE60" i="35" s="1"/>
  <c r="GG60" i="35" s="1"/>
  <c r="I39" i="19"/>
  <c r="AA39" i="19" s="1"/>
  <c r="CY60" i="35"/>
  <c r="V60" i="19" s="1"/>
  <c r="CB100" i="35"/>
  <c r="EB100" i="35" s="1"/>
  <c r="J60" i="19"/>
  <c r="AB60" i="19" s="1"/>
  <c r="I67" i="19"/>
  <c r="AA67" i="19" s="1"/>
  <c r="EB90" i="35"/>
  <c r="CI90" i="35"/>
  <c r="CN17" i="35"/>
  <c r="L17" i="19" s="1"/>
  <c r="CL39" i="35"/>
  <c r="CN39" i="35" s="1"/>
  <c r="GU39" i="35" s="1"/>
  <c r="HI39" i="35" s="1"/>
  <c r="CZ17" i="35"/>
  <c r="W17" i="19" s="1"/>
  <c r="DB37" i="35"/>
  <c r="Y37" i="19" s="1"/>
  <c r="CY17" i="35"/>
  <c r="V17" i="19" s="1"/>
  <c r="CG103" i="35"/>
  <c r="CH103" i="35" s="1"/>
  <c r="CK103" i="35" s="1"/>
  <c r="GS17" i="35"/>
  <c r="HG17" i="35" s="1"/>
  <c r="HO17" i="35" s="1"/>
  <c r="HS17" i="35" s="1"/>
  <c r="CB106" i="35"/>
  <c r="EB106" i="35" s="1"/>
  <c r="CG99" i="35"/>
  <c r="CH99" i="35" s="1"/>
  <c r="CG63" i="35"/>
  <c r="CH63" i="35" s="1"/>
  <c r="CJ63" i="35" s="1"/>
  <c r="CB101" i="35"/>
  <c r="EB101" i="35" s="1"/>
  <c r="DB17" i="35"/>
  <c r="Y17" i="19" s="1"/>
  <c r="CT17" i="35"/>
  <c r="CW17" i="35" s="1"/>
  <c r="HD17" i="35" s="1"/>
  <c r="CY37" i="35"/>
  <c r="V37" i="19" s="1"/>
  <c r="CI99" i="35"/>
  <c r="EB99" i="35"/>
  <c r="H88" i="19"/>
  <c r="Z88" i="19" s="1"/>
  <c r="CJ88" i="35"/>
  <c r="FA88" i="35"/>
  <c r="CK88" i="35"/>
  <c r="CI79" i="35"/>
  <c r="EB79" i="35"/>
  <c r="FA22" i="35"/>
  <c r="CJ83" i="35"/>
  <c r="CZ67" i="35"/>
  <c r="W67" i="19" s="1"/>
  <c r="CZ11" i="35"/>
  <c r="W11" i="19" s="1"/>
  <c r="CY20" i="35"/>
  <c r="V20" i="19" s="1"/>
  <c r="I74" i="19"/>
  <c r="AA74" i="19" s="1"/>
  <c r="CJ22" i="35"/>
  <c r="J67" i="19"/>
  <c r="AB67" i="19" s="1"/>
  <c r="GA11" i="35"/>
  <c r="GI11" i="35" s="1"/>
  <c r="GK11" i="35" s="1"/>
  <c r="CT53" i="35"/>
  <c r="CU53" i="35" s="1"/>
  <c r="CJ13" i="35"/>
  <c r="FA13" i="35"/>
  <c r="DA67" i="35"/>
  <c r="X67" i="19" s="1"/>
  <c r="DA20" i="35"/>
  <c r="X20" i="19" s="1"/>
  <c r="CG97" i="35"/>
  <c r="CH97" i="35" s="1"/>
  <c r="EB85" i="35"/>
  <c r="CI85" i="35"/>
  <c r="CL85" i="35" s="1"/>
  <c r="DA11" i="35"/>
  <c r="X11" i="19" s="1"/>
  <c r="CB72" i="35"/>
  <c r="CN67" i="35"/>
  <c r="L67" i="19" s="1"/>
  <c r="DB20" i="35"/>
  <c r="Y20" i="19" s="1"/>
  <c r="J11" i="19"/>
  <c r="AB11" i="19" s="1"/>
  <c r="CK76" i="35"/>
  <c r="H76" i="19"/>
  <c r="Z76" i="19" s="1"/>
  <c r="FA76" i="35"/>
  <c r="CJ76" i="35"/>
  <c r="GA67" i="35"/>
  <c r="CN11" i="35"/>
  <c r="L11" i="19" s="1"/>
  <c r="L34" i="19"/>
  <c r="CL82" i="35"/>
  <c r="GA82" i="35" s="1"/>
  <c r="GI82" i="35" s="1"/>
  <c r="CL44" i="35"/>
  <c r="CI91" i="35"/>
  <c r="CL91" i="35" s="1"/>
  <c r="DB91" i="35" s="1"/>
  <c r="Y91" i="19" s="1"/>
  <c r="CL13" i="35"/>
  <c r="CN13" i="35" s="1"/>
  <c r="CT11" i="35"/>
  <c r="HA11" i="35" s="1"/>
  <c r="CY11" i="35"/>
  <c r="V11" i="19" s="1"/>
  <c r="H69" i="19"/>
  <c r="Z69" i="19" s="1"/>
  <c r="CJ69" i="35"/>
  <c r="CK69" i="35"/>
  <c r="H65" i="19"/>
  <c r="Z65" i="19" s="1"/>
  <c r="CJ65" i="35"/>
  <c r="FA65" i="35"/>
  <c r="CK65" i="35"/>
  <c r="EB103" i="35"/>
  <c r="CI103" i="35"/>
  <c r="H100" i="19"/>
  <c r="Z100" i="19" s="1"/>
  <c r="CK100" i="35"/>
  <c r="FA100" i="35"/>
  <c r="CJ100" i="35"/>
  <c r="EB71" i="35"/>
  <c r="CI71" i="35"/>
  <c r="EB63" i="35"/>
  <c r="CI63" i="35"/>
  <c r="CJ101" i="35"/>
  <c r="FA101" i="35"/>
  <c r="H101" i="19"/>
  <c r="Z101" i="19" s="1"/>
  <c r="CK101" i="35"/>
  <c r="H106" i="19"/>
  <c r="Z106" i="19" s="1"/>
  <c r="CK106" i="35"/>
  <c r="CJ106" i="35"/>
  <c r="FA106" i="35"/>
  <c r="CI110" i="35"/>
  <c r="EB110" i="35"/>
  <c r="EB104" i="35"/>
  <c r="CI104" i="35"/>
  <c r="FA72" i="35"/>
  <c r="CJ72" i="35"/>
  <c r="H72" i="19"/>
  <c r="Z72" i="19" s="1"/>
  <c r="CK72" i="35"/>
  <c r="I72" i="19" s="1"/>
  <c r="AA72" i="19" s="1"/>
  <c r="CB78" i="35"/>
  <c r="CG78" i="35"/>
  <c r="CH78" i="35" s="1"/>
  <c r="CK78" i="35" s="1"/>
  <c r="BZ75" i="35"/>
  <c r="CA75" i="35" s="1"/>
  <c r="CG75" i="35" s="1"/>
  <c r="CH75" i="35" s="1"/>
  <c r="CN53" i="35"/>
  <c r="CP53" i="35" s="1"/>
  <c r="GW53" i="35" s="1"/>
  <c r="HK53" i="35" s="1"/>
  <c r="HM53" i="35" s="1"/>
  <c r="BZ62" i="35"/>
  <c r="CA62" i="35" s="1"/>
  <c r="CG62" i="35" s="1"/>
  <c r="CH62" i="35" s="1"/>
  <c r="DA42" i="35"/>
  <c r="X42" i="19" s="1"/>
  <c r="BZ122" i="35"/>
  <c r="CA122" i="35" s="1"/>
  <c r="GS42" i="35"/>
  <c r="HG42" i="35" s="1"/>
  <c r="HO42" i="35" s="1"/>
  <c r="HS42" i="35" s="1"/>
  <c r="H52" i="19"/>
  <c r="Z52" i="19" s="1"/>
  <c r="CJ52" i="35"/>
  <c r="CK52" i="35"/>
  <c r="I13" i="19"/>
  <c r="AA13" i="19" s="1"/>
  <c r="GA20" i="35"/>
  <c r="GC20" i="35" s="1"/>
  <c r="GE20" i="35" s="1"/>
  <c r="GG20" i="35" s="1"/>
  <c r="DB53" i="35"/>
  <c r="Y53" i="19" s="1"/>
  <c r="GA42" i="35"/>
  <c r="GC42" i="35" s="1"/>
  <c r="GE42" i="35" s="1"/>
  <c r="GG42" i="35" s="1"/>
  <c r="CB107" i="35"/>
  <c r="CG87" i="35"/>
  <c r="CH87" i="35" s="1"/>
  <c r="FA87" i="35" s="1"/>
  <c r="CG59" i="35"/>
  <c r="CH59" i="35" s="1"/>
  <c r="FA59" i="35" s="1"/>
  <c r="CG64" i="35"/>
  <c r="CH64" i="35" s="1"/>
  <c r="FA64" i="35" s="1"/>
  <c r="CG81" i="35"/>
  <c r="CH81" i="35" s="1"/>
  <c r="CK81" i="35" s="1"/>
  <c r="BZ93" i="35"/>
  <c r="CA93" i="35" s="1"/>
  <c r="CB93" i="35" s="1"/>
  <c r="J20" i="19"/>
  <c r="AB20" i="19" s="1"/>
  <c r="CN20" i="35"/>
  <c r="L20" i="19" s="1"/>
  <c r="GA53" i="35"/>
  <c r="GC53" i="35" s="1"/>
  <c r="GE53" i="35" s="1"/>
  <c r="GG53" i="35" s="1"/>
  <c r="BZ92" i="35"/>
  <c r="DB42" i="35"/>
  <c r="Y42" i="19" s="1"/>
  <c r="BZ111" i="35"/>
  <c r="CA111" i="35" s="1"/>
  <c r="CB111" i="35" s="1"/>
  <c r="CB87" i="35"/>
  <c r="EB87" i="35" s="1"/>
  <c r="CB83" i="35"/>
  <c r="GS53" i="35"/>
  <c r="HG53" i="35" s="1"/>
  <c r="HO53" i="35" s="1"/>
  <c r="HR53" i="35" s="1"/>
  <c r="BZ109" i="35"/>
  <c r="CA109" i="35" s="1"/>
  <c r="CB109" i="35" s="1"/>
  <c r="CT42" i="35"/>
  <c r="Q42" i="19" s="1"/>
  <c r="AF42" i="19" s="1"/>
  <c r="CN42" i="35"/>
  <c r="GU42" i="35" s="1"/>
  <c r="HI42" i="35" s="1"/>
  <c r="CG110" i="35"/>
  <c r="CH110" i="35" s="1"/>
  <c r="CK110" i="35" s="1"/>
  <c r="EB56" i="35"/>
  <c r="CI56" i="35"/>
  <c r="CL56" i="35" s="1"/>
  <c r="GA56" i="35" s="1"/>
  <c r="GC56" i="35" s="1"/>
  <c r="GE56" i="35" s="1"/>
  <c r="GG56" i="35" s="1"/>
  <c r="CZ53" i="35"/>
  <c r="W53" i="19" s="1"/>
  <c r="J53" i="19"/>
  <c r="AB53" i="19" s="1"/>
  <c r="BZ105" i="35"/>
  <c r="CA105" i="35" s="1"/>
  <c r="CB105" i="35" s="1"/>
  <c r="H86" i="19"/>
  <c r="Z86" i="19" s="1"/>
  <c r="CK86" i="35"/>
  <c r="CJ86" i="35"/>
  <c r="FA86" i="35"/>
  <c r="CT20" i="35"/>
  <c r="CU20" i="35" s="1"/>
  <c r="DA53" i="35"/>
  <c r="X53" i="19" s="1"/>
  <c r="CB95" i="35"/>
  <c r="EB48" i="35"/>
  <c r="CI48" i="35"/>
  <c r="CL48" i="35" s="1"/>
  <c r="GA48" i="35" s="1"/>
  <c r="GC48" i="35" s="1"/>
  <c r="GE48" i="35" s="1"/>
  <c r="GG48" i="35" s="1"/>
  <c r="GS20" i="35"/>
  <c r="HG20" i="35" s="1"/>
  <c r="HO20" i="35" s="1"/>
  <c r="HQ20" i="35" s="1"/>
  <c r="BZ94" i="35"/>
  <c r="CA94" i="35" s="1"/>
  <c r="CB94" i="35" s="1"/>
  <c r="J42" i="19"/>
  <c r="AB42" i="19" s="1"/>
  <c r="FA52" i="35"/>
  <c r="CL36" i="35"/>
  <c r="CY36" i="35" s="1"/>
  <c r="V36" i="19" s="1"/>
  <c r="CU70" i="35"/>
  <c r="R70" i="19" s="1"/>
  <c r="HQ14" i="35"/>
  <c r="GA45" i="35"/>
  <c r="GC45" i="35" s="1"/>
  <c r="GE45" i="35" s="1"/>
  <c r="GG45" i="35" s="1"/>
  <c r="GI42" i="35"/>
  <c r="GJ42" i="35" s="1"/>
  <c r="GM42" i="35" s="1"/>
  <c r="GO42" i="35" s="1"/>
  <c r="HR14" i="35"/>
  <c r="J31" i="19"/>
  <c r="AB31" i="19" s="1"/>
  <c r="CL18" i="35"/>
  <c r="DA18" i="35" s="1"/>
  <c r="X18" i="19" s="1"/>
  <c r="DA28" i="35"/>
  <c r="X28" i="19" s="1"/>
  <c r="J28" i="19"/>
  <c r="AB28" i="19" s="1"/>
  <c r="HP28" i="35"/>
  <c r="CB61" i="35"/>
  <c r="EB61" i="35" s="1"/>
  <c r="CV14" i="35"/>
  <c r="S14" i="19" s="1"/>
  <c r="AI14" i="19" s="1"/>
  <c r="HA14" i="35"/>
  <c r="CG46" i="35"/>
  <c r="CH46" i="35" s="1"/>
  <c r="FA46" i="35" s="1"/>
  <c r="CU14" i="35"/>
  <c r="HB14" i="35" s="1"/>
  <c r="CX14" i="35"/>
  <c r="HE14" i="35" s="1"/>
  <c r="CG26" i="35"/>
  <c r="CH26" i="35" s="1"/>
  <c r="CJ26" i="35" s="1"/>
  <c r="CW14" i="35"/>
  <c r="T14" i="19" s="1"/>
  <c r="AJ14" i="19" s="1"/>
  <c r="CG51" i="35"/>
  <c r="CH51" i="35" s="1"/>
  <c r="CJ51" i="35" s="1"/>
  <c r="CX70" i="35"/>
  <c r="HE70" i="35" s="1"/>
  <c r="J21" i="19"/>
  <c r="AB21" i="19" s="1"/>
  <c r="J45" i="19"/>
  <c r="AB45" i="19" s="1"/>
  <c r="DA45" i="35"/>
  <c r="X45" i="19" s="1"/>
  <c r="L14" i="19"/>
  <c r="GS21" i="35"/>
  <c r="HG21" i="35" s="1"/>
  <c r="HO21" i="35" s="1"/>
  <c r="HQ21" i="35" s="1"/>
  <c r="HR70" i="35"/>
  <c r="CB77" i="35"/>
  <c r="EB77" i="35" s="1"/>
  <c r="CP14" i="35"/>
  <c r="N14" i="19" s="1"/>
  <c r="EB46" i="35"/>
  <c r="CI46" i="35"/>
  <c r="EB26" i="35"/>
  <c r="CI26" i="35"/>
  <c r="H77" i="19"/>
  <c r="Z77" i="19" s="1"/>
  <c r="CJ77" i="35"/>
  <c r="CK77" i="35"/>
  <c r="FA77" i="35"/>
  <c r="CL24" i="35"/>
  <c r="J24" i="19" s="1"/>
  <c r="AB24" i="19" s="1"/>
  <c r="CG35" i="35"/>
  <c r="CH35" i="35" s="1"/>
  <c r="CI59" i="35"/>
  <c r="I19" i="19"/>
  <c r="AA19" i="19" s="1"/>
  <c r="CY45" i="35"/>
  <c r="V45" i="19" s="1"/>
  <c r="CT21" i="35"/>
  <c r="CW21" i="35" s="1"/>
  <c r="HD21" i="35" s="1"/>
  <c r="CN21" i="35"/>
  <c r="GU21" i="35" s="1"/>
  <c r="HI21" i="35" s="1"/>
  <c r="I90" i="19"/>
  <c r="AA90" i="19" s="1"/>
  <c r="I18" i="19"/>
  <c r="AA18" i="19" s="1"/>
  <c r="CY21" i="35"/>
  <c r="V21" i="19" s="1"/>
  <c r="CN28" i="35"/>
  <c r="GU28" i="35" s="1"/>
  <c r="HI28" i="35" s="1"/>
  <c r="FA110" i="35"/>
  <c r="CZ28" i="35"/>
  <c r="W28" i="19" s="1"/>
  <c r="CT45" i="35"/>
  <c r="Q45" i="19" s="1"/>
  <c r="AF45" i="19" s="1"/>
  <c r="GA21" i="35"/>
  <c r="GI21" i="35" s="1"/>
  <c r="GK21" i="35" s="1"/>
  <c r="FA61" i="35"/>
  <c r="H61" i="19"/>
  <c r="Z61" i="19" s="1"/>
  <c r="CK61" i="35"/>
  <c r="I61" i="19" s="1"/>
  <c r="AA61" i="19" s="1"/>
  <c r="CZ21" i="35"/>
  <c r="W21" i="19" s="1"/>
  <c r="CA96" i="35"/>
  <c r="CG96" i="35" s="1"/>
  <c r="CH96" i="35" s="1"/>
  <c r="CI80" i="35"/>
  <c r="CL80" i="35" s="1"/>
  <c r="CZ80" i="35" s="1"/>
  <c r="W80" i="19" s="1"/>
  <c r="EB80" i="35"/>
  <c r="CT28" i="35"/>
  <c r="CX28" i="35" s="1"/>
  <c r="U28" i="19" s="1"/>
  <c r="AK28" i="19" s="1"/>
  <c r="DB21" i="35"/>
  <c r="Y21" i="19" s="1"/>
  <c r="I43" i="19"/>
  <c r="AA43" i="19" s="1"/>
  <c r="Q70" i="19"/>
  <c r="AF70" i="19" s="1"/>
  <c r="GA28" i="35"/>
  <c r="GC28" i="35" s="1"/>
  <c r="GE28" i="35" s="1"/>
  <c r="GG28" i="35" s="1"/>
  <c r="GS45" i="35"/>
  <c r="HG45" i="35" s="1"/>
  <c r="HO45" i="35" s="1"/>
  <c r="HS45" i="35" s="1"/>
  <c r="DB28" i="35"/>
  <c r="Y28" i="19" s="1"/>
  <c r="DA9" i="35"/>
  <c r="X9" i="19" s="1"/>
  <c r="CZ9" i="35"/>
  <c r="W9" i="19" s="1"/>
  <c r="CY28" i="35"/>
  <c r="V28" i="19" s="1"/>
  <c r="HP14" i="35"/>
  <c r="CL74" i="35"/>
  <c r="CN74" i="35" s="1"/>
  <c r="GU74" i="35" s="1"/>
  <c r="HI74" i="35" s="1"/>
  <c r="CZ45" i="35"/>
  <c r="W45" i="19" s="1"/>
  <c r="CN45" i="35"/>
  <c r="GU45" i="35" s="1"/>
  <c r="HI45" i="35" s="1"/>
  <c r="HP34" i="35"/>
  <c r="CN9" i="35"/>
  <c r="GU9" i="35" s="1"/>
  <c r="HI9" i="35" s="1"/>
  <c r="HS70" i="35"/>
  <c r="CJ99" i="35"/>
  <c r="CL19" i="35"/>
  <c r="J19" i="19" s="1"/>
  <c r="AB19" i="19" s="1"/>
  <c r="CW70" i="35"/>
  <c r="T70" i="19" s="1"/>
  <c r="AJ70" i="19" s="1"/>
  <c r="HQ70" i="35"/>
  <c r="H99" i="19"/>
  <c r="Z99" i="19" s="1"/>
  <c r="EB81" i="35"/>
  <c r="DB9" i="35"/>
  <c r="Y9" i="19" s="1"/>
  <c r="CY9" i="35"/>
  <c r="V9" i="19" s="1"/>
  <c r="GC70" i="35"/>
  <c r="GE70" i="35" s="1"/>
  <c r="GG70" i="35" s="1"/>
  <c r="CJ103" i="35"/>
  <c r="CL89" i="35"/>
  <c r="GS89" i="35" s="1"/>
  <c r="HG89" i="35" s="1"/>
  <c r="HO89" i="35" s="1"/>
  <c r="HS89" i="35" s="1"/>
  <c r="GA9" i="35"/>
  <c r="GC9" i="35" s="1"/>
  <c r="GE9" i="35" s="1"/>
  <c r="GG9" i="35" s="1"/>
  <c r="CI88" i="35"/>
  <c r="I24" i="19"/>
  <c r="AA24" i="19" s="1"/>
  <c r="FA63" i="35"/>
  <c r="U34" i="19"/>
  <c r="AK34" i="19" s="1"/>
  <c r="CT9" i="35"/>
  <c r="CW9" i="35" s="1"/>
  <c r="HD9" i="35" s="1"/>
  <c r="CI101" i="35"/>
  <c r="CY31" i="35"/>
  <c r="V31" i="19" s="1"/>
  <c r="GK70" i="35"/>
  <c r="CV70" i="35"/>
  <c r="S70" i="19" s="1"/>
  <c r="AI70" i="19" s="1"/>
  <c r="GS58" i="35"/>
  <c r="HG58" i="35" s="1"/>
  <c r="HO58" i="35" s="1"/>
  <c r="HQ58" i="35" s="1"/>
  <c r="L29" i="19"/>
  <c r="GS9" i="35"/>
  <c r="HG9" i="35" s="1"/>
  <c r="HO9" i="35" s="1"/>
  <c r="HP9" i="35" s="1"/>
  <c r="CP29" i="35"/>
  <c r="GW29" i="35" s="1"/>
  <c r="HK29" i="35" s="1"/>
  <c r="HM29" i="35" s="1"/>
  <c r="HS34" i="35"/>
  <c r="CR34" i="35"/>
  <c r="P34" i="19" s="1"/>
  <c r="AE34" i="19" s="1"/>
  <c r="HQ34" i="35"/>
  <c r="GI29" i="35"/>
  <c r="GJ29" i="35" s="1"/>
  <c r="GM29" i="35" s="1"/>
  <c r="GO29" i="35" s="1"/>
  <c r="H110" i="19"/>
  <c r="Z110" i="19" s="1"/>
  <c r="N34" i="19"/>
  <c r="CK104" i="35"/>
  <c r="GU34" i="35"/>
  <c r="HI34" i="35" s="1"/>
  <c r="GU37" i="35"/>
  <c r="HI37" i="35" s="1"/>
  <c r="CJ110" i="35"/>
  <c r="I110" i="19" s="1"/>
  <c r="AA110" i="19" s="1"/>
  <c r="CB75" i="35"/>
  <c r="EB75" i="35" s="1"/>
  <c r="CK71" i="35"/>
  <c r="I71" i="19" s="1"/>
  <c r="AA71" i="19" s="1"/>
  <c r="FA71" i="35"/>
  <c r="CL66" i="35"/>
  <c r="CN66" i="35" s="1"/>
  <c r="GU66" i="35" s="1"/>
  <c r="HI66" i="35" s="1"/>
  <c r="CG109" i="35"/>
  <c r="CH109" i="35" s="1"/>
  <c r="FA109" i="35" s="1"/>
  <c r="H71" i="19"/>
  <c r="Z71" i="19" s="1"/>
  <c r="I44" i="19"/>
  <c r="AA44" i="19" s="1"/>
  <c r="CI65" i="35"/>
  <c r="CL65" i="35" s="1"/>
  <c r="GA65" i="35" s="1"/>
  <c r="GC65" i="35" s="1"/>
  <c r="GE65" i="35" s="1"/>
  <c r="GG65" i="35" s="1"/>
  <c r="H104" i="19"/>
  <c r="Z104" i="19" s="1"/>
  <c r="CY10" i="35"/>
  <c r="V10" i="19" s="1"/>
  <c r="CT10" i="35"/>
  <c r="CV10" i="35" s="1"/>
  <c r="S10" i="19" s="1"/>
  <c r="AI10" i="19" s="1"/>
  <c r="H103" i="19"/>
  <c r="Z103" i="19" s="1"/>
  <c r="CL90" i="35"/>
  <c r="DB90" i="35" s="1"/>
  <c r="Y90" i="19" s="1"/>
  <c r="HA29" i="35"/>
  <c r="CN31" i="35"/>
  <c r="L31" i="19" s="1"/>
  <c r="GI37" i="35"/>
  <c r="GJ37" i="35" s="1"/>
  <c r="GM37" i="35" s="1"/>
  <c r="GO37" i="35" s="1"/>
  <c r="CN36" i="35"/>
  <c r="GU36" i="35" s="1"/>
  <c r="HI36" i="35" s="1"/>
  <c r="FA103" i="35"/>
  <c r="HE29" i="35"/>
  <c r="CI100" i="35"/>
  <c r="CL100" i="35" s="1"/>
  <c r="FA107" i="35"/>
  <c r="GS31" i="35"/>
  <c r="HG31" i="35" s="1"/>
  <c r="HO31" i="35" s="1"/>
  <c r="HP31" i="35" s="1"/>
  <c r="HQ37" i="35"/>
  <c r="DB31" i="35"/>
  <c r="Y31" i="19" s="1"/>
  <c r="HP37" i="35"/>
  <c r="CJ104" i="35"/>
  <c r="CT31" i="35"/>
  <c r="CX31" i="35" s="1"/>
  <c r="HE31" i="35" s="1"/>
  <c r="GA31" i="35"/>
  <c r="GI31" i="35" s="1"/>
  <c r="GK31" i="35" s="1"/>
  <c r="CI51" i="35"/>
  <c r="CI35" i="35"/>
  <c r="GA58" i="35"/>
  <c r="GC58" i="35" s="1"/>
  <c r="GE58" i="35" s="1"/>
  <c r="GG58" i="35" s="1"/>
  <c r="DA58" i="35"/>
  <c r="X58" i="19" s="1"/>
  <c r="CI64" i="35"/>
  <c r="EB64" i="35"/>
  <c r="BX124" i="35"/>
  <c r="H107" i="19"/>
  <c r="Z107" i="19" s="1"/>
  <c r="CW29" i="35"/>
  <c r="T29" i="19" s="1"/>
  <c r="AJ29" i="19" s="1"/>
  <c r="DB58" i="35"/>
  <c r="Y58" i="19" s="1"/>
  <c r="BX125" i="35"/>
  <c r="CK107" i="35"/>
  <c r="I107" i="19" s="1"/>
  <c r="AA107" i="19" s="1"/>
  <c r="CV29" i="35"/>
  <c r="HC29" i="35" s="1"/>
  <c r="CT58" i="35"/>
  <c r="CX58" i="35" s="1"/>
  <c r="U58" i="19" s="1"/>
  <c r="AK58" i="19" s="1"/>
  <c r="Q29" i="19"/>
  <c r="AF29" i="19" s="1"/>
  <c r="HR29" i="35"/>
  <c r="BX108" i="35"/>
  <c r="BX119" i="35"/>
  <c r="GA10" i="35"/>
  <c r="GI10" i="35" s="1"/>
  <c r="GK10" i="35" s="1"/>
  <c r="L70" i="19"/>
  <c r="CY58" i="35"/>
  <c r="V58" i="19" s="1"/>
  <c r="CN58" i="35"/>
  <c r="GU58" i="35" s="1"/>
  <c r="HI58" i="35" s="1"/>
  <c r="CL40" i="35"/>
  <c r="DB10" i="35"/>
  <c r="Y10" i="19" s="1"/>
  <c r="BX116" i="35"/>
  <c r="DA10" i="35"/>
  <c r="X10" i="19" s="1"/>
  <c r="CZ10" i="35"/>
  <c r="W10" i="19" s="1"/>
  <c r="BX121" i="35"/>
  <c r="BX117" i="35"/>
  <c r="GS10" i="35"/>
  <c r="HG10" i="35" s="1"/>
  <c r="HO10" i="35" s="1"/>
  <c r="HS10" i="35" s="1"/>
  <c r="BX113" i="35"/>
  <c r="L37" i="19"/>
  <c r="HR37" i="35"/>
  <c r="HQ29" i="35"/>
  <c r="BX98" i="35"/>
  <c r="EB72" i="35"/>
  <c r="CI72" i="35"/>
  <c r="J10" i="19"/>
  <c r="AB10" i="19" s="1"/>
  <c r="CP70" i="35"/>
  <c r="N70" i="19" s="1"/>
  <c r="CN10" i="35"/>
  <c r="CP10" i="35" s="1"/>
  <c r="CR10" i="35" s="1"/>
  <c r="HP29" i="35"/>
  <c r="DA31" i="35"/>
  <c r="X31" i="19" s="1"/>
  <c r="CU29" i="35"/>
  <c r="R29" i="19" s="1"/>
  <c r="BX102" i="35"/>
  <c r="CL43" i="35"/>
  <c r="T17" i="19"/>
  <c r="AJ17" i="19" s="1"/>
  <c r="GJ17" i="35"/>
  <c r="GM17" i="35" s="1"/>
  <c r="GO17" i="35" s="1"/>
  <c r="CV17" i="35"/>
  <c r="S17" i="19" s="1"/>
  <c r="AI17" i="19" s="1"/>
  <c r="CX17" i="35"/>
  <c r="HE17" i="35" s="1"/>
  <c r="HA17" i="35"/>
  <c r="Q17" i="19"/>
  <c r="AF17" i="19" s="1"/>
  <c r="CU17" i="35"/>
  <c r="HB17" i="35" s="1"/>
  <c r="CP17" i="35"/>
  <c r="N17" i="19" s="1"/>
  <c r="HP17" i="35"/>
  <c r="HQ17" i="35"/>
  <c r="HR17" i="35"/>
  <c r="GU17" i="35"/>
  <c r="HI17" i="35" s="1"/>
  <c r="GC17" i="35"/>
  <c r="GE17" i="35" s="1"/>
  <c r="GG17" i="35" s="1"/>
  <c r="CJ78" i="35"/>
  <c r="I78" i="19" s="1"/>
  <c r="AA78" i="19" s="1"/>
  <c r="BU127" i="35"/>
  <c r="EB78" i="35"/>
  <c r="CI78" i="35"/>
  <c r="FA78" i="35"/>
  <c r="H78" i="19"/>
  <c r="Z78" i="19" s="1"/>
  <c r="BU126" i="35"/>
  <c r="BU115" i="35"/>
  <c r="BU112" i="35"/>
  <c r="BS128" i="35"/>
  <c r="BU128" i="35" s="1"/>
  <c r="BS120" i="35"/>
  <c r="BU120" i="35" s="1"/>
  <c r="CY91" i="35"/>
  <c r="V91" i="19" s="1"/>
  <c r="CB118" i="35"/>
  <c r="CG118" i="35"/>
  <c r="CH118" i="35" s="1"/>
  <c r="H118" i="19" s="1"/>
  <c r="Z118" i="19" s="1"/>
  <c r="BO114" i="35"/>
  <c r="U30" i="19"/>
  <c r="AK30" i="19" s="1"/>
  <c r="HS53" i="35"/>
  <c r="GC32" i="35"/>
  <c r="GE32" i="35" s="1"/>
  <c r="GG32" i="35" s="1"/>
  <c r="HQ53" i="35"/>
  <c r="GS73" i="35"/>
  <c r="HG73" i="35" s="1"/>
  <c r="HO73" i="35" s="1"/>
  <c r="HP73" i="35" s="1"/>
  <c r="CT73" i="35"/>
  <c r="CV73" i="35" s="1"/>
  <c r="S73" i="19" s="1"/>
  <c r="AI73" i="19" s="1"/>
  <c r="DA73" i="35"/>
  <c r="X73" i="19" s="1"/>
  <c r="CZ73" i="35"/>
  <c r="W73" i="19" s="1"/>
  <c r="HP53" i="35"/>
  <c r="DB73" i="35"/>
  <c r="Y73" i="19" s="1"/>
  <c r="GA73" i="35"/>
  <c r="GI73" i="35" s="1"/>
  <c r="GK73" i="35" s="1"/>
  <c r="CY73" i="35"/>
  <c r="V73" i="19" s="1"/>
  <c r="J73" i="19"/>
  <c r="AB73" i="19" s="1"/>
  <c r="Q53" i="19"/>
  <c r="AF53" i="19" s="1"/>
  <c r="CX53" i="35"/>
  <c r="HE53" i="35" s="1"/>
  <c r="J54" i="19"/>
  <c r="AB54" i="19" s="1"/>
  <c r="CV53" i="35"/>
  <c r="S53" i="19" s="1"/>
  <c r="AI53" i="19" s="1"/>
  <c r="CT54" i="35"/>
  <c r="CW54" i="35" s="1"/>
  <c r="HD54" i="35" s="1"/>
  <c r="GS54" i="35"/>
  <c r="HG54" i="35" s="1"/>
  <c r="HO54" i="35" s="1"/>
  <c r="HS54" i="35" s="1"/>
  <c r="CW53" i="35"/>
  <c r="HD53" i="35" s="1"/>
  <c r="HA53" i="35"/>
  <c r="DA7" i="35"/>
  <c r="X7" i="19" s="1"/>
  <c r="CN7" i="35"/>
  <c r="CP7" i="35" s="1"/>
  <c r="GA54" i="35"/>
  <c r="GC54" i="35" s="1"/>
  <c r="GE54" i="35" s="1"/>
  <c r="GG54" i="35" s="1"/>
  <c r="DB7" i="35"/>
  <c r="Y7" i="19" s="1"/>
  <c r="GS7" i="35"/>
  <c r="HG7" i="35" s="1"/>
  <c r="HO7" i="35" s="1"/>
  <c r="HQ7" i="35" s="1"/>
  <c r="CN54" i="35"/>
  <c r="L54" i="19" s="1"/>
  <c r="CY7" i="35"/>
  <c r="V7" i="19" s="1"/>
  <c r="CY54" i="35"/>
  <c r="V54" i="19" s="1"/>
  <c r="GA7" i="35"/>
  <c r="GC7" i="35" s="1"/>
  <c r="GE7" i="35" s="1"/>
  <c r="GG7" i="35" s="1"/>
  <c r="CZ7" i="35"/>
  <c r="W7" i="19" s="1"/>
  <c r="DB54" i="35"/>
  <c r="Y54" i="19" s="1"/>
  <c r="CT7" i="35"/>
  <c r="CW7" i="35" s="1"/>
  <c r="DA54" i="35"/>
  <c r="X54" i="19" s="1"/>
  <c r="I7" i="19"/>
  <c r="AA7" i="19" s="1"/>
  <c r="HP20" i="35"/>
  <c r="CX57" i="35"/>
  <c r="U57" i="19" s="1"/>
  <c r="AK57" i="19" s="1"/>
  <c r="HD30" i="35"/>
  <c r="CZ91" i="35"/>
  <c r="W91" i="19" s="1"/>
  <c r="J91" i="19"/>
  <c r="AB91" i="19" s="1"/>
  <c r="Q57" i="19"/>
  <c r="AF57" i="19" s="1"/>
  <c r="CW57" i="35"/>
  <c r="T57" i="19" s="1"/>
  <c r="AJ57" i="19" s="1"/>
  <c r="HS20" i="35"/>
  <c r="HR20" i="35"/>
  <c r="R30" i="19"/>
  <c r="CV57" i="35"/>
  <c r="HC57" i="35" s="1"/>
  <c r="CU57" i="35"/>
  <c r="R57" i="19" s="1"/>
  <c r="HQ32" i="35"/>
  <c r="DA91" i="35"/>
  <c r="X91" i="19" s="1"/>
  <c r="CN91" i="35"/>
  <c r="L91" i="19" s="1"/>
  <c r="L32" i="19"/>
  <c r="CP20" i="35"/>
  <c r="CR20" i="35" s="1"/>
  <c r="GA91" i="35"/>
  <c r="GI91" i="35" s="1"/>
  <c r="GK91" i="35" s="1"/>
  <c r="CP32" i="35"/>
  <c r="GW32" i="35" s="1"/>
  <c r="HK32" i="35" s="1"/>
  <c r="HM32" i="35" s="1"/>
  <c r="CT91" i="35"/>
  <c r="CV91" i="35" s="1"/>
  <c r="HC91" i="35" s="1"/>
  <c r="GS91" i="35"/>
  <c r="HG91" i="35" s="1"/>
  <c r="HO91" i="35" s="1"/>
  <c r="HS91" i="35" s="1"/>
  <c r="GU20" i="35"/>
  <c r="HI20" i="35" s="1"/>
  <c r="HA32" i="35"/>
  <c r="HA20" i="35"/>
  <c r="Q33" i="19"/>
  <c r="AF33" i="19" s="1"/>
  <c r="CU32" i="35"/>
  <c r="R32" i="19" s="1"/>
  <c r="GU57" i="35"/>
  <c r="HI57" i="35" s="1"/>
  <c r="Q20" i="19"/>
  <c r="AF20" i="19" s="1"/>
  <c r="CX32" i="35"/>
  <c r="U32" i="19" s="1"/>
  <c r="AK32" i="19" s="1"/>
  <c r="CW20" i="35"/>
  <c r="T20" i="19" s="1"/>
  <c r="AJ20" i="19" s="1"/>
  <c r="CV32" i="35"/>
  <c r="S32" i="19" s="1"/>
  <c r="AI32" i="19" s="1"/>
  <c r="CV20" i="35"/>
  <c r="S20" i="19" s="1"/>
  <c r="AI20" i="19" s="1"/>
  <c r="CW32" i="35"/>
  <c r="T32" i="19" s="1"/>
  <c r="AJ32" i="19" s="1"/>
  <c r="CP57" i="35"/>
  <c r="N57" i="19" s="1"/>
  <c r="CX20" i="35"/>
  <c r="HE20" i="35" s="1"/>
  <c r="HQ57" i="35"/>
  <c r="HP57" i="35"/>
  <c r="HR57" i="35"/>
  <c r="HR32" i="35"/>
  <c r="CX33" i="35"/>
  <c r="U33" i="19" s="1"/>
  <c r="AK33" i="19" s="1"/>
  <c r="HS32" i="35"/>
  <c r="HS49" i="35"/>
  <c r="HA33" i="35"/>
  <c r="AJ33" i="19"/>
  <c r="HR49" i="35"/>
  <c r="HP49" i="35"/>
  <c r="HD33" i="35"/>
  <c r="CV33" i="35"/>
  <c r="S33" i="19" s="1"/>
  <c r="AI33" i="19" s="1"/>
  <c r="GI57" i="35"/>
  <c r="GJ57" i="35" s="1"/>
  <c r="GM57" i="35" s="1"/>
  <c r="GO57" i="35" s="1"/>
  <c r="HS33" i="35"/>
  <c r="HR33" i="35"/>
  <c r="HQ33" i="35"/>
  <c r="GY33" i="35"/>
  <c r="GW33" i="35"/>
  <c r="HK33" i="35" s="1"/>
  <c r="HM33" i="35" s="1"/>
  <c r="L33" i="19"/>
  <c r="N33" i="19"/>
  <c r="GU33" i="35"/>
  <c r="HI33" i="35" s="1"/>
  <c r="HC14" i="35"/>
  <c r="GI20" i="35"/>
  <c r="GK20" i="35" s="1"/>
  <c r="J82" i="19"/>
  <c r="AB82" i="19" s="1"/>
  <c r="CU33" i="35"/>
  <c r="HS60" i="35"/>
  <c r="J39" i="19"/>
  <c r="AB39" i="19" s="1"/>
  <c r="I106" i="19"/>
  <c r="AA106" i="19" s="1"/>
  <c r="CR23" i="35"/>
  <c r="GW23" i="35"/>
  <c r="HK23" i="35" s="1"/>
  <c r="HM23" i="35" s="1"/>
  <c r="N23" i="19"/>
  <c r="CY48" i="35"/>
  <c r="V48" i="19" s="1"/>
  <c r="GI49" i="35"/>
  <c r="GK49" i="35" s="1"/>
  <c r="I65" i="19"/>
  <c r="AA65" i="19" s="1"/>
  <c r="CW23" i="35"/>
  <c r="HD23" i="35" s="1"/>
  <c r="R14" i="19"/>
  <c r="GA12" i="35"/>
  <c r="GC12" i="35" s="1"/>
  <c r="GE12" i="35" s="1"/>
  <c r="GG12" i="35" s="1"/>
  <c r="CP60" i="35"/>
  <c r="CR60" i="35" s="1"/>
  <c r="HR31" i="35"/>
  <c r="HQ31" i="35"/>
  <c r="HS23" i="35"/>
  <c r="CT82" i="35"/>
  <c r="Q82" i="19" s="1"/>
  <c r="AF82" i="19" s="1"/>
  <c r="CV49" i="35"/>
  <c r="S49" i="19" s="1"/>
  <c r="AI49" i="19" s="1"/>
  <c r="DB82" i="35"/>
  <c r="Y82" i="19" s="1"/>
  <c r="CU49" i="35"/>
  <c r="R49" i="19" s="1"/>
  <c r="CX49" i="35"/>
  <c r="U49" i="19" s="1"/>
  <c r="AK49" i="19" s="1"/>
  <c r="DA82" i="35"/>
  <c r="X82" i="19" s="1"/>
  <c r="CY82" i="35"/>
  <c r="V82" i="19" s="1"/>
  <c r="CN82" i="35"/>
  <c r="CP82" i="35" s="1"/>
  <c r="N82" i="19" s="1"/>
  <c r="CZ82" i="35"/>
  <c r="W82" i="19" s="1"/>
  <c r="Q49" i="19"/>
  <c r="AF49" i="19" s="1"/>
  <c r="GS82" i="35"/>
  <c r="HG82" i="35" s="1"/>
  <c r="HO82" i="35" s="1"/>
  <c r="HQ82" i="35" s="1"/>
  <c r="CW49" i="35"/>
  <c r="T49" i="19" s="1"/>
  <c r="AJ49" i="19" s="1"/>
  <c r="GI60" i="35"/>
  <c r="GJ60" i="35" s="1"/>
  <c r="GM60" i="35" s="1"/>
  <c r="GO60" i="35" s="1"/>
  <c r="GS48" i="35"/>
  <c r="HG48" i="35" s="1"/>
  <c r="HO48" i="35" s="1"/>
  <c r="HP48" i="35" s="1"/>
  <c r="CZ66" i="35"/>
  <c r="W66" i="19" s="1"/>
  <c r="HP60" i="35"/>
  <c r="HQ60" i="35"/>
  <c r="GK14" i="35"/>
  <c r="HP23" i="35"/>
  <c r="CX68" i="35"/>
  <c r="HE68" i="35" s="1"/>
  <c r="CU68" i="35"/>
  <c r="HB68" i="35" s="1"/>
  <c r="CZ39" i="35"/>
  <c r="W39" i="19" s="1"/>
  <c r="GY34" i="35"/>
  <c r="HU34" i="35" s="1"/>
  <c r="CV68" i="35"/>
  <c r="S68" i="19" s="1"/>
  <c r="AI68" i="19" s="1"/>
  <c r="Q68" i="19"/>
  <c r="AF68" i="19" s="1"/>
  <c r="Q23" i="19"/>
  <c r="AF23" i="19" s="1"/>
  <c r="CV23" i="35"/>
  <c r="CW68" i="35"/>
  <c r="HD68" i="35" s="1"/>
  <c r="L60" i="19"/>
  <c r="HB23" i="35"/>
  <c r="R23" i="19"/>
  <c r="HR23" i="35"/>
  <c r="GI68" i="35"/>
  <c r="GJ68" i="35" s="1"/>
  <c r="GM68" i="35" s="1"/>
  <c r="GO68" i="35" s="1"/>
  <c r="GJ23" i="35"/>
  <c r="GM23" i="35" s="1"/>
  <c r="GO23" i="35" s="1"/>
  <c r="HA23" i="35"/>
  <c r="CX23" i="35"/>
  <c r="GU23" i="35"/>
  <c r="HI23" i="35" s="1"/>
  <c r="L23" i="19"/>
  <c r="HA60" i="35"/>
  <c r="CU60" i="35"/>
  <c r="HB60" i="35" s="1"/>
  <c r="CV60" i="35"/>
  <c r="HC60" i="35" s="1"/>
  <c r="CX60" i="35"/>
  <c r="U60" i="19" s="1"/>
  <c r="AK60" i="19" s="1"/>
  <c r="GJ34" i="35"/>
  <c r="GM34" i="35" s="1"/>
  <c r="GO34" i="35" s="1"/>
  <c r="CW60" i="35"/>
  <c r="T60" i="19" s="1"/>
  <c r="AJ60" i="19" s="1"/>
  <c r="CP49" i="35"/>
  <c r="GW49" i="35" s="1"/>
  <c r="HK49" i="35" s="1"/>
  <c r="HM49" i="35" s="1"/>
  <c r="L49" i="19"/>
  <c r="CN12" i="35"/>
  <c r="GU12" i="35" s="1"/>
  <c r="HI12" i="35" s="1"/>
  <c r="L68" i="19"/>
  <c r="CP68" i="35"/>
  <c r="N68" i="19" s="1"/>
  <c r="CW11" i="35"/>
  <c r="HD11" i="35" s="1"/>
  <c r="CV11" i="35"/>
  <c r="HC11" i="35" s="1"/>
  <c r="Q11" i="19"/>
  <c r="AF11" i="19" s="1"/>
  <c r="DA19" i="35"/>
  <c r="X19" i="19" s="1"/>
  <c r="CT12" i="35"/>
  <c r="CV12" i="35" s="1"/>
  <c r="CU11" i="35"/>
  <c r="R11" i="19" s="1"/>
  <c r="HR11" i="35"/>
  <c r="DA12" i="35"/>
  <c r="X12" i="19" s="1"/>
  <c r="J12" i="19"/>
  <c r="AB12" i="19" s="1"/>
  <c r="CX11" i="35"/>
  <c r="U11" i="19" s="1"/>
  <c r="AK11" i="19" s="1"/>
  <c r="HQ11" i="35"/>
  <c r="I95" i="19"/>
  <c r="AA95" i="19" s="1"/>
  <c r="DB12" i="35"/>
  <c r="Y12" i="19" s="1"/>
  <c r="DB19" i="35"/>
  <c r="Y19" i="19" s="1"/>
  <c r="GS12" i="35"/>
  <c r="HG12" i="35" s="1"/>
  <c r="HO12" i="35" s="1"/>
  <c r="HS12" i="35" s="1"/>
  <c r="HR50" i="35"/>
  <c r="HS11" i="35"/>
  <c r="CZ12" i="35"/>
  <c r="W12" i="19" s="1"/>
  <c r="Q50" i="19"/>
  <c r="AF50" i="19" s="1"/>
  <c r="CU50" i="35"/>
  <c r="HB50" i="35" s="1"/>
  <c r="GI50" i="35"/>
  <c r="HA50" i="35"/>
  <c r="HC50" i="35"/>
  <c r="CX50" i="35"/>
  <c r="HE50" i="35" s="1"/>
  <c r="CW50" i="35"/>
  <c r="GY50" i="35"/>
  <c r="CL47" i="35"/>
  <c r="J47" i="19" s="1"/>
  <c r="AB47" i="19" s="1"/>
  <c r="GU50" i="35"/>
  <c r="HI50" i="35" s="1"/>
  <c r="N50" i="19"/>
  <c r="GW50" i="35"/>
  <c r="HK50" i="35" s="1"/>
  <c r="HM50" i="35" s="1"/>
  <c r="L50" i="19"/>
  <c r="HQ50" i="35"/>
  <c r="HS50" i="35"/>
  <c r="I27" i="19"/>
  <c r="AA27" i="19" s="1"/>
  <c r="GC67" i="35"/>
  <c r="GE67" i="35" s="1"/>
  <c r="GG67" i="35" s="1"/>
  <c r="GI67" i="35"/>
  <c r="HQ67" i="35"/>
  <c r="HS67" i="35"/>
  <c r="HR67" i="35"/>
  <c r="HP67" i="35"/>
  <c r="CV67" i="35"/>
  <c r="Q67" i="19"/>
  <c r="AF67" i="19" s="1"/>
  <c r="HA67" i="35"/>
  <c r="CW67" i="35"/>
  <c r="CU67" i="35"/>
  <c r="CX67" i="35"/>
  <c r="GU41" i="35"/>
  <c r="HI41" i="35" s="1"/>
  <c r="CP41" i="35"/>
  <c r="L41" i="19"/>
  <c r="HQ41" i="35"/>
  <c r="HR41" i="35"/>
  <c r="HS41" i="35"/>
  <c r="HP41" i="35"/>
  <c r="GI41" i="35"/>
  <c r="GC41" i="35"/>
  <c r="GE41" i="35" s="1"/>
  <c r="GG41" i="35" s="1"/>
  <c r="CV41" i="35"/>
  <c r="HA41" i="35"/>
  <c r="CX41" i="35"/>
  <c r="CW41" i="35"/>
  <c r="Q41" i="19"/>
  <c r="AF41" i="19" s="1"/>
  <c r="CU41" i="35"/>
  <c r="I38" i="19"/>
  <c r="AA38" i="19" s="1"/>
  <c r="I15" i="19"/>
  <c r="AA15" i="19" s="1"/>
  <c r="I22" i="19"/>
  <c r="AA22" i="19" s="1"/>
  <c r="CL27" i="35"/>
  <c r="CT27" i="35" s="1"/>
  <c r="S16" i="19"/>
  <c r="AI16" i="19" s="1"/>
  <c r="HC16" i="35"/>
  <c r="BA141" i="35"/>
  <c r="BE141" i="35" s="1"/>
  <c r="BG141" i="35" s="1"/>
  <c r="BI141" i="35" s="1"/>
  <c r="BK141" i="35" s="1"/>
  <c r="BM141" i="35" s="1"/>
  <c r="BO141" i="35" s="1"/>
  <c r="BQ141" i="35" s="1"/>
  <c r="BA135" i="35"/>
  <c r="BE135" i="35" s="1"/>
  <c r="BG135" i="35" s="1"/>
  <c r="BI135" i="35" s="1"/>
  <c r="BK135" i="35" s="1"/>
  <c r="BM135" i="35" s="1"/>
  <c r="BO135" i="35" s="1"/>
  <c r="BQ135" i="35" s="1"/>
  <c r="GK16" i="35"/>
  <c r="GJ16" i="35"/>
  <c r="GM16" i="35" s="1"/>
  <c r="GO16" i="35" s="1"/>
  <c r="HC8" i="35"/>
  <c r="S8" i="19"/>
  <c r="AI8" i="19" s="1"/>
  <c r="I55" i="19"/>
  <c r="AA55" i="19" s="1"/>
  <c r="GW16" i="35"/>
  <c r="HK16" i="35" s="1"/>
  <c r="HM16" i="35" s="1"/>
  <c r="CR16" i="35"/>
  <c r="N16" i="19"/>
  <c r="BA133" i="35"/>
  <c r="BE133" i="35" s="1"/>
  <c r="BG133" i="35" s="1"/>
  <c r="BI133" i="35" s="1"/>
  <c r="BK133" i="35" s="1"/>
  <c r="BM133" i="35" s="1"/>
  <c r="BO133" i="35" s="1"/>
  <c r="BQ133" i="35" s="1"/>
  <c r="BA129" i="35"/>
  <c r="BE129" i="35" s="1"/>
  <c r="BG129" i="35" s="1"/>
  <c r="BI129" i="35" s="1"/>
  <c r="BK129" i="35" s="1"/>
  <c r="BM129" i="35" s="1"/>
  <c r="BO129" i="35" s="1"/>
  <c r="CL38" i="35"/>
  <c r="GK8" i="35"/>
  <c r="GJ8" i="35"/>
  <c r="GM8" i="35" s="1"/>
  <c r="GO8" i="35" s="1"/>
  <c r="I47" i="19"/>
  <c r="AA47" i="19" s="1"/>
  <c r="FA62" i="35"/>
  <c r="CJ62" i="35"/>
  <c r="CK62" i="35"/>
  <c r="H62" i="19"/>
  <c r="Z62" i="19" s="1"/>
  <c r="CL15" i="35"/>
  <c r="BA142" i="35"/>
  <c r="BE142" i="35" s="1"/>
  <c r="BG142" i="35" s="1"/>
  <c r="BI142" i="35" s="1"/>
  <c r="BK142" i="35" s="1"/>
  <c r="BM142" i="35" s="1"/>
  <c r="BO142" i="35" s="1"/>
  <c r="BQ142" i="35" s="1"/>
  <c r="T8" i="19"/>
  <c r="AJ8" i="19" s="1"/>
  <c r="HD8" i="35"/>
  <c r="BA138" i="35"/>
  <c r="BE138" i="35" s="1"/>
  <c r="BG138" i="35" s="1"/>
  <c r="BI138" i="35" s="1"/>
  <c r="BK138" i="35" s="1"/>
  <c r="BM138" i="35" s="1"/>
  <c r="BO138" i="35" s="1"/>
  <c r="BQ138" i="35" s="1"/>
  <c r="BA143" i="35"/>
  <c r="BE143" i="35" s="1"/>
  <c r="BG143" i="35" s="1"/>
  <c r="BI143" i="35" s="1"/>
  <c r="BK143" i="35" s="1"/>
  <c r="BM143" i="35" s="1"/>
  <c r="BO143" i="35" s="1"/>
  <c r="BQ143" i="35" s="1"/>
  <c r="CR8" i="35"/>
  <c r="N8" i="19"/>
  <c r="GW8" i="35"/>
  <c r="HK8" i="35" s="1"/>
  <c r="HM8" i="35" s="1"/>
  <c r="HB16" i="35"/>
  <c r="R16" i="19"/>
  <c r="BA144" i="35"/>
  <c r="BE144" i="35" s="1"/>
  <c r="BG144" i="35" s="1"/>
  <c r="BI144" i="35" s="1"/>
  <c r="BK144" i="35" s="1"/>
  <c r="BM144" i="35" s="1"/>
  <c r="BO144" i="35" s="1"/>
  <c r="BQ144" i="35" s="1"/>
  <c r="I100" i="19"/>
  <c r="AA100" i="19" s="1"/>
  <c r="CK79" i="35"/>
  <c r="CJ79" i="35"/>
  <c r="H79" i="19"/>
  <c r="Z79" i="19" s="1"/>
  <c r="FA79" i="35"/>
  <c r="HD16" i="35"/>
  <c r="T16" i="19"/>
  <c r="AJ16" i="19" s="1"/>
  <c r="CN84" i="35"/>
  <c r="CZ84" i="35"/>
  <c r="W84" i="19" s="1"/>
  <c r="DA84" i="35"/>
  <c r="X84" i="19" s="1"/>
  <c r="CT84" i="35"/>
  <c r="J84" i="19"/>
  <c r="AB84" i="19" s="1"/>
  <c r="CY84" i="35"/>
  <c r="V84" i="19" s="1"/>
  <c r="DB84" i="35"/>
  <c r="Y84" i="19" s="1"/>
  <c r="GA84" i="35"/>
  <c r="GS84" i="35"/>
  <c r="HG84" i="35" s="1"/>
  <c r="HO84" i="35" s="1"/>
  <c r="HE8" i="35"/>
  <c r="U8" i="19"/>
  <c r="AK8" i="19" s="1"/>
  <c r="BA123" i="35"/>
  <c r="BE123" i="35" s="1"/>
  <c r="BG123" i="35" s="1"/>
  <c r="BI123" i="35" s="1"/>
  <c r="BK123" i="35" s="1"/>
  <c r="BM123" i="35" s="1"/>
  <c r="BO123" i="35" s="1"/>
  <c r="BQ123" i="35" s="1"/>
  <c r="GS44" i="35"/>
  <c r="HG44" i="35" s="1"/>
  <c r="HO44" i="35" s="1"/>
  <c r="CT44" i="35"/>
  <c r="CN44" i="35"/>
  <c r="GA44" i="35"/>
  <c r="DB44" i="35"/>
  <c r="Y44" i="19" s="1"/>
  <c r="CZ44" i="35"/>
  <c r="W44" i="19" s="1"/>
  <c r="J44" i="19"/>
  <c r="AB44" i="19" s="1"/>
  <c r="DA44" i="35"/>
  <c r="X44" i="19" s="1"/>
  <c r="CY44" i="35"/>
  <c r="V44" i="19" s="1"/>
  <c r="U16" i="19"/>
  <c r="AK16" i="19" s="1"/>
  <c r="HE16" i="35"/>
  <c r="R8" i="19"/>
  <c r="HB8" i="35"/>
  <c r="CL55" i="35"/>
  <c r="GA13" i="35"/>
  <c r="CL22" i="35"/>
  <c r="I83" i="19"/>
  <c r="AA83" i="19" s="1"/>
  <c r="BA146" i="35"/>
  <c r="BE146" i="35" s="1"/>
  <c r="BG146" i="35" s="1"/>
  <c r="BI146" i="35" s="1"/>
  <c r="BK146" i="35" s="1"/>
  <c r="BM146" i="35" s="1"/>
  <c r="BO146" i="35" s="1"/>
  <c r="BQ146" i="35" s="1"/>
  <c r="BA134" i="35"/>
  <c r="BE134" i="35" s="1"/>
  <c r="BG134" i="35" s="1"/>
  <c r="BI134" i="35" s="1"/>
  <c r="BK134" i="35" s="1"/>
  <c r="BM134" i="35" s="1"/>
  <c r="BO134" i="35" s="1"/>
  <c r="BQ134" i="35" s="1"/>
  <c r="BA145" i="35"/>
  <c r="BE145" i="35" s="1"/>
  <c r="BG145" i="35" s="1"/>
  <c r="BI145" i="35" s="1"/>
  <c r="BK145" i="35" s="1"/>
  <c r="BM145" i="35" s="1"/>
  <c r="BO145" i="35" s="1"/>
  <c r="BQ145" i="35" s="1"/>
  <c r="AZ136" i="35"/>
  <c r="AZ132" i="35"/>
  <c r="BA137" i="35"/>
  <c r="BE137" i="35" s="1"/>
  <c r="BG137" i="35" s="1"/>
  <c r="BI137" i="35" s="1"/>
  <c r="BK137" i="35" s="1"/>
  <c r="BM137" i="35" s="1"/>
  <c r="BO137" i="35" s="1"/>
  <c r="BQ137" i="35" s="1"/>
  <c r="AZ131" i="35"/>
  <c r="AZ139" i="35"/>
  <c r="AX147" i="35"/>
  <c r="AZ147" i="35" s="1"/>
  <c r="AX140" i="35"/>
  <c r="AX152" i="35"/>
  <c r="AX130" i="35"/>
  <c r="AZ130" i="35" s="1"/>
  <c r="L73" i="19"/>
  <c r="GU73" i="35"/>
  <c r="HI73" i="35" s="1"/>
  <c r="HD70" i="35"/>
  <c r="GC82" i="35"/>
  <c r="GE82" i="35" s="1"/>
  <c r="GG82" i="35" s="1"/>
  <c r="AR156" i="35"/>
  <c r="EA156" i="35" s="1"/>
  <c r="AR162" i="35"/>
  <c r="HB70" i="35"/>
  <c r="AI30" i="19"/>
  <c r="AR151" i="35"/>
  <c r="EA151" i="35" s="1"/>
  <c r="AR158" i="35"/>
  <c r="EA158" i="35" s="1"/>
  <c r="AR165" i="35"/>
  <c r="EA165" i="35" s="1"/>
  <c r="AR157" i="35"/>
  <c r="EA157" i="35" s="1"/>
  <c r="AR163" i="35"/>
  <c r="AR159" i="35"/>
  <c r="EA159" i="35" s="1"/>
  <c r="AR161" i="35"/>
  <c r="EA161" i="35" s="1"/>
  <c r="AR153" i="35"/>
  <c r="EA153" i="35" s="1"/>
  <c r="AR154" i="35"/>
  <c r="EA154" i="35" s="1"/>
  <c r="AR148" i="35"/>
  <c r="EA148" i="35" s="1"/>
  <c r="AR160" i="35"/>
  <c r="EA160" i="35" s="1"/>
  <c r="AJ30" i="19"/>
  <c r="GW37" i="35"/>
  <c r="HK37" i="35" s="1"/>
  <c r="HM37" i="35" s="1"/>
  <c r="N37" i="19"/>
  <c r="CR37" i="35"/>
  <c r="U37" i="19"/>
  <c r="AK37" i="19" s="1"/>
  <c r="HE37" i="35"/>
  <c r="R20" i="19"/>
  <c r="HB20" i="35"/>
  <c r="T37" i="19"/>
  <c r="AJ37" i="19" s="1"/>
  <c r="HD37" i="35"/>
  <c r="R53" i="19"/>
  <c r="HB53" i="35"/>
  <c r="R37" i="19"/>
  <c r="HB37" i="35"/>
  <c r="GK82" i="35"/>
  <c r="GJ82" i="35"/>
  <c r="GM82" i="35" s="1"/>
  <c r="GO82" i="35" s="1"/>
  <c r="P30" i="19"/>
  <c r="AE30" i="19" s="1"/>
  <c r="GY30" i="35"/>
  <c r="HU30" i="35" s="1"/>
  <c r="S37" i="19"/>
  <c r="AI37" i="19" s="1"/>
  <c r="HC37" i="35"/>
  <c r="GK32" i="35"/>
  <c r="GJ32" i="35"/>
  <c r="GM32" i="35" s="1"/>
  <c r="GO32" i="35" s="1"/>
  <c r="N53" i="19"/>
  <c r="GI56" i="35"/>
  <c r="GW73" i="35"/>
  <c r="HK73" i="35" s="1"/>
  <c r="HM73" i="35" s="1"/>
  <c r="N73" i="19"/>
  <c r="CR73" i="35"/>
  <c r="EK134" i="35"/>
  <c r="EJ134" i="35" s="1"/>
  <c r="AV140" i="35"/>
  <c r="EL140" i="35" s="1"/>
  <c r="EL132" i="35"/>
  <c r="EK141" i="35"/>
  <c r="EJ141" i="35" s="1"/>
  <c r="AP174" i="35"/>
  <c r="AQ174" i="35" s="1"/>
  <c r="EA155" i="35"/>
  <c r="AU155" i="35"/>
  <c r="AW155" i="35" s="1"/>
  <c r="AU164" i="35"/>
  <c r="AW164" i="35" s="1"/>
  <c r="EA164" i="35"/>
  <c r="EK135" i="35"/>
  <c r="EJ135" i="35" s="1"/>
  <c r="EL135" i="35"/>
  <c r="AP168" i="35"/>
  <c r="AQ168" i="35" s="1"/>
  <c r="EL146" i="35"/>
  <c r="EK146" i="35"/>
  <c r="EJ146" i="35" s="1"/>
  <c r="AP169" i="35"/>
  <c r="AQ169" i="35" s="1"/>
  <c r="AU149" i="35"/>
  <c r="AW149" i="35" s="1"/>
  <c r="EA149" i="35"/>
  <c r="EK142" i="35"/>
  <c r="EJ142" i="35" s="1"/>
  <c r="AK175" i="35"/>
  <c r="AO175" i="35" s="1"/>
  <c r="AK173" i="35"/>
  <c r="AO173" i="35" s="1"/>
  <c r="AK172" i="35"/>
  <c r="AO172" i="35" s="1"/>
  <c r="AK177" i="35"/>
  <c r="AO177" i="35" s="1"/>
  <c r="AK170" i="35"/>
  <c r="AO170" i="35" s="1"/>
  <c r="AK179" i="35"/>
  <c r="AO179" i="35" s="1"/>
  <c r="AK180" i="35"/>
  <c r="AO180" i="35" s="1"/>
  <c r="AK178" i="35"/>
  <c r="AO178" i="35" s="1"/>
  <c r="AK166" i="35"/>
  <c r="AO166" i="35" s="1"/>
  <c r="AK176" i="35"/>
  <c r="AO176" i="35" s="1"/>
  <c r="AK171" i="35"/>
  <c r="AO171" i="35" s="1"/>
  <c r="AK167" i="35"/>
  <c r="AO167" i="35" s="1"/>
  <c r="AK182" i="35"/>
  <c r="AO182" i="35" s="1"/>
  <c r="AK181" i="35"/>
  <c r="AO181" i="35" s="1"/>
  <c r="AV152" i="35"/>
  <c r="EL152" i="35" s="1"/>
  <c r="AV147" i="35"/>
  <c r="EL147" i="35" s="1"/>
  <c r="EL131" i="35"/>
  <c r="EK131" i="35"/>
  <c r="EJ131" i="35" s="1"/>
  <c r="AU157" i="35"/>
  <c r="AW157" i="35" s="1"/>
  <c r="EL133" i="35"/>
  <c r="EK133" i="35"/>
  <c r="EJ133" i="35" s="1"/>
  <c r="AU151" i="35"/>
  <c r="AW151" i="35" s="1"/>
  <c r="EL138" i="35"/>
  <c r="EK138" i="35"/>
  <c r="EJ138" i="35" s="1"/>
  <c r="EL145" i="35"/>
  <c r="EK145" i="35"/>
  <c r="EJ145" i="35" s="1"/>
  <c r="EK143" i="35"/>
  <c r="EJ143" i="35" s="1"/>
  <c r="EL143" i="35"/>
  <c r="EL136" i="35"/>
  <c r="EK136" i="35"/>
  <c r="EJ136" i="35" s="1"/>
  <c r="AU156" i="35"/>
  <c r="AW156" i="35" s="1"/>
  <c r="AU154" i="35"/>
  <c r="AW154" i="35" s="1"/>
  <c r="AU158" i="35"/>
  <c r="AW158" i="35" s="1"/>
  <c r="AU153" i="35"/>
  <c r="AW153" i="35" s="1"/>
  <c r="EL144" i="35"/>
  <c r="EK144" i="35"/>
  <c r="EJ144" i="35" s="1"/>
  <c r="AU159" i="35"/>
  <c r="AW159" i="35" s="1"/>
  <c r="EL139" i="35"/>
  <c r="EK139" i="35"/>
  <c r="EJ139" i="35" s="1"/>
  <c r="B55" i="37"/>
  <c r="AP21" i="37"/>
  <c r="AJ150" i="35"/>
  <c r="AJ183" i="35"/>
  <c r="AE217" i="35"/>
  <c r="AF217" i="35" s="1"/>
  <c r="AI185" i="35"/>
  <c r="AI193" i="35"/>
  <c r="AE202" i="35"/>
  <c r="AF202" i="35" s="1"/>
  <c r="AE206" i="35"/>
  <c r="AF206" i="35" s="1"/>
  <c r="AE211" i="35"/>
  <c r="AF211" i="35" s="1"/>
  <c r="AE213" i="35"/>
  <c r="AF213" i="35" s="1"/>
  <c r="AE208" i="35"/>
  <c r="AF208" i="35" s="1"/>
  <c r="AI187" i="35"/>
  <c r="AE210" i="35"/>
  <c r="AF210" i="35" s="1"/>
  <c r="AE207" i="35"/>
  <c r="AF207" i="35" s="1"/>
  <c r="AI191" i="35"/>
  <c r="AE209" i="35"/>
  <c r="AF209" i="35" s="1"/>
  <c r="AE203" i="35"/>
  <c r="AF203" i="35" s="1"/>
  <c r="AI189" i="35"/>
  <c r="AE216" i="35"/>
  <c r="AF216" i="35" s="1"/>
  <c r="AE215" i="35"/>
  <c r="AF215" i="35" s="1"/>
  <c r="AI197" i="35"/>
  <c r="AJ197" i="35" s="1"/>
  <c r="AI196" i="35"/>
  <c r="AI199" i="35"/>
  <c r="AE205" i="35"/>
  <c r="AF205" i="35" s="1"/>
  <c r="AI188" i="35"/>
  <c r="AI194" i="35"/>
  <c r="AE214" i="35"/>
  <c r="AF214" i="35" s="1"/>
  <c r="AI200" i="35"/>
  <c r="AB219" i="35"/>
  <c r="AA220" i="35"/>
  <c r="AI184" i="35"/>
  <c r="AI198" i="35"/>
  <c r="AJ198" i="35" s="1"/>
  <c r="AE218" i="35"/>
  <c r="AF218" i="35" s="1"/>
  <c r="AI192" i="35"/>
  <c r="AJ192" i="35" s="1"/>
  <c r="AE212" i="35"/>
  <c r="AF212" i="35" s="1"/>
  <c r="AE204" i="35"/>
  <c r="AF204" i="35" s="1"/>
  <c r="AG201" i="35"/>
  <c r="AH201" i="35" s="1"/>
  <c r="AI195" i="35"/>
  <c r="AJ195" i="35" s="1"/>
  <c r="AI186" i="35"/>
  <c r="AI190" i="35"/>
  <c r="AJ190" i="35" s="1"/>
  <c r="AI18" i="22"/>
  <c r="AJ18" i="22" s="1"/>
  <c r="AI17" i="22"/>
  <c r="AJ17" i="22" s="1"/>
  <c r="AI19" i="22"/>
  <c r="I88" i="19" l="1"/>
  <c r="AA88" i="19" s="1"/>
  <c r="DB48" i="35"/>
  <c r="Y48" i="19" s="1"/>
  <c r="CW45" i="35"/>
  <c r="HD45" i="35" s="1"/>
  <c r="GU11" i="35"/>
  <c r="HI11" i="35" s="1"/>
  <c r="HR42" i="35"/>
  <c r="I77" i="19"/>
  <c r="AA77" i="19" s="1"/>
  <c r="GI48" i="35"/>
  <c r="CL71" i="35"/>
  <c r="GS71" i="35" s="1"/>
  <c r="HG71" i="35" s="1"/>
  <c r="HO71" i="35" s="1"/>
  <c r="CP67" i="35"/>
  <c r="CT39" i="35"/>
  <c r="Q39" i="19" s="1"/>
  <c r="AF39" i="19" s="1"/>
  <c r="GI53" i="35"/>
  <c r="GK53" i="35" s="1"/>
  <c r="CX42" i="35"/>
  <c r="HE42" i="35" s="1"/>
  <c r="CU42" i="35"/>
  <c r="HB42" i="35" s="1"/>
  <c r="GU67" i="35"/>
  <c r="HI67" i="35" s="1"/>
  <c r="DA39" i="35"/>
  <c r="X39" i="19" s="1"/>
  <c r="CZ48" i="35"/>
  <c r="W48" i="19" s="1"/>
  <c r="H63" i="19"/>
  <c r="Z63" i="19" s="1"/>
  <c r="HP42" i="35"/>
  <c r="CL88" i="35"/>
  <c r="CN88" i="35" s="1"/>
  <c r="L88" i="19" s="1"/>
  <c r="J48" i="19"/>
  <c r="AB48" i="19" s="1"/>
  <c r="CK63" i="35"/>
  <c r="I63" i="19" s="1"/>
  <c r="AA63" i="19" s="1"/>
  <c r="CP39" i="35"/>
  <c r="GS39" i="35"/>
  <c r="HG39" i="35" s="1"/>
  <c r="HO39" i="35" s="1"/>
  <c r="HQ39" i="35" s="1"/>
  <c r="DA48" i="35"/>
  <c r="X48" i="19" s="1"/>
  <c r="CN48" i="35"/>
  <c r="GU48" i="35" s="1"/>
  <c r="HI48" i="35" s="1"/>
  <c r="DB39" i="35"/>
  <c r="Y39" i="19" s="1"/>
  <c r="GI45" i="35"/>
  <c r="GJ45" i="35" s="1"/>
  <c r="GM45" i="35" s="1"/>
  <c r="GO45" i="35" s="1"/>
  <c r="CP11" i="35"/>
  <c r="CR11" i="35" s="1"/>
  <c r="T21" i="19"/>
  <c r="AJ21" i="19" s="1"/>
  <c r="CI61" i="35"/>
  <c r="L39" i="19"/>
  <c r="CY39" i="35"/>
  <c r="V39" i="19" s="1"/>
  <c r="GA39" i="35"/>
  <c r="GC39" i="35" s="1"/>
  <c r="GE39" i="35" s="1"/>
  <c r="GG39" i="35" s="1"/>
  <c r="HQ42" i="35"/>
  <c r="CL103" i="35"/>
  <c r="DA36" i="35"/>
  <c r="X36" i="19" s="1"/>
  <c r="CL76" i="35"/>
  <c r="CT48" i="35"/>
  <c r="CU48" i="35" s="1"/>
  <c r="J76" i="19"/>
  <c r="AB76" i="19" s="1"/>
  <c r="GA76" i="35"/>
  <c r="GC76" i="35" s="1"/>
  <c r="GE76" i="35" s="1"/>
  <c r="GG76" i="35" s="1"/>
  <c r="CR53" i="35"/>
  <c r="CZ13" i="35"/>
  <c r="W13" i="19" s="1"/>
  <c r="DB13" i="35"/>
  <c r="Y13" i="19" s="1"/>
  <c r="CG94" i="35"/>
  <c r="CH94" i="35" s="1"/>
  <c r="FA94" i="35" s="1"/>
  <c r="GS13" i="35"/>
  <c r="HG13" i="35" s="1"/>
  <c r="HO13" i="35" s="1"/>
  <c r="L53" i="19"/>
  <c r="CG111" i="35"/>
  <c r="CH111" i="35" s="1"/>
  <c r="CK111" i="35" s="1"/>
  <c r="CT13" i="35"/>
  <c r="CU13" i="35" s="1"/>
  <c r="GU53" i="35"/>
  <c r="HI53" i="35" s="1"/>
  <c r="CY13" i="35"/>
  <c r="V13" i="19" s="1"/>
  <c r="CI106" i="35"/>
  <c r="CL106" i="35" s="1"/>
  <c r="DA106" i="35" s="1"/>
  <c r="X106" i="19" s="1"/>
  <c r="I69" i="19"/>
  <c r="AA69" i="19" s="1"/>
  <c r="GJ11" i="35"/>
  <c r="GM11" i="35" s="1"/>
  <c r="GO11" i="35" s="1"/>
  <c r="DA13" i="35"/>
  <c r="X13" i="19" s="1"/>
  <c r="HS9" i="35"/>
  <c r="J13" i="19"/>
  <c r="AB13" i="19" s="1"/>
  <c r="CL101" i="35"/>
  <c r="J101" i="19" s="1"/>
  <c r="AB101" i="19" s="1"/>
  <c r="GC11" i="35"/>
  <c r="GE11" i="35" s="1"/>
  <c r="GG11" i="35" s="1"/>
  <c r="L42" i="19"/>
  <c r="I76" i="19"/>
  <c r="AA76" i="19" s="1"/>
  <c r="FA99" i="35"/>
  <c r="CK99" i="35"/>
  <c r="CL99" i="35" s="1"/>
  <c r="CI111" i="35"/>
  <c r="EB111" i="35"/>
  <c r="CY56" i="35"/>
  <c r="V56" i="19" s="1"/>
  <c r="CN76" i="35"/>
  <c r="CP76" i="35" s="1"/>
  <c r="J56" i="19"/>
  <c r="AB56" i="19" s="1"/>
  <c r="CN56" i="35"/>
  <c r="GU56" i="35" s="1"/>
  <c r="HI56" i="35" s="1"/>
  <c r="GS76" i="35"/>
  <c r="HG76" i="35" s="1"/>
  <c r="HO76" i="35" s="1"/>
  <c r="HP76" i="35" s="1"/>
  <c r="CG93" i="35"/>
  <c r="CH93" i="35" s="1"/>
  <c r="CG122" i="35"/>
  <c r="CH122" i="35" s="1"/>
  <c r="CZ76" i="35"/>
  <c r="W76" i="19" s="1"/>
  <c r="CB122" i="35"/>
  <c r="EB122" i="35" s="1"/>
  <c r="GS56" i="35"/>
  <c r="HG56" i="35" s="1"/>
  <c r="HO56" i="35" s="1"/>
  <c r="HQ56" i="35" s="1"/>
  <c r="DA56" i="35"/>
  <c r="X56" i="19" s="1"/>
  <c r="CP31" i="35"/>
  <c r="N31" i="19" s="1"/>
  <c r="CT76" i="35"/>
  <c r="CX76" i="35" s="1"/>
  <c r="CL69" i="35"/>
  <c r="FA93" i="35"/>
  <c r="CV9" i="35"/>
  <c r="S9" i="19" s="1"/>
  <c r="AI9" i="19" s="1"/>
  <c r="DB56" i="35"/>
  <c r="Y56" i="19" s="1"/>
  <c r="DA76" i="35"/>
  <c r="X76" i="19" s="1"/>
  <c r="GA85" i="35"/>
  <c r="CN85" i="35"/>
  <c r="GS85" i="35"/>
  <c r="HG85" i="35" s="1"/>
  <c r="HO85" i="35" s="1"/>
  <c r="CY85" i="35"/>
  <c r="V85" i="19" s="1"/>
  <c r="CZ85" i="35"/>
  <c r="W85" i="19" s="1"/>
  <c r="J85" i="19"/>
  <c r="AB85" i="19" s="1"/>
  <c r="DA85" i="35"/>
  <c r="X85" i="19" s="1"/>
  <c r="DB85" i="35"/>
  <c r="Y85" i="19" s="1"/>
  <c r="CT85" i="35"/>
  <c r="I99" i="19"/>
  <c r="AA99" i="19" s="1"/>
  <c r="CZ56" i="35"/>
  <c r="W56" i="19" s="1"/>
  <c r="CU9" i="35"/>
  <c r="HB9" i="35" s="1"/>
  <c r="T9" i="19"/>
  <c r="AJ9" i="19" s="1"/>
  <c r="CY76" i="35"/>
  <c r="V76" i="19" s="1"/>
  <c r="CI87" i="35"/>
  <c r="CT56" i="35"/>
  <c r="HA56" i="35" s="1"/>
  <c r="DB76" i="35"/>
  <c r="Y76" i="19" s="1"/>
  <c r="H97" i="19"/>
  <c r="Z97" i="19" s="1"/>
  <c r="CK97" i="35"/>
  <c r="FA97" i="35"/>
  <c r="CJ97" i="35"/>
  <c r="EB94" i="35"/>
  <c r="CI94" i="35"/>
  <c r="EB109" i="35"/>
  <c r="CI109" i="35"/>
  <c r="CJ75" i="35"/>
  <c r="H75" i="19"/>
  <c r="Z75" i="19" s="1"/>
  <c r="FA75" i="35"/>
  <c r="CK75" i="35"/>
  <c r="I75" i="19" s="1"/>
  <c r="AA75" i="19" s="1"/>
  <c r="BZ125" i="35"/>
  <c r="CA125" i="35" s="1"/>
  <c r="CG125" i="35" s="1"/>
  <c r="CH125" i="35" s="1"/>
  <c r="CI95" i="35"/>
  <c r="CL95" i="35" s="1"/>
  <c r="CY95" i="35" s="1"/>
  <c r="V95" i="19" s="1"/>
  <c r="EB95" i="35"/>
  <c r="CL72" i="35"/>
  <c r="BZ113" i="35"/>
  <c r="CA113" i="35" s="1"/>
  <c r="BZ108" i="35"/>
  <c r="CA108" i="35" s="1"/>
  <c r="CB108" i="35" s="1"/>
  <c r="CZ36" i="35"/>
  <c r="W36" i="19" s="1"/>
  <c r="CG105" i="35"/>
  <c r="CH105" i="35" s="1"/>
  <c r="CJ64" i="35"/>
  <c r="CK64" i="35"/>
  <c r="H64" i="19"/>
  <c r="Z64" i="19" s="1"/>
  <c r="BZ119" i="35"/>
  <c r="CA119" i="35" s="1"/>
  <c r="CB119" i="35" s="1"/>
  <c r="FA81" i="35"/>
  <c r="CJ94" i="35"/>
  <c r="CV42" i="35"/>
  <c r="CP42" i="35"/>
  <c r="CA92" i="35"/>
  <c r="H59" i="19"/>
  <c r="Z59" i="19" s="1"/>
  <c r="CJ59" i="35"/>
  <c r="CK59" i="35"/>
  <c r="CB62" i="35"/>
  <c r="CJ81" i="35"/>
  <c r="BZ117" i="35"/>
  <c r="CA117" i="35" s="1"/>
  <c r="CG117" i="35" s="1"/>
  <c r="CH117" i="35" s="1"/>
  <c r="BZ124" i="35"/>
  <c r="CA124" i="35" s="1"/>
  <c r="CG124" i="35" s="1"/>
  <c r="CH124" i="35" s="1"/>
  <c r="CK124" i="35" s="1"/>
  <c r="GS36" i="35"/>
  <c r="HG36" i="35" s="1"/>
  <c r="HO36" i="35" s="1"/>
  <c r="HS36" i="35" s="1"/>
  <c r="HA42" i="35"/>
  <c r="CJ87" i="35"/>
  <c r="H87" i="19"/>
  <c r="Z87" i="19" s="1"/>
  <c r="CK87" i="35"/>
  <c r="CL52" i="35"/>
  <c r="I52" i="19"/>
  <c r="AA52" i="19" s="1"/>
  <c r="BZ102" i="35"/>
  <c r="CA102" i="35" s="1"/>
  <c r="CB102" i="35" s="1"/>
  <c r="H81" i="19"/>
  <c r="Z81" i="19" s="1"/>
  <c r="HD14" i="35"/>
  <c r="BZ98" i="35"/>
  <c r="CA98" i="35" s="1"/>
  <c r="CG98" i="35" s="1"/>
  <c r="CH98" i="35" s="1"/>
  <c r="J36" i="19"/>
  <c r="AB36" i="19" s="1"/>
  <c r="DB36" i="35"/>
  <c r="Y36" i="19" s="1"/>
  <c r="EB83" i="35"/>
  <c r="CI83" i="35"/>
  <c r="CL83" i="35" s="1"/>
  <c r="GS83" i="35" s="1"/>
  <c r="HG83" i="35" s="1"/>
  <c r="HO83" i="35" s="1"/>
  <c r="EB107" i="35"/>
  <c r="CI107" i="35"/>
  <c r="CL107" i="35" s="1"/>
  <c r="I101" i="19"/>
  <c r="AA101" i="19" s="1"/>
  <c r="BZ116" i="35"/>
  <c r="CA116" i="35" s="1"/>
  <c r="CG116" i="35" s="1"/>
  <c r="CH116" i="35" s="1"/>
  <c r="BZ121" i="35"/>
  <c r="CA121" i="35" s="1"/>
  <c r="CB121" i="35" s="1"/>
  <c r="EB121" i="35" s="1"/>
  <c r="CL64" i="35"/>
  <c r="CY18" i="35"/>
  <c r="V18" i="19" s="1"/>
  <c r="GA36" i="35"/>
  <c r="GC36" i="35" s="1"/>
  <c r="GE36" i="35" s="1"/>
  <c r="GG36" i="35" s="1"/>
  <c r="CL86" i="35"/>
  <c r="I86" i="19"/>
  <c r="AA86" i="19" s="1"/>
  <c r="CW42" i="35"/>
  <c r="T42" i="19" s="1"/>
  <c r="AJ42" i="19" s="1"/>
  <c r="CT36" i="35"/>
  <c r="CX36" i="35" s="1"/>
  <c r="GS18" i="35"/>
  <c r="HG18" i="35" s="1"/>
  <c r="HO18" i="35" s="1"/>
  <c r="HQ18" i="35" s="1"/>
  <c r="CZ19" i="35"/>
  <c r="W19" i="19" s="1"/>
  <c r="GA19" i="35"/>
  <c r="GC19" i="35" s="1"/>
  <c r="GE19" i="35" s="1"/>
  <c r="GG19" i="35" s="1"/>
  <c r="DB18" i="35"/>
  <c r="Y18" i="19" s="1"/>
  <c r="GA24" i="35"/>
  <c r="GS19" i="35"/>
  <c r="HG19" i="35" s="1"/>
  <c r="HO19" i="35" s="1"/>
  <c r="HR19" i="35" s="1"/>
  <c r="CB96" i="35"/>
  <c r="CI96" i="35" s="1"/>
  <c r="J18" i="19"/>
  <c r="AB18" i="19" s="1"/>
  <c r="CN18" i="35"/>
  <c r="DA24" i="35"/>
  <c r="X24" i="19" s="1"/>
  <c r="GK42" i="35"/>
  <c r="CN19" i="35"/>
  <c r="GU19" i="35" s="1"/>
  <c r="HI19" i="35" s="1"/>
  <c r="L45" i="19"/>
  <c r="HS21" i="35"/>
  <c r="GA18" i="35"/>
  <c r="CZ18" i="35"/>
  <c r="W18" i="19" s="1"/>
  <c r="CN24" i="35"/>
  <c r="HP21" i="35"/>
  <c r="CT18" i="35"/>
  <c r="HA18" i="35" s="1"/>
  <c r="HR21" i="35"/>
  <c r="CK46" i="35"/>
  <c r="GS24" i="35"/>
  <c r="HG24" i="35" s="1"/>
  <c r="HO24" i="35" s="1"/>
  <c r="HP24" i="35" s="1"/>
  <c r="L28" i="19"/>
  <c r="Q28" i="19"/>
  <c r="AF28" i="19" s="1"/>
  <c r="CP9" i="35"/>
  <c r="GW9" i="35" s="1"/>
  <c r="HK9" i="35" s="1"/>
  <c r="HM9" i="35" s="1"/>
  <c r="CJ46" i="35"/>
  <c r="CY74" i="35"/>
  <c r="V74" i="19" s="1"/>
  <c r="Q9" i="19"/>
  <c r="AF9" i="19" s="1"/>
  <c r="H46" i="19"/>
  <c r="Z46" i="19" s="1"/>
  <c r="DB24" i="35"/>
  <c r="Y24" i="19" s="1"/>
  <c r="H26" i="19"/>
  <c r="Z26" i="19" s="1"/>
  <c r="U70" i="19"/>
  <c r="AK70" i="19" s="1"/>
  <c r="CT24" i="35"/>
  <c r="CP45" i="35"/>
  <c r="GW45" i="35" s="1"/>
  <c r="HK45" i="35" s="1"/>
  <c r="HM45" i="35" s="1"/>
  <c r="CK26" i="35"/>
  <c r="CL26" i="35" s="1"/>
  <c r="CY26" i="35" s="1"/>
  <c r="V26" i="19" s="1"/>
  <c r="CI77" i="35"/>
  <c r="CL77" i="35" s="1"/>
  <c r="CX18" i="35"/>
  <c r="U18" i="19" s="1"/>
  <c r="AK18" i="19" s="1"/>
  <c r="CU18" i="35"/>
  <c r="R18" i="19" s="1"/>
  <c r="CK51" i="35"/>
  <c r="I51" i="19" s="1"/>
  <c r="AA51" i="19" s="1"/>
  <c r="Q18" i="19"/>
  <c r="AF18" i="19" s="1"/>
  <c r="H51" i="19"/>
  <c r="Z51" i="19" s="1"/>
  <c r="U14" i="19"/>
  <c r="AK14" i="19" s="1"/>
  <c r="GW14" i="35"/>
  <c r="HK14" i="35" s="1"/>
  <c r="HM14" i="35" s="1"/>
  <c r="FA26" i="35"/>
  <c r="FA51" i="35"/>
  <c r="FA96" i="35"/>
  <c r="CJ96" i="35"/>
  <c r="CK96" i="35"/>
  <c r="CK94" i="35"/>
  <c r="GI9" i="35"/>
  <c r="GJ9" i="35" s="1"/>
  <c r="GM9" i="35" s="1"/>
  <c r="GO9" i="35" s="1"/>
  <c r="CP21" i="35"/>
  <c r="GW21" i="35" s="1"/>
  <c r="HK21" i="35" s="1"/>
  <c r="HM21" i="35" s="1"/>
  <c r="Q21" i="19"/>
  <c r="AF21" i="19" s="1"/>
  <c r="HR18" i="35"/>
  <c r="HQ45" i="35"/>
  <c r="HR45" i="35"/>
  <c r="CR14" i="35"/>
  <c r="P14" i="19" s="1"/>
  <c r="AE14" i="19" s="1"/>
  <c r="N29" i="19"/>
  <c r="HD42" i="35"/>
  <c r="HP18" i="35"/>
  <c r="CX21" i="35"/>
  <c r="HE21" i="35" s="1"/>
  <c r="HR9" i="35"/>
  <c r="CU21" i="35"/>
  <c r="R21" i="19" s="1"/>
  <c r="CR29" i="35"/>
  <c r="GY29" i="35" s="1"/>
  <c r="HU29" i="35" s="1"/>
  <c r="HP45" i="35"/>
  <c r="L21" i="19"/>
  <c r="DB74" i="35"/>
  <c r="Y74" i="19" s="1"/>
  <c r="GJ21" i="35"/>
  <c r="GM21" i="35" s="1"/>
  <c r="GO21" i="35" s="1"/>
  <c r="HS18" i="35"/>
  <c r="GU10" i="35"/>
  <c r="HI10" i="35" s="1"/>
  <c r="H94" i="19"/>
  <c r="Z94" i="19" s="1"/>
  <c r="HA21" i="35"/>
  <c r="CL61" i="35"/>
  <c r="CZ61" i="35" s="1"/>
  <c r="W61" i="19" s="1"/>
  <c r="L10" i="19"/>
  <c r="CT74" i="35"/>
  <c r="CX74" i="35" s="1"/>
  <c r="U74" i="19" s="1"/>
  <c r="AK74" i="19" s="1"/>
  <c r="GI28" i="35"/>
  <c r="GJ28" i="35" s="1"/>
  <c r="GM28" i="35" s="1"/>
  <c r="GO28" i="35" s="1"/>
  <c r="CV21" i="35"/>
  <c r="S21" i="19" s="1"/>
  <c r="AI21" i="19" s="1"/>
  <c r="J74" i="19"/>
  <c r="AB74" i="19" s="1"/>
  <c r="L9" i="19"/>
  <c r="H96" i="19"/>
  <c r="Z96" i="19" s="1"/>
  <c r="GC21" i="35"/>
  <c r="GE21" i="35" s="1"/>
  <c r="GG21" i="35" s="1"/>
  <c r="CW28" i="35"/>
  <c r="T28" i="19" s="1"/>
  <c r="AJ28" i="19" s="1"/>
  <c r="CZ24" i="35"/>
  <c r="W24" i="19" s="1"/>
  <c r="L74" i="19"/>
  <c r="CY24" i="35"/>
  <c r="V24" i="19" s="1"/>
  <c r="CP28" i="35"/>
  <c r="GW28" i="35" s="1"/>
  <c r="HK28" i="35" s="1"/>
  <c r="HM28" i="35" s="1"/>
  <c r="HA45" i="35"/>
  <c r="CX9" i="35"/>
  <c r="U9" i="19" s="1"/>
  <c r="AK9" i="19" s="1"/>
  <c r="L18" i="19"/>
  <c r="GU18" i="35"/>
  <c r="HI18" i="35" s="1"/>
  <c r="CP18" i="35"/>
  <c r="CX45" i="35"/>
  <c r="HE45" i="35" s="1"/>
  <c r="HA9" i="35"/>
  <c r="HE28" i="35"/>
  <c r="GA66" i="35"/>
  <c r="GI66" i="35" s="1"/>
  <c r="GK66" i="35" s="1"/>
  <c r="GA74" i="35"/>
  <c r="GC74" i="35" s="1"/>
  <c r="GE74" i="35" s="1"/>
  <c r="GG74" i="35" s="1"/>
  <c r="CV28" i="35"/>
  <c r="S28" i="19" s="1"/>
  <c r="AI28" i="19" s="1"/>
  <c r="CZ74" i="35"/>
  <c r="W74" i="19" s="1"/>
  <c r="CV45" i="35"/>
  <c r="HC45" i="35" s="1"/>
  <c r="CU45" i="35"/>
  <c r="R45" i="19" s="1"/>
  <c r="GS74" i="35"/>
  <c r="HG74" i="35" s="1"/>
  <c r="HO74" i="35" s="1"/>
  <c r="HS74" i="35" s="1"/>
  <c r="CJ35" i="35"/>
  <c r="CK35" i="35"/>
  <c r="H35" i="19"/>
  <c r="Z35" i="19" s="1"/>
  <c r="CU28" i="35"/>
  <c r="R28" i="19" s="1"/>
  <c r="HA28" i="35"/>
  <c r="FA35" i="35"/>
  <c r="CP36" i="35"/>
  <c r="CR36" i="35" s="1"/>
  <c r="L36" i="19"/>
  <c r="CP74" i="35"/>
  <c r="GW74" i="35" s="1"/>
  <c r="HK74" i="35" s="1"/>
  <c r="HM74" i="35" s="1"/>
  <c r="CY19" i="35"/>
  <c r="V19" i="19" s="1"/>
  <c r="DA74" i="35"/>
  <c r="X74" i="19" s="1"/>
  <c r="HQ9" i="35"/>
  <c r="DA80" i="35"/>
  <c r="X80" i="19" s="1"/>
  <c r="I103" i="19"/>
  <c r="AA103" i="19" s="1"/>
  <c r="HS58" i="35"/>
  <c r="U31" i="19"/>
  <c r="AK31" i="19" s="1"/>
  <c r="HR58" i="35"/>
  <c r="CN89" i="35"/>
  <c r="CP89" i="35" s="1"/>
  <c r="CR89" i="35" s="1"/>
  <c r="CZ89" i="35"/>
  <c r="W89" i="19" s="1"/>
  <c r="CL104" i="35"/>
  <c r="GS104" i="35" s="1"/>
  <c r="HG104" i="35" s="1"/>
  <c r="HO104" i="35" s="1"/>
  <c r="HR104" i="35" s="1"/>
  <c r="HP58" i="35"/>
  <c r="GU31" i="35"/>
  <c r="HI31" i="35" s="1"/>
  <c r="J89" i="19"/>
  <c r="AB89" i="19" s="1"/>
  <c r="CY89" i="35"/>
  <c r="V89" i="19" s="1"/>
  <c r="CT89" i="35"/>
  <c r="CV89" i="35" s="1"/>
  <c r="HC89" i="35" s="1"/>
  <c r="DB89" i="35"/>
  <c r="Y89" i="19" s="1"/>
  <c r="DA89" i="35"/>
  <c r="X89" i="19" s="1"/>
  <c r="HQ89" i="35"/>
  <c r="HP89" i="35"/>
  <c r="R42" i="19"/>
  <c r="L58" i="19"/>
  <c r="HC70" i="35"/>
  <c r="HR89" i="35"/>
  <c r="CT19" i="35"/>
  <c r="HA19" i="35" s="1"/>
  <c r="GA89" i="35"/>
  <c r="GC89" i="35" s="1"/>
  <c r="GE89" i="35" s="1"/>
  <c r="GG89" i="35" s="1"/>
  <c r="HS31" i="35"/>
  <c r="CP58" i="35"/>
  <c r="GW58" i="35" s="1"/>
  <c r="HK58" i="35" s="1"/>
  <c r="HM58" i="35" s="1"/>
  <c r="GK29" i="35"/>
  <c r="GW70" i="35"/>
  <c r="HK70" i="35" s="1"/>
  <c r="HM70" i="35" s="1"/>
  <c r="CZ90" i="35"/>
  <c r="W90" i="19" s="1"/>
  <c r="CN90" i="35"/>
  <c r="L90" i="19" s="1"/>
  <c r="CB117" i="35"/>
  <c r="EB117" i="35" s="1"/>
  <c r="DA90" i="35"/>
  <c r="X90" i="19" s="1"/>
  <c r="CI75" i="35"/>
  <c r="GJ10" i="35"/>
  <c r="GM10" i="35" s="1"/>
  <c r="GO10" i="35" s="1"/>
  <c r="CL63" i="35"/>
  <c r="DA63" i="35" s="1"/>
  <c r="X63" i="19" s="1"/>
  <c r="CJ111" i="35"/>
  <c r="I111" i="19" s="1"/>
  <c r="AA111" i="19" s="1"/>
  <c r="U42" i="19"/>
  <c r="AK42" i="19" s="1"/>
  <c r="GC10" i="35"/>
  <c r="GE10" i="35" s="1"/>
  <c r="GG10" i="35" s="1"/>
  <c r="CR70" i="35"/>
  <c r="P70" i="19" s="1"/>
  <c r="AE70" i="19" s="1"/>
  <c r="CL110" i="35"/>
  <c r="CT110" i="35" s="1"/>
  <c r="CX110" i="35" s="1"/>
  <c r="U110" i="19" s="1"/>
  <c r="AK110" i="19" s="1"/>
  <c r="CT90" i="35"/>
  <c r="CW90" i="35" s="1"/>
  <c r="HD90" i="35" s="1"/>
  <c r="H111" i="19"/>
  <c r="Z111" i="19" s="1"/>
  <c r="CI122" i="35"/>
  <c r="FA111" i="35"/>
  <c r="CY90" i="35"/>
  <c r="V90" i="19" s="1"/>
  <c r="J90" i="19"/>
  <c r="AB90" i="19" s="1"/>
  <c r="HD29" i="35"/>
  <c r="GS90" i="35"/>
  <c r="HG90" i="35" s="1"/>
  <c r="HO90" i="35" s="1"/>
  <c r="HP90" i="35" s="1"/>
  <c r="GA90" i="35"/>
  <c r="GI90" i="35" s="1"/>
  <c r="GK90" i="35" s="1"/>
  <c r="CU10" i="35"/>
  <c r="R10" i="19" s="1"/>
  <c r="HA31" i="35"/>
  <c r="CT66" i="35"/>
  <c r="HA66" i="35" s="1"/>
  <c r="CW31" i="35"/>
  <c r="T31" i="19" s="1"/>
  <c r="AJ31" i="19" s="1"/>
  <c r="GJ31" i="35"/>
  <c r="GM31" i="35" s="1"/>
  <c r="GO31" i="35" s="1"/>
  <c r="H109" i="19"/>
  <c r="Z109" i="19" s="1"/>
  <c r="Q31" i="19"/>
  <c r="AF31" i="19" s="1"/>
  <c r="DB66" i="35"/>
  <c r="Y66" i="19" s="1"/>
  <c r="CG25" i="35"/>
  <c r="CH25" i="35" s="1"/>
  <c r="CB25" i="35"/>
  <c r="EB25" i="35" s="1"/>
  <c r="CX10" i="35"/>
  <c r="HE10" i="35" s="1"/>
  <c r="CV31" i="35"/>
  <c r="HC31" i="35" s="1"/>
  <c r="GS66" i="35"/>
  <c r="HG66" i="35" s="1"/>
  <c r="HO66" i="35" s="1"/>
  <c r="HQ66" i="35" s="1"/>
  <c r="HA10" i="35"/>
  <c r="CU31" i="35"/>
  <c r="HB31" i="35" s="1"/>
  <c r="GC31" i="35"/>
  <c r="GE31" i="35" s="1"/>
  <c r="GG31" i="35" s="1"/>
  <c r="J61" i="19"/>
  <c r="AB61" i="19" s="1"/>
  <c r="Q10" i="19"/>
  <c r="AF10" i="19" s="1"/>
  <c r="HC10" i="35"/>
  <c r="CK109" i="35"/>
  <c r="CJ109" i="35"/>
  <c r="CY66" i="35"/>
  <c r="V66" i="19" s="1"/>
  <c r="L66" i="19"/>
  <c r="CP66" i="35"/>
  <c r="CR66" i="35" s="1"/>
  <c r="CW10" i="35"/>
  <c r="T10" i="19" s="1"/>
  <c r="AJ10" i="19" s="1"/>
  <c r="J66" i="19"/>
  <c r="AB66" i="19" s="1"/>
  <c r="CG121" i="35"/>
  <c r="CH121" i="35" s="1"/>
  <c r="H121" i="19" s="1"/>
  <c r="Z121" i="19" s="1"/>
  <c r="DA66" i="35"/>
  <c r="X66" i="19" s="1"/>
  <c r="CG119" i="35"/>
  <c r="CH119" i="35" s="1"/>
  <c r="CK119" i="35" s="1"/>
  <c r="CI121" i="35"/>
  <c r="HQ36" i="35"/>
  <c r="I104" i="19"/>
  <c r="AA104" i="19" s="1"/>
  <c r="CB116" i="35"/>
  <c r="EB116" i="35" s="1"/>
  <c r="HR36" i="35"/>
  <c r="HA58" i="35"/>
  <c r="HB29" i="35"/>
  <c r="CB98" i="35"/>
  <c r="EB98" i="35" s="1"/>
  <c r="HP36" i="35"/>
  <c r="GW10" i="35"/>
  <c r="HK10" i="35" s="1"/>
  <c r="HM10" i="35" s="1"/>
  <c r="N10" i="19"/>
  <c r="GK37" i="35"/>
  <c r="GI58" i="35"/>
  <c r="GK58" i="35" s="1"/>
  <c r="HP10" i="35"/>
  <c r="CV58" i="35"/>
  <c r="HC58" i="35" s="1"/>
  <c r="CG108" i="35"/>
  <c r="CH108" i="35" s="1"/>
  <c r="FA108" i="35" s="1"/>
  <c r="CW58" i="35"/>
  <c r="T58" i="19" s="1"/>
  <c r="AJ58" i="19" s="1"/>
  <c r="J26" i="19"/>
  <c r="AB26" i="19" s="1"/>
  <c r="CN80" i="35"/>
  <c r="L80" i="19" s="1"/>
  <c r="CT40" i="35"/>
  <c r="CN40" i="35"/>
  <c r="GS40" i="35"/>
  <c r="HG40" i="35" s="1"/>
  <c r="HO40" i="35" s="1"/>
  <c r="CY40" i="35"/>
  <c r="V40" i="19" s="1"/>
  <c r="J40" i="19"/>
  <c r="AB40" i="19" s="1"/>
  <c r="DA40" i="35"/>
  <c r="X40" i="19" s="1"/>
  <c r="Q58" i="19"/>
  <c r="AF58" i="19" s="1"/>
  <c r="BX120" i="35"/>
  <c r="DB40" i="35"/>
  <c r="Y40" i="19" s="1"/>
  <c r="EB105" i="35"/>
  <c r="CI105" i="35"/>
  <c r="CB125" i="35"/>
  <c r="CG113" i="35"/>
  <c r="CH113" i="35" s="1"/>
  <c r="CJ113" i="35" s="1"/>
  <c r="DA26" i="35"/>
  <c r="X26" i="19" s="1"/>
  <c r="CZ40" i="35"/>
  <c r="W40" i="19" s="1"/>
  <c r="HR10" i="35"/>
  <c r="S29" i="19"/>
  <c r="AI29" i="19" s="1"/>
  <c r="BX128" i="35"/>
  <c r="GA80" i="35"/>
  <c r="GC80" i="35" s="1"/>
  <c r="GE80" i="35" s="1"/>
  <c r="GG80" i="35" s="1"/>
  <c r="GA40" i="35"/>
  <c r="EB93" i="35"/>
  <c r="CI93" i="35"/>
  <c r="HE58" i="35"/>
  <c r="CY80" i="35"/>
  <c r="V80" i="19" s="1"/>
  <c r="HQ10" i="35"/>
  <c r="CU58" i="35"/>
  <c r="R58" i="19" s="1"/>
  <c r="J80" i="19"/>
  <c r="AB80" i="19" s="1"/>
  <c r="BX112" i="35"/>
  <c r="BZ112" i="35" s="1"/>
  <c r="BX115" i="35"/>
  <c r="BZ115" i="35" s="1"/>
  <c r="DB80" i="35"/>
  <c r="Y80" i="19" s="1"/>
  <c r="CN43" i="35"/>
  <c r="CT43" i="35"/>
  <c r="DA43" i="35"/>
  <c r="X43" i="19" s="1"/>
  <c r="CY43" i="35"/>
  <c r="V43" i="19" s="1"/>
  <c r="DB43" i="35"/>
  <c r="Y43" i="19" s="1"/>
  <c r="J43" i="19"/>
  <c r="AB43" i="19" s="1"/>
  <c r="GS43" i="35"/>
  <c r="HG43" i="35" s="1"/>
  <c r="HO43" i="35" s="1"/>
  <c r="GA43" i="35"/>
  <c r="CZ43" i="35"/>
  <c r="W43" i="19" s="1"/>
  <c r="BX126" i="35"/>
  <c r="BZ126" i="35" s="1"/>
  <c r="BX127" i="35"/>
  <c r="BZ127" i="35" s="1"/>
  <c r="GS80" i="35"/>
  <c r="HG80" i="35" s="1"/>
  <c r="HO80" i="35" s="1"/>
  <c r="HQ80" i="35" s="1"/>
  <c r="CT80" i="35"/>
  <c r="CU80" i="35" s="1"/>
  <c r="HB80" i="35" s="1"/>
  <c r="U17" i="19"/>
  <c r="AK17" i="19" s="1"/>
  <c r="HC17" i="35"/>
  <c r="R17" i="19"/>
  <c r="GW17" i="35"/>
  <c r="HK17" i="35" s="1"/>
  <c r="HM17" i="35" s="1"/>
  <c r="CR17" i="35"/>
  <c r="GY17" i="35" s="1"/>
  <c r="HA76" i="35"/>
  <c r="HQ76" i="35"/>
  <c r="Q76" i="19"/>
  <c r="AF76" i="19" s="1"/>
  <c r="HS76" i="35"/>
  <c r="CL78" i="35"/>
  <c r="GS78" i="35" s="1"/>
  <c r="HG78" i="35" s="1"/>
  <c r="HO78" i="35" s="1"/>
  <c r="L76" i="19"/>
  <c r="GU76" i="35"/>
  <c r="HI76" i="35" s="1"/>
  <c r="L7" i="19"/>
  <c r="BS144" i="35"/>
  <c r="BU144" i="35" s="1"/>
  <c r="BS143" i="35"/>
  <c r="BU143" i="35" s="1"/>
  <c r="BS123" i="35"/>
  <c r="BU123" i="35" s="1"/>
  <c r="BS134" i="35"/>
  <c r="BU134" i="35" s="1"/>
  <c r="BS146" i="35"/>
  <c r="BU146" i="35" s="1"/>
  <c r="BS138" i="35"/>
  <c r="BU138" i="35" s="1"/>
  <c r="BS141" i="35"/>
  <c r="BU141" i="35" s="1"/>
  <c r="BS137" i="35"/>
  <c r="BU137" i="35" s="1"/>
  <c r="BS133" i="35"/>
  <c r="BU133" i="35" s="1"/>
  <c r="CJ118" i="35"/>
  <c r="BS142" i="35"/>
  <c r="BU142" i="35" s="1"/>
  <c r="BS135" i="35"/>
  <c r="BU135" i="35" s="1"/>
  <c r="CK118" i="35"/>
  <c r="BS145" i="35"/>
  <c r="BU145" i="35" s="1"/>
  <c r="BQ129" i="35"/>
  <c r="BS129" i="35" s="1"/>
  <c r="BU129" i="35" s="1"/>
  <c r="BX129" i="35" s="1"/>
  <c r="BZ129" i="35" s="1"/>
  <c r="CA129" i="35" s="1"/>
  <c r="BQ114" i="35"/>
  <c r="CI118" i="35"/>
  <c r="EB118" i="35"/>
  <c r="CW73" i="35"/>
  <c r="HD73" i="35" s="1"/>
  <c r="T54" i="19"/>
  <c r="AJ54" i="19" s="1"/>
  <c r="HC73" i="35"/>
  <c r="CU54" i="35"/>
  <c r="R54" i="19" s="1"/>
  <c r="HA73" i="35"/>
  <c r="CU91" i="35"/>
  <c r="R91" i="19" s="1"/>
  <c r="HA54" i="35"/>
  <c r="T53" i="19"/>
  <c r="AJ53" i="19" s="1"/>
  <c r="Q73" i="19"/>
  <c r="AF73" i="19" s="1"/>
  <c r="CX73" i="35"/>
  <c r="U73" i="19" s="1"/>
  <c r="AK73" i="19" s="1"/>
  <c r="CU73" i="35"/>
  <c r="R73" i="19" s="1"/>
  <c r="GU7" i="35"/>
  <c r="HI7" i="35" s="1"/>
  <c r="HQ54" i="35"/>
  <c r="HQ73" i="35"/>
  <c r="HS73" i="35"/>
  <c r="HR73" i="35"/>
  <c r="P29" i="19"/>
  <c r="AE29" i="19" s="1"/>
  <c r="GJ53" i="35"/>
  <c r="GM53" i="35" s="1"/>
  <c r="GO53" i="35" s="1"/>
  <c r="GI54" i="35"/>
  <c r="GK54" i="35" s="1"/>
  <c r="CU7" i="35"/>
  <c r="HB7" i="35" s="1"/>
  <c r="GJ73" i="35"/>
  <c r="GM73" i="35" s="1"/>
  <c r="GO73" i="35" s="1"/>
  <c r="U53" i="19"/>
  <c r="AK53" i="19" s="1"/>
  <c r="GC73" i="35"/>
  <c r="GE73" i="35" s="1"/>
  <c r="GG73" i="35" s="1"/>
  <c r="HD57" i="35"/>
  <c r="N20" i="19"/>
  <c r="GW20" i="35"/>
  <c r="HK20" i="35" s="1"/>
  <c r="HM20" i="35" s="1"/>
  <c r="Q54" i="19"/>
  <c r="AF54" i="19" s="1"/>
  <c r="CV54" i="35"/>
  <c r="S54" i="19" s="1"/>
  <c r="AI54" i="19" s="1"/>
  <c r="CX91" i="35"/>
  <c r="U91" i="19" s="1"/>
  <c r="AK91" i="19" s="1"/>
  <c r="Q91" i="19"/>
  <c r="AF91" i="19" s="1"/>
  <c r="GI7" i="35"/>
  <c r="GK7" i="35" s="1"/>
  <c r="CX54" i="35"/>
  <c r="HE54" i="35" s="1"/>
  <c r="CP54" i="35"/>
  <c r="N54" i="19" s="1"/>
  <c r="GU54" i="35"/>
  <c r="HI54" i="35" s="1"/>
  <c r="HR54" i="35"/>
  <c r="HP54" i="35"/>
  <c r="Q7" i="19"/>
  <c r="AF7" i="19" s="1"/>
  <c r="R9" i="19"/>
  <c r="HS7" i="35"/>
  <c r="HE57" i="35"/>
  <c r="CR32" i="35"/>
  <c r="GY32" i="35" s="1"/>
  <c r="HU32" i="35" s="1"/>
  <c r="HC53" i="35"/>
  <c r="N32" i="19"/>
  <c r="CX7" i="35"/>
  <c r="U7" i="19" s="1"/>
  <c r="AK7" i="19" s="1"/>
  <c r="HP7" i="35"/>
  <c r="HA7" i="35"/>
  <c r="S57" i="19"/>
  <c r="AI57" i="19" s="1"/>
  <c r="HD32" i="35"/>
  <c r="HR7" i="35"/>
  <c r="CV7" i="35"/>
  <c r="HC7" i="35" s="1"/>
  <c r="CP91" i="35"/>
  <c r="CR91" i="35" s="1"/>
  <c r="GY91" i="35" s="1"/>
  <c r="N45" i="19"/>
  <c r="HB57" i="35"/>
  <c r="CR57" i="35"/>
  <c r="P57" i="19" s="1"/>
  <c r="AE57" i="19" s="1"/>
  <c r="GW57" i="35"/>
  <c r="HK57" i="35" s="1"/>
  <c r="HM57" i="35" s="1"/>
  <c r="GJ91" i="35"/>
  <c r="GM91" i="35" s="1"/>
  <c r="GO91" i="35" s="1"/>
  <c r="HB32" i="35"/>
  <c r="CR82" i="35"/>
  <c r="GY82" i="35" s="1"/>
  <c r="GK57" i="35"/>
  <c r="S91" i="19"/>
  <c r="AI91" i="19" s="1"/>
  <c r="HA91" i="35"/>
  <c r="HQ91" i="35"/>
  <c r="HP91" i="35"/>
  <c r="HC20" i="35"/>
  <c r="GU91" i="35"/>
  <c r="HI91" i="35" s="1"/>
  <c r="CW91" i="35"/>
  <c r="T91" i="19" s="1"/>
  <c r="AJ91" i="19" s="1"/>
  <c r="HR91" i="35"/>
  <c r="L56" i="19"/>
  <c r="DA65" i="35"/>
  <c r="X65" i="19" s="1"/>
  <c r="GC91" i="35"/>
  <c r="GE91" i="35" s="1"/>
  <c r="GG91" i="35" s="1"/>
  <c r="GW82" i="35"/>
  <c r="HK82" i="35" s="1"/>
  <c r="HM82" i="35" s="1"/>
  <c r="HC32" i="35"/>
  <c r="HE32" i="35"/>
  <c r="U20" i="19"/>
  <c r="AK20" i="19" s="1"/>
  <c r="HC9" i="35"/>
  <c r="GK28" i="35"/>
  <c r="HD20" i="35"/>
  <c r="GW11" i="35"/>
  <c r="HK11" i="35" s="1"/>
  <c r="HM11" i="35" s="1"/>
  <c r="N11" i="19"/>
  <c r="GK45" i="35"/>
  <c r="HE33" i="35"/>
  <c r="N9" i="19"/>
  <c r="HC33" i="35"/>
  <c r="HS56" i="35"/>
  <c r="HU33" i="35"/>
  <c r="CY65" i="35"/>
  <c r="V65" i="19" s="1"/>
  <c r="GS65" i="35"/>
  <c r="HG65" i="35" s="1"/>
  <c r="HO65" i="35" s="1"/>
  <c r="HS65" i="35" s="1"/>
  <c r="GJ20" i="35"/>
  <c r="GM20" i="35" s="1"/>
  <c r="GO20" i="35" s="1"/>
  <c r="CW89" i="35"/>
  <c r="T89" i="19" s="1"/>
  <c r="AJ89" i="19" s="1"/>
  <c r="GW60" i="35"/>
  <c r="HK60" i="35" s="1"/>
  <c r="HM60" i="35" s="1"/>
  <c r="CP48" i="35"/>
  <c r="GW48" i="35" s="1"/>
  <c r="HK48" i="35" s="1"/>
  <c r="HM48" i="35" s="1"/>
  <c r="L48" i="19"/>
  <c r="GI39" i="35"/>
  <c r="GK39" i="35" s="1"/>
  <c r="GS88" i="35"/>
  <c r="HG88" i="35" s="1"/>
  <c r="HO88" i="35" s="1"/>
  <c r="HR88" i="35" s="1"/>
  <c r="CT88" i="35"/>
  <c r="HA88" i="35" s="1"/>
  <c r="GJ49" i="35"/>
  <c r="GM49" i="35" s="1"/>
  <c r="GO49" i="35" s="1"/>
  <c r="N60" i="19"/>
  <c r="CX89" i="35"/>
  <c r="U89" i="19" s="1"/>
  <c r="AK89" i="19" s="1"/>
  <c r="CY88" i="35"/>
  <c r="V88" i="19" s="1"/>
  <c r="T45" i="19"/>
  <c r="AJ45" i="19" s="1"/>
  <c r="U68" i="19"/>
  <c r="AK68" i="19" s="1"/>
  <c r="CW56" i="35"/>
  <c r="T56" i="19" s="1"/>
  <c r="AJ56" i="19" s="1"/>
  <c r="GI65" i="35"/>
  <c r="GK65" i="35" s="1"/>
  <c r="CN65" i="35"/>
  <c r="GU65" i="35" s="1"/>
  <c r="HI65" i="35" s="1"/>
  <c r="DB65" i="35"/>
  <c r="Y65" i="19" s="1"/>
  <c r="CT65" i="35"/>
  <c r="CX65" i="35" s="1"/>
  <c r="U65" i="19" s="1"/>
  <c r="AK65" i="19" s="1"/>
  <c r="DA88" i="35"/>
  <c r="X88" i="19" s="1"/>
  <c r="GA88" i="35"/>
  <c r="GC88" i="35" s="1"/>
  <c r="GE88" i="35" s="1"/>
  <c r="GG88" i="35" s="1"/>
  <c r="CZ65" i="35"/>
  <c r="W65" i="19" s="1"/>
  <c r="HC68" i="35"/>
  <c r="CZ88" i="35"/>
  <c r="W88" i="19" s="1"/>
  <c r="HB49" i="35"/>
  <c r="DB88" i="35"/>
  <c r="Y88" i="19" s="1"/>
  <c r="GU82" i="35"/>
  <c r="HI82" i="35" s="1"/>
  <c r="J65" i="19"/>
  <c r="AB65" i="19" s="1"/>
  <c r="HR48" i="35"/>
  <c r="J88" i="19"/>
  <c r="AB88" i="19" s="1"/>
  <c r="GI74" i="35"/>
  <c r="GJ74" i="35" s="1"/>
  <c r="GM74" i="35" s="1"/>
  <c r="GO74" i="35" s="1"/>
  <c r="GI12" i="35"/>
  <c r="GK12" i="35" s="1"/>
  <c r="T11" i="19"/>
  <c r="AJ11" i="19" s="1"/>
  <c r="CU56" i="35"/>
  <c r="HB56" i="35" s="1"/>
  <c r="CX56" i="35"/>
  <c r="U56" i="19" s="1"/>
  <c r="AK56" i="19" s="1"/>
  <c r="CV56" i="35"/>
  <c r="S56" i="19" s="1"/>
  <c r="AI56" i="19" s="1"/>
  <c r="Q56" i="19"/>
  <c r="AF56" i="19" s="1"/>
  <c r="R60" i="19"/>
  <c r="HP56" i="35"/>
  <c r="CR45" i="35"/>
  <c r="GY45" i="35" s="1"/>
  <c r="HU45" i="35" s="1"/>
  <c r="HR56" i="35"/>
  <c r="CX82" i="35"/>
  <c r="U82" i="19" s="1"/>
  <c r="AK82" i="19" s="1"/>
  <c r="GK68" i="35"/>
  <c r="CV82" i="35"/>
  <c r="S82" i="19" s="1"/>
  <c r="AI82" i="19" s="1"/>
  <c r="R33" i="19"/>
  <c r="HB33" i="35"/>
  <c r="S60" i="19"/>
  <c r="AI60" i="19" s="1"/>
  <c r="CX39" i="35"/>
  <c r="U39" i="19" s="1"/>
  <c r="AK39" i="19" s="1"/>
  <c r="CW39" i="35"/>
  <c r="T39" i="19" s="1"/>
  <c r="AJ39" i="19" s="1"/>
  <c r="HA82" i="35"/>
  <c r="T23" i="19"/>
  <c r="AJ23" i="19" s="1"/>
  <c r="CR58" i="35"/>
  <c r="P58" i="19" s="1"/>
  <c r="AE58" i="19" s="1"/>
  <c r="S11" i="19"/>
  <c r="AI11" i="19" s="1"/>
  <c r="CU82" i="35"/>
  <c r="HB82" i="35" s="1"/>
  <c r="HP82" i="35"/>
  <c r="HC49" i="35"/>
  <c r="T68" i="19"/>
  <c r="AJ68" i="19" s="1"/>
  <c r="HD60" i="35"/>
  <c r="HQ48" i="35"/>
  <c r="N58" i="19"/>
  <c r="DB101" i="35"/>
  <c r="Y101" i="19" s="1"/>
  <c r="L82" i="19"/>
  <c r="HR82" i="35"/>
  <c r="HS48" i="35"/>
  <c r="HS82" i="35"/>
  <c r="P23" i="19"/>
  <c r="AE23" i="19" s="1"/>
  <c r="GY23" i="35"/>
  <c r="HU23" i="35" s="1"/>
  <c r="HD49" i="35"/>
  <c r="HE18" i="35"/>
  <c r="GK60" i="35"/>
  <c r="HR39" i="35"/>
  <c r="N49" i="19"/>
  <c r="HS39" i="35"/>
  <c r="HP39" i="35"/>
  <c r="CR49" i="35"/>
  <c r="P49" i="19" s="1"/>
  <c r="AE49" i="19" s="1"/>
  <c r="HA48" i="35"/>
  <c r="CX12" i="35"/>
  <c r="HE12" i="35" s="1"/>
  <c r="CW82" i="35"/>
  <c r="HD82" i="35" s="1"/>
  <c r="Q48" i="19"/>
  <c r="AF48" i="19" s="1"/>
  <c r="CW48" i="35"/>
  <c r="T48" i="19" s="1"/>
  <c r="AJ48" i="19" s="1"/>
  <c r="CX48" i="35"/>
  <c r="U48" i="19" s="1"/>
  <c r="AK48" i="19" s="1"/>
  <c r="GI19" i="35"/>
  <c r="GJ19" i="35" s="1"/>
  <c r="GM19" i="35" s="1"/>
  <c r="GO19" i="35" s="1"/>
  <c r="R68" i="19"/>
  <c r="CV48" i="35"/>
  <c r="HC48" i="35" s="1"/>
  <c r="HE49" i="35"/>
  <c r="HB58" i="35"/>
  <c r="CU39" i="35"/>
  <c r="R39" i="19" s="1"/>
  <c r="GA101" i="35"/>
  <c r="GC101" i="35" s="1"/>
  <c r="GE101" i="35" s="1"/>
  <c r="DA101" i="35"/>
  <c r="X101" i="19" s="1"/>
  <c r="CZ101" i="35"/>
  <c r="W101" i="19" s="1"/>
  <c r="CT101" i="35"/>
  <c r="CW101" i="35" s="1"/>
  <c r="HD101" i="35" s="1"/>
  <c r="CY101" i="35"/>
  <c r="V101" i="19" s="1"/>
  <c r="CX66" i="35"/>
  <c r="U66" i="19" s="1"/>
  <c r="AK66" i="19" s="1"/>
  <c r="GS101" i="35"/>
  <c r="HG101" i="35" s="1"/>
  <c r="HO101" i="35" s="1"/>
  <c r="HP101" i="35" s="1"/>
  <c r="CN101" i="35"/>
  <c r="L101" i="19" s="1"/>
  <c r="HA39" i="35"/>
  <c r="CV39" i="35"/>
  <c r="S39" i="19" s="1"/>
  <c r="AI39" i="19" s="1"/>
  <c r="CW12" i="35"/>
  <c r="T12" i="19" s="1"/>
  <c r="AJ12" i="19" s="1"/>
  <c r="HA12" i="35"/>
  <c r="Q12" i="19"/>
  <c r="AF12" i="19" s="1"/>
  <c r="CU12" i="35"/>
  <c r="HB12" i="35" s="1"/>
  <c r="S23" i="19"/>
  <c r="AI23" i="19" s="1"/>
  <c r="HC23" i="35"/>
  <c r="HQ12" i="35"/>
  <c r="HR12" i="35"/>
  <c r="HP12" i="35"/>
  <c r="CZ106" i="35"/>
  <c r="W106" i="19" s="1"/>
  <c r="HE23" i="35"/>
  <c r="U23" i="19"/>
  <c r="AK23" i="19" s="1"/>
  <c r="GW68" i="35"/>
  <c r="HK68" i="35" s="1"/>
  <c r="HM68" i="35" s="1"/>
  <c r="DB47" i="35"/>
  <c r="Y47" i="19" s="1"/>
  <c r="HE60" i="35"/>
  <c r="CR68" i="35"/>
  <c r="P68" i="19" s="1"/>
  <c r="AE68" i="19" s="1"/>
  <c r="GS106" i="35"/>
  <c r="HG106" i="35" s="1"/>
  <c r="HO106" i="35" s="1"/>
  <c r="HP106" i="35" s="1"/>
  <c r="HE11" i="35"/>
  <c r="GA106" i="35"/>
  <c r="GI106" i="35" s="1"/>
  <c r="L12" i="19"/>
  <c r="CN106" i="35"/>
  <c r="L106" i="19" s="1"/>
  <c r="CT106" i="35"/>
  <c r="HA106" i="35" s="1"/>
  <c r="CP12" i="35"/>
  <c r="GW12" i="35" s="1"/>
  <c r="HK12" i="35" s="1"/>
  <c r="HM12" i="35" s="1"/>
  <c r="J106" i="19"/>
  <c r="AB106" i="19" s="1"/>
  <c r="CY106" i="35"/>
  <c r="V106" i="19" s="1"/>
  <c r="DB106" i="35"/>
  <c r="Y106" i="19" s="1"/>
  <c r="DB83" i="35"/>
  <c r="Y83" i="19" s="1"/>
  <c r="R50" i="19"/>
  <c r="GA95" i="35"/>
  <c r="GC95" i="35" s="1"/>
  <c r="GE95" i="35" s="1"/>
  <c r="HS19" i="35"/>
  <c r="CT47" i="35"/>
  <c r="HA47" i="35" s="1"/>
  <c r="CT95" i="35"/>
  <c r="HA95" i="35" s="1"/>
  <c r="GA47" i="35"/>
  <c r="GI47" i="35" s="1"/>
  <c r="J95" i="19"/>
  <c r="AB95" i="19" s="1"/>
  <c r="DB95" i="35"/>
  <c r="Y95" i="19" s="1"/>
  <c r="CN95" i="35"/>
  <c r="CP95" i="35" s="1"/>
  <c r="DA95" i="35"/>
  <c r="X95" i="19" s="1"/>
  <c r="GS95" i="35"/>
  <c r="HG95" i="35" s="1"/>
  <c r="HO95" i="35" s="1"/>
  <c r="HR95" i="35" s="1"/>
  <c r="CZ95" i="35"/>
  <c r="W95" i="19" s="1"/>
  <c r="CP19" i="35"/>
  <c r="CR19" i="35" s="1"/>
  <c r="GY19" i="35" s="1"/>
  <c r="DA47" i="35"/>
  <c r="X47" i="19" s="1"/>
  <c r="HB11" i="35"/>
  <c r="CT104" i="35"/>
  <c r="CV104" i="35" s="1"/>
  <c r="DB104" i="35"/>
  <c r="Y104" i="19" s="1"/>
  <c r="CY47" i="35"/>
  <c r="V47" i="19" s="1"/>
  <c r="GS47" i="35"/>
  <c r="HG47" i="35" s="1"/>
  <c r="HO47" i="35" s="1"/>
  <c r="HP47" i="35" s="1"/>
  <c r="U50" i="19"/>
  <c r="AK50" i="19" s="1"/>
  <c r="CZ47" i="35"/>
  <c r="W47" i="19" s="1"/>
  <c r="HP19" i="35"/>
  <c r="CN47" i="35"/>
  <c r="CP47" i="35" s="1"/>
  <c r="HQ19" i="35"/>
  <c r="J83" i="19"/>
  <c r="AB83" i="19" s="1"/>
  <c r="GK50" i="35"/>
  <c r="GJ50" i="35"/>
  <c r="GM50" i="35" s="1"/>
  <c r="GO50" i="35" s="1"/>
  <c r="DA83" i="35"/>
  <c r="X83" i="19" s="1"/>
  <c r="T50" i="19"/>
  <c r="AJ50" i="19" s="1"/>
  <c r="HD50" i="35"/>
  <c r="CT83" i="35"/>
  <c r="CU83" i="35" s="1"/>
  <c r="R83" i="19" s="1"/>
  <c r="CZ83" i="35"/>
  <c r="W83" i="19" s="1"/>
  <c r="CY27" i="35"/>
  <c r="V27" i="19" s="1"/>
  <c r="CN27" i="35"/>
  <c r="L27" i="19" s="1"/>
  <c r="DB27" i="35"/>
  <c r="Y27" i="19" s="1"/>
  <c r="HU50" i="35"/>
  <c r="GA83" i="35"/>
  <c r="GI83" i="35" s="1"/>
  <c r="GJ83" i="35" s="1"/>
  <c r="GM83" i="35" s="1"/>
  <c r="GO83" i="35" s="1"/>
  <c r="CN83" i="35"/>
  <c r="GU83" i="35" s="1"/>
  <c r="HI83" i="35" s="1"/>
  <c r="J103" i="19"/>
  <c r="AB103" i="19" s="1"/>
  <c r="CZ103" i="35"/>
  <c r="W103" i="19" s="1"/>
  <c r="DA103" i="35"/>
  <c r="X103" i="19" s="1"/>
  <c r="DB103" i="35"/>
  <c r="Y103" i="19" s="1"/>
  <c r="GS103" i="35"/>
  <c r="HG103" i="35" s="1"/>
  <c r="HO103" i="35" s="1"/>
  <c r="CN103" i="35"/>
  <c r="CY103" i="35"/>
  <c r="V103" i="19" s="1"/>
  <c r="GA103" i="35"/>
  <c r="CT103" i="35"/>
  <c r="GA27" i="35"/>
  <c r="GI27" i="35" s="1"/>
  <c r="DA27" i="35"/>
  <c r="X27" i="19" s="1"/>
  <c r="HD41" i="35"/>
  <c r="T41" i="19"/>
  <c r="AJ41" i="19" s="1"/>
  <c r="HD67" i="35"/>
  <c r="T67" i="19"/>
  <c r="AJ67" i="19" s="1"/>
  <c r="U41" i="19"/>
  <c r="AK41" i="19" s="1"/>
  <c r="HE41" i="35"/>
  <c r="R67" i="19"/>
  <c r="HB67" i="35"/>
  <c r="CZ27" i="35"/>
  <c r="W27" i="19" s="1"/>
  <c r="S41" i="19"/>
  <c r="AI41" i="19" s="1"/>
  <c r="HC41" i="35"/>
  <c r="GJ41" i="35"/>
  <c r="GM41" i="35" s="1"/>
  <c r="GO41" i="35" s="1"/>
  <c r="GK41" i="35"/>
  <c r="S67" i="19"/>
  <c r="AI67" i="19" s="1"/>
  <c r="HC67" i="35"/>
  <c r="HB41" i="35"/>
  <c r="R41" i="19"/>
  <c r="HE67" i="35"/>
  <c r="U67" i="19"/>
  <c r="AK67" i="19" s="1"/>
  <c r="J27" i="19"/>
  <c r="AB27" i="19" s="1"/>
  <c r="GW67" i="35"/>
  <c r="HK67" i="35" s="1"/>
  <c r="HM67" i="35" s="1"/>
  <c r="N67" i="19"/>
  <c r="CR67" i="35"/>
  <c r="CR41" i="35"/>
  <c r="GW41" i="35"/>
  <c r="HK41" i="35" s="1"/>
  <c r="HM41" i="35" s="1"/>
  <c r="N41" i="19"/>
  <c r="GJ67" i="35"/>
  <c r="GM67" i="35" s="1"/>
  <c r="GO67" i="35" s="1"/>
  <c r="GK67" i="35"/>
  <c r="HP83" i="35"/>
  <c r="HR83" i="35"/>
  <c r="HQ83" i="35"/>
  <c r="HS83" i="35"/>
  <c r="GS27" i="35"/>
  <c r="HG27" i="35" s="1"/>
  <c r="HO27" i="35" s="1"/>
  <c r="HS27" i="35" s="1"/>
  <c r="CY83" i="35"/>
  <c r="V83" i="19" s="1"/>
  <c r="CL79" i="35"/>
  <c r="DA79" i="35" s="1"/>
  <c r="X79" i="19" s="1"/>
  <c r="N36" i="19"/>
  <c r="GW36" i="35"/>
  <c r="HK36" i="35" s="1"/>
  <c r="HM36" i="35" s="1"/>
  <c r="I81" i="19"/>
  <c r="AA81" i="19" s="1"/>
  <c r="J22" i="19"/>
  <c r="AB22" i="19" s="1"/>
  <c r="CY22" i="35"/>
  <c r="V22" i="19" s="1"/>
  <c r="CZ22" i="35"/>
  <c r="W22" i="19" s="1"/>
  <c r="CN22" i="35"/>
  <c r="DA22" i="35"/>
  <c r="X22" i="19" s="1"/>
  <c r="CT22" i="35"/>
  <c r="GS22" i="35"/>
  <c r="HG22" i="35" s="1"/>
  <c r="HO22" i="35" s="1"/>
  <c r="DB22" i="35"/>
  <c r="Y22" i="19" s="1"/>
  <c r="GA22" i="35"/>
  <c r="GC13" i="35"/>
  <c r="GE13" i="35" s="1"/>
  <c r="GG13" i="35" s="1"/>
  <c r="GI13" i="35"/>
  <c r="CV44" i="35"/>
  <c r="CW44" i="35"/>
  <c r="CU44" i="35"/>
  <c r="CX44" i="35"/>
  <c r="HA44" i="35"/>
  <c r="Q44" i="19"/>
  <c r="AF44" i="19" s="1"/>
  <c r="CN72" i="35"/>
  <c r="J72" i="19"/>
  <c r="AB72" i="19" s="1"/>
  <c r="GA72" i="35"/>
  <c r="GS72" i="35"/>
  <c r="HG72" i="35" s="1"/>
  <c r="HO72" i="35" s="1"/>
  <c r="CZ72" i="35"/>
  <c r="W72" i="19" s="1"/>
  <c r="DB72" i="35"/>
  <c r="Y72" i="19" s="1"/>
  <c r="DA72" i="35"/>
  <c r="X72" i="19" s="1"/>
  <c r="CY72" i="35"/>
  <c r="V72" i="19" s="1"/>
  <c r="CT72" i="35"/>
  <c r="HS24" i="35"/>
  <c r="S12" i="19"/>
  <c r="AI12" i="19" s="1"/>
  <c r="HC12" i="35"/>
  <c r="GU84" i="35"/>
  <c r="HI84" i="35" s="1"/>
  <c r="CP84" i="35"/>
  <c r="L84" i="19"/>
  <c r="I62" i="19"/>
  <c r="AA62" i="19" s="1"/>
  <c r="HR13" i="35"/>
  <c r="HS13" i="35"/>
  <c r="HQ13" i="35"/>
  <c r="HP13" i="35"/>
  <c r="CZ55" i="35"/>
  <c r="W55" i="19" s="1"/>
  <c r="DA55" i="35"/>
  <c r="X55" i="19" s="1"/>
  <c r="CT55" i="35"/>
  <c r="DB55" i="35"/>
  <c r="Y55" i="19" s="1"/>
  <c r="J55" i="19"/>
  <c r="AB55" i="19" s="1"/>
  <c r="CY55" i="35"/>
  <c r="V55" i="19" s="1"/>
  <c r="GA55" i="35"/>
  <c r="CN55" i="35"/>
  <c r="GS55" i="35"/>
  <c r="HG55" i="35" s="1"/>
  <c r="HO55" i="35" s="1"/>
  <c r="GI84" i="35"/>
  <c r="GC84" i="35"/>
  <c r="GE84" i="35" s="1"/>
  <c r="GG84" i="35" s="1"/>
  <c r="J100" i="19"/>
  <c r="AB100" i="19" s="1"/>
  <c r="CN100" i="35"/>
  <c r="CZ100" i="35"/>
  <c r="W100" i="19" s="1"/>
  <c r="CY100" i="35"/>
  <c r="V100" i="19" s="1"/>
  <c r="GA100" i="35"/>
  <c r="CT100" i="35"/>
  <c r="DB100" i="35"/>
  <c r="Y100" i="19" s="1"/>
  <c r="GS100" i="35"/>
  <c r="HG100" i="35" s="1"/>
  <c r="HO100" i="35" s="1"/>
  <c r="DA100" i="35"/>
  <c r="X100" i="19" s="1"/>
  <c r="P8" i="19"/>
  <c r="AE8" i="19" s="1"/>
  <c r="GY8" i="35"/>
  <c r="HU8" i="35" s="1"/>
  <c r="P16" i="19"/>
  <c r="AE16" i="19" s="1"/>
  <c r="GY16" i="35"/>
  <c r="HU16" i="35" s="1"/>
  <c r="HQ44" i="35"/>
  <c r="HR44" i="35"/>
  <c r="HP44" i="35"/>
  <c r="HS44" i="35"/>
  <c r="HQ84" i="35"/>
  <c r="HS84" i="35"/>
  <c r="HP84" i="35"/>
  <c r="HR84" i="35"/>
  <c r="CX13" i="35"/>
  <c r="CV24" i="35"/>
  <c r="CX24" i="35"/>
  <c r="CU24" i="35"/>
  <c r="Q24" i="19"/>
  <c r="AF24" i="19" s="1"/>
  <c r="HA24" i="35"/>
  <c r="CW24" i="35"/>
  <c r="BA131" i="35"/>
  <c r="BE131" i="35" s="1"/>
  <c r="BG131" i="35" s="1"/>
  <c r="BI131" i="35" s="1"/>
  <c r="BK131" i="35" s="1"/>
  <c r="BM131" i="35" s="1"/>
  <c r="BO131" i="35" s="1"/>
  <c r="BQ131" i="35" s="1"/>
  <c r="CL81" i="35"/>
  <c r="GI24" i="35"/>
  <c r="GC24" i="35"/>
  <c r="GE24" i="35" s="1"/>
  <c r="GG24" i="35" s="1"/>
  <c r="HA27" i="35"/>
  <c r="Q27" i="19"/>
  <c r="AF27" i="19" s="1"/>
  <c r="CX27" i="35"/>
  <c r="CV27" i="35"/>
  <c r="CW27" i="35"/>
  <c r="CU27" i="35"/>
  <c r="BA132" i="35"/>
  <c r="BE132" i="35" s="1"/>
  <c r="BG132" i="35" s="1"/>
  <c r="BI132" i="35" s="1"/>
  <c r="BK132" i="35" s="1"/>
  <c r="BM132" i="35" s="1"/>
  <c r="BO132" i="35" s="1"/>
  <c r="BQ132" i="35" s="1"/>
  <c r="BA130" i="35"/>
  <c r="BE130" i="35" s="1"/>
  <c r="BG130" i="35" s="1"/>
  <c r="BI130" i="35" s="1"/>
  <c r="BK130" i="35" s="1"/>
  <c r="BM130" i="35" s="1"/>
  <c r="BO130" i="35" s="1"/>
  <c r="BQ130" i="35" s="1"/>
  <c r="GI44" i="35"/>
  <c r="GC44" i="35"/>
  <c r="GE44" i="35" s="1"/>
  <c r="GG44" i="35" s="1"/>
  <c r="HA84" i="35"/>
  <c r="CU84" i="35"/>
  <c r="Q84" i="19"/>
  <c r="AF84" i="19" s="1"/>
  <c r="CW84" i="35"/>
  <c r="CX84" i="35"/>
  <c r="CV84" i="35"/>
  <c r="I79" i="19"/>
  <c r="AA79" i="19" s="1"/>
  <c r="GS15" i="35"/>
  <c r="HG15" i="35" s="1"/>
  <c r="HO15" i="35" s="1"/>
  <c r="CN15" i="35"/>
  <c r="DB15" i="35"/>
  <c r="Y15" i="19" s="1"/>
  <c r="CY15" i="35"/>
  <c r="V15" i="19" s="1"/>
  <c r="CT15" i="35"/>
  <c r="CZ15" i="35"/>
  <c r="W15" i="19" s="1"/>
  <c r="DA15" i="35"/>
  <c r="X15" i="19" s="1"/>
  <c r="GA15" i="35"/>
  <c r="J15" i="19"/>
  <c r="AB15" i="19" s="1"/>
  <c r="GS38" i="35"/>
  <c r="HG38" i="35" s="1"/>
  <c r="HO38" i="35" s="1"/>
  <c r="CN38" i="35"/>
  <c r="J38" i="19"/>
  <c r="AB38" i="19" s="1"/>
  <c r="DA38" i="35"/>
  <c r="X38" i="19" s="1"/>
  <c r="DB38" i="35"/>
  <c r="Y38" i="19" s="1"/>
  <c r="CT38" i="35"/>
  <c r="CY38" i="35"/>
  <c r="V38" i="19" s="1"/>
  <c r="GA38" i="35"/>
  <c r="CZ38" i="35"/>
  <c r="W38" i="19" s="1"/>
  <c r="CP24" i="35"/>
  <c r="L24" i="19"/>
  <c r="GU24" i="35"/>
  <c r="HI24" i="35" s="1"/>
  <c r="CP13" i="35"/>
  <c r="GU13" i="35"/>
  <c r="HI13" i="35" s="1"/>
  <c r="L13" i="19"/>
  <c r="GU44" i="35"/>
  <c r="HI44" i="35" s="1"/>
  <c r="CP44" i="35"/>
  <c r="L44" i="19"/>
  <c r="CZ71" i="35"/>
  <c r="W71" i="19" s="1"/>
  <c r="CN71" i="35"/>
  <c r="CT64" i="35"/>
  <c r="DB64" i="35"/>
  <c r="Y64" i="19" s="1"/>
  <c r="GA64" i="35"/>
  <c r="CN64" i="35"/>
  <c r="J64" i="19"/>
  <c r="AB64" i="19" s="1"/>
  <c r="CZ64" i="35"/>
  <c r="W64" i="19" s="1"/>
  <c r="DA64" i="35"/>
  <c r="X64" i="19" s="1"/>
  <c r="CY64" i="35"/>
  <c r="V64" i="19" s="1"/>
  <c r="GS64" i="35"/>
  <c r="HG64" i="35" s="1"/>
  <c r="HO64" i="35" s="1"/>
  <c r="BA147" i="35"/>
  <c r="BE147" i="35" s="1"/>
  <c r="BG147" i="35" s="1"/>
  <c r="BI147" i="35" s="1"/>
  <c r="BK147" i="35" s="1"/>
  <c r="BM147" i="35" s="1"/>
  <c r="BO147" i="35" s="1"/>
  <c r="BQ147" i="35" s="1"/>
  <c r="BA136" i="35"/>
  <c r="BE136" i="35" s="1"/>
  <c r="BG136" i="35" s="1"/>
  <c r="BI136" i="35" s="1"/>
  <c r="BK136" i="35" s="1"/>
  <c r="BM136" i="35" s="1"/>
  <c r="BO136" i="35" s="1"/>
  <c r="BQ136" i="35" s="1"/>
  <c r="AZ152" i="35"/>
  <c r="BA139" i="35"/>
  <c r="BE139" i="35" s="1"/>
  <c r="BG139" i="35" s="1"/>
  <c r="BI139" i="35" s="1"/>
  <c r="BK139" i="35" s="1"/>
  <c r="BM139" i="35" s="1"/>
  <c r="BO139" i="35" s="1"/>
  <c r="BQ139" i="35" s="1"/>
  <c r="AZ140" i="35"/>
  <c r="AX155" i="35"/>
  <c r="AX151" i="35"/>
  <c r="AZ151" i="35" s="1"/>
  <c r="AX159" i="35"/>
  <c r="AZ159" i="35" s="1"/>
  <c r="AX158" i="35"/>
  <c r="AX157" i="35"/>
  <c r="AZ157" i="35" s="1"/>
  <c r="AX153" i="35"/>
  <c r="AZ153" i="35" s="1"/>
  <c r="AX154" i="35"/>
  <c r="AZ154" i="35" s="1"/>
  <c r="AX156" i="35"/>
  <c r="AZ156" i="35" s="1"/>
  <c r="AX149" i="35"/>
  <c r="AZ149" i="35" s="1"/>
  <c r="AX164" i="35"/>
  <c r="AZ164" i="35" s="1"/>
  <c r="HB10" i="35"/>
  <c r="CP88" i="35"/>
  <c r="GW88" i="35" s="1"/>
  <c r="HK88" i="35" s="1"/>
  <c r="HM88" i="35" s="1"/>
  <c r="GU88" i="35"/>
  <c r="HI88" i="35" s="1"/>
  <c r="AR169" i="35"/>
  <c r="EA169" i="35" s="1"/>
  <c r="AR174" i="35"/>
  <c r="EA174" i="35" s="1"/>
  <c r="AR168" i="35"/>
  <c r="EA168" i="35" s="1"/>
  <c r="P11" i="19"/>
  <c r="AE11" i="19" s="1"/>
  <c r="GY11" i="35"/>
  <c r="P73" i="19"/>
  <c r="AE73" i="19" s="1"/>
  <c r="GY73" i="35"/>
  <c r="HU73" i="35" s="1"/>
  <c r="GJ56" i="35"/>
  <c r="GM56" i="35" s="1"/>
  <c r="GO56" i="35" s="1"/>
  <c r="GK56" i="35"/>
  <c r="GK48" i="35"/>
  <c r="GJ48" i="35"/>
  <c r="GM48" i="35" s="1"/>
  <c r="GO48" i="35" s="1"/>
  <c r="S89" i="19"/>
  <c r="AI89" i="19" s="1"/>
  <c r="GY53" i="35"/>
  <c r="HU53" i="35" s="1"/>
  <c r="P53" i="19"/>
  <c r="AE53" i="19" s="1"/>
  <c r="U76" i="19"/>
  <c r="AK76" i="19" s="1"/>
  <c r="HE76" i="35"/>
  <c r="P60" i="19"/>
  <c r="AE60" i="19" s="1"/>
  <c r="GY60" i="35"/>
  <c r="P20" i="19"/>
  <c r="AE20" i="19" s="1"/>
  <c r="GY20" i="35"/>
  <c r="P37" i="19"/>
  <c r="AE37" i="19" s="1"/>
  <c r="GY37" i="35"/>
  <c r="HU37" i="35" s="1"/>
  <c r="GW89" i="35"/>
  <c r="HK89" i="35" s="1"/>
  <c r="HM89" i="35" s="1"/>
  <c r="GW76" i="35"/>
  <c r="HK76" i="35" s="1"/>
  <c r="HM76" i="35" s="1"/>
  <c r="N76" i="19"/>
  <c r="CR76" i="35"/>
  <c r="GW39" i="35"/>
  <c r="HK39" i="35" s="1"/>
  <c r="HM39" i="35" s="1"/>
  <c r="CR39" i="35"/>
  <c r="N39" i="19"/>
  <c r="HB48" i="35"/>
  <c r="R48" i="19"/>
  <c r="GY10" i="35"/>
  <c r="P10" i="19"/>
  <c r="AE10" i="19" s="1"/>
  <c r="T7" i="19"/>
  <c r="AJ7" i="19" s="1"/>
  <c r="HD7" i="35"/>
  <c r="GW66" i="35"/>
  <c r="HK66" i="35" s="1"/>
  <c r="HM66" i="35" s="1"/>
  <c r="N66" i="19"/>
  <c r="CR7" i="35"/>
  <c r="GW7" i="35"/>
  <c r="HK7" i="35" s="1"/>
  <c r="HM7" i="35" s="1"/>
  <c r="N7" i="19"/>
  <c r="FD7" i="35"/>
  <c r="HS104" i="35"/>
  <c r="HQ104" i="35"/>
  <c r="EK140" i="35"/>
  <c r="EJ140" i="35" s="1"/>
  <c r="AU162" i="35"/>
  <c r="AW162" i="35" s="1"/>
  <c r="AU161" i="35"/>
  <c r="AW161" i="35" s="1"/>
  <c r="EA162" i="35"/>
  <c r="AU165" i="35"/>
  <c r="AW165" i="35" s="1"/>
  <c r="AU160" i="35"/>
  <c r="AW160" i="35" s="1"/>
  <c r="AU163" i="35"/>
  <c r="AW163" i="35" s="1"/>
  <c r="AU148" i="35"/>
  <c r="AW148" i="35" s="1"/>
  <c r="EA163" i="35"/>
  <c r="AP178" i="35"/>
  <c r="AQ178" i="35" s="1"/>
  <c r="AV164" i="35"/>
  <c r="AP180" i="35"/>
  <c r="AQ180" i="35" s="1"/>
  <c r="AV149" i="35"/>
  <c r="AP181" i="35"/>
  <c r="AQ181" i="35" s="1"/>
  <c r="AP179" i="35"/>
  <c r="AQ179" i="35" s="1"/>
  <c r="AP182" i="35"/>
  <c r="AQ182" i="35" s="1"/>
  <c r="AP170" i="35"/>
  <c r="AQ170" i="35" s="1"/>
  <c r="AP167" i="35"/>
  <c r="AQ167" i="35" s="1"/>
  <c r="AP177" i="35"/>
  <c r="AQ177" i="35" s="1"/>
  <c r="AP171" i="35"/>
  <c r="AQ171" i="35" s="1"/>
  <c r="AP172" i="35"/>
  <c r="AQ172" i="35" s="1"/>
  <c r="AV155" i="35"/>
  <c r="AP176" i="35"/>
  <c r="AQ176" i="35" s="1"/>
  <c r="AP173" i="35"/>
  <c r="AQ173" i="35" s="1"/>
  <c r="AP166" i="35"/>
  <c r="AQ166" i="35" s="1"/>
  <c r="AP175" i="35"/>
  <c r="AQ175" i="35" s="1"/>
  <c r="AK192" i="35"/>
  <c r="AO192" i="35" s="1"/>
  <c r="AK183" i="35"/>
  <c r="AO183" i="35" s="1"/>
  <c r="AK190" i="35"/>
  <c r="AO190" i="35" s="1"/>
  <c r="AK150" i="35"/>
  <c r="AO150" i="35" s="1"/>
  <c r="AK198" i="35"/>
  <c r="AO198" i="35" s="1"/>
  <c r="AK195" i="35"/>
  <c r="AO195" i="35" s="1"/>
  <c r="AK197" i="35"/>
  <c r="AO197" i="35" s="1"/>
  <c r="EK152" i="35"/>
  <c r="EJ152" i="35" s="1"/>
  <c r="EK147" i="35"/>
  <c r="EJ147" i="35" s="1"/>
  <c r="AV159" i="35"/>
  <c r="EK159" i="35" s="1"/>
  <c r="EJ159" i="35" s="1"/>
  <c r="AV157" i="35"/>
  <c r="AV151" i="35"/>
  <c r="EL151" i="35" s="1"/>
  <c r="AU168" i="35"/>
  <c r="AW168" i="35" s="1"/>
  <c r="AU174" i="35"/>
  <c r="AW174" i="35" s="1"/>
  <c r="AU169" i="35"/>
  <c r="AW169" i="35" s="1"/>
  <c r="AV158" i="35"/>
  <c r="AV156" i="35"/>
  <c r="AV154" i="35"/>
  <c r="AV153" i="35"/>
  <c r="B56" i="37"/>
  <c r="AQ21" i="37"/>
  <c r="AJ186" i="35"/>
  <c r="AJ184" i="35"/>
  <c r="AJ185" i="35"/>
  <c r="AJ191" i="35"/>
  <c r="AJ199" i="35"/>
  <c r="AJ187" i="35"/>
  <c r="AJ188" i="35"/>
  <c r="AJ200" i="35"/>
  <c r="AJ189" i="35"/>
  <c r="AJ193" i="35"/>
  <c r="AJ194" i="35"/>
  <c r="AJ196" i="35"/>
  <c r="AG205" i="35"/>
  <c r="AH205" i="35" s="1"/>
  <c r="AG216" i="35"/>
  <c r="AH216" i="35" s="1"/>
  <c r="AG212" i="35"/>
  <c r="AH212" i="35" s="1"/>
  <c r="AG214" i="35"/>
  <c r="AH214" i="35" s="1"/>
  <c r="AG208" i="35"/>
  <c r="AH208" i="35" s="1"/>
  <c r="AG213" i="35"/>
  <c r="AH213" i="35" s="1"/>
  <c r="AG211" i="35"/>
  <c r="AH211" i="35" s="1"/>
  <c r="AG202" i="35"/>
  <c r="AH202" i="35" s="1"/>
  <c r="AG217" i="35"/>
  <c r="AH217" i="35" s="1"/>
  <c r="AC219" i="35"/>
  <c r="AC220" i="35" s="1"/>
  <c r="AB220" i="35"/>
  <c r="AB221" i="35" s="1"/>
  <c r="AG215" i="35"/>
  <c r="AH215" i="35" s="1"/>
  <c r="AG203" i="35"/>
  <c r="AH203" i="35" s="1"/>
  <c r="AG204" i="35"/>
  <c r="AH204" i="35" s="1"/>
  <c r="AI201" i="35"/>
  <c r="AG207" i="35"/>
  <c r="AH207" i="35" s="1"/>
  <c r="AG209" i="35"/>
  <c r="AH209" i="35" s="1"/>
  <c r="AG218" i="35"/>
  <c r="AH218" i="35" s="1"/>
  <c r="AG210" i="35"/>
  <c r="AH210" i="35" s="1"/>
  <c r="AG206" i="35"/>
  <c r="AH206" i="35" s="1"/>
  <c r="K26" i="32"/>
  <c r="M26" i="32"/>
  <c r="K34" i="32"/>
  <c r="M34" i="32"/>
  <c r="K18" i="32"/>
  <c r="M18" i="32"/>
  <c r="I64" i="19" l="1"/>
  <c r="AA64" i="19" s="1"/>
  <c r="GA99" i="35"/>
  <c r="CN99" i="35"/>
  <c r="CZ99" i="35"/>
  <c r="W99" i="19" s="1"/>
  <c r="J99" i="19"/>
  <c r="AB99" i="19" s="1"/>
  <c r="CT99" i="35"/>
  <c r="GS99" i="35"/>
  <c r="HG99" i="35" s="1"/>
  <c r="HO99" i="35" s="1"/>
  <c r="CY99" i="35"/>
  <c r="V99" i="19" s="1"/>
  <c r="DA99" i="35"/>
  <c r="X99" i="19" s="1"/>
  <c r="DB99" i="35"/>
  <c r="Y99" i="19" s="1"/>
  <c r="DA71" i="35"/>
  <c r="X71" i="19" s="1"/>
  <c r="Q13" i="19"/>
  <c r="AF13" i="19" s="1"/>
  <c r="J71" i="19"/>
  <c r="AB71" i="19" s="1"/>
  <c r="CV13" i="35"/>
  <c r="CT71" i="35"/>
  <c r="CW13" i="35"/>
  <c r="HD13" i="35" s="1"/>
  <c r="CJ124" i="35"/>
  <c r="CY71" i="35"/>
  <c r="V71" i="19" s="1"/>
  <c r="HA13" i="35"/>
  <c r="CV74" i="35"/>
  <c r="HC74" i="35" s="1"/>
  <c r="GA71" i="35"/>
  <c r="H124" i="19"/>
  <c r="Z124" i="19" s="1"/>
  <c r="Q74" i="19"/>
  <c r="AF74" i="19" s="1"/>
  <c r="GI76" i="35"/>
  <c r="GJ76" i="35" s="1"/>
  <c r="GM76" i="35" s="1"/>
  <c r="GO76" i="35" s="1"/>
  <c r="CG102" i="35"/>
  <c r="CH102" i="35" s="1"/>
  <c r="H102" i="19" s="1"/>
  <c r="Z102" i="19" s="1"/>
  <c r="DB71" i="35"/>
  <c r="Y71" i="19" s="1"/>
  <c r="FA124" i="35"/>
  <c r="CW74" i="35"/>
  <c r="HD74" i="35" s="1"/>
  <c r="N21" i="19"/>
  <c r="HE74" i="35"/>
  <c r="CR21" i="35"/>
  <c r="P21" i="19" s="1"/>
  <c r="AE21" i="19" s="1"/>
  <c r="CK116" i="35"/>
  <c r="FA116" i="35"/>
  <c r="H116" i="19"/>
  <c r="Z116" i="19" s="1"/>
  <c r="CJ116" i="35"/>
  <c r="CJ98" i="35"/>
  <c r="FA98" i="35"/>
  <c r="H98" i="19"/>
  <c r="Z98" i="19" s="1"/>
  <c r="CK98" i="35"/>
  <c r="I46" i="19"/>
  <c r="AA46" i="19" s="1"/>
  <c r="CL59" i="35"/>
  <c r="DB59" i="35" s="1"/>
  <c r="Y59" i="19" s="1"/>
  <c r="CJ117" i="35"/>
  <c r="H117" i="19"/>
  <c r="Z117" i="19" s="1"/>
  <c r="CK117" i="35"/>
  <c r="I117" i="19" s="1"/>
  <c r="AA117" i="19" s="1"/>
  <c r="FA117" i="35"/>
  <c r="J59" i="19"/>
  <c r="AB59" i="19" s="1"/>
  <c r="CN59" i="35"/>
  <c r="L59" i="19" s="1"/>
  <c r="GS59" i="35"/>
  <c r="HG59" i="35" s="1"/>
  <c r="HO59" i="35" s="1"/>
  <c r="HQ59" i="35" s="1"/>
  <c r="GS107" i="35"/>
  <c r="HG107" i="35" s="1"/>
  <c r="HO107" i="35" s="1"/>
  <c r="DB107" i="35"/>
  <c r="Y107" i="19" s="1"/>
  <c r="CK113" i="35"/>
  <c r="CN110" i="35"/>
  <c r="L110" i="19" s="1"/>
  <c r="GW31" i="35"/>
  <c r="HK31" i="35" s="1"/>
  <c r="HM31" i="35" s="1"/>
  <c r="GI36" i="35"/>
  <c r="GK36" i="35" s="1"/>
  <c r="HS85" i="35"/>
  <c r="HR85" i="35"/>
  <c r="HP85" i="35"/>
  <c r="HQ85" i="35"/>
  <c r="L19" i="19"/>
  <c r="CU76" i="35"/>
  <c r="HB76" i="35" s="1"/>
  <c r="I94" i="19"/>
  <c r="AA94" i="19" s="1"/>
  <c r="CV85" i="35"/>
  <c r="Q85" i="19"/>
  <c r="AF85" i="19" s="1"/>
  <c r="CX85" i="35"/>
  <c r="CW85" i="35"/>
  <c r="CU85" i="35"/>
  <c r="HA85" i="35"/>
  <c r="GC85" i="35"/>
  <c r="GE85" i="35" s="1"/>
  <c r="GG85" i="35" s="1"/>
  <c r="GI85" i="35"/>
  <c r="GU85" i="35"/>
  <c r="HI85" i="35" s="1"/>
  <c r="CP85" i="35"/>
  <c r="L85" i="19"/>
  <c r="CL46" i="35"/>
  <c r="DA46" i="35" s="1"/>
  <c r="X46" i="19" s="1"/>
  <c r="CV76" i="35"/>
  <c r="S76" i="19" s="1"/>
  <c r="AI76" i="19" s="1"/>
  <c r="CB124" i="35"/>
  <c r="CI124" i="35" s="1"/>
  <c r="FA113" i="35"/>
  <c r="CU110" i="35"/>
  <c r="HB110" i="35" s="1"/>
  <c r="CW76" i="35"/>
  <c r="T76" i="19" s="1"/>
  <c r="AJ76" i="19" s="1"/>
  <c r="CJ108" i="35"/>
  <c r="CR31" i="35"/>
  <c r="P31" i="19" s="1"/>
  <c r="AE31" i="19" s="1"/>
  <c r="CP56" i="35"/>
  <c r="GW56" i="35" s="1"/>
  <c r="HK56" i="35" s="1"/>
  <c r="HM56" i="35" s="1"/>
  <c r="HR76" i="35"/>
  <c r="CL75" i="35"/>
  <c r="CT75" i="35" s="1"/>
  <c r="CL97" i="35"/>
  <c r="I97" i="19"/>
  <c r="AA97" i="19" s="1"/>
  <c r="CJ122" i="35"/>
  <c r="CK122" i="35"/>
  <c r="H122" i="19"/>
  <c r="Z122" i="19" s="1"/>
  <c r="DB69" i="35"/>
  <c r="Y69" i="19" s="1"/>
  <c r="CY69" i="35"/>
  <c r="V69" i="19" s="1"/>
  <c r="GS69" i="35"/>
  <c r="HG69" i="35" s="1"/>
  <c r="HO69" i="35" s="1"/>
  <c r="DA69" i="35"/>
  <c r="X69" i="19" s="1"/>
  <c r="CT69" i="35"/>
  <c r="CZ69" i="35"/>
  <c r="W69" i="19" s="1"/>
  <c r="CN69" i="35"/>
  <c r="J69" i="19"/>
  <c r="AB69" i="19" s="1"/>
  <c r="GA69" i="35"/>
  <c r="H93" i="19"/>
  <c r="Z93" i="19" s="1"/>
  <c r="CJ93" i="35"/>
  <c r="CK93" i="35"/>
  <c r="FA122" i="35"/>
  <c r="EB108" i="35"/>
  <c r="CI108" i="35"/>
  <c r="CI119" i="35"/>
  <c r="EB119" i="35"/>
  <c r="EB102" i="35"/>
  <c r="CI102" i="35"/>
  <c r="U36" i="19"/>
  <c r="AK36" i="19" s="1"/>
  <c r="HE36" i="35"/>
  <c r="FA125" i="35"/>
  <c r="CK125" i="35"/>
  <c r="H125" i="19"/>
  <c r="Z125" i="19" s="1"/>
  <c r="CJ125" i="35"/>
  <c r="HE110" i="35"/>
  <c r="Q110" i="19"/>
  <c r="AF110" i="19" s="1"/>
  <c r="CK108" i="35"/>
  <c r="I108" i="19" s="1"/>
  <c r="AA108" i="19" s="1"/>
  <c r="CT52" i="35"/>
  <c r="J52" i="19"/>
  <c r="AB52" i="19" s="1"/>
  <c r="DB52" i="35"/>
  <c r="Y52" i="19" s="1"/>
  <c r="GS52" i="35"/>
  <c r="HG52" i="35" s="1"/>
  <c r="HO52" i="35" s="1"/>
  <c r="CN52" i="35"/>
  <c r="DA52" i="35"/>
  <c r="X52" i="19" s="1"/>
  <c r="GA52" i="35"/>
  <c r="CZ52" i="35"/>
  <c r="W52" i="19" s="1"/>
  <c r="CY52" i="35"/>
  <c r="V52" i="19" s="1"/>
  <c r="CR42" i="35"/>
  <c r="GW42" i="35"/>
  <c r="HK42" i="35" s="1"/>
  <c r="HM42" i="35" s="1"/>
  <c r="N42" i="19"/>
  <c r="CB113" i="35"/>
  <c r="HA36" i="35"/>
  <c r="Q36" i="19"/>
  <c r="AF36" i="19" s="1"/>
  <c r="HB28" i="35"/>
  <c r="CL96" i="35"/>
  <c r="BZ128" i="35"/>
  <c r="CA128" i="35" s="1"/>
  <c r="CB128" i="35" s="1"/>
  <c r="CV36" i="35"/>
  <c r="CW36" i="35"/>
  <c r="GA86" i="35"/>
  <c r="GS86" i="35"/>
  <c r="HG86" i="35" s="1"/>
  <c r="HO86" i="35" s="1"/>
  <c r="CZ86" i="35"/>
  <c r="W86" i="19" s="1"/>
  <c r="CN86" i="35"/>
  <c r="DA86" i="35"/>
  <c r="X86" i="19" s="1"/>
  <c r="DB86" i="35"/>
  <c r="Y86" i="19" s="1"/>
  <c r="CY86" i="35"/>
  <c r="V86" i="19" s="1"/>
  <c r="CT86" i="35"/>
  <c r="J86" i="19"/>
  <c r="AB86" i="19" s="1"/>
  <c r="HC42" i="35"/>
  <c r="S42" i="19"/>
  <c r="AI42" i="19" s="1"/>
  <c r="CG92" i="35"/>
  <c r="CH92" i="35" s="1"/>
  <c r="CB92" i="35"/>
  <c r="J110" i="19"/>
  <c r="AB110" i="19" s="1"/>
  <c r="I87" i="19"/>
  <c r="AA87" i="19" s="1"/>
  <c r="EB62" i="35"/>
  <c r="CI62" i="35"/>
  <c r="CL62" i="35" s="1"/>
  <c r="GA62" i="35" s="1"/>
  <c r="FA105" i="35"/>
  <c r="H105" i="19"/>
  <c r="Z105" i="19" s="1"/>
  <c r="CJ105" i="35"/>
  <c r="CK105" i="35"/>
  <c r="DB110" i="35"/>
  <c r="Y110" i="19" s="1"/>
  <c r="GK9" i="35"/>
  <c r="FA92" i="35"/>
  <c r="BZ120" i="35"/>
  <c r="CA120" i="35" s="1"/>
  <c r="CB120" i="35" s="1"/>
  <c r="EB120" i="35" s="1"/>
  <c r="CU36" i="35"/>
  <c r="I59" i="19"/>
  <c r="AA59" i="19" s="1"/>
  <c r="CL124" i="35"/>
  <c r="H108" i="19"/>
  <c r="Z108" i="19" s="1"/>
  <c r="CL87" i="35"/>
  <c r="DA77" i="35"/>
  <c r="X77" i="19" s="1"/>
  <c r="GS77" i="35"/>
  <c r="HG77" i="35" s="1"/>
  <c r="HO77" i="35" s="1"/>
  <c r="HP77" i="35" s="1"/>
  <c r="DB77" i="35"/>
  <c r="Y77" i="19" s="1"/>
  <c r="N74" i="19"/>
  <c r="HR24" i="35"/>
  <c r="I26" i="19"/>
  <c r="AA26" i="19" s="1"/>
  <c r="CN26" i="35"/>
  <c r="GU26" i="35" s="1"/>
  <c r="HI26" i="35" s="1"/>
  <c r="GA26" i="35"/>
  <c r="GC26" i="35" s="1"/>
  <c r="GE26" i="35" s="1"/>
  <c r="GG26" i="35" s="1"/>
  <c r="GC18" i="35"/>
  <c r="GE18" i="35" s="1"/>
  <c r="GG18" i="35" s="1"/>
  <c r="GI18" i="35"/>
  <c r="EB96" i="35"/>
  <c r="DB26" i="35"/>
  <c r="Y26" i="19" s="1"/>
  <c r="CV18" i="35"/>
  <c r="CW18" i="35"/>
  <c r="HQ24" i="35"/>
  <c r="CT26" i="35"/>
  <c r="HA26" i="35" s="1"/>
  <c r="CZ26" i="35"/>
  <c r="W26" i="19" s="1"/>
  <c r="GS26" i="35"/>
  <c r="HG26" i="35" s="1"/>
  <c r="HO26" i="35" s="1"/>
  <c r="HQ26" i="35" s="1"/>
  <c r="HU17" i="35"/>
  <c r="HA90" i="35"/>
  <c r="GC66" i="35"/>
  <c r="GE66" i="35" s="1"/>
  <c r="GG66" i="35" s="1"/>
  <c r="I96" i="19"/>
  <c r="AA96" i="19" s="1"/>
  <c r="CU66" i="35"/>
  <c r="HB66" i="35" s="1"/>
  <c r="U21" i="19"/>
  <c r="AK21" i="19" s="1"/>
  <c r="J77" i="19"/>
  <c r="AB77" i="19" s="1"/>
  <c r="R31" i="19"/>
  <c r="HD28" i="35"/>
  <c r="CR9" i="35"/>
  <c r="GY9" i="35" s="1"/>
  <c r="HU9" i="35" s="1"/>
  <c r="CZ77" i="35"/>
  <c r="W77" i="19" s="1"/>
  <c r="CK121" i="35"/>
  <c r="CJ121" i="35"/>
  <c r="HB18" i="35"/>
  <c r="CN77" i="35"/>
  <c r="CL94" i="35"/>
  <c r="CY94" i="35" s="1"/>
  <c r="V94" i="19" s="1"/>
  <c r="CT77" i="35"/>
  <c r="CX77" i="35" s="1"/>
  <c r="U77" i="19" s="1"/>
  <c r="AK77" i="19" s="1"/>
  <c r="HD31" i="35"/>
  <c r="T90" i="19"/>
  <c r="AJ90" i="19" s="1"/>
  <c r="GJ36" i="35"/>
  <c r="GM36" i="35" s="1"/>
  <c r="GO36" i="35" s="1"/>
  <c r="CP90" i="35"/>
  <c r="CR90" i="35" s="1"/>
  <c r="P90" i="19" s="1"/>
  <c r="AE90" i="19" s="1"/>
  <c r="CN61" i="35"/>
  <c r="GU61" i="35" s="1"/>
  <c r="HI61" i="35" s="1"/>
  <c r="GA61" i="35"/>
  <c r="GI61" i="35" s="1"/>
  <c r="GJ61" i="35" s="1"/>
  <c r="GM61" i="35" s="1"/>
  <c r="GO61" i="35" s="1"/>
  <c r="CV90" i="35"/>
  <c r="S90" i="19" s="1"/>
  <c r="AI90" i="19" s="1"/>
  <c r="Q66" i="19"/>
  <c r="AF66" i="19" s="1"/>
  <c r="GA110" i="35"/>
  <c r="GC110" i="35" s="1"/>
  <c r="GE110" i="35" s="1"/>
  <c r="GG110" i="35" s="1"/>
  <c r="CX90" i="35"/>
  <c r="HE90" i="35" s="1"/>
  <c r="DA61" i="35"/>
  <c r="X61" i="19" s="1"/>
  <c r="GJ66" i="35"/>
  <c r="GM66" i="35" s="1"/>
  <c r="GO66" i="35" s="1"/>
  <c r="CW110" i="35"/>
  <c r="HD110" i="35" s="1"/>
  <c r="GS110" i="35"/>
  <c r="HG110" i="35" s="1"/>
  <c r="HO110" i="35" s="1"/>
  <c r="HS110" i="35" s="1"/>
  <c r="CY110" i="35"/>
  <c r="V110" i="19" s="1"/>
  <c r="CY77" i="35"/>
  <c r="V77" i="19" s="1"/>
  <c r="GA77" i="35"/>
  <c r="GI77" i="35" s="1"/>
  <c r="GK77" i="35" s="1"/>
  <c r="CV110" i="35"/>
  <c r="HC110" i="35" s="1"/>
  <c r="CZ110" i="35"/>
  <c r="W110" i="19" s="1"/>
  <c r="CW66" i="35"/>
  <c r="HD66" i="35" s="1"/>
  <c r="CV66" i="35"/>
  <c r="S66" i="19" s="1"/>
  <c r="AI66" i="19" s="1"/>
  <c r="CU90" i="35"/>
  <c r="R90" i="19" s="1"/>
  <c r="HA110" i="35"/>
  <c r="DA110" i="35"/>
  <c r="X110" i="19" s="1"/>
  <c r="FA121" i="35"/>
  <c r="Q90" i="19"/>
  <c r="AF90" i="19" s="1"/>
  <c r="GS96" i="35"/>
  <c r="HG96" i="35" s="1"/>
  <c r="HO96" i="35" s="1"/>
  <c r="HP96" i="35" s="1"/>
  <c r="CN96" i="35"/>
  <c r="CT61" i="35"/>
  <c r="Q61" i="19" s="1"/>
  <c r="AF61" i="19" s="1"/>
  <c r="DB61" i="35"/>
  <c r="Y61" i="19" s="1"/>
  <c r="CY61" i="35"/>
  <c r="V61" i="19" s="1"/>
  <c r="GS61" i="35"/>
  <c r="HG61" i="35" s="1"/>
  <c r="HO61" i="35" s="1"/>
  <c r="HP61" i="35" s="1"/>
  <c r="CL51" i="35"/>
  <c r="CU89" i="35"/>
  <c r="R89" i="19" s="1"/>
  <c r="GJ90" i="35"/>
  <c r="GM90" i="35" s="1"/>
  <c r="GO90" i="35" s="1"/>
  <c r="CU74" i="35"/>
  <c r="R74" i="19" s="1"/>
  <c r="HB21" i="35"/>
  <c r="I35" i="19"/>
  <c r="AA35" i="19" s="1"/>
  <c r="GC90" i="35"/>
  <c r="GE90" i="35" s="1"/>
  <c r="GG90" i="35" s="1"/>
  <c r="S31" i="19"/>
  <c r="AI31" i="19" s="1"/>
  <c r="HA89" i="35"/>
  <c r="GY14" i="35"/>
  <c r="HU14" i="35" s="1"/>
  <c r="HA74" i="35"/>
  <c r="U45" i="19"/>
  <c r="AK45" i="19" s="1"/>
  <c r="HC21" i="35"/>
  <c r="CT107" i="35"/>
  <c r="CW107" i="35" s="1"/>
  <c r="J107" i="19"/>
  <c r="AB107" i="19" s="1"/>
  <c r="CR28" i="35"/>
  <c r="P28" i="19" s="1"/>
  <c r="AE28" i="19" s="1"/>
  <c r="Q89" i="19"/>
  <c r="AF89" i="19" s="1"/>
  <c r="CA126" i="35"/>
  <c r="CB126" i="35" s="1"/>
  <c r="GU89" i="35"/>
  <c r="HI89" i="35" s="1"/>
  <c r="S45" i="19"/>
  <c r="AI45" i="19" s="1"/>
  <c r="CA112" i="35"/>
  <c r="CG112" i="35" s="1"/>
  <c r="CH112" i="35" s="1"/>
  <c r="CK112" i="35" s="1"/>
  <c r="CZ104" i="35"/>
  <c r="W104" i="19" s="1"/>
  <c r="HP74" i="35"/>
  <c r="HC28" i="35"/>
  <c r="CL35" i="35"/>
  <c r="HR74" i="35"/>
  <c r="CA127" i="35"/>
  <c r="CG127" i="35" s="1"/>
  <c r="CH127" i="35" s="1"/>
  <c r="CK127" i="35" s="1"/>
  <c r="J104" i="19"/>
  <c r="AB104" i="19" s="1"/>
  <c r="HQ74" i="35"/>
  <c r="N28" i="19"/>
  <c r="CZ63" i="35"/>
  <c r="W63" i="19" s="1"/>
  <c r="HB45" i="35"/>
  <c r="HE9" i="35"/>
  <c r="GW18" i="35"/>
  <c r="HK18" i="35" s="1"/>
  <c r="HM18" i="35" s="1"/>
  <c r="N18" i="19"/>
  <c r="CR18" i="35"/>
  <c r="CA115" i="35"/>
  <c r="CG115" i="35" s="1"/>
  <c r="CH115" i="35" s="1"/>
  <c r="CY104" i="35"/>
  <c r="V104" i="19" s="1"/>
  <c r="CR74" i="35"/>
  <c r="GY74" i="35" s="1"/>
  <c r="HU74" i="35" s="1"/>
  <c r="CT63" i="35"/>
  <c r="HA63" i="35" s="1"/>
  <c r="CV19" i="35"/>
  <c r="S19" i="19" s="1"/>
  <c r="AI19" i="19" s="1"/>
  <c r="CZ46" i="35"/>
  <c r="W46" i="19" s="1"/>
  <c r="N89" i="19"/>
  <c r="CJ119" i="35"/>
  <c r="I119" i="19" s="1"/>
  <c r="AA119" i="19" s="1"/>
  <c r="GJ58" i="35"/>
  <c r="GM58" i="35" s="1"/>
  <c r="GO58" i="35" s="1"/>
  <c r="H119" i="19"/>
  <c r="Z119" i="19" s="1"/>
  <c r="L89" i="19"/>
  <c r="GU90" i="35"/>
  <c r="HI90" i="35" s="1"/>
  <c r="CL109" i="35"/>
  <c r="GS109" i="35" s="1"/>
  <c r="HG109" i="35" s="1"/>
  <c r="HO109" i="35" s="1"/>
  <c r="HQ109" i="35" s="1"/>
  <c r="FA102" i="35"/>
  <c r="HP66" i="35"/>
  <c r="CX19" i="35"/>
  <c r="HE19" i="35" s="1"/>
  <c r="CN63" i="35"/>
  <c r="L63" i="19" s="1"/>
  <c r="HR90" i="35"/>
  <c r="Q19" i="19"/>
  <c r="AF19" i="19" s="1"/>
  <c r="DA104" i="35"/>
  <c r="X104" i="19" s="1"/>
  <c r="CW19" i="35"/>
  <c r="T19" i="19" s="1"/>
  <c r="AJ19" i="19" s="1"/>
  <c r="GS63" i="35"/>
  <c r="HG63" i="35" s="1"/>
  <c r="HO63" i="35" s="1"/>
  <c r="HS63" i="35" s="1"/>
  <c r="GI89" i="35"/>
  <c r="GJ89" i="35" s="1"/>
  <c r="GM89" i="35" s="1"/>
  <c r="GO89" i="35" s="1"/>
  <c r="CU19" i="35"/>
  <c r="R19" i="19" s="1"/>
  <c r="HP104" i="35"/>
  <c r="GA104" i="35"/>
  <c r="GC104" i="35" s="1"/>
  <c r="GE104" i="35" s="1"/>
  <c r="GG104" i="35" s="1"/>
  <c r="CI117" i="35"/>
  <c r="CL117" i="35" s="1"/>
  <c r="GS117" i="35" s="1"/>
  <c r="HG117" i="35" s="1"/>
  <c r="HO117" i="35" s="1"/>
  <c r="HU10" i="35"/>
  <c r="CN104" i="35"/>
  <c r="L104" i="19" s="1"/>
  <c r="HD10" i="35"/>
  <c r="J63" i="19"/>
  <c r="AB63" i="19" s="1"/>
  <c r="I109" i="19"/>
  <c r="AA109" i="19" s="1"/>
  <c r="GY70" i="35"/>
  <c r="HU70" i="35" s="1"/>
  <c r="CI25" i="35"/>
  <c r="DB63" i="35"/>
  <c r="Y63" i="19" s="1"/>
  <c r="HQ90" i="35"/>
  <c r="CY63" i="35"/>
  <c r="V63" i="19" s="1"/>
  <c r="CL111" i="35"/>
  <c r="CT111" i="35" s="1"/>
  <c r="CV111" i="35" s="1"/>
  <c r="HS90" i="35"/>
  <c r="GA63" i="35"/>
  <c r="GI63" i="35" s="1"/>
  <c r="HR66" i="35"/>
  <c r="CP80" i="35"/>
  <c r="CR80" i="35" s="1"/>
  <c r="P80" i="19" s="1"/>
  <c r="AE80" i="19" s="1"/>
  <c r="HS66" i="35"/>
  <c r="CI116" i="35"/>
  <c r="CL116" i="35" s="1"/>
  <c r="CN116" i="35" s="1"/>
  <c r="L116" i="19" s="1"/>
  <c r="GS75" i="35"/>
  <c r="HG75" i="35" s="1"/>
  <c r="HO75" i="35" s="1"/>
  <c r="HP75" i="35" s="1"/>
  <c r="CI98" i="35"/>
  <c r="CL98" i="35" s="1"/>
  <c r="CN98" i="35" s="1"/>
  <c r="DB75" i="35"/>
  <c r="Y75" i="19" s="1"/>
  <c r="CJ102" i="35"/>
  <c r="J75" i="19"/>
  <c r="AB75" i="19" s="1"/>
  <c r="U10" i="19"/>
  <c r="AK10" i="19" s="1"/>
  <c r="CK102" i="35"/>
  <c r="CV77" i="35"/>
  <c r="S77" i="19" s="1"/>
  <c r="AI77" i="19" s="1"/>
  <c r="L26" i="19"/>
  <c r="J96" i="19"/>
  <c r="AB96" i="19" s="1"/>
  <c r="CP26" i="35"/>
  <c r="N26" i="19" s="1"/>
  <c r="DB96" i="35"/>
  <c r="Y96" i="19" s="1"/>
  <c r="GA75" i="35"/>
  <c r="GC75" i="35" s="1"/>
  <c r="GE75" i="35" s="1"/>
  <c r="GG75" i="35" s="1"/>
  <c r="CG128" i="35"/>
  <c r="CH128" i="35" s="1"/>
  <c r="H128" i="19" s="1"/>
  <c r="Z128" i="19" s="1"/>
  <c r="CZ96" i="35"/>
  <c r="W96" i="19" s="1"/>
  <c r="CZ75" i="35"/>
  <c r="W75" i="19" s="1"/>
  <c r="CT96" i="35"/>
  <c r="HA96" i="35" s="1"/>
  <c r="CY96" i="35"/>
  <c r="V96" i="19" s="1"/>
  <c r="DA96" i="35"/>
  <c r="X96" i="19" s="1"/>
  <c r="GU80" i="35"/>
  <c r="HI80" i="35" s="1"/>
  <c r="CG126" i="35"/>
  <c r="CH126" i="35" s="1"/>
  <c r="CJ126" i="35" s="1"/>
  <c r="BX142" i="35"/>
  <c r="BZ142" i="35" s="1"/>
  <c r="CI125" i="35"/>
  <c r="CL125" i="35" s="1"/>
  <c r="EB125" i="35"/>
  <c r="BX141" i="35"/>
  <c r="BX138" i="35"/>
  <c r="CY75" i="35"/>
  <c r="V75" i="19" s="1"/>
  <c r="HA77" i="35"/>
  <c r="BX146" i="35"/>
  <c r="CN75" i="35"/>
  <c r="L75" i="19" s="1"/>
  <c r="CN107" i="35"/>
  <c r="CP107" i="35" s="1"/>
  <c r="S58" i="19"/>
  <c r="AI58" i="19" s="1"/>
  <c r="BX134" i="35"/>
  <c r="DA75" i="35"/>
  <c r="X75" i="19" s="1"/>
  <c r="BX123" i="35"/>
  <c r="H113" i="19"/>
  <c r="Z113" i="19" s="1"/>
  <c r="CZ107" i="35"/>
  <c r="W107" i="19" s="1"/>
  <c r="GA107" i="35"/>
  <c r="GI107" i="35" s="1"/>
  <c r="BX145" i="35"/>
  <c r="BX143" i="35"/>
  <c r="BX144" i="35"/>
  <c r="GI80" i="35"/>
  <c r="GJ80" i="35" s="1"/>
  <c r="GM80" i="35" s="1"/>
  <c r="GO80" i="35" s="1"/>
  <c r="BX133" i="35"/>
  <c r="BX137" i="35"/>
  <c r="HA80" i="35"/>
  <c r="HR40" i="35"/>
  <c r="HS40" i="35"/>
  <c r="HQ40" i="35"/>
  <c r="HP40" i="35"/>
  <c r="CP40" i="35"/>
  <c r="GU40" i="35"/>
  <c r="HI40" i="35" s="1"/>
  <c r="L40" i="19"/>
  <c r="GC40" i="35"/>
  <c r="GE40" i="35" s="1"/>
  <c r="GG40" i="35" s="1"/>
  <c r="GI40" i="35"/>
  <c r="HA40" i="35"/>
  <c r="CW40" i="35"/>
  <c r="CU40" i="35"/>
  <c r="Q40" i="19"/>
  <c r="AF40" i="19" s="1"/>
  <c r="CX40" i="35"/>
  <c r="CV40" i="35"/>
  <c r="DA107" i="35"/>
  <c r="X107" i="19" s="1"/>
  <c r="HR80" i="35"/>
  <c r="GA96" i="35"/>
  <c r="GC96" i="35" s="1"/>
  <c r="GE96" i="35" s="1"/>
  <c r="GG96" i="35" s="1"/>
  <c r="CY107" i="35"/>
  <c r="V107" i="19" s="1"/>
  <c r="HD58" i="35"/>
  <c r="BX135" i="35"/>
  <c r="CW80" i="35"/>
  <c r="T80" i="19" s="1"/>
  <c r="AJ80" i="19" s="1"/>
  <c r="CX80" i="35"/>
  <c r="U80" i="19" s="1"/>
  <c r="AK80" i="19" s="1"/>
  <c r="CV80" i="35"/>
  <c r="HC80" i="35" s="1"/>
  <c r="HP80" i="35"/>
  <c r="Q43" i="19"/>
  <c r="AF43" i="19" s="1"/>
  <c r="CU43" i="35"/>
  <c r="CX43" i="35"/>
  <c r="CW43" i="35"/>
  <c r="HA43" i="35"/>
  <c r="CV43" i="35"/>
  <c r="GC43" i="35"/>
  <c r="GE43" i="35" s="1"/>
  <c r="GG43" i="35" s="1"/>
  <c r="GI43" i="35"/>
  <c r="GU43" i="35"/>
  <c r="HI43" i="35" s="1"/>
  <c r="L43" i="19"/>
  <c r="CP43" i="35"/>
  <c r="HS43" i="35"/>
  <c r="HR43" i="35"/>
  <c r="HQ43" i="35"/>
  <c r="HP43" i="35"/>
  <c r="Q80" i="19"/>
  <c r="AF80" i="19" s="1"/>
  <c r="R80" i="19"/>
  <c r="HS80" i="35"/>
  <c r="L77" i="19"/>
  <c r="CP77" i="35"/>
  <c r="GU77" i="35"/>
  <c r="HI77" i="35" s="1"/>
  <c r="P17" i="19"/>
  <c r="AE17" i="19" s="1"/>
  <c r="HD76" i="35"/>
  <c r="R76" i="19"/>
  <c r="DB78" i="35"/>
  <c r="Y78" i="19" s="1"/>
  <c r="DA78" i="35"/>
  <c r="X78" i="19" s="1"/>
  <c r="GA78" i="35"/>
  <c r="GC78" i="35" s="1"/>
  <c r="GE78" i="35" s="1"/>
  <c r="GG78" i="35" s="1"/>
  <c r="CZ78" i="35"/>
  <c r="W78" i="19" s="1"/>
  <c r="CT78" i="35"/>
  <c r="CW78" i="35" s="1"/>
  <c r="CY78" i="35"/>
  <c r="V78" i="19" s="1"/>
  <c r="J78" i="19"/>
  <c r="AB78" i="19" s="1"/>
  <c r="CN78" i="35"/>
  <c r="L78" i="19" s="1"/>
  <c r="CL118" i="35"/>
  <c r="GS118" i="35" s="1"/>
  <c r="HG118" i="35" s="1"/>
  <c r="HO118" i="35" s="1"/>
  <c r="HS118" i="35" s="1"/>
  <c r="BS136" i="35"/>
  <c r="BU136" i="35" s="1"/>
  <c r="BS147" i="35"/>
  <c r="BU147" i="35" s="1"/>
  <c r="BS130" i="35"/>
  <c r="BS131" i="35"/>
  <c r="I118" i="19"/>
  <c r="AA118" i="19" s="1"/>
  <c r="BS114" i="35"/>
  <c r="BS139" i="35"/>
  <c r="BU139" i="35" s="1"/>
  <c r="BS132" i="35"/>
  <c r="BU132" i="35" s="1"/>
  <c r="T73" i="19"/>
  <c r="AJ73" i="19" s="1"/>
  <c r="HB91" i="35"/>
  <c r="HB54" i="35"/>
  <c r="HE73" i="35"/>
  <c r="GY31" i="35"/>
  <c r="HU31" i="35" s="1"/>
  <c r="HB73" i="35"/>
  <c r="HD89" i="35"/>
  <c r="HC54" i="35"/>
  <c r="R7" i="19"/>
  <c r="HU20" i="35"/>
  <c r="GJ54" i="35"/>
  <c r="GM54" i="35" s="1"/>
  <c r="GO54" i="35" s="1"/>
  <c r="HU11" i="35"/>
  <c r="U54" i="19"/>
  <c r="AK54" i="19" s="1"/>
  <c r="CR54" i="35"/>
  <c r="GY54" i="35" s="1"/>
  <c r="HE91" i="35"/>
  <c r="GJ7" i="35"/>
  <c r="GM7" i="35" s="1"/>
  <c r="GO7" i="35" s="1"/>
  <c r="GW54" i="35"/>
  <c r="HK54" i="35" s="1"/>
  <c r="HM54" i="35" s="1"/>
  <c r="HU60" i="35"/>
  <c r="GK74" i="35"/>
  <c r="P82" i="19"/>
  <c r="AE82" i="19" s="1"/>
  <c r="P32" i="19"/>
  <c r="AE32" i="19" s="1"/>
  <c r="GW91" i="35"/>
  <c r="HK91" i="35" s="1"/>
  <c r="HM91" i="35" s="1"/>
  <c r="HU91" i="35" s="1"/>
  <c r="N91" i="19"/>
  <c r="GY21" i="35"/>
  <c r="HU21" i="35" s="1"/>
  <c r="P91" i="19"/>
  <c r="AE91" i="19" s="1"/>
  <c r="HE56" i="35"/>
  <c r="HE7" i="35"/>
  <c r="T82" i="19"/>
  <c r="AJ82" i="19" s="1"/>
  <c r="S7" i="19"/>
  <c r="AI7" i="19" s="1"/>
  <c r="GY57" i="35"/>
  <c r="HU57" i="35" s="1"/>
  <c r="N90" i="19"/>
  <c r="GW90" i="35"/>
  <c r="HK90" i="35" s="1"/>
  <c r="HM90" i="35" s="1"/>
  <c r="HD91" i="35"/>
  <c r="HU82" i="35"/>
  <c r="GJ39" i="35"/>
  <c r="GM39" i="35" s="1"/>
  <c r="GO39" i="35" s="1"/>
  <c r="HC82" i="35"/>
  <c r="GJ65" i="35"/>
  <c r="GM65" i="35" s="1"/>
  <c r="GO65" i="35" s="1"/>
  <c r="GI88" i="35"/>
  <c r="GJ88" i="35" s="1"/>
  <c r="GM88" i="35" s="1"/>
  <c r="GO88" i="35" s="1"/>
  <c r="N48" i="19"/>
  <c r="CU95" i="35"/>
  <c r="R95" i="19" s="1"/>
  <c r="J94" i="19"/>
  <c r="AB94" i="19" s="1"/>
  <c r="R56" i="19"/>
  <c r="CW88" i="35"/>
  <c r="HD88" i="35" s="1"/>
  <c r="HC39" i="35"/>
  <c r="CV88" i="35"/>
  <c r="S88" i="19" s="1"/>
  <c r="AI88" i="19" s="1"/>
  <c r="CU88" i="35"/>
  <c r="HB88" i="35" s="1"/>
  <c r="Q88" i="19"/>
  <c r="AF88" i="19" s="1"/>
  <c r="CP59" i="35"/>
  <c r="CR59" i="35" s="1"/>
  <c r="HB89" i="35"/>
  <c r="CX88" i="35"/>
  <c r="U88" i="19" s="1"/>
  <c r="AK88" i="19" s="1"/>
  <c r="CX101" i="35"/>
  <c r="U101" i="19" s="1"/>
  <c r="AK101" i="19" s="1"/>
  <c r="CU101" i="35"/>
  <c r="HB101" i="35" s="1"/>
  <c r="HD12" i="35"/>
  <c r="HE82" i="35"/>
  <c r="L65" i="19"/>
  <c r="I98" i="19"/>
  <c r="AA98" i="19" s="1"/>
  <c r="CR48" i="35"/>
  <c r="GY48" i="35" s="1"/>
  <c r="HU48" i="35" s="1"/>
  <c r="CV65" i="35"/>
  <c r="S65" i="19" s="1"/>
  <c r="AI65" i="19" s="1"/>
  <c r="Q65" i="19"/>
  <c r="AF65" i="19" s="1"/>
  <c r="HR65" i="35"/>
  <c r="CP65" i="35"/>
  <c r="CR65" i="35" s="1"/>
  <c r="HQ65" i="35"/>
  <c r="HP65" i="35"/>
  <c r="HQ88" i="35"/>
  <c r="U90" i="19"/>
  <c r="AK90" i="19" s="1"/>
  <c r="GK19" i="35"/>
  <c r="GY49" i="35"/>
  <c r="HU49" i="35" s="1"/>
  <c r="HP88" i="35"/>
  <c r="HS88" i="35"/>
  <c r="HB90" i="35"/>
  <c r="CW65" i="35"/>
  <c r="HD65" i="35" s="1"/>
  <c r="HA65" i="35"/>
  <c r="HC56" i="35"/>
  <c r="GJ12" i="35"/>
  <c r="GM12" i="35" s="1"/>
  <c r="GO12" i="35" s="1"/>
  <c r="CU65" i="35"/>
  <c r="HE65" i="35"/>
  <c r="HD56" i="35"/>
  <c r="DA94" i="35"/>
  <c r="X94" i="19" s="1"/>
  <c r="HD48" i="35"/>
  <c r="GU59" i="35"/>
  <c r="HI59" i="35" s="1"/>
  <c r="HR106" i="35"/>
  <c r="HD39" i="35"/>
  <c r="HE89" i="35"/>
  <c r="HQ106" i="35"/>
  <c r="R82" i="19"/>
  <c r="HS47" i="35"/>
  <c r="HS106" i="35"/>
  <c r="CX47" i="35"/>
  <c r="U47" i="19" s="1"/>
  <c r="AK47" i="19" s="1"/>
  <c r="CU47" i="35"/>
  <c r="HB47" i="35" s="1"/>
  <c r="T74" i="19"/>
  <c r="AJ74" i="19" s="1"/>
  <c r="CP110" i="35"/>
  <c r="N110" i="19" s="1"/>
  <c r="U12" i="19"/>
  <c r="AK12" i="19" s="1"/>
  <c r="P45" i="19"/>
  <c r="AE45" i="19" s="1"/>
  <c r="HE39" i="35"/>
  <c r="GY58" i="35"/>
  <c r="HU58" i="35" s="1"/>
  <c r="CW104" i="35"/>
  <c r="T104" i="19" s="1"/>
  <c r="AJ104" i="19" s="1"/>
  <c r="HR101" i="35"/>
  <c r="GI101" i="35"/>
  <c r="GJ101" i="35" s="1"/>
  <c r="GM101" i="35" s="1"/>
  <c r="GO101" i="35" s="1"/>
  <c r="HQ110" i="35"/>
  <c r="GW19" i="35"/>
  <c r="HK19" i="35" s="1"/>
  <c r="HM19" i="35" s="1"/>
  <c r="HU19" i="35" s="1"/>
  <c r="N19" i="19"/>
  <c r="S48" i="19"/>
  <c r="AI48" i="19" s="1"/>
  <c r="HQ101" i="35"/>
  <c r="HP59" i="35"/>
  <c r="R12" i="19"/>
  <c r="HS101" i="35"/>
  <c r="S74" i="19"/>
  <c r="AI74" i="19" s="1"/>
  <c r="HP110" i="35"/>
  <c r="GU110" i="35"/>
  <c r="HI110" i="35" s="1"/>
  <c r="HR59" i="35"/>
  <c r="HS59" i="35"/>
  <c r="CP101" i="35"/>
  <c r="GW101" i="35" s="1"/>
  <c r="HK101" i="35" s="1"/>
  <c r="HM101" i="35" s="1"/>
  <c r="GU101" i="35"/>
  <c r="HI101" i="35" s="1"/>
  <c r="I113" i="19"/>
  <c r="AA113" i="19" s="1"/>
  <c r="P19" i="19"/>
  <c r="AE19" i="19" s="1"/>
  <c r="HE66" i="35"/>
  <c r="CP104" i="35"/>
  <c r="GW104" i="35" s="1"/>
  <c r="HK104" i="35" s="1"/>
  <c r="HM104" i="35" s="1"/>
  <c r="GU27" i="35"/>
  <c r="HI27" i="35" s="1"/>
  <c r="HE48" i="35"/>
  <c r="CV106" i="35"/>
  <c r="S106" i="19" s="1"/>
  <c r="AI106" i="19" s="1"/>
  <c r="GC47" i="35"/>
  <c r="GE47" i="35" s="1"/>
  <c r="GG47" i="35" s="1"/>
  <c r="HB39" i="35"/>
  <c r="CX95" i="35"/>
  <c r="U95" i="19" s="1"/>
  <c r="AK95" i="19" s="1"/>
  <c r="CV101" i="35"/>
  <c r="HC101" i="35" s="1"/>
  <c r="Q95" i="19"/>
  <c r="AF95" i="19" s="1"/>
  <c r="HA101" i="35"/>
  <c r="T101" i="19"/>
  <c r="AJ101" i="19" s="1"/>
  <c r="Q101" i="19"/>
  <c r="AF101" i="19" s="1"/>
  <c r="CV95" i="35"/>
  <c r="S95" i="19" s="1"/>
  <c r="AI95" i="19" s="1"/>
  <c r="CW95" i="35"/>
  <c r="T95" i="19" s="1"/>
  <c r="AJ95" i="19" s="1"/>
  <c r="GC106" i="35"/>
  <c r="GE106" i="35" s="1"/>
  <c r="GG106" i="35" s="1"/>
  <c r="CU106" i="35"/>
  <c r="R106" i="19" s="1"/>
  <c r="CW106" i="35"/>
  <c r="T106" i="19" s="1"/>
  <c r="AJ106" i="19" s="1"/>
  <c r="CX106" i="35"/>
  <c r="HE106" i="35" s="1"/>
  <c r="Q106" i="19"/>
  <c r="AF106" i="19" s="1"/>
  <c r="N12" i="19"/>
  <c r="GY68" i="35"/>
  <c r="HU68" i="35" s="1"/>
  <c r="CR12" i="35"/>
  <c r="P12" i="19" s="1"/>
  <c r="AE12" i="19" s="1"/>
  <c r="CX83" i="35"/>
  <c r="U83" i="19" s="1"/>
  <c r="AK83" i="19" s="1"/>
  <c r="HS95" i="35"/>
  <c r="GU95" i="35"/>
  <c r="HI95" i="35" s="1"/>
  <c r="HP95" i="35"/>
  <c r="L95" i="19"/>
  <c r="GI95" i="35"/>
  <c r="GJ95" i="35" s="1"/>
  <c r="GM95" i="35" s="1"/>
  <c r="GO95" i="35" s="1"/>
  <c r="CP106" i="35"/>
  <c r="CR106" i="35" s="1"/>
  <c r="HQ95" i="35"/>
  <c r="GU106" i="35"/>
  <c r="HI106" i="35" s="1"/>
  <c r="GI110" i="35"/>
  <c r="GK110" i="35" s="1"/>
  <c r="Q47" i="19"/>
  <c r="AF47" i="19" s="1"/>
  <c r="CW47" i="35"/>
  <c r="HD47" i="35" s="1"/>
  <c r="HQ47" i="35"/>
  <c r="CV47" i="35"/>
  <c r="S47" i="19" s="1"/>
  <c r="AI47" i="19" s="1"/>
  <c r="HR47" i="35"/>
  <c r="CW83" i="35"/>
  <c r="CX104" i="35"/>
  <c r="U104" i="19" s="1"/>
  <c r="AK104" i="19" s="1"/>
  <c r="L83" i="19"/>
  <c r="HA104" i="35"/>
  <c r="GU47" i="35"/>
  <c r="HI47" i="35" s="1"/>
  <c r="GU104" i="35"/>
  <c r="HI104" i="35" s="1"/>
  <c r="Q104" i="19"/>
  <c r="AF104" i="19" s="1"/>
  <c r="GK83" i="35"/>
  <c r="HP27" i="35"/>
  <c r="L47" i="19"/>
  <c r="CU104" i="35"/>
  <c r="R104" i="19" s="1"/>
  <c r="CP83" i="35"/>
  <c r="CR83" i="35" s="1"/>
  <c r="P83" i="19" s="1"/>
  <c r="AE83" i="19" s="1"/>
  <c r="CT79" i="35"/>
  <c r="HA79" i="35" s="1"/>
  <c r="GC83" i="35"/>
  <c r="GE83" i="35" s="1"/>
  <c r="GG83" i="35" s="1"/>
  <c r="CL108" i="35"/>
  <c r="J108" i="19" s="1"/>
  <c r="AB108" i="19" s="1"/>
  <c r="CZ79" i="35"/>
  <c r="W79" i="19" s="1"/>
  <c r="GC27" i="35"/>
  <c r="GE27" i="35" s="1"/>
  <c r="GG27" i="35" s="1"/>
  <c r="GA79" i="35"/>
  <c r="GC79" i="35" s="1"/>
  <c r="GE79" i="35" s="1"/>
  <c r="GG79" i="35" s="1"/>
  <c r="J79" i="19"/>
  <c r="AB79" i="19" s="1"/>
  <c r="CY79" i="35"/>
  <c r="V79" i="19" s="1"/>
  <c r="DB79" i="35"/>
  <c r="Y79" i="19" s="1"/>
  <c r="GS79" i="35"/>
  <c r="HG79" i="35" s="1"/>
  <c r="HO79" i="35" s="1"/>
  <c r="HS79" i="35" s="1"/>
  <c r="CN79" i="35"/>
  <c r="GU79" i="35" s="1"/>
  <c r="HI79" i="35" s="1"/>
  <c r="CP27" i="35"/>
  <c r="CR27" i="35" s="1"/>
  <c r="HQ27" i="35"/>
  <c r="HA83" i="35"/>
  <c r="CV83" i="35"/>
  <c r="Q83" i="19"/>
  <c r="AF83" i="19" s="1"/>
  <c r="HA103" i="35"/>
  <c r="CW103" i="35"/>
  <c r="CU103" i="35"/>
  <c r="Q103" i="19"/>
  <c r="AF103" i="19" s="1"/>
  <c r="CV103" i="35"/>
  <c r="CX103" i="35"/>
  <c r="GC103" i="35"/>
  <c r="GE103" i="35" s="1"/>
  <c r="GI103" i="35"/>
  <c r="GU103" i="35"/>
  <c r="HI103" i="35" s="1"/>
  <c r="CP103" i="35"/>
  <c r="L103" i="19"/>
  <c r="HP103" i="35"/>
  <c r="HQ103" i="35"/>
  <c r="HR103" i="35"/>
  <c r="HS103" i="35"/>
  <c r="I124" i="19"/>
  <c r="AA124" i="19" s="1"/>
  <c r="HB83" i="35"/>
  <c r="HR27" i="35"/>
  <c r="GU99" i="35"/>
  <c r="HI99" i="35" s="1"/>
  <c r="L99" i="19"/>
  <c r="CP99" i="35"/>
  <c r="HR99" i="35"/>
  <c r="HQ99" i="35"/>
  <c r="HS99" i="35"/>
  <c r="HP99" i="35"/>
  <c r="GY67" i="35"/>
  <c r="HU67" i="35" s="1"/>
  <c r="P67" i="19"/>
  <c r="AE67" i="19" s="1"/>
  <c r="CW99" i="35"/>
  <c r="CX99" i="35"/>
  <c r="CV99" i="35"/>
  <c r="Q99" i="19"/>
  <c r="AF99" i="19" s="1"/>
  <c r="HA99" i="35"/>
  <c r="CU99" i="35"/>
  <c r="P41" i="19"/>
  <c r="AE41" i="19" s="1"/>
  <c r="GY41" i="35"/>
  <c r="HU41" i="35" s="1"/>
  <c r="GC99" i="35"/>
  <c r="GE99" i="35" s="1"/>
  <c r="GI99" i="35"/>
  <c r="P36" i="19"/>
  <c r="AE36" i="19" s="1"/>
  <c r="GY36" i="35"/>
  <c r="HU36" i="35" s="1"/>
  <c r="HS107" i="35"/>
  <c r="HR107" i="35"/>
  <c r="HP107" i="35"/>
  <c r="HQ107" i="35"/>
  <c r="CW71" i="35"/>
  <c r="HA71" i="35"/>
  <c r="CU71" i="35"/>
  <c r="Q71" i="19"/>
  <c r="AF71" i="19" s="1"/>
  <c r="CV71" i="35"/>
  <c r="CX71" i="35"/>
  <c r="S84" i="19"/>
  <c r="AI84" i="19" s="1"/>
  <c r="HC84" i="35"/>
  <c r="HD24" i="35"/>
  <c r="T24" i="19"/>
  <c r="AJ24" i="19" s="1"/>
  <c r="GK44" i="35"/>
  <c r="GJ44" i="35"/>
  <c r="GM44" i="35" s="1"/>
  <c r="GO44" i="35" s="1"/>
  <c r="HB27" i="35"/>
  <c r="R27" i="19"/>
  <c r="GK24" i="35"/>
  <c r="GJ24" i="35"/>
  <c r="GM24" i="35" s="1"/>
  <c r="GO24" i="35" s="1"/>
  <c r="R13" i="19"/>
  <c r="HB13" i="35"/>
  <c r="Q100" i="19"/>
  <c r="AF100" i="19" s="1"/>
  <c r="CX100" i="35"/>
  <c r="CV100" i="35"/>
  <c r="CU100" i="35"/>
  <c r="CW100" i="35"/>
  <c r="HA100" i="35"/>
  <c r="Q55" i="19"/>
  <c r="AF55" i="19" s="1"/>
  <c r="CX55" i="35"/>
  <c r="CW55" i="35"/>
  <c r="CV55" i="35"/>
  <c r="CU55" i="35"/>
  <c r="HA55" i="35"/>
  <c r="HC44" i="35"/>
  <c r="S44" i="19"/>
  <c r="AI44" i="19" s="1"/>
  <c r="HA22" i="35"/>
  <c r="CW22" i="35"/>
  <c r="CV22" i="35"/>
  <c r="Q22" i="19"/>
  <c r="AF22" i="19" s="1"/>
  <c r="CU22" i="35"/>
  <c r="CX22" i="35"/>
  <c r="GC100" i="35"/>
  <c r="GE100" i="35" s="1"/>
  <c r="GG100" i="35" s="1"/>
  <c r="GI100" i="35"/>
  <c r="BA159" i="35"/>
  <c r="BE159" i="35" s="1"/>
  <c r="BG159" i="35" s="1"/>
  <c r="BI159" i="35" s="1"/>
  <c r="BK159" i="35" s="1"/>
  <c r="BM159" i="35" s="1"/>
  <c r="BO159" i="35" s="1"/>
  <c r="BQ159" i="35" s="1"/>
  <c r="GK47" i="35"/>
  <c r="GJ47" i="35"/>
  <c r="GM47" i="35" s="1"/>
  <c r="GO47" i="35" s="1"/>
  <c r="U84" i="19"/>
  <c r="AK84" i="19" s="1"/>
  <c r="HE84" i="35"/>
  <c r="HC27" i="35"/>
  <c r="S27" i="19"/>
  <c r="AI27" i="19" s="1"/>
  <c r="HP55" i="35"/>
  <c r="HR55" i="35"/>
  <c r="HS55" i="35"/>
  <c r="HQ55" i="35"/>
  <c r="HP72" i="35"/>
  <c r="HR72" i="35"/>
  <c r="HQ72" i="35"/>
  <c r="HS72" i="35"/>
  <c r="GU22" i="35"/>
  <c r="HI22" i="35" s="1"/>
  <c r="CP22" i="35"/>
  <c r="L22" i="19"/>
  <c r="BA164" i="35"/>
  <c r="BE164" i="35" s="1"/>
  <c r="BG164" i="35" s="1"/>
  <c r="BI164" i="35" s="1"/>
  <c r="BK164" i="35" s="1"/>
  <c r="BM164" i="35" s="1"/>
  <c r="BO164" i="35" s="1"/>
  <c r="BQ164" i="35" s="1"/>
  <c r="BA151" i="35"/>
  <c r="BE151" i="35" s="1"/>
  <c r="BG151" i="35" s="1"/>
  <c r="BI151" i="35" s="1"/>
  <c r="BK151" i="35" s="1"/>
  <c r="BM151" i="35" s="1"/>
  <c r="BO151" i="35" s="1"/>
  <c r="BQ151" i="35" s="1"/>
  <c r="CP64" i="35"/>
  <c r="GU64" i="35"/>
  <c r="HI64" i="35" s="1"/>
  <c r="L64" i="19"/>
  <c r="GC71" i="35"/>
  <c r="GE71" i="35" s="1"/>
  <c r="GG71" i="35" s="1"/>
  <c r="GI71" i="35"/>
  <c r="GU38" i="35"/>
  <c r="HI38" i="35" s="1"/>
  <c r="CP38" i="35"/>
  <c r="L38" i="19"/>
  <c r="T84" i="19"/>
  <c r="AJ84" i="19" s="1"/>
  <c r="HD84" i="35"/>
  <c r="HE27" i="35"/>
  <c r="U27" i="19"/>
  <c r="AK27" i="19" s="1"/>
  <c r="CP96" i="35"/>
  <c r="L96" i="19"/>
  <c r="GU96" i="35"/>
  <c r="HI96" i="35" s="1"/>
  <c r="GU55" i="35"/>
  <c r="HI55" i="35" s="1"/>
  <c r="CP55" i="35"/>
  <c r="L55" i="19"/>
  <c r="GI72" i="35"/>
  <c r="GC72" i="35"/>
  <c r="GE72" i="35" s="1"/>
  <c r="GG72" i="35" s="1"/>
  <c r="GK13" i="35"/>
  <c r="GJ13" i="35"/>
  <c r="GM13" i="35" s="1"/>
  <c r="GO13" i="35" s="1"/>
  <c r="GW24" i="35"/>
  <c r="HK24" i="35" s="1"/>
  <c r="HM24" i="35" s="1"/>
  <c r="N24" i="19"/>
  <c r="CR24" i="35"/>
  <c r="BA149" i="35"/>
  <c r="BE149" i="35" s="1"/>
  <c r="BG149" i="35" s="1"/>
  <c r="BI149" i="35" s="1"/>
  <c r="BK149" i="35" s="1"/>
  <c r="BM149" i="35" s="1"/>
  <c r="BO149" i="35" s="1"/>
  <c r="BQ149" i="35" s="1"/>
  <c r="GC64" i="35"/>
  <c r="GE64" i="35" s="1"/>
  <c r="GG64" i="35" s="1"/>
  <c r="GI64" i="35"/>
  <c r="HP38" i="35"/>
  <c r="HR38" i="35"/>
  <c r="HQ38" i="35"/>
  <c r="HS38" i="35"/>
  <c r="L15" i="19"/>
  <c r="CP15" i="35"/>
  <c r="GU15" i="35"/>
  <c r="HI15" i="35" s="1"/>
  <c r="HS96" i="35"/>
  <c r="CN81" i="35"/>
  <c r="GA81" i="35"/>
  <c r="CZ81" i="35"/>
  <c r="W81" i="19" s="1"/>
  <c r="CY81" i="35"/>
  <c r="V81" i="19" s="1"/>
  <c r="J81" i="19"/>
  <c r="AB81" i="19" s="1"/>
  <c r="GS81" i="35"/>
  <c r="HG81" i="35" s="1"/>
  <c r="HO81" i="35" s="1"/>
  <c r="DB81" i="35"/>
  <c r="Y81" i="19" s="1"/>
  <c r="CT81" i="35"/>
  <c r="DA81" i="35"/>
  <c r="X81" i="19" s="1"/>
  <c r="R24" i="19"/>
  <c r="HB24" i="35"/>
  <c r="GW47" i="35"/>
  <c r="HK47" i="35" s="1"/>
  <c r="HM47" i="35" s="1"/>
  <c r="CR47" i="35"/>
  <c r="N47" i="19"/>
  <c r="HE13" i="35"/>
  <c r="U13" i="19"/>
  <c r="AK13" i="19" s="1"/>
  <c r="CX75" i="35"/>
  <c r="HA75" i="35"/>
  <c r="CW75" i="35"/>
  <c r="CU75" i="35"/>
  <c r="Q75" i="19"/>
  <c r="AF75" i="19" s="1"/>
  <c r="CV75" i="35"/>
  <c r="GU100" i="35"/>
  <c r="HI100" i="35" s="1"/>
  <c r="L100" i="19"/>
  <c r="CP100" i="35"/>
  <c r="GC55" i="35"/>
  <c r="GE55" i="35" s="1"/>
  <c r="GG55" i="35" s="1"/>
  <c r="GI55" i="35"/>
  <c r="GW44" i="35"/>
  <c r="HK44" i="35" s="1"/>
  <c r="HM44" i="35" s="1"/>
  <c r="N44" i="19"/>
  <c r="CR44" i="35"/>
  <c r="GK27" i="35"/>
  <c r="GJ27" i="35"/>
  <c r="GM27" i="35" s="1"/>
  <c r="GO27" i="35" s="1"/>
  <c r="HQ71" i="35"/>
  <c r="HS71" i="35"/>
  <c r="HP71" i="35"/>
  <c r="HR71" i="35"/>
  <c r="GW13" i="35"/>
  <c r="HK13" i="35" s="1"/>
  <c r="HM13" i="35" s="1"/>
  <c r="CR13" i="35"/>
  <c r="N13" i="19"/>
  <c r="GC38" i="35"/>
  <c r="GE38" i="35" s="1"/>
  <c r="GG38" i="35" s="1"/>
  <c r="GI38" i="35"/>
  <c r="HP15" i="35"/>
  <c r="HS15" i="35"/>
  <c r="HR15" i="35"/>
  <c r="HQ15" i="35"/>
  <c r="R84" i="19"/>
  <c r="HB84" i="35"/>
  <c r="U24" i="19"/>
  <c r="AK24" i="19" s="1"/>
  <c r="HE24" i="35"/>
  <c r="S13" i="19"/>
  <c r="AI13" i="19" s="1"/>
  <c r="HC13" i="35"/>
  <c r="HA72" i="35"/>
  <c r="CW72" i="35"/>
  <c r="CV72" i="35"/>
  <c r="CU72" i="35"/>
  <c r="Q72" i="19"/>
  <c r="AF72" i="19" s="1"/>
  <c r="CX72" i="35"/>
  <c r="GU72" i="35"/>
  <c r="HI72" i="35" s="1"/>
  <c r="CP72" i="35"/>
  <c r="L72" i="19"/>
  <c r="U44" i="19"/>
  <c r="AK44" i="19" s="1"/>
  <c r="HE44" i="35"/>
  <c r="GC22" i="35"/>
  <c r="GE22" i="35" s="1"/>
  <c r="GG22" i="35" s="1"/>
  <c r="GI22" i="35"/>
  <c r="CV15" i="35"/>
  <c r="Q15" i="19"/>
  <c r="AF15" i="19" s="1"/>
  <c r="HA15" i="35"/>
  <c r="CU15" i="35"/>
  <c r="CX15" i="35"/>
  <c r="CW15" i="35"/>
  <c r="T27" i="19"/>
  <c r="AJ27" i="19" s="1"/>
  <c r="HD27" i="35"/>
  <c r="HS64" i="35"/>
  <c r="HR64" i="35"/>
  <c r="HQ64" i="35"/>
  <c r="HP64" i="35"/>
  <c r="CV64" i="35"/>
  <c r="Q64" i="19"/>
  <c r="AF64" i="19" s="1"/>
  <c r="CW64" i="35"/>
  <c r="HA64" i="35"/>
  <c r="CU64" i="35"/>
  <c r="CX64" i="35"/>
  <c r="GC15" i="35"/>
  <c r="GE15" i="35" s="1"/>
  <c r="GG15" i="35" s="1"/>
  <c r="GI15" i="35"/>
  <c r="CW63" i="35"/>
  <c r="S24" i="19"/>
  <c r="AI24" i="19" s="1"/>
  <c r="HC24" i="35"/>
  <c r="HQ100" i="35"/>
  <c r="HS100" i="35"/>
  <c r="HR100" i="35"/>
  <c r="HP100" i="35"/>
  <c r="GW84" i="35"/>
  <c r="HK84" i="35" s="1"/>
  <c r="HM84" i="35" s="1"/>
  <c r="CR84" i="35"/>
  <c r="N84" i="19"/>
  <c r="CK128" i="35"/>
  <c r="R44" i="19"/>
  <c r="HB44" i="35"/>
  <c r="CP63" i="35"/>
  <c r="BA153" i="35"/>
  <c r="BE153" i="35" s="1"/>
  <c r="BG153" i="35" s="1"/>
  <c r="BI153" i="35" s="1"/>
  <c r="BK153" i="35" s="1"/>
  <c r="BM153" i="35" s="1"/>
  <c r="BO153" i="35" s="1"/>
  <c r="BQ153" i="35" s="1"/>
  <c r="L71" i="19"/>
  <c r="GU71" i="35"/>
  <c r="HI71" i="35" s="1"/>
  <c r="CP71" i="35"/>
  <c r="HA38" i="35"/>
  <c r="CW38" i="35"/>
  <c r="CV38" i="35"/>
  <c r="Q38" i="19"/>
  <c r="AF38" i="19" s="1"/>
  <c r="CX38" i="35"/>
  <c r="CU38" i="35"/>
  <c r="I125" i="19"/>
  <c r="AA125" i="19" s="1"/>
  <c r="HP78" i="35"/>
  <c r="HS78" i="35"/>
  <c r="HQ78" i="35"/>
  <c r="HR78" i="35"/>
  <c r="GJ84" i="35"/>
  <c r="GM84" i="35" s="1"/>
  <c r="GO84" i="35" s="1"/>
  <c r="GK84" i="35"/>
  <c r="HD44" i="35"/>
  <c r="T44" i="19"/>
  <c r="AJ44" i="19" s="1"/>
  <c r="HQ22" i="35"/>
  <c r="HS22" i="35"/>
  <c r="HR22" i="35"/>
  <c r="HP22" i="35"/>
  <c r="BA154" i="35"/>
  <c r="BE154" i="35" s="1"/>
  <c r="BG154" i="35" s="1"/>
  <c r="BI154" i="35" s="1"/>
  <c r="BK154" i="35" s="1"/>
  <c r="BM154" i="35" s="1"/>
  <c r="BO154" i="35" s="1"/>
  <c r="BQ154" i="35" s="1"/>
  <c r="BA157" i="35"/>
  <c r="BE157" i="35" s="1"/>
  <c r="BG157" i="35" s="1"/>
  <c r="BI157" i="35" s="1"/>
  <c r="BK157" i="35" s="1"/>
  <c r="BM157" i="35" s="1"/>
  <c r="BO157" i="35" s="1"/>
  <c r="BQ157" i="35" s="1"/>
  <c r="BA156" i="35"/>
  <c r="BE156" i="35" s="1"/>
  <c r="BG156" i="35" s="1"/>
  <c r="BI156" i="35" s="1"/>
  <c r="BK156" i="35" s="1"/>
  <c r="BM156" i="35" s="1"/>
  <c r="BO156" i="35" s="1"/>
  <c r="BQ156" i="35" s="1"/>
  <c r="BA140" i="35"/>
  <c r="BE140" i="35" s="1"/>
  <c r="BG140" i="35" s="1"/>
  <c r="BI140" i="35" s="1"/>
  <c r="BK140" i="35" s="1"/>
  <c r="BM140" i="35" s="1"/>
  <c r="BO140" i="35" s="1"/>
  <c r="BQ140" i="35" s="1"/>
  <c r="AZ155" i="35"/>
  <c r="BA152" i="35"/>
  <c r="BE152" i="35" s="1"/>
  <c r="BG152" i="35" s="1"/>
  <c r="BI152" i="35" s="1"/>
  <c r="BK152" i="35" s="1"/>
  <c r="BM152" i="35" s="1"/>
  <c r="BO152" i="35" s="1"/>
  <c r="BQ152" i="35" s="1"/>
  <c r="H25" i="19"/>
  <c r="Z25" i="19" s="1"/>
  <c r="CK25" i="35"/>
  <c r="CJ25" i="35"/>
  <c r="FA25" i="35"/>
  <c r="AZ158" i="35"/>
  <c r="AX174" i="35"/>
  <c r="AX148" i="35"/>
  <c r="AX168" i="35"/>
  <c r="AZ168" i="35" s="1"/>
  <c r="AX163" i="35"/>
  <c r="AX160" i="35"/>
  <c r="AZ160" i="35" s="1"/>
  <c r="AX169" i="35"/>
  <c r="AZ169" i="35" s="1"/>
  <c r="AX161" i="35"/>
  <c r="AZ161" i="35" s="1"/>
  <c r="AX165" i="35"/>
  <c r="AZ165" i="35" s="1"/>
  <c r="AX162" i="35"/>
  <c r="AZ162" i="35" s="1"/>
  <c r="N88" i="19"/>
  <c r="CR88" i="35"/>
  <c r="P88" i="19" s="1"/>
  <c r="AE88" i="19" s="1"/>
  <c r="P74" i="19"/>
  <c r="AE74" i="19" s="1"/>
  <c r="R110" i="19"/>
  <c r="CY124" i="35"/>
  <c r="V124" i="19" s="1"/>
  <c r="CZ124" i="35"/>
  <c r="W124" i="19" s="1"/>
  <c r="DA124" i="35"/>
  <c r="X124" i="19" s="1"/>
  <c r="DB124" i="35"/>
  <c r="Y124" i="19" s="1"/>
  <c r="AV163" i="35"/>
  <c r="EL163" i="35" s="1"/>
  <c r="AR173" i="35"/>
  <c r="EA173" i="35" s="1"/>
  <c r="AR175" i="35"/>
  <c r="EA175" i="35" s="1"/>
  <c r="AR176" i="35"/>
  <c r="AR167" i="35"/>
  <c r="EA167" i="35" s="1"/>
  <c r="AR166" i="35"/>
  <c r="EA166" i="35" s="1"/>
  <c r="AR180" i="35"/>
  <c r="EA180" i="35" s="1"/>
  <c r="AR172" i="35"/>
  <c r="EA172" i="35" s="1"/>
  <c r="AR179" i="35"/>
  <c r="EA179" i="35" s="1"/>
  <c r="AR177" i="35"/>
  <c r="EA177" i="35" s="1"/>
  <c r="AR171" i="35"/>
  <c r="AR181" i="35"/>
  <c r="EA181" i="35" s="1"/>
  <c r="AR178" i="35"/>
  <c r="AR170" i="35"/>
  <c r="AR182" i="35"/>
  <c r="EA182" i="35" s="1"/>
  <c r="P7" i="19"/>
  <c r="AE7" i="19" s="1"/>
  <c r="GY7" i="35"/>
  <c r="HU7" i="35" s="1"/>
  <c r="GY39" i="35"/>
  <c r="HU39" i="35" s="1"/>
  <c r="P39" i="19"/>
  <c r="AE39" i="19" s="1"/>
  <c r="GY76" i="35"/>
  <c r="HU76" i="35" s="1"/>
  <c r="P76" i="19"/>
  <c r="AE76" i="19" s="1"/>
  <c r="GK106" i="35"/>
  <c r="GJ106" i="35"/>
  <c r="GM106" i="35" s="1"/>
  <c r="GO106" i="35" s="1"/>
  <c r="P89" i="19"/>
  <c r="AE89" i="19" s="1"/>
  <c r="GY89" i="35"/>
  <c r="HU89" i="35" s="1"/>
  <c r="GY90" i="35"/>
  <c r="S104" i="19"/>
  <c r="AI104" i="19" s="1"/>
  <c r="HC104" i="35"/>
  <c r="GW95" i="35"/>
  <c r="HK95" i="35" s="1"/>
  <c r="HM95" i="35" s="1"/>
  <c r="N95" i="19"/>
  <c r="CR95" i="35"/>
  <c r="P66" i="19"/>
  <c r="AE66" i="19" s="1"/>
  <c r="GY66" i="35"/>
  <c r="HU66" i="35" s="1"/>
  <c r="GS124" i="35"/>
  <c r="HG124" i="35" s="1"/>
  <c r="HO124" i="35" s="1"/>
  <c r="GA124" i="35"/>
  <c r="CN124" i="35"/>
  <c r="CT124" i="35"/>
  <c r="J124" i="19"/>
  <c r="AB124" i="19" s="1"/>
  <c r="FF11" i="35"/>
  <c r="FG11" i="35" s="1"/>
  <c r="FF9" i="35"/>
  <c r="FF10" i="35"/>
  <c r="FG10" i="35" s="1"/>
  <c r="AV165" i="35"/>
  <c r="EK165" i="35" s="1"/>
  <c r="EJ165" i="35" s="1"/>
  <c r="AV162" i="35"/>
  <c r="EL162" i="35" s="1"/>
  <c r="AV161" i="35"/>
  <c r="EK161" i="35" s="1"/>
  <c r="EJ161" i="35" s="1"/>
  <c r="AV160" i="35"/>
  <c r="EK160" i="35" s="1"/>
  <c r="EJ160" i="35" s="1"/>
  <c r="AV148" i="35"/>
  <c r="EL148" i="35" s="1"/>
  <c r="AP150" i="35"/>
  <c r="AQ150" i="35" s="1"/>
  <c r="AP190" i="35"/>
  <c r="AQ190" i="35" s="1"/>
  <c r="EL155" i="35"/>
  <c r="EK155" i="35"/>
  <c r="EJ155" i="35" s="1"/>
  <c r="AP198" i="35"/>
  <c r="AQ198" i="35" s="1"/>
  <c r="AP183" i="35"/>
  <c r="AQ183" i="35" s="1"/>
  <c r="EK164" i="35"/>
  <c r="EJ164" i="35" s="1"/>
  <c r="EL164" i="35"/>
  <c r="AP192" i="35"/>
  <c r="AQ192" i="35" s="1"/>
  <c r="EL149" i="35"/>
  <c r="EK149" i="35"/>
  <c r="EJ149" i="35" s="1"/>
  <c r="AP197" i="35"/>
  <c r="AQ197" i="35" s="1"/>
  <c r="AU176" i="35"/>
  <c r="AW176" i="35" s="1"/>
  <c r="AP195" i="35"/>
  <c r="AQ195" i="35" s="1"/>
  <c r="GG95" i="35"/>
  <c r="AK188" i="35"/>
  <c r="AO188" i="35" s="1"/>
  <c r="AK187" i="35"/>
  <c r="AO187" i="35" s="1"/>
  <c r="AK199" i="35"/>
  <c r="AO199" i="35" s="1"/>
  <c r="AK196" i="35"/>
  <c r="AO196" i="35" s="1"/>
  <c r="AK191" i="35"/>
  <c r="AO191" i="35" s="1"/>
  <c r="AK194" i="35"/>
  <c r="AO194" i="35" s="1"/>
  <c r="AK193" i="35"/>
  <c r="AO193" i="35" s="1"/>
  <c r="AK184" i="35"/>
  <c r="AO184" i="35" s="1"/>
  <c r="AK185" i="35"/>
  <c r="AO185" i="35" s="1"/>
  <c r="AK189" i="35"/>
  <c r="AO189" i="35" s="1"/>
  <c r="AK186" i="35"/>
  <c r="AO186" i="35" s="1"/>
  <c r="AK200" i="35"/>
  <c r="AO200" i="35" s="1"/>
  <c r="EK151" i="35"/>
  <c r="EJ151" i="35" s="1"/>
  <c r="EL159" i="35"/>
  <c r="AV174" i="35"/>
  <c r="EL174" i="35" s="1"/>
  <c r="AU178" i="35"/>
  <c r="AW178" i="35" s="1"/>
  <c r="EK157" i="35"/>
  <c r="EJ157" i="35" s="1"/>
  <c r="EL157" i="35"/>
  <c r="AU172" i="35"/>
  <c r="AW172" i="35" s="1"/>
  <c r="AU179" i="35"/>
  <c r="AW179" i="35" s="1"/>
  <c r="AV169" i="35"/>
  <c r="EL169" i="35" s="1"/>
  <c r="AU171" i="35"/>
  <c r="AW171" i="35" s="1"/>
  <c r="AU166" i="35"/>
  <c r="AW166" i="35" s="1"/>
  <c r="EK154" i="35"/>
  <c r="EJ154" i="35" s="1"/>
  <c r="EL154" i="35"/>
  <c r="EK156" i="35"/>
  <c r="EJ156" i="35" s="1"/>
  <c r="EL156" i="35"/>
  <c r="AU170" i="35"/>
  <c r="AW170" i="35" s="1"/>
  <c r="AU175" i="35"/>
  <c r="AW175" i="35" s="1"/>
  <c r="AU181" i="35"/>
  <c r="AW181" i="35" s="1"/>
  <c r="AV168" i="35"/>
  <c r="EL168" i="35" s="1"/>
  <c r="AU173" i="35"/>
  <c r="AW173" i="35" s="1"/>
  <c r="EK158" i="35"/>
  <c r="EJ158" i="35" s="1"/>
  <c r="EL158" i="35"/>
  <c r="EL153" i="35"/>
  <c r="EK153" i="35"/>
  <c r="EJ153" i="35" s="1"/>
  <c r="B57" i="37"/>
  <c r="AR21" i="37"/>
  <c r="AJ201" i="35"/>
  <c r="AI203" i="35"/>
  <c r="AI216" i="35"/>
  <c r="AI210" i="35"/>
  <c r="AI213" i="35"/>
  <c r="AI208" i="35"/>
  <c r="AI207" i="35"/>
  <c r="AI202" i="35"/>
  <c r="AI212" i="35"/>
  <c r="AJ212" i="35" s="1"/>
  <c r="AI209" i="35"/>
  <c r="AI218" i="35"/>
  <c r="AI205" i="35"/>
  <c r="AI206" i="35"/>
  <c r="AJ206" i="35" s="1"/>
  <c r="AI204" i="35"/>
  <c r="AJ204" i="35" s="1"/>
  <c r="AI211" i="35"/>
  <c r="AI214" i="35"/>
  <c r="AI215" i="35"/>
  <c r="AJ215" i="35" s="1"/>
  <c r="AI217" i="35"/>
  <c r="AD219" i="35"/>
  <c r="M19" i="32"/>
  <c r="K19" i="32"/>
  <c r="M35" i="32"/>
  <c r="K35" i="32"/>
  <c r="M27" i="32"/>
  <c r="K27" i="32"/>
  <c r="CT62" i="35" l="1"/>
  <c r="CU63" i="35"/>
  <c r="GY28" i="35"/>
  <c r="HU28" i="35" s="1"/>
  <c r="GK76" i="35"/>
  <c r="Q77" i="19"/>
  <c r="AF77" i="19" s="1"/>
  <c r="CY59" i="35"/>
  <c r="V59" i="19" s="1"/>
  <c r="CV63" i="35"/>
  <c r="HC63" i="35" s="1"/>
  <c r="HE77" i="35"/>
  <c r="CU77" i="35"/>
  <c r="R77" i="19" s="1"/>
  <c r="DA59" i="35"/>
  <c r="X59" i="19" s="1"/>
  <c r="CZ59" i="35"/>
  <c r="W59" i="19" s="1"/>
  <c r="Q63" i="19"/>
  <c r="AF63" i="19" s="1"/>
  <c r="CT59" i="35"/>
  <c r="T13" i="19"/>
  <c r="AJ13" i="19" s="1"/>
  <c r="CX63" i="35"/>
  <c r="U63" i="19" s="1"/>
  <c r="AK63" i="19" s="1"/>
  <c r="HC76" i="35"/>
  <c r="CW77" i="35"/>
  <c r="HD77" i="35" s="1"/>
  <c r="CG120" i="35"/>
  <c r="CH120" i="35" s="1"/>
  <c r="EB124" i="35"/>
  <c r="GA59" i="35"/>
  <c r="I116" i="19"/>
  <c r="AA116" i="19" s="1"/>
  <c r="CL93" i="35"/>
  <c r="GA93" i="35" s="1"/>
  <c r="DA93" i="35"/>
  <c r="X93" i="19" s="1"/>
  <c r="CZ93" i="35"/>
  <c r="W93" i="19" s="1"/>
  <c r="J93" i="19"/>
  <c r="AB93" i="19" s="1"/>
  <c r="J46" i="19"/>
  <c r="AB46" i="19" s="1"/>
  <c r="DB46" i="35"/>
  <c r="Y46" i="19" s="1"/>
  <c r="GS46" i="35"/>
  <c r="HG46" i="35" s="1"/>
  <c r="HO46" i="35" s="1"/>
  <c r="GI69" i="35"/>
  <c r="GC69" i="35"/>
  <c r="GE69" i="35" s="1"/>
  <c r="GG69" i="35" s="1"/>
  <c r="R85" i="19"/>
  <c r="HB85" i="35"/>
  <c r="N56" i="19"/>
  <c r="GA46" i="35"/>
  <c r="GU69" i="35"/>
  <c r="HI69" i="35" s="1"/>
  <c r="CP69" i="35"/>
  <c r="L69" i="19"/>
  <c r="HE85" i="35"/>
  <c r="U85" i="19"/>
  <c r="AK85" i="19" s="1"/>
  <c r="CY46" i="35"/>
  <c r="V46" i="19" s="1"/>
  <c r="I122" i="19"/>
  <c r="AA122" i="19" s="1"/>
  <c r="GW85" i="35"/>
  <c r="HK85" i="35" s="1"/>
  <c r="HM85" i="35" s="1"/>
  <c r="N85" i="19"/>
  <c r="CR85" i="35"/>
  <c r="CR56" i="35"/>
  <c r="GY56" i="35" s="1"/>
  <c r="HU56" i="35" s="1"/>
  <c r="HA69" i="35"/>
  <c r="CU69" i="35"/>
  <c r="CX69" i="35"/>
  <c r="CV69" i="35"/>
  <c r="Q69" i="19"/>
  <c r="AF69" i="19" s="1"/>
  <c r="CW69" i="35"/>
  <c r="S85" i="19"/>
  <c r="AI85" i="19" s="1"/>
  <c r="HC85" i="35"/>
  <c r="T85" i="19"/>
  <c r="AJ85" i="19" s="1"/>
  <c r="HD85" i="35"/>
  <c r="T110" i="19"/>
  <c r="AJ110" i="19" s="1"/>
  <c r="CV26" i="35"/>
  <c r="HC26" i="35" s="1"/>
  <c r="J97" i="19"/>
  <c r="AB97" i="19" s="1"/>
  <c r="CY97" i="35"/>
  <c r="V97" i="19" s="1"/>
  <c r="CZ97" i="35"/>
  <c r="W97" i="19" s="1"/>
  <c r="DA97" i="35"/>
  <c r="X97" i="19" s="1"/>
  <c r="CN97" i="35"/>
  <c r="CT97" i="35"/>
  <c r="DB97" i="35"/>
  <c r="Y97" i="19" s="1"/>
  <c r="GS97" i="35"/>
  <c r="HG97" i="35" s="1"/>
  <c r="HO97" i="35" s="1"/>
  <c r="GA97" i="35"/>
  <c r="GK85" i="35"/>
  <c r="GJ85" i="35"/>
  <c r="GM85" i="35" s="1"/>
  <c r="GO85" i="35" s="1"/>
  <c r="CW26" i="35"/>
  <c r="T26" i="19" s="1"/>
  <c r="AJ26" i="19" s="1"/>
  <c r="CN46" i="35"/>
  <c r="I93" i="19"/>
  <c r="AA93" i="19" s="1"/>
  <c r="HQ69" i="35"/>
  <c r="HP69" i="35"/>
  <c r="HS69" i="35"/>
  <c r="HR69" i="35"/>
  <c r="CT46" i="35"/>
  <c r="CV46" i="35" s="1"/>
  <c r="S46" i="19" s="1"/>
  <c r="AI46" i="19" s="1"/>
  <c r="CL122" i="35"/>
  <c r="EB128" i="35"/>
  <c r="CI128" i="35"/>
  <c r="DA62" i="35"/>
  <c r="X62" i="19" s="1"/>
  <c r="CZ94" i="35"/>
  <c r="W94" i="19" s="1"/>
  <c r="BZ133" i="35"/>
  <c r="CA133" i="35" s="1"/>
  <c r="CB133" i="35" s="1"/>
  <c r="HS26" i="35"/>
  <c r="HQ86" i="35"/>
  <c r="HS86" i="35"/>
  <c r="HP86" i="35"/>
  <c r="HR86" i="35"/>
  <c r="CN62" i="35"/>
  <c r="CU107" i="35"/>
  <c r="HB107" i="35" s="1"/>
  <c r="GA94" i="35"/>
  <c r="GC94" i="35" s="1"/>
  <c r="GE94" i="35" s="1"/>
  <c r="GG94" i="35" s="1"/>
  <c r="BZ144" i="35"/>
  <c r="CA144" i="35" s="1"/>
  <c r="CB144" i="35" s="1"/>
  <c r="EB144" i="35" s="1"/>
  <c r="HP26" i="35"/>
  <c r="HR77" i="35"/>
  <c r="CX86" i="35"/>
  <c r="CW86" i="35"/>
  <c r="CV86" i="35"/>
  <c r="Q86" i="19"/>
  <c r="AF86" i="19" s="1"/>
  <c r="HA86" i="35"/>
  <c r="CU86" i="35"/>
  <c r="T36" i="19"/>
  <c r="AJ36" i="19" s="1"/>
  <c r="HD36" i="35"/>
  <c r="GI52" i="35"/>
  <c r="GC52" i="35"/>
  <c r="GE52" i="35" s="1"/>
  <c r="GG52" i="35" s="1"/>
  <c r="CI120" i="35"/>
  <c r="J62" i="19"/>
  <c r="AB62" i="19" s="1"/>
  <c r="CY62" i="35"/>
  <c r="V62" i="19" s="1"/>
  <c r="Q107" i="19"/>
  <c r="AF107" i="19" s="1"/>
  <c r="CU46" i="35"/>
  <c r="R46" i="19" s="1"/>
  <c r="HS77" i="35"/>
  <c r="HQ77" i="35"/>
  <c r="BZ123" i="35"/>
  <c r="CA123" i="35" s="1"/>
  <c r="CG123" i="35" s="1"/>
  <c r="CH123" i="35" s="1"/>
  <c r="GA87" i="35"/>
  <c r="CZ87" i="35"/>
  <c r="W87" i="19" s="1"/>
  <c r="DA87" i="35"/>
  <c r="X87" i="19" s="1"/>
  <c r="DB87" i="35"/>
  <c r="Y87" i="19" s="1"/>
  <c r="CY87" i="35"/>
  <c r="V87" i="19" s="1"/>
  <c r="GS87" i="35"/>
  <c r="HG87" i="35" s="1"/>
  <c r="HO87" i="35" s="1"/>
  <c r="J87" i="19"/>
  <c r="AB87" i="19" s="1"/>
  <c r="CT87" i="35"/>
  <c r="CN87" i="35"/>
  <c r="S36" i="19"/>
  <c r="AI36" i="19" s="1"/>
  <c r="HC36" i="35"/>
  <c r="EB113" i="35"/>
  <c r="CI113" i="35"/>
  <c r="CL113" i="35" s="1"/>
  <c r="DA113" i="35" s="1"/>
  <c r="X113" i="19" s="1"/>
  <c r="L52" i="19"/>
  <c r="CP52" i="35"/>
  <c r="GU52" i="35"/>
  <c r="HI52" i="35" s="1"/>
  <c r="GS62" i="35"/>
  <c r="HG62" i="35" s="1"/>
  <c r="HO62" i="35" s="1"/>
  <c r="CV107" i="35"/>
  <c r="S107" i="19" s="1"/>
  <c r="AI107" i="19" s="1"/>
  <c r="DB94" i="35"/>
  <c r="Y94" i="19" s="1"/>
  <c r="BZ143" i="35"/>
  <c r="CA143" i="35" s="1"/>
  <c r="CG143" i="35" s="1"/>
  <c r="CH143" i="35" s="1"/>
  <c r="I121" i="19"/>
  <c r="AA121" i="19" s="1"/>
  <c r="HR52" i="35"/>
  <c r="HQ52" i="35"/>
  <c r="HP52" i="35"/>
  <c r="HS52" i="35"/>
  <c r="DB62" i="35"/>
  <c r="Y62" i="19" s="1"/>
  <c r="HA107" i="35"/>
  <c r="CN94" i="35"/>
  <c r="CP94" i="35" s="1"/>
  <c r="BZ145" i="35"/>
  <c r="CA145" i="35" s="1"/>
  <c r="CB145" i="35" s="1"/>
  <c r="BZ134" i="35"/>
  <c r="CA134" i="35" s="1"/>
  <c r="CG134" i="35" s="1"/>
  <c r="CH134" i="35" s="1"/>
  <c r="BZ138" i="35"/>
  <c r="CA138" i="35" s="1"/>
  <c r="CG138" i="35" s="1"/>
  <c r="CH138" i="35" s="1"/>
  <c r="HR26" i="35"/>
  <c r="EB92" i="35"/>
  <c r="CI92" i="35"/>
  <c r="BZ135" i="35"/>
  <c r="CA135" i="35" s="1"/>
  <c r="CB135" i="35" s="1"/>
  <c r="BZ146" i="35"/>
  <c r="CA146" i="35" s="1"/>
  <c r="CB146" i="35" s="1"/>
  <c r="EB146" i="35" s="1"/>
  <c r="GI86" i="35"/>
  <c r="GC86" i="35"/>
  <c r="GE86" i="35" s="1"/>
  <c r="GG86" i="35" s="1"/>
  <c r="CZ62" i="35"/>
  <c r="W62" i="19" s="1"/>
  <c r="CX107" i="35"/>
  <c r="GS94" i="35"/>
  <c r="HG94" i="35" s="1"/>
  <c r="HO94" i="35" s="1"/>
  <c r="HS94" i="35" s="1"/>
  <c r="BZ141" i="35"/>
  <c r="CA141" i="35" s="1"/>
  <c r="CB141" i="35" s="1"/>
  <c r="I105" i="19"/>
  <c r="AA105" i="19" s="1"/>
  <c r="CK92" i="35"/>
  <c r="CJ92" i="35"/>
  <c r="H92" i="19"/>
  <c r="Z92" i="19" s="1"/>
  <c r="L86" i="19"/>
  <c r="GU86" i="35"/>
  <c r="HI86" i="35" s="1"/>
  <c r="CP86" i="35"/>
  <c r="P42" i="19"/>
  <c r="AE42" i="19" s="1"/>
  <c r="GY42" i="35"/>
  <c r="HU42" i="35" s="1"/>
  <c r="CT94" i="35"/>
  <c r="CU94" i="35" s="1"/>
  <c r="BZ137" i="35"/>
  <c r="CA137" i="35" s="1"/>
  <c r="CG137" i="35" s="1"/>
  <c r="CH137" i="35" s="1"/>
  <c r="R36" i="19"/>
  <c r="HB36" i="35"/>
  <c r="CL105" i="35"/>
  <c r="CU52" i="35"/>
  <c r="CX52" i="35"/>
  <c r="Q52" i="19"/>
  <c r="AF52" i="19" s="1"/>
  <c r="HA52" i="35"/>
  <c r="CV52" i="35"/>
  <c r="CW52" i="35"/>
  <c r="GI26" i="35"/>
  <c r="GJ26" i="35" s="1"/>
  <c r="GM26" i="35" s="1"/>
  <c r="GO26" i="35" s="1"/>
  <c r="HB74" i="35"/>
  <c r="CP61" i="35"/>
  <c r="CR61" i="35" s="1"/>
  <c r="P61" i="19" s="1"/>
  <c r="AE61" i="19" s="1"/>
  <c r="HD18" i="35"/>
  <c r="T18" i="19"/>
  <c r="AJ18" i="19" s="1"/>
  <c r="CV61" i="35"/>
  <c r="HC61" i="35" s="1"/>
  <c r="CW61" i="35"/>
  <c r="HD61" i="35" s="1"/>
  <c r="CX26" i="35"/>
  <c r="U26" i="19" s="1"/>
  <c r="AK26" i="19" s="1"/>
  <c r="S18" i="19"/>
  <c r="AI18" i="19" s="1"/>
  <c r="HC18" i="35"/>
  <c r="CU61" i="35"/>
  <c r="R61" i="19" s="1"/>
  <c r="Q26" i="19"/>
  <c r="AF26" i="19" s="1"/>
  <c r="HC66" i="35"/>
  <c r="CU26" i="35"/>
  <c r="R26" i="19" s="1"/>
  <c r="GK18" i="35"/>
  <c r="GJ18" i="35"/>
  <c r="GM18" i="35" s="1"/>
  <c r="GO18" i="35" s="1"/>
  <c r="GJ77" i="35"/>
  <c r="GM77" i="35" s="1"/>
  <c r="GO77" i="35" s="1"/>
  <c r="GC61" i="35"/>
  <c r="GE61" i="35" s="1"/>
  <c r="GG61" i="35" s="1"/>
  <c r="CX61" i="35"/>
  <c r="U61" i="19" s="1"/>
  <c r="AK61" i="19" s="1"/>
  <c r="HS46" i="35"/>
  <c r="GC77" i="35"/>
  <c r="GE77" i="35" s="1"/>
  <c r="GG77" i="35" s="1"/>
  <c r="HR46" i="35"/>
  <c r="CL121" i="35"/>
  <c r="GS121" i="35" s="1"/>
  <c r="HG121" i="35" s="1"/>
  <c r="HO121" i="35" s="1"/>
  <c r="HP121" i="35" s="1"/>
  <c r="HC19" i="35"/>
  <c r="P9" i="19"/>
  <c r="AE9" i="19" s="1"/>
  <c r="HS61" i="35"/>
  <c r="HC90" i="35"/>
  <c r="HQ96" i="35"/>
  <c r="HR96" i="35"/>
  <c r="T66" i="19"/>
  <c r="AJ66" i="19" s="1"/>
  <c r="R66" i="19"/>
  <c r="Q46" i="19"/>
  <c r="AF46" i="19" s="1"/>
  <c r="HA61" i="35"/>
  <c r="GK61" i="35"/>
  <c r="S110" i="19"/>
  <c r="AI110" i="19" s="1"/>
  <c r="HR110" i="35"/>
  <c r="L61" i="19"/>
  <c r="N80" i="19"/>
  <c r="HR61" i="35"/>
  <c r="HC46" i="35"/>
  <c r="CB127" i="35"/>
  <c r="CI127" i="35" s="1"/>
  <c r="CY51" i="35"/>
  <c r="V51" i="19" s="1"/>
  <c r="CN51" i="35"/>
  <c r="J51" i="19"/>
  <c r="AB51" i="19" s="1"/>
  <c r="DB51" i="35"/>
  <c r="Y51" i="19" s="1"/>
  <c r="DA51" i="35"/>
  <c r="X51" i="19" s="1"/>
  <c r="GA51" i="35"/>
  <c r="CZ51" i="35"/>
  <c r="W51" i="19" s="1"/>
  <c r="GS51" i="35"/>
  <c r="HG51" i="35" s="1"/>
  <c r="HO51" i="35" s="1"/>
  <c r="CT51" i="35"/>
  <c r="HQ61" i="35"/>
  <c r="HP109" i="35"/>
  <c r="DA109" i="35"/>
  <c r="X109" i="19" s="1"/>
  <c r="HR109" i="35"/>
  <c r="CL119" i="35"/>
  <c r="CY119" i="35" s="1"/>
  <c r="V119" i="19" s="1"/>
  <c r="CK115" i="35"/>
  <c r="CJ115" i="35"/>
  <c r="H115" i="19"/>
  <c r="Z115" i="19" s="1"/>
  <c r="EB126" i="35"/>
  <c r="CI126" i="35"/>
  <c r="CB115" i="35"/>
  <c r="EB115" i="35" s="1"/>
  <c r="P18" i="19"/>
  <c r="AE18" i="19" s="1"/>
  <c r="GY18" i="35"/>
  <c r="HU18" i="35" s="1"/>
  <c r="HQ75" i="35"/>
  <c r="HS75" i="35"/>
  <c r="HQ63" i="35"/>
  <c r="DB109" i="35"/>
  <c r="Y109" i="19" s="1"/>
  <c r="GA109" i="35"/>
  <c r="GC109" i="35" s="1"/>
  <c r="GE109" i="35" s="1"/>
  <c r="HP63" i="35"/>
  <c r="HR63" i="35"/>
  <c r="CB112" i="35"/>
  <c r="CA142" i="35"/>
  <c r="CG142" i="35" s="1"/>
  <c r="CH142" i="35" s="1"/>
  <c r="CK142" i="35" s="1"/>
  <c r="J109" i="19"/>
  <c r="AB109" i="19" s="1"/>
  <c r="CZ109" i="35"/>
  <c r="W109" i="19" s="1"/>
  <c r="CY109" i="35"/>
  <c r="V109" i="19" s="1"/>
  <c r="HS109" i="35"/>
  <c r="CN109" i="35"/>
  <c r="L109" i="19" s="1"/>
  <c r="GA35" i="35"/>
  <c r="DB35" i="35"/>
  <c r="Y35" i="19" s="1"/>
  <c r="DA35" i="35"/>
  <c r="X35" i="19" s="1"/>
  <c r="CN35" i="35"/>
  <c r="CZ35" i="35"/>
  <c r="W35" i="19" s="1"/>
  <c r="J35" i="19"/>
  <c r="AB35" i="19" s="1"/>
  <c r="CT35" i="35"/>
  <c r="GS35" i="35"/>
  <c r="HG35" i="35" s="1"/>
  <c r="HO35" i="35" s="1"/>
  <c r="CY35" i="35"/>
  <c r="V35" i="19" s="1"/>
  <c r="CT109" i="35"/>
  <c r="HA109" i="35" s="1"/>
  <c r="HA46" i="35"/>
  <c r="CW46" i="35"/>
  <c r="T46" i="19" s="1"/>
  <c r="AJ46" i="19" s="1"/>
  <c r="CX46" i="35"/>
  <c r="HE46" i="35" s="1"/>
  <c r="GU46" i="35"/>
  <c r="HI46" i="35" s="1"/>
  <c r="GW26" i="35"/>
  <c r="HK26" i="35" s="1"/>
  <c r="HM26" i="35" s="1"/>
  <c r="Q111" i="19"/>
  <c r="AF111" i="19" s="1"/>
  <c r="DA111" i="35"/>
  <c r="X111" i="19" s="1"/>
  <c r="U19" i="19"/>
  <c r="AK19" i="19" s="1"/>
  <c r="HA111" i="35"/>
  <c r="GI104" i="35"/>
  <c r="GJ104" i="35" s="1"/>
  <c r="GM104" i="35" s="1"/>
  <c r="GO104" i="35" s="1"/>
  <c r="CL102" i="35"/>
  <c r="CZ102" i="35" s="1"/>
  <c r="W102" i="19" s="1"/>
  <c r="CU111" i="35"/>
  <c r="HB111" i="35" s="1"/>
  <c r="GU63" i="35"/>
  <c r="HI63" i="35" s="1"/>
  <c r="CR26" i="35"/>
  <c r="GY26" i="35" s="1"/>
  <c r="HD26" i="35"/>
  <c r="HR75" i="35"/>
  <c r="CJ112" i="35"/>
  <c r="I112" i="19" s="1"/>
  <c r="AA112" i="19" s="1"/>
  <c r="FA128" i="35"/>
  <c r="HD19" i="35"/>
  <c r="CJ128" i="35"/>
  <c r="HB19" i="35"/>
  <c r="GK89" i="35"/>
  <c r="GY80" i="35"/>
  <c r="GW80" i="35"/>
  <c r="HK80" i="35" s="1"/>
  <c r="HM80" i="35" s="1"/>
  <c r="GK26" i="35"/>
  <c r="GI75" i="35"/>
  <c r="GK75" i="35" s="1"/>
  <c r="CX111" i="35"/>
  <c r="U111" i="19" s="1"/>
  <c r="AK111" i="19" s="1"/>
  <c r="CN111" i="35"/>
  <c r="L111" i="19" s="1"/>
  <c r="CY111" i="35"/>
  <c r="V111" i="19" s="1"/>
  <c r="CZ111" i="35"/>
  <c r="W111" i="19" s="1"/>
  <c r="GA111" i="35"/>
  <c r="GI111" i="35" s="1"/>
  <c r="GK111" i="35" s="1"/>
  <c r="GC63" i="35"/>
  <c r="GE63" i="35" s="1"/>
  <c r="GG63" i="35" s="1"/>
  <c r="DB111" i="35"/>
  <c r="Y111" i="19" s="1"/>
  <c r="I102" i="19"/>
  <c r="AA102" i="19" s="1"/>
  <c r="GS111" i="35"/>
  <c r="HG111" i="35" s="1"/>
  <c r="HO111" i="35" s="1"/>
  <c r="HS111" i="35" s="1"/>
  <c r="J111" i="19"/>
  <c r="AB111" i="19" s="1"/>
  <c r="CG135" i="35"/>
  <c r="CH135" i="35" s="1"/>
  <c r="CK135" i="35" s="1"/>
  <c r="CW111" i="35"/>
  <c r="T111" i="19" s="1"/>
  <c r="AJ111" i="19" s="1"/>
  <c r="CB137" i="35"/>
  <c r="EB137" i="35" s="1"/>
  <c r="FA127" i="35"/>
  <c r="CB123" i="35"/>
  <c r="CI123" i="35" s="1"/>
  <c r="HC77" i="35"/>
  <c r="CW96" i="35"/>
  <c r="HD96" i="35" s="1"/>
  <c r="CV96" i="35"/>
  <c r="S96" i="19" s="1"/>
  <c r="AI96" i="19" s="1"/>
  <c r="CG145" i="35"/>
  <c r="CH145" i="35" s="1"/>
  <c r="H145" i="19" s="1"/>
  <c r="Z145" i="19" s="1"/>
  <c r="CK126" i="35"/>
  <c r="I126" i="19" s="1"/>
  <c r="AA126" i="19" s="1"/>
  <c r="Q96" i="19"/>
  <c r="AF96" i="19" s="1"/>
  <c r="CX96" i="35"/>
  <c r="U96" i="19" s="1"/>
  <c r="AK96" i="19" s="1"/>
  <c r="CU96" i="35"/>
  <c r="R96" i="19" s="1"/>
  <c r="FA126" i="35"/>
  <c r="HE61" i="35"/>
  <c r="HB61" i="35"/>
  <c r="H126" i="19"/>
  <c r="Z126" i="19" s="1"/>
  <c r="GW61" i="35"/>
  <c r="HK61" i="35" s="1"/>
  <c r="HM61" i="35" s="1"/>
  <c r="GK80" i="35"/>
  <c r="H112" i="19"/>
  <c r="Z112" i="19" s="1"/>
  <c r="CP75" i="35"/>
  <c r="GW75" i="35" s="1"/>
  <c r="HK75" i="35" s="1"/>
  <c r="HM75" i="35" s="1"/>
  <c r="N61" i="19"/>
  <c r="FA112" i="35"/>
  <c r="GU75" i="35"/>
  <c r="HI75" i="35" s="1"/>
  <c r="GY61" i="35"/>
  <c r="HB77" i="35"/>
  <c r="CJ127" i="35"/>
  <c r="I127" i="19" s="1"/>
  <c r="AA127" i="19" s="1"/>
  <c r="HB26" i="35"/>
  <c r="T77" i="19"/>
  <c r="AJ77" i="19" s="1"/>
  <c r="H127" i="19"/>
  <c r="Z127" i="19" s="1"/>
  <c r="GU107" i="35"/>
  <c r="HI107" i="35" s="1"/>
  <c r="GC107" i="35"/>
  <c r="GE107" i="35" s="1"/>
  <c r="BX139" i="35"/>
  <c r="S80" i="19"/>
  <c r="AI80" i="19" s="1"/>
  <c r="R40" i="19"/>
  <c r="HB40" i="35"/>
  <c r="CB138" i="35"/>
  <c r="BX132" i="35"/>
  <c r="CB143" i="35"/>
  <c r="GI96" i="35"/>
  <c r="GJ96" i="35" s="1"/>
  <c r="GM96" i="35" s="1"/>
  <c r="GO96" i="35" s="1"/>
  <c r="HE80" i="35"/>
  <c r="T40" i="19"/>
  <c r="AJ40" i="19" s="1"/>
  <c r="HD40" i="35"/>
  <c r="CG133" i="35"/>
  <c r="CH133" i="35" s="1"/>
  <c r="CK133" i="35" s="1"/>
  <c r="CR40" i="35"/>
  <c r="GW40" i="35"/>
  <c r="HK40" i="35" s="1"/>
  <c r="HM40" i="35" s="1"/>
  <c r="N40" i="19"/>
  <c r="CG144" i="35"/>
  <c r="CH144" i="35" s="1"/>
  <c r="CJ144" i="35" s="1"/>
  <c r="BX147" i="35"/>
  <c r="L107" i="19"/>
  <c r="S61" i="19"/>
  <c r="AI61" i="19" s="1"/>
  <c r="S40" i="19"/>
  <c r="AI40" i="19" s="1"/>
  <c r="HC40" i="35"/>
  <c r="BX136" i="35"/>
  <c r="HE40" i="35"/>
  <c r="U40" i="19"/>
  <c r="AK40" i="19" s="1"/>
  <c r="HE26" i="35"/>
  <c r="GJ40" i="35"/>
  <c r="GM40" i="35" s="1"/>
  <c r="GO40" i="35" s="1"/>
  <c r="GK40" i="35"/>
  <c r="HE43" i="35"/>
  <c r="U43" i="19"/>
  <c r="AK43" i="19" s="1"/>
  <c r="HB43" i="35"/>
  <c r="R43" i="19"/>
  <c r="N43" i="19"/>
  <c r="GW43" i="35"/>
  <c r="HK43" i="35" s="1"/>
  <c r="HM43" i="35" s="1"/>
  <c r="CR43" i="35"/>
  <c r="GW77" i="35"/>
  <c r="HK77" i="35" s="1"/>
  <c r="HM77" i="35" s="1"/>
  <c r="N77" i="19"/>
  <c r="CR77" i="35"/>
  <c r="HC43" i="35"/>
  <c r="S43" i="19"/>
  <c r="AI43" i="19" s="1"/>
  <c r="T43" i="19"/>
  <c r="AJ43" i="19" s="1"/>
  <c r="HD43" i="35"/>
  <c r="HD80" i="35"/>
  <c r="GJ43" i="35"/>
  <c r="GM43" i="35" s="1"/>
  <c r="GO43" i="35" s="1"/>
  <c r="GK43" i="35"/>
  <c r="HB46" i="35"/>
  <c r="CT98" i="35"/>
  <c r="CX98" i="35" s="1"/>
  <c r="Q78" i="19"/>
  <c r="AF78" i="19" s="1"/>
  <c r="CV78" i="35"/>
  <c r="HC78" i="35" s="1"/>
  <c r="HA78" i="35"/>
  <c r="HD46" i="35"/>
  <c r="CU78" i="35"/>
  <c r="HB78" i="35" s="1"/>
  <c r="CX78" i="35"/>
  <c r="HE78" i="35" s="1"/>
  <c r="GA98" i="35"/>
  <c r="GI98" i="35" s="1"/>
  <c r="J98" i="19"/>
  <c r="AB98" i="19" s="1"/>
  <c r="CZ98" i="35"/>
  <c r="W98" i="19" s="1"/>
  <c r="CY98" i="35"/>
  <c r="V98" i="19" s="1"/>
  <c r="DB98" i="35"/>
  <c r="Y98" i="19" s="1"/>
  <c r="DA98" i="35"/>
  <c r="X98" i="19" s="1"/>
  <c r="GS98" i="35"/>
  <c r="HG98" i="35" s="1"/>
  <c r="HO98" i="35" s="1"/>
  <c r="HS98" i="35" s="1"/>
  <c r="GI78" i="35"/>
  <c r="GJ78" i="35" s="1"/>
  <c r="GM78" i="35" s="1"/>
  <c r="GO78" i="35" s="1"/>
  <c r="CZ118" i="35"/>
  <c r="W118" i="19" s="1"/>
  <c r="HQ118" i="35"/>
  <c r="GU78" i="35"/>
  <c r="HI78" i="35" s="1"/>
  <c r="CY118" i="35"/>
  <c r="V118" i="19" s="1"/>
  <c r="CN118" i="35"/>
  <c r="L118" i="19" s="1"/>
  <c r="CP78" i="35"/>
  <c r="GW78" i="35" s="1"/>
  <c r="HK78" i="35" s="1"/>
  <c r="HM78" i="35" s="1"/>
  <c r="HR118" i="35"/>
  <c r="CT118" i="35"/>
  <c r="HA118" i="35" s="1"/>
  <c r="J118" i="19"/>
  <c r="AB118" i="19" s="1"/>
  <c r="HP118" i="35"/>
  <c r="DB118" i="35"/>
  <c r="Y118" i="19" s="1"/>
  <c r="DA118" i="35"/>
  <c r="X118" i="19" s="1"/>
  <c r="GA118" i="35"/>
  <c r="GI118" i="35" s="1"/>
  <c r="GK118" i="35" s="1"/>
  <c r="BU130" i="35"/>
  <c r="BU114" i="35"/>
  <c r="BX114" i="35" s="1"/>
  <c r="BU131" i="35"/>
  <c r="BS152" i="35"/>
  <c r="BU152" i="35" s="1"/>
  <c r="BS156" i="35"/>
  <c r="BU156" i="35" s="1"/>
  <c r="BS164" i="35"/>
  <c r="BU164" i="35" s="1"/>
  <c r="BS157" i="35"/>
  <c r="BU157" i="35" s="1"/>
  <c r="BS153" i="35"/>
  <c r="BU153" i="35" s="1"/>
  <c r="BS140" i="35"/>
  <c r="BU140" i="35" s="1"/>
  <c r="BS149" i="35"/>
  <c r="BU149" i="35" s="1"/>
  <c r="BS154" i="35"/>
  <c r="BU154" i="35" s="1"/>
  <c r="BS151" i="35"/>
  <c r="BS159" i="35"/>
  <c r="BU159" i="35" s="1"/>
  <c r="CG129" i="35"/>
  <c r="CH129" i="35" s="1"/>
  <c r="CK129" i="35" s="1"/>
  <c r="CB129" i="35"/>
  <c r="P56" i="19"/>
  <c r="AE56" i="19" s="1"/>
  <c r="HU54" i="35"/>
  <c r="P54" i="19"/>
  <c r="AE54" i="19" s="1"/>
  <c r="GI94" i="35"/>
  <c r="GK94" i="35" s="1"/>
  <c r="R88" i="19"/>
  <c r="HB95" i="35"/>
  <c r="HC88" i="35"/>
  <c r="GK88" i="35"/>
  <c r="HE101" i="35"/>
  <c r="HU90" i="35"/>
  <c r="CR101" i="35"/>
  <c r="P101" i="19" s="1"/>
  <c r="AE101" i="19" s="1"/>
  <c r="T88" i="19"/>
  <c r="AJ88" i="19" s="1"/>
  <c r="N101" i="19"/>
  <c r="HE88" i="35"/>
  <c r="N59" i="19"/>
  <c r="HE104" i="35"/>
  <c r="HC106" i="35"/>
  <c r="N106" i="19"/>
  <c r="U106" i="19"/>
  <c r="AK106" i="19" s="1"/>
  <c r="HC47" i="35"/>
  <c r="HD104" i="35"/>
  <c r="P48" i="19"/>
  <c r="AE48" i="19" s="1"/>
  <c r="R47" i="19"/>
  <c r="R101" i="19"/>
  <c r="HA94" i="35"/>
  <c r="GY65" i="35"/>
  <c r="P65" i="19"/>
  <c r="AE65" i="19" s="1"/>
  <c r="GW59" i="35"/>
  <c r="HK59" i="35" s="1"/>
  <c r="HM59" i="35" s="1"/>
  <c r="HQ94" i="35"/>
  <c r="HR94" i="35"/>
  <c r="HP94" i="35"/>
  <c r="DB117" i="35"/>
  <c r="Y117" i="19" s="1"/>
  <c r="HC95" i="35"/>
  <c r="HC65" i="35"/>
  <c r="GW110" i="35"/>
  <c r="HK110" i="35" s="1"/>
  <c r="HM110" i="35" s="1"/>
  <c r="T65" i="19"/>
  <c r="AJ65" i="19" s="1"/>
  <c r="CR110" i="35"/>
  <c r="P110" i="19" s="1"/>
  <c r="AE110" i="19" s="1"/>
  <c r="HE47" i="35"/>
  <c r="GW65" i="35"/>
  <c r="HK65" i="35" s="1"/>
  <c r="HM65" i="35" s="1"/>
  <c r="N65" i="19"/>
  <c r="L94" i="19"/>
  <c r="GU94" i="35"/>
  <c r="HI94" i="35" s="1"/>
  <c r="R65" i="19"/>
  <c r="HB65" i="35"/>
  <c r="Q94" i="19"/>
  <c r="AF94" i="19" s="1"/>
  <c r="CV94" i="35"/>
  <c r="S94" i="19" s="1"/>
  <c r="AI94" i="19" s="1"/>
  <c r="CX94" i="35"/>
  <c r="HE94" i="35" s="1"/>
  <c r="CW94" i="35"/>
  <c r="T94" i="19" s="1"/>
  <c r="AJ94" i="19" s="1"/>
  <c r="HB106" i="35"/>
  <c r="GK101" i="35"/>
  <c r="J113" i="19"/>
  <c r="AB113" i="19" s="1"/>
  <c r="DB113" i="35"/>
  <c r="Y113" i="19" s="1"/>
  <c r="CZ113" i="35"/>
  <c r="W113" i="19" s="1"/>
  <c r="CT113" i="35"/>
  <c r="HA113" i="35" s="1"/>
  <c r="CY116" i="35"/>
  <c r="V116" i="19" s="1"/>
  <c r="GA116" i="35"/>
  <c r="GI116" i="35" s="1"/>
  <c r="GJ116" i="35" s="1"/>
  <c r="GM116" i="35" s="1"/>
  <c r="GO116" i="35" s="1"/>
  <c r="CT116" i="35"/>
  <c r="CU116" i="35" s="1"/>
  <c r="HB116" i="35" s="1"/>
  <c r="J116" i="19"/>
  <c r="AB116" i="19" s="1"/>
  <c r="GS116" i="35"/>
  <c r="HG116" i="35" s="1"/>
  <c r="HO116" i="35" s="1"/>
  <c r="HS116" i="35" s="1"/>
  <c r="GJ110" i="35"/>
  <c r="GM110" i="35" s="1"/>
  <c r="GO110" i="35" s="1"/>
  <c r="CY113" i="35"/>
  <c r="V113" i="19" s="1"/>
  <c r="GA113" i="35"/>
  <c r="GC113" i="35" s="1"/>
  <c r="GE113" i="35" s="1"/>
  <c r="GS113" i="35"/>
  <c r="HG113" i="35" s="1"/>
  <c r="HO113" i="35" s="1"/>
  <c r="HQ113" i="35" s="1"/>
  <c r="CP109" i="35"/>
  <c r="CR109" i="35" s="1"/>
  <c r="CN113" i="35"/>
  <c r="CP113" i="35" s="1"/>
  <c r="N113" i="19" s="1"/>
  <c r="N104" i="19"/>
  <c r="GK95" i="35"/>
  <c r="GW106" i="35"/>
  <c r="HK106" i="35" s="1"/>
  <c r="HM106" i="35" s="1"/>
  <c r="J117" i="19"/>
  <c r="AB117" i="19" s="1"/>
  <c r="CR104" i="35"/>
  <c r="GY104" i="35" s="1"/>
  <c r="HU104" i="35" s="1"/>
  <c r="DB116" i="35"/>
  <c r="Y116" i="19" s="1"/>
  <c r="DA116" i="35"/>
  <c r="X116" i="19" s="1"/>
  <c r="CZ116" i="35"/>
  <c r="W116" i="19" s="1"/>
  <c r="HD95" i="35"/>
  <c r="HE95" i="35"/>
  <c r="S101" i="19"/>
  <c r="AI101" i="19" s="1"/>
  <c r="GI79" i="35"/>
  <c r="GJ79" i="35" s="1"/>
  <c r="GM79" i="35" s="1"/>
  <c r="GO79" i="35" s="1"/>
  <c r="HD106" i="35"/>
  <c r="T47" i="19"/>
  <c r="AJ47" i="19" s="1"/>
  <c r="GU109" i="35"/>
  <c r="HI109" i="35" s="1"/>
  <c r="GA117" i="35"/>
  <c r="GC117" i="35" s="1"/>
  <c r="GE117" i="35" s="1"/>
  <c r="DA117" i="35"/>
  <c r="X117" i="19" s="1"/>
  <c r="CN117" i="35"/>
  <c r="GU117" i="35" s="1"/>
  <c r="HI117" i="35" s="1"/>
  <c r="CZ117" i="35"/>
  <c r="W117" i="19" s="1"/>
  <c r="CT117" i="35"/>
  <c r="HA117" i="35" s="1"/>
  <c r="CY117" i="35"/>
  <c r="V117" i="19" s="1"/>
  <c r="N27" i="19"/>
  <c r="GY12" i="35"/>
  <c r="HU12" i="35" s="1"/>
  <c r="HE83" i="35"/>
  <c r="Q79" i="19"/>
  <c r="AF79" i="19" s="1"/>
  <c r="DB108" i="35"/>
  <c r="Y108" i="19" s="1"/>
  <c r="HD83" i="35"/>
  <c r="T83" i="19"/>
  <c r="AJ83" i="19" s="1"/>
  <c r="GA108" i="35"/>
  <c r="GC108" i="35" s="1"/>
  <c r="GE108" i="35" s="1"/>
  <c r="GG108" i="35" s="1"/>
  <c r="CY108" i="35"/>
  <c r="V108" i="19" s="1"/>
  <c r="GS108" i="35"/>
  <c r="HG108" i="35" s="1"/>
  <c r="HO108" i="35" s="1"/>
  <c r="HQ108" i="35" s="1"/>
  <c r="CZ108" i="35"/>
  <c r="W108" i="19" s="1"/>
  <c r="CW79" i="35"/>
  <c r="T79" i="19" s="1"/>
  <c r="AJ79" i="19" s="1"/>
  <c r="HB104" i="35"/>
  <c r="GY83" i="35"/>
  <c r="CP79" i="35"/>
  <c r="GW79" i="35" s="1"/>
  <c r="HK79" i="35" s="1"/>
  <c r="HM79" i="35" s="1"/>
  <c r="L79" i="19"/>
  <c r="CN108" i="35"/>
  <c r="DA108" i="35"/>
  <c r="X108" i="19" s="1"/>
  <c r="CT108" i="35"/>
  <c r="CU108" i="35" s="1"/>
  <c r="R108" i="19" s="1"/>
  <c r="CU79" i="35"/>
  <c r="R79" i="19" s="1"/>
  <c r="CX79" i="35"/>
  <c r="HE79" i="35" s="1"/>
  <c r="GW83" i="35"/>
  <c r="HK83" i="35" s="1"/>
  <c r="HM83" i="35" s="1"/>
  <c r="N83" i="19"/>
  <c r="GW27" i="35"/>
  <c r="HK27" i="35" s="1"/>
  <c r="HM27" i="35" s="1"/>
  <c r="CV79" i="35"/>
  <c r="HC79" i="35" s="1"/>
  <c r="HP79" i="35"/>
  <c r="HQ79" i="35"/>
  <c r="GW94" i="35"/>
  <c r="HK94" i="35" s="1"/>
  <c r="HM94" i="35" s="1"/>
  <c r="CR94" i="35"/>
  <c r="N94" i="19"/>
  <c r="R94" i="19"/>
  <c r="HB94" i="35"/>
  <c r="HR79" i="35"/>
  <c r="S83" i="19"/>
  <c r="AI83" i="19" s="1"/>
  <c r="HC83" i="35"/>
  <c r="GJ103" i="35"/>
  <c r="GM103" i="35" s="1"/>
  <c r="GO103" i="35" s="1"/>
  <c r="GK103" i="35"/>
  <c r="HE103" i="35"/>
  <c r="U103" i="19"/>
  <c r="AK103" i="19" s="1"/>
  <c r="HC103" i="35"/>
  <c r="S103" i="19"/>
  <c r="AI103" i="19" s="1"/>
  <c r="GW103" i="35"/>
  <c r="HK103" i="35" s="1"/>
  <c r="HM103" i="35" s="1"/>
  <c r="CR103" i="35"/>
  <c r="N103" i="19"/>
  <c r="R103" i="19"/>
  <c r="HB103" i="35"/>
  <c r="HD103" i="35"/>
  <c r="T103" i="19"/>
  <c r="AJ103" i="19" s="1"/>
  <c r="HC99" i="35"/>
  <c r="S99" i="19"/>
  <c r="AI99" i="19" s="1"/>
  <c r="T99" i="19"/>
  <c r="AJ99" i="19" s="1"/>
  <c r="HD99" i="35"/>
  <c r="HE99" i="35"/>
  <c r="U99" i="19"/>
  <c r="AK99" i="19" s="1"/>
  <c r="GW99" i="35"/>
  <c r="HK99" i="35" s="1"/>
  <c r="HM99" i="35" s="1"/>
  <c r="N99" i="19"/>
  <c r="CR99" i="35"/>
  <c r="GJ99" i="35"/>
  <c r="GM99" i="35" s="1"/>
  <c r="GO99" i="35" s="1"/>
  <c r="GK99" i="35"/>
  <c r="HB99" i="35"/>
  <c r="R99" i="19"/>
  <c r="H135" i="19"/>
  <c r="Z135" i="19" s="1"/>
  <c r="HE107" i="35"/>
  <c r="U107" i="19"/>
  <c r="AK107" i="19" s="1"/>
  <c r="N107" i="19"/>
  <c r="GW107" i="35"/>
  <c r="HK107" i="35" s="1"/>
  <c r="HM107" i="35" s="1"/>
  <c r="CR107" i="35"/>
  <c r="HD107" i="35"/>
  <c r="T107" i="19"/>
  <c r="AJ107" i="19" s="1"/>
  <c r="R107" i="19"/>
  <c r="GK107" i="35"/>
  <c r="GJ107" i="35"/>
  <c r="GM107" i="35" s="1"/>
  <c r="GO107" i="35" s="1"/>
  <c r="BA162" i="35"/>
  <c r="BE162" i="35" s="1"/>
  <c r="BG162" i="35" s="1"/>
  <c r="BI162" i="35" s="1"/>
  <c r="BK162" i="35" s="1"/>
  <c r="BM162" i="35" s="1"/>
  <c r="BO162" i="35" s="1"/>
  <c r="BQ162" i="35" s="1"/>
  <c r="R75" i="19"/>
  <c r="HB75" i="35"/>
  <c r="S71" i="19"/>
  <c r="AI71" i="19" s="1"/>
  <c r="HC71" i="35"/>
  <c r="BA160" i="35"/>
  <c r="BE160" i="35" s="1"/>
  <c r="BG160" i="35" s="1"/>
  <c r="BI160" i="35" s="1"/>
  <c r="BK160" i="35" s="1"/>
  <c r="BM160" i="35" s="1"/>
  <c r="BO160" i="35" s="1"/>
  <c r="BQ160" i="35" s="1"/>
  <c r="S38" i="19"/>
  <c r="AI38" i="19" s="1"/>
  <c r="HC38" i="35"/>
  <c r="HD64" i="35"/>
  <c r="T64" i="19"/>
  <c r="AJ64" i="19" s="1"/>
  <c r="GJ22" i="35"/>
  <c r="GM22" i="35" s="1"/>
  <c r="GO22" i="35" s="1"/>
  <c r="GK22" i="35"/>
  <c r="CP62" i="35"/>
  <c r="L62" i="19"/>
  <c r="GU62" i="35"/>
  <c r="HI62" i="35" s="1"/>
  <c r="HD78" i="35"/>
  <c r="T78" i="19"/>
  <c r="AJ78" i="19" s="1"/>
  <c r="L81" i="19"/>
  <c r="GU81" i="35"/>
  <c r="HI81" i="35" s="1"/>
  <c r="CP81" i="35"/>
  <c r="CR64" i="35"/>
  <c r="GW64" i="35"/>
  <c r="HK64" i="35" s="1"/>
  <c r="HM64" i="35" s="1"/>
  <c r="N64" i="19"/>
  <c r="HE22" i="35"/>
  <c r="U22" i="19"/>
  <c r="AK22" i="19" s="1"/>
  <c r="U71" i="19"/>
  <c r="AK71" i="19" s="1"/>
  <c r="HE71" i="35"/>
  <c r="R22" i="19"/>
  <c r="HB22" i="35"/>
  <c r="BA165" i="35"/>
  <c r="BE165" i="35" s="1"/>
  <c r="BG165" i="35" s="1"/>
  <c r="BI165" i="35" s="1"/>
  <c r="BK165" i="35" s="1"/>
  <c r="BM165" i="35" s="1"/>
  <c r="BO165" i="35" s="1"/>
  <c r="BQ165" i="35" s="1"/>
  <c r="P84" i="19"/>
  <c r="AE84" i="19" s="1"/>
  <c r="GY84" i="35"/>
  <c r="HU84" i="35" s="1"/>
  <c r="R63" i="19"/>
  <c r="HB63" i="35"/>
  <c r="HC64" i="35"/>
  <c r="S64" i="19"/>
  <c r="AI64" i="19" s="1"/>
  <c r="HD15" i="35"/>
  <c r="T15" i="19"/>
  <c r="AJ15" i="19" s="1"/>
  <c r="S72" i="19"/>
  <c r="AI72" i="19" s="1"/>
  <c r="HC72" i="35"/>
  <c r="GY13" i="35"/>
  <c r="HU13" i="35" s="1"/>
  <c r="P13" i="19"/>
  <c r="AE13" i="19" s="1"/>
  <c r="HP62" i="35"/>
  <c r="HR62" i="35"/>
  <c r="HQ62" i="35"/>
  <c r="HS62" i="35"/>
  <c r="GK55" i="35"/>
  <c r="GJ55" i="35"/>
  <c r="GM55" i="35" s="1"/>
  <c r="GO55" i="35" s="1"/>
  <c r="T75" i="19"/>
  <c r="AJ75" i="19" s="1"/>
  <c r="HD75" i="35"/>
  <c r="P47" i="19"/>
  <c r="AE47" i="19" s="1"/>
  <c r="GY47" i="35"/>
  <c r="HU47" i="35" s="1"/>
  <c r="GW96" i="35"/>
  <c r="HK96" i="35" s="1"/>
  <c r="HM96" i="35" s="1"/>
  <c r="CR96" i="35"/>
  <c r="N96" i="19"/>
  <c r="GW38" i="35"/>
  <c r="HK38" i="35" s="1"/>
  <c r="HM38" i="35" s="1"/>
  <c r="CR38" i="35"/>
  <c r="N38" i="19"/>
  <c r="HB100" i="35"/>
  <c r="R100" i="19"/>
  <c r="H120" i="19"/>
  <c r="Z120" i="19" s="1"/>
  <c r="CJ120" i="35"/>
  <c r="CK120" i="35"/>
  <c r="FA120" i="35"/>
  <c r="GW22" i="35"/>
  <c r="HK22" i="35" s="1"/>
  <c r="HM22" i="35" s="1"/>
  <c r="N22" i="19"/>
  <c r="CR22" i="35"/>
  <c r="T100" i="19"/>
  <c r="AJ100" i="19" s="1"/>
  <c r="HD100" i="35"/>
  <c r="BA161" i="35"/>
  <c r="BE161" i="35" s="1"/>
  <c r="BG161" i="35" s="1"/>
  <c r="BI161" i="35" s="1"/>
  <c r="BK161" i="35" s="1"/>
  <c r="BM161" i="35" s="1"/>
  <c r="BO161" i="35" s="1"/>
  <c r="BQ161" i="35" s="1"/>
  <c r="CR71" i="35"/>
  <c r="GW71" i="35"/>
  <c r="HK71" i="35" s="1"/>
  <c r="HM71" i="35" s="1"/>
  <c r="N71" i="19"/>
  <c r="GJ15" i="35"/>
  <c r="GM15" i="35" s="1"/>
  <c r="GO15" i="35" s="1"/>
  <c r="GK15" i="35"/>
  <c r="U15" i="19"/>
  <c r="AK15" i="19" s="1"/>
  <c r="HE15" i="35"/>
  <c r="T72" i="19"/>
  <c r="AJ72" i="19" s="1"/>
  <c r="HD72" i="35"/>
  <c r="HS81" i="35"/>
  <c r="HR81" i="35"/>
  <c r="HQ81" i="35"/>
  <c r="HP81" i="35"/>
  <c r="GY24" i="35"/>
  <c r="HU24" i="35" s="1"/>
  <c r="P24" i="19"/>
  <c r="AE24" i="19" s="1"/>
  <c r="N55" i="19"/>
  <c r="CR55" i="35"/>
  <c r="GW55" i="35"/>
  <c r="HK55" i="35" s="1"/>
  <c r="HM55" i="35" s="1"/>
  <c r="S22" i="19"/>
  <c r="AI22" i="19" s="1"/>
  <c r="HC22" i="35"/>
  <c r="HB55" i="35"/>
  <c r="R55" i="19"/>
  <c r="HC100" i="35"/>
  <c r="S100" i="19"/>
  <c r="AI100" i="19" s="1"/>
  <c r="R71" i="19"/>
  <c r="HB71" i="35"/>
  <c r="HD38" i="35"/>
  <c r="T38" i="19"/>
  <c r="AJ38" i="19" s="1"/>
  <c r="HA81" i="35"/>
  <c r="CX81" i="35"/>
  <c r="Q81" i="19"/>
  <c r="AF81" i="19" s="1"/>
  <c r="CW81" i="35"/>
  <c r="CV81" i="35"/>
  <c r="CU81" i="35"/>
  <c r="BA169" i="35"/>
  <c r="BE169" i="35" s="1"/>
  <c r="BG169" i="35" s="1"/>
  <c r="BI169" i="35" s="1"/>
  <c r="BK169" i="35" s="1"/>
  <c r="BM169" i="35" s="1"/>
  <c r="BO169" i="35" s="1"/>
  <c r="BQ169" i="35" s="1"/>
  <c r="BA158" i="35"/>
  <c r="BE158" i="35" s="1"/>
  <c r="BG158" i="35" s="1"/>
  <c r="BI158" i="35" s="1"/>
  <c r="BK158" i="35" s="1"/>
  <c r="BM158" i="35" s="1"/>
  <c r="BO158" i="35" s="1"/>
  <c r="BQ158" i="35" s="1"/>
  <c r="HB15" i="35"/>
  <c r="R15" i="19"/>
  <c r="GW100" i="35"/>
  <c r="HK100" i="35" s="1"/>
  <c r="HM100" i="35" s="1"/>
  <c r="CR100" i="35"/>
  <c r="N100" i="19"/>
  <c r="HE75" i="35"/>
  <c r="U75" i="19"/>
  <c r="AK75" i="19" s="1"/>
  <c r="GJ64" i="35"/>
  <c r="GM64" i="35" s="1"/>
  <c r="GO64" i="35" s="1"/>
  <c r="GK64" i="35"/>
  <c r="GK71" i="35"/>
  <c r="GJ71" i="35"/>
  <c r="GM71" i="35" s="1"/>
  <c r="GO71" i="35" s="1"/>
  <c r="GK100" i="35"/>
  <c r="GJ100" i="35"/>
  <c r="GM100" i="35" s="1"/>
  <c r="GO100" i="35" s="1"/>
  <c r="T22" i="19"/>
  <c r="AJ22" i="19" s="1"/>
  <c r="HD22" i="35"/>
  <c r="S55" i="19"/>
  <c r="AI55" i="19" s="1"/>
  <c r="HC55" i="35"/>
  <c r="HE100" i="35"/>
  <c r="U100" i="19"/>
  <c r="AK100" i="19" s="1"/>
  <c r="R38" i="19"/>
  <c r="HB38" i="35"/>
  <c r="U64" i="19"/>
  <c r="AK64" i="19" s="1"/>
  <c r="HE64" i="35"/>
  <c r="CR72" i="35"/>
  <c r="GW72" i="35"/>
  <c r="HK72" i="35" s="1"/>
  <c r="HM72" i="35" s="1"/>
  <c r="N72" i="19"/>
  <c r="GI62" i="35"/>
  <c r="GC62" i="35"/>
  <c r="GE62" i="35" s="1"/>
  <c r="GG62" i="35" s="1"/>
  <c r="T55" i="19"/>
  <c r="AJ55" i="19" s="1"/>
  <c r="HD55" i="35"/>
  <c r="T71" i="19"/>
  <c r="AJ71" i="19" s="1"/>
  <c r="HD71" i="35"/>
  <c r="T63" i="19"/>
  <c r="AJ63" i="19" s="1"/>
  <c r="HD63" i="35"/>
  <c r="R72" i="19"/>
  <c r="HB72" i="35"/>
  <c r="DA125" i="35"/>
  <c r="X125" i="19" s="1"/>
  <c r="DB125" i="35"/>
  <c r="Y125" i="19" s="1"/>
  <c r="GA125" i="35"/>
  <c r="CZ125" i="35"/>
  <c r="W125" i="19" s="1"/>
  <c r="GS125" i="35"/>
  <c r="HG125" i="35" s="1"/>
  <c r="HO125" i="35" s="1"/>
  <c r="CY125" i="35"/>
  <c r="V125" i="19" s="1"/>
  <c r="J125" i="19"/>
  <c r="AB125" i="19" s="1"/>
  <c r="CN125" i="35"/>
  <c r="CT125" i="35"/>
  <c r="U38" i="19"/>
  <c r="AK38" i="19" s="1"/>
  <c r="HE38" i="35"/>
  <c r="GW63" i="35"/>
  <c r="HK63" i="35" s="1"/>
  <c r="HM63" i="35" s="1"/>
  <c r="N63" i="19"/>
  <c r="CR63" i="35"/>
  <c r="HB64" i="35"/>
  <c r="R64" i="19"/>
  <c r="P44" i="19"/>
  <c r="AE44" i="19" s="1"/>
  <c r="GY44" i="35"/>
  <c r="HU44" i="35" s="1"/>
  <c r="N15" i="19"/>
  <c r="GW15" i="35"/>
  <c r="HK15" i="35" s="1"/>
  <c r="HM15" i="35" s="1"/>
  <c r="CR15" i="35"/>
  <c r="U55" i="19"/>
  <c r="AK55" i="19" s="1"/>
  <c r="HE55" i="35"/>
  <c r="GY27" i="35"/>
  <c r="P27" i="19"/>
  <c r="AE27" i="19" s="1"/>
  <c r="GJ72" i="35"/>
  <c r="GM72" i="35" s="1"/>
  <c r="GO72" i="35" s="1"/>
  <c r="GK72" i="35"/>
  <c r="S15" i="19"/>
  <c r="AI15" i="19" s="1"/>
  <c r="HC15" i="35"/>
  <c r="HE72" i="35"/>
  <c r="U72" i="19"/>
  <c r="AK72" i="19" s="1"/>
  <c r="GJ38" i="35"/>
  <c r="GM38" i="35" s="1"/>
  <c r="GO38" i="35" s="1"/>
  <c r="GK38" i="35"/>
  <c r="CV62" i="35"/>
  <c r="Q62" i="19"/>
  <c r="AF62" i="19" s="1"/>
  <c r="CU62" i="35"/>
  <c r="CW62" i="35"/>
  <c r="HA62" i="35"/>
  <c r="CX62" i="35"/>
  <c r="HC75" i="35"/>
  <c r="S75" i="19"/>
  <c r="AI75" i="19" s="1"/>
  <c r="GJ63" i="35"/>
  <c r="GM63" i="35" s="1"/>
  <c r="GO63" i="35" s="1"/>
  <c r="GK63" i="35"/>
  <c r="GC81" i="35"/>
  <c r="GE81" i="35" s="1"/>
  <c r="GG81" i="35" s="1"/>
  <c r="GI81" i="35"/>
  <c r="CL25" i="35"/>
  <c r="GS25" i="35" s="1"/>
  <c r="HG25" i="35" s="1"/>
  <c r="HO25" i="35" s="1"/>
  <c r="AZ148" i="35"/>
  <c r="AZ174" i="35"/>
  <c r="BA155" i="35"/>
  <c r="BE155" i="35" s="1"/>
  <c r="BG155" i="35" s="1"/>
  <c r="BI155" i="35" s="1"/>
  <c r="BK155" i="35" s="1"/>
  <c r="BM155" i="35" s="1"/>
  <c r="BO155" i="35" s="1"/>
  <c r="BQ155" i="35" s="1"/>
  <c r="P59" i="19"/>
  <c r="AE59" i="19" s="1"/>
  <c r="GY59" i="35"/>
  <c r="AZ163" i="35"/>
  <c r="I25" i="19"/>
  <c r="AA25" i="19" s="1"/>
  <c r="BA168" i="35"/>
  <c r="BE168" i="35" s="1"/>
  <c r="BG168" i="35" s="1"/>
  <c r="BI168" i="35" s="1"/>
  <c r="BK168" i="35" s="1"/>
  <c r="BM168" i="35" s="1"/>
  <c r="BO168" i="35" s="1"/>
  <c r="AX175" i="35"/>
  <c r="AX179" i="35"/>
  <c r="AZ179" i="35" s="1"/>
  <c r="AX176" i="35"/>
  <c r="AX166" i="35"/>
  <c r="AZ166" i="35" s="1"/>
  <c r="AX178" i="35"/>
  <c r="AZ178" i="35" s="1"/>
  <c r="AX171" i="35"/>
  <c r="AX170" i="35"/>
  <c r="AZ170" i="35" s="1"/>
  <c r="AX173" i="35"/>
  <c r="AZ173" i="35" s="1"/>
  <c r="AX181" i="35"/>
  <c r="AZ181" i="35" s="1"/>
  <c r="AX172" i="35"/>
  <c r="AZ172" i="35" s="1"/>
  <c r="GU116" i="35"/>
  <c r="HI116" i="35" s="1"/>
  <c r="GY88" i="35"/>
  <c r="HU88" i="35" s="1"/>
  <c r="CP116" i="35"/>
  <c r="N116" i="19" s="1"/>
  <c r="EK163" i="35"/>
  <c r="EJ163" i="35" s="1"/>
  <c r="AR195" i="35"/>
  <c r="EA195" i="35" s="1"/>
  <c r="AR198" i="35"/>
  <c r="AR183" i="35"/>
  <c r="EA183" i="35" s="1"/>
  <c r="AR150" i="35"/>
  <c r="EA150" i="35" s="1"/>
  <c r="AR192" i="35"/>
  <c r="AR197" i="35"/>
  <c r="EA197" i="35" s="1"/>
  <c r="AR190" i="35"/>
  <c r="EL161" i="35"/>
  <c r="FF12" i="35"/>
  <c r="FG9" i="35"/>
  <c r="HQ124" i="35"/>
  <c r="HP124" i="35"/>
  <c r="HS124" i="35"/>
  <c r="HR124" i="35"/>
  <c r="GY95" i="35"/>
  <c r="HU95" i="35" s="1"/>
  <c r="P95" i="19"/>
  <c r="AE95" i="19" s="1"/>
  <c r="S111" i="19"/>
  <c r="AI111" i="19" s="1"/>
  <c r="HC111" i="35"/>
  <c r="HS117" i="35"/>
  <c r="HR117" i="35"/>
  <c r="HQ117" i="35"/>
  <c r="HP117" i="35"/>
  <c r="HA124" i="35"/>
  <c r="CU124" i="35"/>
  <c r="CW124" i="35"/>
  <c r="Q124" i="19"/>
  <c r="AF124" i="19" s="1"/>
  <c r="CX124" i="35"/>
  <c r="CV124" i="35"/>
  <c r="CP124" i="35"/>
  <c r="GU124" i="35"/>
  <c r="HI124" i="35" s="1"/>
  <c r="L124" i="19"/>
  <c r="L98" i="19"/>
  <c r="CP98" i="35"/>
  <c r="GU98" i="35"/>
  <c r="HI98" i="35" s="1"/>
  <c r="HD111" i="35"/>
  <c r="P106" i="19"/>
  <c r="AE106" i="19" s="1"/>
  <c r="GY106" i="35"/>
  <c r="GC124" i="35"/>
  <c r="GE124" i="35" s="1"/>
  <c r="GG124" i="35" s="1"/>
  <c r="GI124" i="35"/>
  <c r="EL165" i="35"/>
  <c r="EL160" i="35"/>
  <c r="EK148" i="35"/>
  <c r="EJ148" i="35" s="1"/>
  <c r="EK162" i="35"/>
  <c r="EJ162" i="35" s="1"/>
  <c r="AV176" i="35"/>
  <c r="EL176" i="35" s="1"/>
  <c r="EA178" i="35"/>
  <c r="EA176" i="35"/>
  <c r="EA170" i="35"/>
  <c r="EA171" i="35"/>
  <c r="AU180" i="35"/>
  <c r="AW180" i="35" s="1"/>
  <c r="AU167" i="35"/>
  <c r="AW167" i="35" s="1"/>
  <c r="AU177" i="35"/>
  <c r="AW177" i="35" s="1"/>
  <c r="AU182" i="35"/>
  <c r="AW182" i="35" s="1"/>
  <c r="AP200" i="35"/>
  <c r="AQ200" i="35" s="1"/>
  <c r="AP196" i="35"/>
  <c r="AQ196" i="35" s="1"/>
  <c r="AP191" i="35"/>
  <c r="AQ191" i="35" s="1"/>
  <c r="AP186" i="35"/>
  <c r="AQ186" i="35" s="1"/>
  <c r="AP199" i="35"/>
  <c r="AQ199" i="35" s="1"/>
  <c r="AP189" i="35"/>
  <c r="AQ189" i="35" s="1"/>
  <c r="AP187" i="35"/>
  <c r="AQ187" i="35" s="1"/>
  <c r="AP188" i="35"/>
  <c r="AQ188" i="35" s="1"/>
  <c r="AP185" i="35"/>
  <c r="AQ185" i="35" s="1"/>
  <c r="AP184" i="35"/>
  <c r="AQ184" i="35" s="1"/>
  <c r="AP193" i="35"/>
  <c r="AQ193" i="35" s="1"/>
  <c r="AP194" i="35"/>
  <c r="AQ194" i="35" s="1"/>
  <c r="AK204" i="35"/>
  <c r="AO204" i="35" s="1"/>
  <c r="AK201" i="35"/>
  <c r="AO201" i="35" s="1"/>
  <c r="AK215" i="35"/>
  <c r="AO215" i="35" s="1"/>
  <c r="AK212" i="35"/>
  <c r="AO212" i="35" s="1"/>
  <c r="AK206" i="35"/>
  <c r="AO206" i="35" s="1"/>
  <c r="EK169" i="35"/>
  <c r="EJ169" i="35" s="1"/>
  <c r="EK174" i="35"/>
  <c r="EJ174" i="35" s="1"/>
  <c r="AV172" i="35"/>
  <c r="EK172" i="35" s="1"/>
  <c r="EJ172" i="35" s="1"/>
  <c r="AV171" i="35"/>
  <c r="EK171" i="35" s="1"/>
  <c r="EJ171" i="35" s="1"/>
  <c r="AV178" i="35"/>
  <c r="AV166" i="35"/>
  <c r="EL166" i="35" s="1"/>
  <c r="AV175" i="35"/>
  <c r="AV170" i="35"/>
  <c r="AU195" i="35"/>
  <c r="AW195" i="35" s="1"/>
  <c r="AV179" i="35"/>
  <c r="EK168" i="35"/>
  <c r="EJ168" i="35" s="1"/>
  <c r="AV173" i="35"/>
  <c r="AU197" i="35"/>
  <c r="AW197" i="35" s="1"/>
  <c r="AV181" i="35"/>
  <c r="AU150" i="35"/>
  <c r="AW150" i="35" s="1"/>
  <c r="B58" i="37"/>
  <c r="AS21" i="37"/>
  <c r="AJ216" i="35"/>
  <c r="AJ203" i="35"/>
  <c r="AJ202" i="35"/>
  <c r="AJ207" i="35"/>
  <c r="AJ209" i="35"/>
  <c r="AJ214" i="35"/>
  <c r="AJ211" i="35"/>
  <c r="AJ217" i="35"/>
  <c r="AJ208" i="35"/>
  <c r="AJ213" i="35"/>
  <c r="AJ210" i="35"/>
  <c r="AJ205" i="35"/>
  <c r="AJ218" i="35"/>
  <c r="AE219" i="35"/>
  <c r="AE220" i="35" s="1"/>
  <c r="AD220" i="35"/>
  <c r="AD221" i="35" s="1"/>
  <c r="M36" i="32"/>
  <c r="K36" i="32"/>
  <c r="M28" i="32"/>
  <c r="K28" i="32"/>
  <c r="M20" i="32"/>
  <c r="K20" i="32"/>
  <c r="GI93" i="35" l="1"/>
  <c r="GC93" i="35"/>
  <c r="GE93" i="35" s="1"/>
  <c r="GG93" i="35" s="1"/>
  <c r="CN93" i="35"/>
  <c r="HE63" i="35"/>
  <c r="S63" i="19"/>
  <c r="AI63" i="19" s="1"/>
  <c r="CG141" i="35"/>
  <c r="CH141" i="35" s="1"/>
  <c r="FA141" i="35" s="1"/>
  <c r="CT93" i="35"/>
  <c r="CV93" i="35" s="1"/>
  <c r="S93" i="19" s="1"/>
  <c r="AI93" i="19" s="1"/>
  <c r="HA59" i="35"/>
  <c r="CU59" i="35"/>
  <c r="CW59" i="35"/>
  <c r="CV59" i="35"/>
  <c r="Q59" i="19"/>
  <c r="AF59" i="19" s="1"/>
  <c r="CX59" i="35"/>
  <c r="DB93" i="35"/>
  <c r="Y93" i="19" s="1"/>
  <c r="GC59" i="35"/>
  <c r="GE59" i="35" s="1"/>
  <c r="GG59" i="35" s="1"/>
  <c r="GI59" i="35"/>
  <c r="GS93" i="35"/>
  <c r="HG93" i="35" s="1"/>
  <c r="HO93" i="35" s="1"/>
  <c r="CY93" i="35"/>
  <c r="V93" i="19" s="1"/>
  <c r="S26" i="19"/>
  <c r="AI26" i="19" s="1"/>
  <c r="CJ138" i="35"/>
  <c r="FA138" i="35"/>
  <c r="CK138" i="35"/>
  <c r="EB145" i="35"/>
  <c r="CI145" i="35"/>
  <c r="CN121" i="35"/>
  <c r="L121" i="19" s="1"/>
  <c r="CB134" i="35"/>
  <c r="U69" i="19"/>
  <c r="AK69" i="19" s="1"/>
  <c r="HE69" i="35"/>
  <c r="CV97" i="35"/>
  <c r="Q97" i="19"/>
  <c r="AF97" i="19" s="1"/>
  <c r="CX97" i="35"/>
  <c r="CU97" i="35"/>
  <c r="CW97" i="35"/>
  <c r="HA97" i="35"/>
  <c r="DA119" i="35"/>
  <c r="X119" i="19" s="1"/>
  <c r="L46" i="19"/>
  <c r="CP46" i="35"/>
  <c r="CP97" i="35"/>
  <c r="GU97" i="35"/>
  <c r="HI97" i="35" s="1"/>
  <c r="L97" i="19"/>
  <c r="HS121" i="35"/>
  <c r="GS122" i="35"/>
  <c r="HG122" i="35" s="1"/>
  <c r="HO122" i="35" s="1"/>
  <c r="J122" i="19"/>
  <c r="AB122" i="19" s="1"/>
  <c r="CZ122" i="35"/>
  <c r="W122" i="19" s="1"/>
  <c r="CY122" i="35"/>
  <c r="V122" i="19" s="1"/>
  <c r="CT122" i="35"/>
  <c r="CN122" i="35"/>
  <c r="DA122" i="35"/>
  <c r="X122" i="19" s="1"/>
  <c r="GA122" i="35"/>
  <c r="DB122" i="35"/>
  <c r="Y122" i="19" s="1"/>
  <c r="GJ69" i="35"/>
  <c r="GM69" i="35" s="1"/>
  <c r="GO69" i="35" s="1"/>
  <c r="GK69" i="35"/>
  <c r="HA93" i="35"/>
  <c r="CL128" i="35"/>
  <c r="GY85" i="35"/>
  <c r="HU85" i="35" s="1"/>
  <c r="P85" i="19"/>
  <c r="AE85" i="19" s="1"/>
  <c r="GW69" i="35"/>
  <c r="HK69" i="35" s="1"/>
  <c r="HM69" i="35" s="1"/>
  <c r="CR69" i="35"/>
  <c r="N69" i="19"/>
  <c r="HP46" i="35"/>
  <c r="HQ46" i="35"/>
  <c r="R69" i="19"/>
  <c r="HB69" i="35"/>
  <c r="HD69" i="35"/>
  <c r="T69" i="19"/>
  <c r="AJ69" i="19" s="1"/>
  <c r="GC97" i="35"/>
  <c r="GE97" i="35" s="1"/>
  <c r="GG97" i="35" s="1"/>
  <c r="GI97" i="35"/>
  <c r="GI46" i="35"/>
  <c r="GC46" i="35"/>
  <c r="GE46" i="35" s="1"/>
  <c r="GG46" i="35" s="1"/>
  <c r="CN119" i="35"/>
  <c r="CP119" i="35" s="1"/>
  <c r="HQ97" i="35"/>
  <c r="HP97" i="35"/>
  <c r="HR97" i="35"/>
  <c r="HS97" i="35"/>
  <c r="S69" i="19"/>
  <c r="AI69" i="19" s="1"/>
  <c r="HC69" i="35"/>
  <c r="EB141" i="35"/>
  <c r="CI141" i="35"/>
  <c r="EB135" i="35"/>
  <c r="CI135" i="35"/>
  <c r="EB133" i="35"/>
  <c r="CI133" i="35"/>
  <c r="H143" i="19"/>
  <c r="Z143" i="19" s="1"/>
  <c r="FA143" i="35"/>
  <c r="CJ143" i="35"/>
  <c r="CK143" i="35"/>
  <c r="FA123" i="35"/>
  <c r="CJ123" i="35"/>
  <c r="H123" i="19"/>
  <c r="Z123" i="19" s="1"/>
  <c r="CK123" i="35"/>
  <c r="FA137" i="35"/>
  <c r="CJ137" i="35"/>
  <c r="CK137" i="35"/>
  <c r="H137" i="19"/>
  <c r="Z137" i="19" s="1"/>
  <c r="H134" i="19"/>
  <c r="Z134" i="19" s="1"/>
  <c r="CK134" i="35"/>
  <c r="FA134" i="35"/>
  <c r="CJ134" i="35"/>
  <c r="H138" i="19"/>
  <c r="Z138" i="19" s="1"/>
  <c r="GI109" i="35"/>
  <c r="GJ109" i="35" s="1"/>
  <c r="GM109" i="35" s="1"/>
  <c r="GO109" i="35" s="1"/>
  <c r="GK86" i="35"/>
  <c r="GJ86" i="35"/>
  <c r="GM86" i="35" s="1"/>
  <c r="GO86" i="35" s="1"/>
  <c r="HB86" i="35"/>
  <c r="R86" i="19"/>
  <c r="R52" i="19"/>
  <c r="HB52" i="35"/>
  <c r="CG146" i="35"/>
  <c r="CH146" i="35" s="1"/>
  <c r="CP87" i="35"/>
  <c r="L87" i="19"/>
  <c r="GU87" i="35"/>
  <c r="HI87" i="35" s="1"/>
  <c r="GC87" i="35"/>
  <c r="GE87" i="35" s="1"/>
  <c r="GG87" i="35" s="1"/>
  <c r="GI87" i="35"/>
  <c r="HC107" i="35"/>
  <c r="GS105" i="35"/>
  <c r="HG105" i="35" s="1"/>
  <c r="HO105" i="35" s="1"/>
  <c r="J105" i="19"/>
  <c r="AB105" i="19" s="1"/>
  <c r="CT105" i="35"/>
  <c r="CN105" i="35"/>
  <c r="CY105" i="35"/>
  <c r="V105" i="19" s="1"/>
  <c r="CZ105" i="35"/>
  <c r="W105" i="19" s="1"/>
  <c r="DB105" i="35"/>
  <c r="Y105" i="19" s="1"/>
  <c r="DA105" i="35"/>
  <c r="X105" i="19" s="1"/>
  <c r="GA105" i="35"/>
  <c r="GW86" i="35"/>
  <c r="HK86" i="35" s="1"/>
  <c r="HM86" i="35" s="1"/>
  <c r="CR86" i="35"/>
  <c r="N86" i="19"/>
  <c r="HA87" i="35"/>
  <c r="CX87" i="35"/>
  <c r="CW87" i="35"/>
  <c r="CV87" i="35"/>
  <c r="CU87" i="35"/>
  <c r="Q87" i="19"/>
  <c r="AF87" i="19" s="1"/>
  <c r="S86" i="19"/>
  <c r="AI86" i="19" s="1"/>
  <c r="HC86" i="35"/>
  <c r="U52" i="19"/>
  <c r="AK52" i="19" s="1"/>
  <c r="HE52" i="35"/>
  <c r="BZ147" i="35"/>
  <c r="CA147" i="35" s="1"/>
  <c r="CB147" i="35" s="1"/>
  <c r="GW52" i="35"/>
  <c r="HK52" i="35" s="1"/>
  <c r="HM52" i="35" s="1"/>
  <c r="CR52" i="35"/>
  <c r="N52" i="19"/>
  <c r="HD86" i="35"/>
  <c r="T86" i="19"/>
  <c r="AJ86" i="19" s="1"/>
  <c r="GU111" i="35"/>
  <c r="HI111" i="35" s="1"/>
  <c r="HD52" i="35"/>
  <c r="T52" i="19"/>
  <c r="AJ52" i="19" s="1"/>
  <c r="CL92" i="35"/>
  <c r="HQ87" i="35"/>
  <c r="HP87" i="35"/>
  <c r="HS87" i="35"/>
  <c r="HR87" i="35"/>
  <c r="GJ52" i="35"/>
  <c r="GM52" i="35" s="1"/>
  <c r="GO52" i="35" s="1"/>
  <c r="GK52" i="35"/>
  <c r="U86" i="19"/>
  <c r="AK86" i="19" s="1"/>
  <c r="HE86" i="35"/>
  <c r="BZ114" i="35"/>
  <c r="CA114" i="35" s="1"/>
  <c r="CI144" i="35"/>
  <c r="BZ139" i="35"/>
  <c r="CA139" i="35" s="1"/>
  <c r="CG139" i="35" s="1"/>
  <c r="CH139" i="35" s="1"/>
  <c r="S52" i="19"/>
  <c r="AI52" i="19" s="1"/>
  <c r="HC52" i="35"/>
  <c r="BZ132" i="35"/>
  <c r="CA132" i="35" s="1"/>
  <c r="CG132" i="35" s="1"/>
  <c r="CH132" i="35" s="1"/>
  <c r="BZ136" i="35"/>
  <c r="CA136" i="35" s="1"/>
  <c r="CG136" i="35" s="1"/>
  <c r="CH136" i="35" s="1"/>
  <c r="I92" i="19"/>
  <c r="AA92" i="19" s="1"/>
  <c r="HQ121" i="35"/>
  <c r="GS119" i="35"/>
  <c r="HG119" i="35" s="1"/>
  <c r="HO119" i="35" s="1"/>
  <c r="HQ119" i="35" s="1"/>
  <c r="CZ119" i="35"/>
  <c r="W119" i="19" s="1"/>
  <c r="HR121" i="35"/>
  <c r="CT119" i="35"/>
  <c r="CV119" i="35" s="1"/>
  <c r="S119" i="19" s="1"/>
  <c r="AI119" i="19" s="1"/>
  <c r="DB119" i="35"/>
  <c r="Y119" i="19" s="1"/>
  <c r="J119" i="19"/>
  <c r="AB119" i="19" s="1"/>
  <c r="CY121" i="35"/>
  <c r="V121" i="19" s="1"/>
  <c r="T61" i="19"/>
  <c r="AJ61" i="19" s="1"/>
  <c r="GA119" i="35"/>
  <c r="GI119" i="35" s="1"/>
  <c r="DB121" i="35"/>
  <c r="Y121" i="19" s="1"/>
  <c r="HU26" i="35"/>
  <c r="EB127" i="35"/>
  <c r="CT102" i="35"/>
  <c r="CT121" i="35"/>
  <c r="HA121" i="35" s="1"/>
  <c r="J121" i="19"/>
  <c r="AB121" i="19" s="1"/>
  <c r="DA121" i="35"/>
  <c r="X121" i="19" s="1"/>
  <c r="GA121" i="35"/>
  <c r="GC121" i="35" s="1"/>
  <c r="GE121" i="35" s="1"/>
  <c r="CZ121" i="35"/>
  <c r="W121" i="19" s="1"/>
  <c r="CV51" i="35"/>
  <c r="CX51" i="35"/>
  <c r="Q51" i="19"/>
  <c r="AF51" i="19" s="1"/>
  <c r="HA51" i="35"/>
  <c r="CU51" i="35"/>
  <c r="CW51" i="35"/>
  <c r="HS51" i="35"/>
  <c r="HR51" i="35"/>
  <c r="HP51" i="35"/>
  <c r="HQ51" i="35"/>
  <c r="GC51" i="35"/>
  <c r="GE51" i="35" s="1"/>
  <c r="GG51" i="35" s="1"/>
  <c r="GI51" i="35"/>
  <c r="I115" i="19"/>
  <c r="AA115" i="19" s="1"/>
  <c r="L51" i="19"/>
  <c r="GU51" i="35"/>
  <c r="HI51" i="35" s="1"/>
  <c r="CP51" i="35"/>
  <c r="U46" i="19"/>
  <c r="AK46" i="19" s="1"/>
  <c r="HE111" i="35"/>
  <c r="FA142" i="35"/>
  <c r="CI137" i="35"/>
  <c r="CI115" i="35"/>
  <c r="CL115" i="35" s="1"/>
  <c r="CY115" i="35" s="1"/>
  <c r="V115" i="19" s="1"/>
  <c r="GJ111" i="35"/>
  <c r="GM111" i="35" s="1"/>
  <c r="GO111" i="35" s="1"/>
  <c r="CX109" i="35"/>
  <c r="HE109" i="35" s="1"/>
  <c r="I128" i="19"/>
  <c r="AA128" i="19" s="1"/>
  <c r="J102" i="19"/>
  <c r="AB102" i="19" s="1"/>
  <c r="CW109" i="35"/>
  <c r="HD109" i="35" s="1"/>
  <c r="CB142" i="35"/>
  <c r="CU35" i="35"/>
  <c r="HA35" i="35"/>
  <c r="CW35" i="35"/>
  <c r="Q35" i="19"/>
  <c r="AF35" i="19" s="1"/>
  <c r="CX35" i="35"/>
  <c r="CV35" i="35"/>
  <c r="CY102" i="35"/>
  <c r="V102" i="19" s="1"/>
  <c r="H142" i="19"/>
  <c r="Z142" i="19" s="1"/>
  <c r="GU35" i="35"/>
  <c r="HI35" i="35" s="1"/>
  <c r="L35" i="19"/>
  <c r="CP35" i="35"/>
  <c r="EB112" i="35"/>
  <c r="CI112" i="35"/>
  <c r="CL112" i="35" s="1"/>
  <c r="DB112" i="35" s="1"/>
  <c r="Y112" i="19" s="1"/>
  <c r="R111" i="19"/>
  <c r="DB102" i="35"/>
  <c r="Y102" i="19" s="1"/>
  <c r="GK104" i="35"/>
  <c r="DA102" i="35"/>
  <c r="X102" i="19" s="1"/>
  <c r="CJ142" i="35"/>
  <c r="I142" i="19" s="1"/>
  <c r="AA142" i="19" s="1"/>
  <c r="CV109" i="35"/>
  <c r="S109" i="19" s="1"/>
  <c r="AI109" i="19" s="1"/>
  <c r="HP35" i="35"/>
  <c r="HS35" i="35"/>
  <c r="HQ35" i="35"/>
  <c r="HR35" i="35"/>
  <c r="GA102" i="35"/>
  <c r="GC102" i="35" s="1"/>
  <c r="GE102" i="35" s="1"/>
  <c r="GG102" i="35" s="1"/>
  <c r="GC111" i="35"/>
  <c r="GE111" i="35" s="1"/>
  <c r="GC35" i="35"/>
  <c r="GE35" i="35" s="1"/>
  <c r="GG35" i="35" s="1"/>
  <c r="GI35" i="35"/>
  <c r="CU109" i="35"/>
  <c r="R109" i="19" s="1"/>
  <c r="Q109" i="19"/>
  <c r="AF109" i="19" s="1"/>
  <c r="CN102" i="35"/>
  <c r="CP102" i="35" s="1"/>
  <c r="GS102" i="35"/>
  <c r="HG102" i="35" s="1"/>
  <c r="HO102" i="35" s="1"/>
  <c r="HR102" i="35" s="1"/>
  <c r="T96" i="19"/>
  <c r="AJ96" i="19" s="1"/>
  <c r="GJ75" i="35"/>
  <c r="GM75" i="35" s="1"/>
  <c r="GO75" i="35" s="1"/>
  <c r="HU80" i="35"/>
  <c r="CJ135" i="35"/>
  <c r="I135" i="19" s="1"/>
  <c r="AA135" i="19" s="1"/>
  <c r="FA135" i="35"/>
  <c r="P26" i="19"/>
  <c r="AE26" i="19" s="1"/>
  <c r="EB123" i="35"/>
  <c r="CP111" i="35"/>
  <c r="GW111" i="35" s="1"/>
  <c r="HK111" i="35" s="1"/>
  <c r="HM111" i="35" s="1"/>
  <c r="CJ145" i="35"/>
  <c r="HC96" i="35"/>
  <c r="CK145" i="35"/>
  <c r="HQ111" i="35"/>
  <c r="FA145" i="35"/>
  <c r="HR111" i="35"/>
  <c r="CJ141" i="35"/>
  <c r="HP111" i="35"/>
  <c r="FA133" i="35"/>
  <c r="HE96" i="35"/>
  <c r="H133" i="19"/>
  <c r="Z133" i="19" s="1"/>
  <c r="HB96" i="35"/>
  <c r="CR75" i="35"/>
  <c r="GY75" i="35" s="1"/>
  <c r="HU75" i="35" s="1"/>
  <c r="CJ133" i="35"/>
  <c r="N75" i="19"/>
  <c r="CB136" i="35"/>
  <c r="CI136" i="35" s="1"/>
  <c r="CL126" i="35"/>
  <c r="GS126" i="35" s="1"/>
  <c r="HG126" i="35" s="1"/>
  <c r="HO126" i="35" s="1"/>
  <c r="CB139" i="35"/>
  <c r="EB139" i="35" s="1"/>
  <c r="HU61" i="35"/>
  <c r="CI146" i="35"/>
  <c r="CL127" i="35"/>
  <c r="DA127" i="35" s="1"/>
  <c r="X127" i="19" s="1"/>
  <c r="BX159" i="35"/>
  <c r="BX149" i="35"/>
  <c r="FA144" i="35"/>
  <c r="BX140" i="35"/>
  <c r="CK141" i="35"/>
  <c r="BX152" i="35"/>
  <c r="EB134" i="35"/>
  <c r="CI134" i="35"/>
  <c r="BX153" i="35"/>
  <c r="BX156" i="35"/>
  <c r="EB138" i="35"/>
  <c r="CI138" i="35"/>
  <c r="CL138" i="35" s="1"/>
  <c r="J138" i="19" s="1"/>
  <c r="AB138" i="19" s="1"/>
  <c r="CK144" i="35"/>
  <c r="I144" i="19" s="1"/>
  <c r="AA144" i="19" s="1"/>
  <c r="GK96" i="35"/>
  <c r="H141" i="19"/>
  <c r="Z141" i="19" s="1"/>
  <c r="BX157" i="35"/>
  <c r="CB132" i="35"/>
  <c r="EB132" i="35" s="1"/>
  <c r="EB143" i="35"/>
  <c r="CI143" i="35"/>
  <c r="CL143" i="35" s="1"/>
  <c r="GS143" i="35" s="1"/>
  <c r="HG143" i="35" s="1"/>
  <c r="HO143" i="35" s="1"/>
  <c r="BX154" i="35"/>
  <c r="P40" i="19"/>
  <c r="AE40" i="19" s="1"/>
  <c r="GY40" i="35"/>
  <c r="HU40" i="35" s="1"/>
  <c r="H144" i="19"/>
  <c r="Z144" i="19" s="1"/>
  <c r="BX164" i="35"/>
  <c r="BX130" i="35"/>
  <c r="BZ130" i="35" s="1"/>
  <c r="P77" i="19"/>
  <c r="AE77" i="19" s="1"/>
  <c r="GY77" i="35"/>
  <c r="HU77" i="35" s="1"/>
  <c r="GY43" i="35"/>
  <c r="HU43" i="35" s="1"/>
  <c r="P43" i="19"/>
  <c r="AE43" i="19" s="1"/>
  <c r="BX131" i="35"/>
  <c r="BZ131" i="35" s="1"/>
  <c r="S78" i="19"/>
  <c r="AI78" i="19" s="1"/>
  <c r="CV98" i="35"/>
  <c r="S98" i="19" s="1"/>
  <c r="AI98" i="19" s="1"/>
  <c r="CW98" i="35"/>
  <c r="T98" i="19" s="1"/>
  <c r="AJ98" i="19" s="1"/>
  <c r="HQ98" i="35"/>
  <c r="HA98" i="35"/>
  <c r="Q98" i="19"/>
  <c r="AF98" i="19" s="1"/>
  <c r="CU98" i="35"/>
  <c r="HB98" i="35" s="1"/>
  <c r="R78" i="19"/>
  <c r="GC98" i="35"/>
  <c r="GE98" i="35" s="1"/>
  <c r="GG98" i="35" s="1"/>
  <c r="GU118" i="35"/>
  <c r="HI118" i="35" s="1"/>
  <c r="CP118" i="35"/>
  <c r="CR118" i="35" s="1"/>
  <c r="GY118" i="35" s="1"/>
  <c r="U78" i="19"/>
  <c r="AK78" i="19" s="1"/>
  <c r="HP98" i="35"/>
  <c r="HR98" i="35"/>
  <c r="GK78" i="35"/>
  <c r="H129" i="19"/>
  <c r="Z129" i="19" s="1"/>
  <c r="CV118" i="35"/>
  <c r="S118" i="19" s="1"/>
  <c r="AI118" i="19" s="1"/>
  <c r="CR78" i="35"/>
  <c r="P78" i="19" s="1"/>
  <c r="AE78" i="19" s="1"/>
  <c r="CW118" i="35"/>
  <c r="HD118" i="35" s="1"/>
  <c r="N78" i="19"/>
  <c r="GC118" i="35"/>
  <c r="GE118" i="35" s="1"/>
  <c r="GG118" i="35" s="1"/>
  <c r="CX118" i="35"/>
  <c r="U118" i="19" s="1"/>
  <c r="AK118" i="19" s="1"/>
  <c r="CU118" i="35"/>
  <c r="HB118" i="35" s="1"/>
  <c r="GJ118" i="35"/>
  <c r="GM118" i="35" s="1"/>
  <c r="GO118" i="35" s="1"/>
  <c r="Q118" i="19"/>
  <c r="AF118" i="19" s="1"/>
  <c r="BU151" i="35"/>
  <c r="BS158" i="35"/>
  <c r="BU158" i="35" s="1"/>
  <c r="BS160" i="35"/>
  <c r="BU160" i="35" s="1"/>
  <c r="BS169" i="35"/>
  <c r="BS161" i="35"/>
  <c r="BU161" i="35" s="1"/>
  <c r="CJ129" i="35"/>
  <c r="I129" i="19" s="1"/>
  <c r="AA129" i="19" s="1"/>
  <c r="BS155" i="35"/>
  <c r="BU155" i="35" s="1"/>
  <c r="BS162" i="35"/>
  <c r="BU162" i="35" s="1"/>
  <c r="BS165" i="35"/>
  <c r="BU165" i="35" s="1"/>
  <c r="BQ168" i="35"/>
  <c r="BS168" i="35" s="1"/>
  <c r="EB129" i="35"/>
  <c r="CI129" i="35"/>
  <c r="GJ94" i="35"/>
  <c r="GM94" i="35" s="1"/>
  <c r="GO94" i="35" s="1"/>
  <c r="HR113" i="35"/>
  <c r="GY101" i="35"/>
  <c r="HU101" i="35" s="1"/>
  <c r="R116" i="19"/>
  <c r="L113" i="19"/>
  <c r="HU65" i="35"/>
  <c r="HD94" i="35"/>
  <c r="Q121" i="19"/>
  <c r="AF121" i="19" s="1"/>
  <c r="CU113" i="35"/>
  <c r="HB113" i="35" s="1"/>
  <c r="CX113" i="35"/>
  <c r="HE113" i="35" s="1"/>
  <c r="GW113" i="35"/>
  <c r="HK113" i="35" s="1"/>
  <c r="HM113" i="35" s="1"/>
  <c r="CR113" i="35"/>
  <c r="P113" i="19" s="1"/>
  <c r="AE113" i="19" s="1"/>
  <c r="HP116" i="35"/>
  <c r="CP121" i="35"/>
  <c r="CR121" i="35" s="1"/>
  <c r="GY121" i="35" s="1"/>
  <c r="HQ116" i="35"/>
  <c r="HU59" i="35"/>
  <c r="GU113" i="35"/>
  <c r="HI113" i="35" s="1"/>
  <c r="HR116" i="35"/>
  <c r="GK109" i="35"/>
  <c r="GY110" i="35"/>
  <c r="HU110" i="35" s="1"/>
  <c r="HC94" i="35"/>
  <c r="CV116" i="35"/>
  <c r="S116" i="19" s="1"/>
  <c r="AI116" i="19" s="1"/>
  <c r="HP113" i="35"/>
  <c r="U94" i="19"/>
  <c r="AK94" i="19" s="1"/>
  <c r="CW116" i="35"/>
  <c r="T116" i="19" s="1"/>
  <c r="AJ116" i="19" s="1"/>
  <c r="Q116" i="19"/>
  <c r="AF116" i="19" s="1"/>
  <c r="HA116" i="35"/>
  <c r="HS113" i="35"/>
  <c r="CX116" i="35"/>
  <c r="U116" i="19" s="1"/>
  <c r="AK116" i="19" s="1"/>
  <c r="CX121" i="35"/>
  <c r="HE121" i="35" s="1"/>
  <c r="CW113" i="35"/>
  <c r="T113" i="19" s="1"/>
  <c r="AJ113" i="19" s="1"/>
  <c r="CW121" i="35"/>
  <c r="HD121" i="35" s="1"/>
  <c r="CU121" i="35"/>
  <c r="R121" i="19" s="1"/>
  <c r="GU121" i="35"/>
  <c r="HI121" i="35" s="1"/>
  <c r="N109" i="19"/>
  <c r="Q113" i="19"/>
  <c r="AF113" i="19" s="1"/>
  <c r="CV121" i="35"/>
  <c r="S121" i="19" s="1"/>
  <c r="AI121" i="19" s="1"/>
  <c r="CV113" i="35"/>
  <c r="HC113" i="35" s="1"/>
  <c r="GK79" i="35"/>
  <c r="CX119" i="35"/>
  <c r="U119" i="19" s="1"/>
  <c r="AK119" i="19" s="1"/>
  <c r="Q117" i="19"/>
  <c r="AF117" i="19" s="1"/>
  <c r="CV117" i="35"/>
  <c r="S117" i="19" s="1"/>
  <c r="AI117" i="19" s="1"/>
  <c r="CU117" i="35"/>
  <c r="HB117" i="35" s="1"/>
  <c r="GK116" i="35"/>
  <c r="CW117" i="35"/>
  <c r="T117" i="19" s="1"/>
  <c r="AJ117" i="19" s="1"/>
  <c r="GC116" i="35"/>
  <c r="GE116" i="35" s="1"/>
  <c r="GG116" i="35" s="1"/>
  <c r="HU106" i="35"/>
  <c r="CX117" i="35"/>
  <c r="U117" i="19" s="1"/>
  <c r="AK117" i="19" s="1"/>
  <c r="GI113" i="35"/>
  <c r="GK113" i="35" s="1"/>
  <c r="I138" i="19"/>
  <c r="AA138" i="19" s="1"/>
  <c r="P104" i="19"/>
  <c r="AE104" i="19" s="1"/>
  <c r="GW109" i="35"/>
  <c r="HK109" i="35" s="1"/>
  <c r="HM109" i="35" s="1"/>
  <c r="GU119" i="35"/>
  <c r="HI119" i="35" s="1"/>
  <c r="HR119" i="35"/>
  <c r="GC119" i="35"/>
  <c r="GE119" i="35" s="1"/>
  <c r="GI117" i="35"/>
  <c r="GJ117" i="35" s="1"/>
  <c r="GM117" i="35" s="1"/>
  <c r="GO117" i="35" s="1"/>
  <c r="HS119" i="35"/>
  <c r="L119" i="19"/>
  <c r="HP119" i="35"/>
  <c r="S79" i="19"/>
  <c r="AI79" i="19" s="1"/>
  <c r="I143" i="19"/>
  <c r="AA143" i="19" s="1"/>
  <c r="HB79" i="35"/>
  <c r="CP117" i="35"/>
  <c r="CR117" i="35" s="1"/>
  <c r="L117" i="19"/>
  <c r="U79" i="19"/>
  <c r="AK79" i="19" s="1"/>
  <c r="CR79" i="35"/>
  <c r="GY79" i="35" s="1"/>
  <c r="HU79" i="35" s="1"/>
  <c r="N79" i="19"/>
  <c r="HD79" i="35"/>
  <c r="CW108" i="35"/>
  <c r="HS108" i="35"/>
  <c r="HR108" i="35"/>
  <c r="HP108" i="35"/>
  <c r="GI108" i="35"/>
  <c r="GJ108" i="35" s="1"/>
  <c r="GM108" i="35" s="1"/>
  <c r="GO108" i="35" s="1"/>
  <c r="HA108" i="35"/>
  <c r="CX108" i="35"/>
  <c r="Q108" i="19"/>
  <c r="AF108" i="19" s="1"/>
  <c r="CV108" i="35"/>
  <c r="HU27" i="35"/>
  <c r="HU83" i="35"/>
  <c r="L108" i="19"/>
  <c r="CP108" i="35"/>
  <c r="GU108" i="35"/>
  <c r="HI108" i="35" s="1"/>
  <c r="HB108" i="35"/>
  <c r="GY94" i="35"/>
  <c r="HU94" i="35" s="1"/>
  <c r="P94" i="19"/>
  <c r="AE94" i="19" s="1"/>
  <c r="I120" i="19"/>
  <c r="AA120" i="19" s="1"/>
  <c r="GY103" i="35"/>
  <c r="HU103" i="35" s="1"/>
  <c r="P103" i="19"/>
  <c r="AE103" i="19" s="1"/>
  <c r="CV102" i="35"/>
  <c r="Q102" i="19"/>
  <c r="AF102" i="19" s="1"/>
  <c r="HA102" i="35"/>
  <c r="CX102" i="35"/>
  <c r="CW102" i="35"/>
  <c r="CU102" i="35"/>
  <c r="GY99" i="35"/>
  <c r="HU99" i="35" s="1"/>
  <c r="P99" i="19"/>
  <c r="AE99" i="19" s="1"/>
  <c r="CL137" i="35"/>
  <c r="I137" i="19"/>
  <c r="AA137" i="19" s="1"/>
  <c r="CL120" i="35"/>
  <c r="DA120" i="35" s="1"/>
  <c r="X120" i="19" s="1"/>
  <c r="P107" i="19"/>
  <c r="AE107" i="19" s="1"/>
  <c r="GY107" i="35"/>
  <c r="HU107" i="35" s="1"/>
  <c r="BA170" i="35"/>
  <c r="BE170" i="35" s="1"/>
  <c r="BG170" i="35" s="1"/>
  <c r="BI170" i="35" s="1"/>
  <c r="BK170" i="35" s="1"/>
  <c r="BM170" i="35" s="1"/>
  <c r="BO170" i="35" s="1"/>
  <c r="BQ170" i="35" s="1"/>
  <c r="HD62" i="35"/>
  <c r="T62" i="19"/>
  <c r="AJ62" i="19" s="1"/>
  <c r="Q125" i="19"/>
  <c r="AF125" i="19" s="1"/>
  <c r="CW125" i="35"/>
  <c r="HA125" i="35"/>
  <c r="CU125" i="35"/>
  <c r="CV125" i="35"/>
  <c r="CX125" i="35"/>
  <c r="P38" i="19"/>
  <c r="AE38" i="19" s="1"/>
  <c r="GY38" i="35"/>
  <c r="HU38" i="35" s="1"/>
  <c r="P64" i="19"/>
  <c r="AE64" i="19" s="1"/>
  <c r="GY64" i="35"/>
  <c r="HU64" i="35" s="1"/>
  <c r="BA174" i="35"/>
  <c r="BE174" i="35" s="1"/>
  <c r="BG174" i="35" s="1"/>
  <c r="BI174" i="35" s="1"/>
  <c r="BK174" i="35" s="1"/>
  <c r="BM174" i="35" s="1"/>
  <c r="BO174" i="35" s="1"/>
  <c r="BQ174" i="35" s="1"/>
  <c r="HB62" i="35"/>
  <c r="R62" i="19"/>
  <c r="CP125" i="35"/>
  <c r="L125" i="19"/>
  <c r="GU125" i="35"/>
  <c r="HI125" i="35" s="1"/>
  <c r="U81" i="19"/>
  <c r="AK81" i="19" s="1"/>
  <c r="HE81" i="35"/>
  <c r="BA163" i="35"/>
  <c r="BE163" i="35" s="1"/>
  <c r="BG163" i="35" s="1"/>
  <c r="BI163" i="35" s="1"/>
  <c r="BK163" i="35" s="1"/>
  <c r="BM163" i="35" s="1"/>
  <c r="BO163" i="35" s="1"/>
  <c r="BQ163" i="35" s="1"/>
  <c r="BA148" i="35"/>
  <c r="BE148" i="35" s="1"/>
  <c r="BG148" i="35" s="1"/>
  <c r="BI148" i="35" s="1"/>
  <c r="BK148" i="35" s="1"/>
  <c r="BM148" i="35" s="1"/>
  <c r="BO148" i="35" s="1"/>
  <c r="BQ148" i="35" s="1"/>
  <c r="P72" i="19"/>
  <c r="AE72" i="19" s="1"/>
  <c r="GY72" i="35"/>
  <c r="HU72" i="35" s="1"/>
  <c r="J128" i="19"/>
  <c r="AB128" i="19" s="1"/>
  <c r="CT128" i="35"/>
  <c r="CN128" i="35"/>
  <c r="CY128" i="35"/>
  <c r="V128" i="19" s="1"/>
  <c r="GA128" i="35"/>
  <c r="CZ128" i="35"/>
  <c r="W128" i="19" s="1"/>
  <c r="GS128" i="35"/>
  <c r="HG128" i="35" s="1"/>
  <c r="HO128" i="35" s="1"/>
  <c r="DA128" i="35"/>
  <c r="X128" i="19" s="1"/>
  <c r="DB128" i="35"/>
  <c r="Y128" i="19" s="1"/>
  <c r="GY100" i="35"/>
  <c r="HU100" i="35" s="1"/>
  <c r="P100" i="19"/>
  <c r="AE100" i="19" s="1"/>
  <c r="S62" i="19"/>
  <c r="AI62" i="19" s="1"/>
  <c r="HC62" i="35"/>
  <c r="P15" i="19"/>
  <c r="AE15" i="19" s="1"/>
  <c r="GY15" i="35"/>
  <c r="HU15" i="35" s="1"/>
  <c r="GY63" i="35"/>
  <c r="HU63" i="35" s="1"/>
  <c r="P63" i="19"/>
  <c r="AE63" i="19" s="1"/>
  <c r="R81" i="19"/>
  <c r="HB81" i="35"/>
  <c r="GY96" i="35"/>
  <c r="HU96" i="35" s="1"/>
  <c r="P96" i="19"/>
  <c r="AE96" i="19" s="1"/>
  <c r="N62" i="19"/>
  <c r="GW62" i="35"/>
  <c r="HK62" i="35" s="1"/>
  <c r="HM62" i="35" s="1"/>
  <c r="CR62" i="35"/>
  <c r="HP125" i="35"/>
  <c r="HR125" i="35"/>
  <c r="HQ125" i="35"/>
  <c r="HS125" i="35"/>
  <c r="S81" i="19"/>
  <c r="AI81" i="19" s="1"/>
  <c r="HC81" i="35"/>
  <c r="CR81" i="35"/>
  <c r="N81" i="19"/>
  <c r="GW81" i="35"/>
  <c r="HK81" i="35" s="1"/>
  <c r="HM81" i="35" s="1"/>
  <c r="BA181" i="35"/>
  <c r="BE181" i="35" s="1"/>
  <c r="BG181" i="35" s="1"/>
  <c r="BI181" i="35" s="1"/>
  <c r="BK181" i="35" s="1"/>
  <c r="BM181" i="35" s="1"/>
  <c r="BO181" i="35" s="1"/>
  <c r="BQ181" i="35" s="1"/>
  <c r="BA179" i="35"/>
  <c r="BE179" i="35" s="1"/>
  <c r="BG179" i="35" s="1"/>
  <c r="BI179" i="35" s="1"/>
  <c r="BK179" i="35" s="1"/>
  <c r="BM179" i="35" s="1"/>
  <c r="BO179" i="35" s="1"/>
  <c r="BQ179" i="35" s="1"/>
  <c r="T81" i="19"/>
  <c r="AJ81" i="19" s="1"/>
  <c r="HD81" i="35"/>
  <c r="P22" i="19"/>
  <c r="AE22" i="19" s="1"/>
  <c r="GY22" i="35"/>
  <c r="HU22" i="35" s="1"/>
  <c r="GJ81" i="35"/>
  <c r="GM81" i="35" s="1"/>
  <c r="GO81" i="35" s="1"/>
  <c r="GK81" i="35"/>
  <c r="U62" i="19"/>
  <c r="AK62" i="19" s="1"/>
  <c r="HE62" i="35"/>
  <c r="GI125" i="35"/>
  <c r="GC125" i="35"/>
  <c r="GE125" i="35" s="1"/>
  <c r="GJ62" i="35"/>
  <c r="GM62" i="35" s="1"/>
  <c r="GO62" i="35" s="1"/>
  <c r="GK62" i="35"/>
  <c r="GY55" i="35"/>
  <c r="HU55" i="35" s="1"/>
  <c r="P55" i="19"/>
  <c r="AE55" i="19" s="1"/>
  <c r="P71" i="19"/>
  <c r="AE71" i="19" s="1"/>
  <c r="GY71" i="35"/>
  <c r="HU71" i="35" s="1"/>
  <c r="DB25" i="35"/>
  <c r="Y25" i="19" s="1"/>
  <c r="DA25" i="35"/>
  <c r="X25" i="19" s="1"/>
  <c r="CZ25" i="35"/>
  <c r="W25" i="19" s="1"/>
  <c r="J25" i="19"/>
  <c r="AB25" i="19" s="1"/>
  <c r="GA25" i="35"/>
  <c r="GC25" i="35" s="1"/>
  <c r="GE25" i="35" s="1"/>
  <c r="GG25" i="35" s="1"/>
  <c r="CY25" i="35"/>
  <c r="V25" i="19" s="1"/>
  <c r="CT25" i="35"/>
  <c r="CV25" i="35" s="1"/>
  <c r="CN25" i="35"/>
  <c r="CP25" i="35" s="1"/>
  <c r="BA178" i="35"/>
  <c r="BE178" i="35" s="1"/>
  <c r="BG178" i="35" s="1"/>
  <c r="BI178" i="35" s="1"/>
  <c r="BK178" i="35" s="1"/>
  <c r="BM178" i="35" s="1"/>
  <c r="BO178" i="35" s="1"/>
  <c r="BQ178" i="35" s="1"/>
  <c r="BA172" i="35"/>
  <c r="BE172" i="35" s="1"/>
  <c r="BG172" i="35" s="1"/>
  <c r="BI172" i="35" s="1"/>
  <c r="BK172" i="35" s="1"/>
  <c r="BM172" i="35" s="1"/>
  <c r="BO172" i="35" s="1"/>
  <c r="BQ172" i="35" s="1"/>
  <c r="BA173" i="35"/>
  <c r="BE173" i="35" s="1"/>
  <c r="BG173" i="35" s="1"/>
  <c r="BI173" i="35" s="1"/>
  <c r="BK173" i="35" s="1"/>
  <c r="BM173" i="35" s="1"/>
  <c r="BO173" i="35" s="1"/>
  <c r="BQ173" i="35" s="1"/>
  <c r="AZ171" i="35"/>
  <c r="AZ175" i="35"/>
  <c r="HS25" i="35"/>
  <c r="HP25" i="35"/>
  <c r="HQ25" i="35"/>
  <c r="HR25" i="35"/>
  <c r="BA166" i="35"/>
  <c r="BE166" i="35" s="1"/>
  <c r="BG166" i="35" s="1"/>
  <c r="BI166" i="35" s="1"/>
  <c r="BK166" i="35" s="1"/>
  <c r="BM166" i="35" s="1"/>
  <c r="BO166" i="35" s="1"/>
  <c r="BQ166" i="35" s="1"/>
  <c r="AZ176" i="35"/>
  <c r="AX180" i="35"/>
  <c r="AX195" i="35"/>
  <c r="AX150" i="35"/>
  <c r="AZ150" i="35" s="1"/>
  <c r="AX182" i="35"/>
  <c r="AX177" i="35"/>
  <c r="AZ177" i="35" s="1"/>
  <c r="AX197" i="35"/>
  <c r="AZ197" i="35" s="1"/>
  <c r="GW116" i="35"/>
  <c r="HK116" i="35" s="1"/>
  <c r="HM116" i="35" s="1"/>
  <c r="AX167" i="35"/>
  <c r="AZ167" i="35" s="1"/>
  <c r="CR116" i="35"/>
  <c r="P116" i="19" s="1"/>
  <c r="AE116" i="19" s="1"/>
  <c r="AR185" i="35"/>
  <c r="EA185" i="35" s="1"/>
  <c r="AR191" i="35"/>
  <c r="EA191" i="35" s="1"/>
  <c r="AR186" i="35"/>
  <c r="EA186" i="35" s="1"/>
  <c r="AR188" i="35"/>
  <c r="AR194" i="35"/>
  <c r="EA194" i="35" s="1"/>
  <c r="AR196" i="35"/>
  <c r="EA196" i="35" s="1"/>
  <c r="AR184" i="35"/>
  <c r="AR187" i="35"/>
  <c r="AR200" i="35"/>
  <c r="EA200" i="35" s="1"/>
  <c r="AR193" i="35"/>
  <c r="EA193" i="35" s="1"/>
  <c r="AR189" i="35"/>
  <c r="AR199" i="35"/>
  <c r="EA199" i="35" s="1"/>
  <c r="GK98" i="35"/>
  <c r="GJ98" i="35"/>
  <c r="GM98" i="35" s="1"/>
  <c r="GO98" i="35" s="1"/>
  <c r="S124" i="19"/>
  <c r="AI124" i="19" s="1"/>
  <c r="HC124" i="35"/>
  <c r="GJ119" i="35"/>
  <c r="GM119" i="35" s="1"/>
  <c r="GO119" i="35" s="1"/>
  <c r="GK119" i="35"/>
  <c r="U98" i="19"/>
  <c r="AK98" i="19" s="1"/>
  <c r="HE98" i="35"/>
  <c r="U124" i="19"/>
  <c r="AK124" i="19" s="1"/>
  <c r="HE124" i="35"/>
  <c r="GJ124" i="35"/>
  <c r="GM124" i="35" s="1"/>
  <c r="GO124" i="35" s="1"/>
  <c r="GK124" i="35"/>
  <c r="N98" i="19"/>
  <c r="GW98" i="35"/>
  <c r="HK98" i="35" s="1"/>
  <c r="HM98" i="35" s="1"/>
  <c r="CR98" i="35"/>
  <c r="T124" i="19"/>
  <c r="AJ124" i="19" s="1"/>
  <c r="HD124" i="35"/>
  <c r="CR119" i="35"/>
  <c r="N119" i="19"/>
  <c r="GW119" i="35"/>
  <c r="HK119" i="35" s="1"/>
  <c r="HM119" i="35" s="1"/>
  <c r="CR124" i="35"/>
  <c r="N124" i="19"/>
  <c r="GW124" i="35"/>
  <c r="HK124" i="35" s="1"/>
  <c r="HM124" i="35" s="1"/>
  <c r="HC119" i="35"/>
  <c r="HB124" i="35"/>
  <c r="R124" i="19"/>
  <c r="P109" i="19"/>
  <c r="AE109" i="19" s="1"/>
  <c r="GY109" i="35"/>
  <c r="AV182" i="35"/>
  <c r="EL182" i="35" s="1"/>
  <c r="EK176" i="35"/>
  <c r="EJ176" i="35" s="1"/>
  <c r="AV180" i="35"/>
  <c r="EK180" i="35" s="1"/>
  <c r="EJ180" i="35" s="1"/>
  <c r="AV167" i="35"/>
  <c r="EK167" i="35" s="1"/>
  <c r="EJ167" i="35" s="1"/>
  <c r="AV177" i="35"/>
  <c r="EL177" i="35" s="1"/>
  <c r="AU183" i="35"/>
  <c r="AW183" i="35" s="1"/>
  <c r="AP201" i="35"/>
  <c r="AQ201" i="35" s="1"/>
  <c r="AP204" i="35"/>
  <c r="AQ204" i="35" s="1"/>
  <c r="AU198" i="35"/>
  <c r="AW198" i="35" s="1"/>
  <c r="EA198" i="35"/>
  <c r="AP215" i="35"/>
  <c r="AQ215" i="35" s="1"/>
  <c r="EA190" i="35"/>
  <c r="AU190" i="35"/>
  <c r="AW190" i="35" s="1"/>
  <c r="EA192" i="35"/>
  <c r="AU192" i="35"/>
  <c r="AW192" i="35" s="1"/>
  <c r="AP206" i="35"/>
  <c r="AQ206" i="35" s="1"/>
  <c r="AP212" i="35"/>
  <c r="AQ212" i="35" s="1"/>
  <c r="GG99" i="35"/>
  <c r="AK217" i="35"/>
  <c r="AO217" i="35" s="1"/>
  <c r="AK216" i="35"/>
  <c r="AO216" i="35" s="1"/>
  <c r="AK211" i="35"/>
  <c r="AO211" i="35" s="1"/>
  <c r="AK214" i="35"/>
  <c r="AO214" i="35" s="1"/>
  <c r="AK209" i="35"/>
  <c r="AO209" i="35" s="1"/>
  <c r="AK208" i="35"/>
  <c r="AO208" i="35" s="1"/>
  <c r="AK218" i="35"/>
  <c r="AO218" i="35" s="1"/>
  <c r="AK205" i="35"/>
  <c r="AO205" i="35" s="1"/>
  <c r="AK207" i="35"/>
  <c r="AO207" i="35" s="1"/>
  <c r="AK210" i="35"/>
  <c r="AO210" i="35" s="1"/>
  <c r="AK202" i="35"/>
  <c r="AO202" i="35" s="1"/>
  <c r="AK213" i="35"/>
  <c r="AO213" i="35" s="1"/>
  <c r="AK203" i="35"/>
  <c r="AO203" i="35" s="1"/>
  <c r="EL172" i="35"/>
  <c r="EL171" i="35"/>
  <c r="AU200" i="35"/>
  <c r="AW200" i="35" s="1"/>
  <c r="EK166" i="35"/>
  <c r="EJ166" i="35" s="1"/>
  <c r="EL178" i="35"/>
  <c r="EK178" i="35"/>
  <c r="EJ178" i="35" s="1"/>
  <c r="AU189" i="35"/>
  <c r="AW189" i="35" s="1"/>
  <c r="EK175" i="35"/>
  <c r="EJ175" i="35" s="1"/>
  <c r="EL175" i="35"/>
  <c r="EL170" i="35"/>
  <c r="EK170" i="35"/>
  <c r="EJ170" i="35" s="1"/>
  <c r="AV197" i="35"/>
  <c r="EL197" i="35" s="1"/>
  <c r="AU191" i="35"/>
  <c r="AW191" i="35" s="1"/>
  <c r="AU185" i="35"/>
  <c r="AW185" i="35" s="1"/>
  <c r="AV195" i="35"/>
  <c r="EK195" i="35" s="1"/>
  <c r="EJ195" i="35" s="1"/>
  <c r="AU193" i="35"/>
  <c r="AW193" i="35" s="1"/>
  <c r="AU196" i="35"/>
  <c r="AW196" i="35" s="1"/>
  <c r="EK181" i="35"/>
  <c r="EJ181" i="35" s="1"/>
  <c r="EL181" i="35"/>
  <c r="EK173" i="35"/>
  <c r="EJ173" i="35" s="1"/>
  <c r="EL173" i="35"/>
  <c r="AV150" i="35"/>
  <c r="AU184" i="35"/>
  <c r="AW184" i="35" s="1"/>
  <c r="AU186" i="35"/>
  <c r="AW186" i="35" s="1"/>
  <c r="EK179" i="35"/>
  <c r="EJ179" i="35" s="1"/>
  <c r="EL179" i="35"/>
  <c r="B59" i="37"/>
  <c r="AT21" i="37"/>
  <c r="AF219" i="35"/>
  <c r="K21" i="32"/>
  <c r="M21" i="32"/>
  <c r="K29" i="32"/>
  <c r="M29" i="32"/>
  <c r="K37" i="32"/>
  <c r="M37" i="32"/>
  <c r="CX93" i="35" l="1"/>
  <c r="GJ59" i="35"/>
  <c r="GM59" i="35" s="1"/>
  <c r="GO59" i="35" s="1"/>
  <c r="GK59" i="35"/>
  <c r="I134" i="19"/>
  <c r="AA134" i="19" s="1"/>
  <c r="CL123" i="35"/>
  <c r="CU93" i="35"/>
  <c r="HB93" i="35" s="1"/>
  <c r="U59" i="19"/>
  <c r="AK59" i="19" s="1"/>
  <c r="HE59" i="35"/>
  <c r="CW93" i="35"/>
  <c r="Q93" i="19"/>
  <c r="AF93" i="19" s="1"/>
  <c r="HC93" i="35"/>
  <c r="S59" i="19"/>
  <c r="AI59" i="19" s="1"/>
  <c r="HC59" i="35"/>
  <c r="GU93" i="35"/>
  <c r="HI93" i="35" s="1"/>
  <c r="CP93" i="35"/>
  <c r="L93" i="19"/>
  <c r="HD59" i="35"/>
  <c r="T59" i="19"/>
  <c r="AJ59" i="19" s="1"/>
  <c r="CL133" i="35"/>
  <c r="HQ93" i="35"/>
  <c r="HR93" i="35"/>
  <c r="HP93" i="35"/>
  <c r="HS93" i="35"/>
  <c r="R59" i="19"/>
  <c r="HB59" i="35"/>
  <c r="GJ93" i="35"/>
  <c r="GM93" i="35" s="1"/>
  <c r="GO93" i="35" s="1"/>
  <c r="GK93" i="35"/>
  <c r="CL135" i="35"/>
  <c r="FA139" i="35"/>
  <c r="CK139" i="35"/>
  <c r="H139" i="19"/>
  <c r="Z139" i="19" s="1"/>
  <c r="CJ139" i="35"/>
  <c r="CG114" i="35"/>
  <c r="CH114" i="35" s="1"/>
  <c r="CB114" i="35"/>
  <c r="HS102" i="35"/>
  <c r="CG147" i="35"/>
  <c r="CH147" i="35" s="1"/>
  <c r="CJ147" i="35" s="1"/>
  <c r="HS122" i="35"/>
  <c r="HP122" i="35"/>
  <c r="HQ122" i="35"/>
  <c r="HR122" i="35"/>
  <c r="I123" i="19"/>
  <c r="AA123" i="19" s="1"/>
  <c r="GC122" i="35"/>
  <c r="GE122" i="35" s="1"/>
  <c r="GG122" i="35" s="1"/>
  <c r="GI122" i="35"/>
  <c r="CW119" i="35"/>
  <c r="T119" i="19" s="1"/>
  <c r="AJ119" i="19" s="1"/>
  <c r="CU119" i="35"/>
  <c r="R119" i="19" s="1"/>
  <c r="CL134" i="35"/>
  <c r="CY134" i="35" s="1"/>
  <c r="V134" i="19" s="1"/>
  <c r="S97" i="19"/>
  <c r="AI97" i="19" s="1"/>
  <c r="HC97" i="35"/>
  <c r="L122" i="19"/>
  <c r="GU122" i="35"/>
  <c r="HI122" i="35" s="1"/>
  <c r="CP122" i="35"/>
  <c r="T97" i="19"/>
  <c r="AJ97" i="19" s="1"/>
  <c r="HD97" i="35"/>
  <c r="GK46" i="35"/>
  <c r="GJ46" i="35"/>
  <c r="GM46" i="35" s="1"/>
  <c r="GO46" i="35" s="1"/>
  <c r="HA122" i="35"/>
  <c r="CW122" i="35"/>
  <c r="CX122" i="35"/>
  <c r="CV122" i="35"/>
  <c r="Q122" i="19"/>
  <c r="AF122" i="19" s="1"/>
  <c r="CU122" i="35"/>
  <c r="N97" i="19"/>
  <c r="GW97" i="35"/>
  <c r="HK97" i="35" s="1"/>
  <c r="HM97" i="35" s="1"/>
  <c r="CR97" i="35"/>
  <c r="R97" i="19"/>
  <c r="HB97" i="35"/>
  <c r="P69" i="19"/>
  <c r="AE69" i="19" s="1"/>
  <c r="GY69" i="35"/>
  <c r="HU69" i="35" s="1"/>
  <c r="Q119" i="19"/>
  <c r="AF119" i="19" s="1"/>
  <c r="HA119" i="35"/>
  <c r="GK97" i="35"/>
  <c r="GJ97" i="35"/>
  <c r="GM97" i="35" s="1"/>
  <c r="GO97" i="35" s="1"/>
  <c r="GW46" i="35"/>
  <c r="HK46" i="35" s="1"/>
  <c r="HM46" i="35" s="1"/>
  <c r="CR46" i="35"/>
  <c r="N46" i="19"/>
  <c r="HE97" i="35"/>
  <c r="U97" i="19"/>
  <c r="AK97" i="19" s="1"/>
  <c r="CK136" i="35"/>
  <c r="CJ136" i="35"/>
  <c r="H136" i="19"/>
  <c r="Z136" i="19" s="1"/>
  <c r="FA136" i="35"/>
  <c r="FA132" i="35"/>
  <c r="H132" i="19"/>
  <c r="Z132" i="19" s="1"/>
  <c r="CJ132" i="35"/>
  <c r="CK132" i="35"/>
  <c r="EB147" i="35"/>
  <c r="CI147" i="35"/>
  <c r="BZ164" i="35"/>
  <c r="CA164" i="35" s="1"/>
  <c r="CB164" i="35" s="1"/>
  <c r="EB164" i="35" s="1"/>
  <c r="BZ157" i="35"/>
  <c r="CA157" i="35" s="1"/>
  <c r="CG157" i="35" s="1"/>
  <c r="CH157" i="35" s="1"/>
  <c r="BZ153" i="35"/>
  <c r="CA153" i="35" s="1"/>
  <c r="CB153" i="35" s="1"/>
  <c r="BZ159" i="35"/>
  <c r="CA159" i="35" s="1"/>
  <c r="CB159" i="35" s="1"/>
  <c r="P52" i="19"/>
  <c r="AE52" i="19" s="1"/>
  <c r="GY52" i="35"/>
  <c r="HU52" i="35" s="1"/>
  <c r="H146" i="19"/>
  <c r="Z146" i="19" s="1"/>
  <c r="CJ146" i="35"/>
  <c r="CK146" i="35"/>
  <c r="CY92" i="35"/>
  <c r="V92" i="19" s="1"/>
  <c r="GS92" i="35"/>
  <c r="HG92" i="35" s="1"/>
  <c r="HO92" i="35" s="1"/>
  <c r="J92" i="19"/>
  <c r="AB92" i="19" s="1"/>
  <c r="GA92" i="35"/>
  <c r="CT92" i="35"/>
  <c r="CZ92" i="35"/>
  <c r="W92" i="19" s="1"/>
  <c r="DA92" i="35"/>
  <c r="X92" i="19" s="1"/>
  <c r="CN92" i="35"/>
  <c r="DB92" i="35"/>
  <c r="Y92" i="19" s="1"/>
  <c r="R87" i="19"/>
  <c r="HB87" i="35"/>
  <c r="GC105" i="35"/>
  <c r="GE105" i="35" s="1"/>
  <c r="GI105" i="35"/>
  <c r="HR105" i="35"/>
  <c r="HP105" i="35"/>
  <c r="HQ105" i="35"/>
  <c r="HS105" i="35"/>
  <c r="S87" i="19"/>
  <c r="AI87" i="19" s="1"/>
  <c r="HC87" i="35"/>
  <c r="BZ152" i="35"/>
  <c r="CA152" i="35" s="1"/>
  <c r="CG152" i="35" s="1"/>
  <c r="CH152" i="35" s="1"/>
  <c r="HD87" i="35"/>
  <c r="T87" i="19"/>
  <c r="AJ87" i="19" s="1"/>
  <c r="GJ87" i="35"/>
  <c r="GM87" i="35" s="1"/>
  <c r="GO87" i="35" s="1"/>
  <c r="GK87" i="35"/>
  <c r="FA146" i="35"/>
  <c r="BZ154" i="35"/>
  <c r="CA154" i="35" s="1"/>
  <c r="CG154" i="35" s="1"/>
  <c r="CH154" i="35" s="1"/>
  <c r="U87" i="19"/>
  <c r="AK87" i="19" s="1"/>
  <c r="HE87" i="35"/>
  <c r="BZ140" i="35"/>
  <c r="CA140" i="35" s="1"/>
  <c r="CG140" i="35" s="1"/>
  <c r="CH140" i="35" s="1"/>
  <c r="BZ156" i="35"/>
  <c r="CA156" i="35" s="1"/>
  <c r="CB156" i="35" s="1"/>
  <c r="GU105" i="35"/>
  <c r="HI105" i="35" s="1"/>
  <c r="L105" i="19"/>
  <c r="CP105" i="35"/>
  <c r="BZ149" i="35"/>
  <c r="CA149" i="35" s="1"/>
  <c r="CB149" i="35" s="1"/>
  <c r="CI149" i="35" s="1"/>
  <c r="GY86" i="35"/>
  <c r="HU86" i="35" s="1"/>
  <c r="P86" i="19"/>
  <c r="AE86" i="19" s="1"/>
  <c r="HA105" i="35"/>
  <c r="CX105" i="35"/>
  <c r="Q105" i="19"/>
  <c r="AF105" i="19" s="1"/>
  <c r="CW105" i="35"/>
  <c r="CU105" i="35"/>
  <c r="CV105" i="35"/>
  <c r="N87" i="19"/>
  <c r="GW87" i="35"/>
  <c r="HK87" i="35" s="1"/>
  <c r="HM87" i="35" s="1"/>
  <c r="CR87" i="35"/>
  <c r="GI121" i="35"/>
  <c r="GK121" i="35" s="1"/>
  <c r="T109" i="19"/>
  <c r="AJ109" i="19" s="1"/>
  <c r="U109" i="19"/>
  <c r="AK109" i="19" s="1"/>
  <c r="CZ115" i="35"/>
  <c r="W115" i="19" s="1"/>
  <c r="DB115" i="35"/>
  <c r="Y115" i="19" s="1"/>
  <c r="GS115" i="35"/>
  <c r="HG115" i="35" s="1"/>
  <c r="HO115" i="35" s="1"/>
  <c r="HR115" i="35" s="1"/>
  <c r="DA115" i="35"/>
  <c r="X115" i="19" s="1"/>
  <c r="HD51" i="35"/>
  <c r="T51" i="19"/>
  <c r="AJ51" i="19" s="1"/>
  <c r="J115" i="19"/>
  <c r="AB115" i="19" s="1"/>
  <c r="HB51" i="35"/>
  <c r="R51" i="19"/>
  <c r="GK51" i="35"/>
  <c r="GJ51" i="35"/>
  <c r="GM51" i="35" s="1"/>
  <c r="GO51" i="35" s="1"/>
  <c r="N51" i="19"/>
  <c r="CR51" i="35"/>
  <c r="GW51" i="35"/>
  <c r="HK51" i="35" s="1"/>
  <c r="HM51" i="35" s="1"/>
  <c r="GA115" i="35"/>
  <c r="GC115" i="35" s="1"/>
  <c r="GE115" i="35" s="1"/>
  <c r="U51" i="19"/>
  <c r="AK51" i="19" s="1"/>
  <c r="HE51" i="35"/>
  <c r="CT115" i="35"/>
  <c r="HA115" i="35" s="1"/>
  <c r="HC51" i="35"/>
  <c r="S51" i="19"/>
  <c r="AI51" i="19" s="1"/>
  <c r="CN115" i="35"/>
  <c r="CP115" i="35" s="1"/>
  <c r="CR115" i="35" s="1"/>
  <c r="GY115" i="35" s="1"/>
  <c r="CN112" i="35"/>
  <c r="L112" i="19" s="1"/>
  <c r="GI102" i="35"/>
  <c r="J112" i="19"/>
  <c r="AB112" i="19" s="1"/>
  <c r="CY112" i="35"/>
  <c r="V112" i="19" s="1"/>
  <c r="GA112" i="35"/>
  <c r="GI112" i="35" s="1"/>
  <c r="GK112" i="35" s="1"/>
  <c r="CT112" i="35"/>
  <c r="CW112" i="35" s="1"/>
  <c r="T112" i="19" s="1"/>
  <c r="AJ112" i="19" s="1"/>
  <c r="DA112" i="35"/>
  <c r="X112" i="19" s="1"/>
  <c r="CZ112" i="35"/>
  <c r="W112" i="19" s="1"/>
  <c r="GJ35" i="35"/>
  <c r="GM35" i="35" s="1"/>
  <c r="GO35" i="35" s="1"/>
  <c r="GK35" i="35"/>
  <c r="L102" i="19"/>
  <c r="R35" i="19"/>
  <c r="HB35" i="35"/>
  <c r="CA131" i="35"/>
  <c r="CG131" i="35" s="1"/>
  <c r="CH131" i="35" s="1"/>
  <c r="J133" i="19"/>
  <c r="AB133" i="19" s="1"/>
  <c r="CA130" i="35"/>
  <c r="CB130" i="35" s="1"/>
  <c r="CI130" i="35" s="1"/>
  <c r="GU102" i="35"/>
  <c r="HI102" i="35" s="1"/>
  <c r="HC109" i="35"/>
  <c r="EB142" i="35"/>
  <c r="CI142" i="35"/>
  <c r="CL142" i="35" s="1"/>
  <c r="CT142" i="35" s="1"/>
  <c r="CW142" i="35" s="1"/>
  <c r="T142" i="19" s="1"/>
  <c r="AJ142" i="19" s="1"/>
  <c r="S35" i="19"/>
  <c r="AI35" i="19" s="1"/>
  <c r="HC35" i="35"/>
  <c r="HE35" i="35"/>
  <c r="U35" i="19"/>
  <c r="AK35" i="19" s="1"/>
  <c r="HB109" i="35"/>
  <c r="CY133" i="35"/>
  <c r="V133" i="19" s="1"/>
  <c r="CR35" i="35"/>
  <c r="N35" i="19"/>
  <c r="GW35" i="35"/>
  <c r="HK35" i="35" s="1"/>
  <c r="HM35" i="35" s="1"/>
  <c r="CZ133" i="35"/>
  <c r="W133" i="19" s="1"/>
  <c r="HQ102" i="35"/>
  <c r="GS112" i="35"/>
  <c r="HG112" i="35" s="1"/>
  <c r="HO112" i="35" s="1"/>
  <c r="HQ112" i="35" s="1"/>
  <c r="GS133" i="35"/>
  <c r="HG133" i="35" s="1"/>
  <c r="HO133" i="35" s="1"/>
  <c r="HR133" i="35" s="1"/>
  <c r="T35" i="19"/>
  <c r="AJ35" i="19" s="1"/>
  <c r="HD35" i="35"/>
  <c r="DA133" i="35"/>
  <c r="X133" i="19" s="1"/>
  <c r="HP102" i="35"/>
  <c r="I145" i="19"/>
  <c r="AA145" i="19" s="1"/>
  <c r="HC98" i="35"/>
  <c r="P75" i="19"/>
  <c r="AE75" i="19" s="1"/>
  <c r="CN133" i="35"/>
  <c r="CP133" i="35" s="1"/>
  <c r="CL145" i="35"/>
  <c r="GS145" i="35" s="1"/>
  <c r="HG145" i="35" s="1"/>
  <c r="HO145" i="35" s="1"/>
  <c r="HS145" i="35" s="1"/>
  <c r="GA127" i="35"/>
  <c r="GC127" i="35" s="1"/>
  <c r="GE127" i="35" s="1"/>
  <c r="DB127" i="35"/>
  <c r="Y127" i="19" s="1"/>
  <c r="J127" i="19"/>
  <c r="AB127" i="19" s="1"/>
  <c r="N111" i="19"/>
  <c r="CR111" i="35"/>
  <c r="P111" i="19" s="1"/>
  <c r="AE111" i="19" s="1"/>
  <c r="CY127" i="35"/>
  <c r="V127" i="19" s="1"/>
  <c r="GA133" i="35"/>
  <c r="GC133" i="35" s="1"/>
  <c r="GE133" i="35" s="1"/>
  <c r="I133" i="19"/>
  <c r="AA133" i="19" s="1"/>
  <c r="GS127" i="35"/>
  <c r="HG127" i="35" s="1"/>
  <c r="HO127" i="35" s="1"/>
  <c r="HS127" i="35" s="1"/>
  <c r="CZ127" i="35"/>
  <c r="W127" i="19" s="1"/>
  <c r="CT127" i="35"/>
  <c r="CU127" i="35" s="1"/>
  <c r="HB127" i="35" s="1"/>
  <c r="CN127" i="35"/>
  <c r="CP127" i="35" s="1"/>
  <c r="GW127" i="35" s="1"/>
  <c r="HK127" i="35" s="1"/>
  <c r="HM127" i="35" s="1"/>
  <c r="CB154" i="35"/>
  <c r="EB154" i="35" s="1"/>
  <c r="CI139" i="35"/>
  <c r="CL139" i="35" s="1"/>
  <c r="EB136" i="35"/>
  <c r="CL141" i="35"/>
  <c r="CN141" i="35" s="1"/>
  <c r="CP141" i="35" s="1"/>
  <c r="GW141" i="35" s="1"/>
  <c r="HK141" i="35" s="1"/>
  <c r="HM141" i="35" s="1"/>
  <c r="HQ126" i="35"/>
  <c r="HR126" i="35"/>
  <c r="CT126" i="35"/>
  <c r="CY126" i="35"/>
  <c r="V126" i="19" s="1"/>
  <c r="J126" i="19"/>
  <c r="AB126" i="19" s="1"/>
  <c r="DA126" i="35"/>
  <c r="X126" i="19" s="1"/>
  <c r="GA126" i="35"/>
  <c r="CZ126" i="35"/>
  <c r="W126" i="19" s="1"/>
  <c r="DB126" i="35"/>
  <c r="Y126" i="19" s="1"/>
  <c r="CN126" i="35"/>
  <c r="CI132" i="35"/>
  <c r="CL132" i="35" s="1"/>
  <c r="HP126" i="35"/>
  <c r="BX160" i="35"/>
  <c r="I141" i="19"/>
  <c r="AA141" i="19" s="1"/>
  <c r="BX165" i="35"/>
  <c r="CB157" i="35"/>
  <c r="EB157" i="35" s="1"/>
  <c r="CL144" i="35"/>
  <c r="DA144" i="35" s="1"/>
  <c r="X144" i="19" s="1"/>
  <c r="BX162" i="35"/>
  <c r="CB140" i="35"/>
  <c r="CG153" i="35"/>
  <c r="CH153" i="35" s="1"/>
  <c r="CK153" i="35" s="1"/>
  <c r="BX155" i="35"/>
  <c r="BX161" i="35"/>
  <c r="BX158" i="35"/>
  <c r="HS126" i="35"/>
  <c r="BX151" i="35"/>
  <c r="HD98" i="35"/>
  <c r="R98" i="19"/>
  <c r="GW118" i="35"/>
  <c r="HK118" i="35" s="1"/>
  <c r="HM118" i="35" s="1"/>
  <c r="HU118" i="35" s="1"/>
  <c r="P118" i="19"/>
  <c r="AE118" i="19" s="1"/>
  <c r="N118" i="19"/>
  <c r="GY78" i="35"/>
  <c r="HU78" i="35" s="1"/>
  <c r="CL129" i="35"/>
  <c r="CZ129" i="35" s="1"/>
  <c r="W129" i="19" s="1"/>
  <c r="HC118" i="35"/>
  <c r="T118" i="19"/>
  <c r="AJ118" i="19" s="1"/>
  <c r="R118" i="19"/>
  <c r="HE118" i="35"/>
  <c r="CJ114" i="35"/>
  <c r="CK114" i="35"/>
  <c r="H114" i="19"/>
  <c r="Z114" i="19" s="1"/>
  <c r="EB114" i="35"/>
  <c r="CI114" i="35"/>
  <c r="BU168" i="35"/>
  <c r="BX168" i="35" s="1"/>
  <c r="BU169" i="35"/>
  <c r="CI164" i="35"/>
  <c r="BS179" i="35"/>
  <c r="BU179" i="35" s="1"/>
  <c r="BS170" i="35"/>
  <c r="BS181" i="35"/>
  <c r="BU181" i="35" s="1"/>
  <c r="BS173" i="35"/>
  <c r="BU173" i="35" s="1"/>
  <c r="CI154" i="35"/>
  <c r="BS166" i="35"/>
  <c r="BU166" i="35" s="1"/>
  <c r="BS172" i="35"/>
  <c r="BU172" i="35" s="1"/>
  <c r="BS148" i="35"/>
  <c r="BS178" i="35"/>
  <c r="BU178" i="35" s="1"/>
  <c r="BS163" i="35"/>
  <c r="BU163" i="35" s="1"/>
  <c r="BS174" i="35"/>
  <c r="BU174" i="35" s="1"/>
  <c r="CN138" i="35"/>
  <c r="L138" i="19" s="1"/>
  <c r="GJ121" i="35"/>
  <c r="GM121" i="35" s="1"/>
  <c r="GO121" i="35" s="1"/>
  <c r="HD116" i="35"/>
  <c r="P121" i="19"/>
  <c r="AE121" i="19" s="1"/>
  <c r="HC117" i="35"/>
  <c r="R113" i="19"/>
  <c r="N121" i="19"/>
  <c r="GW121" i="35"/>
  <c r="HK121" i="35" s="1"/>
  <c r="HM121" i="35" s="1"/>
  <c r="HU121" i="35" s="1"/>
  <c r="U113" i="19"/>
  <c r="AK113" i="19" s="1"/>
  <c r="GY113" i="35"/>
  <c r="HU113" i="35" s="1"/>
  <c r="T121" i="19"/>
  <c r="AJ121" i="19" s="1"/>
  <c r="HB121" i="35"/>
  <c r="HB119" i="35"/>
  <c r="HC116" i="35"/>
  <c r="HE117" i="35"/>
  <c r="HC121" i="35"/>
  <c r="GJ113" i="35"/>
  <c r="GM113" i="35" s="1"/>
  <c r="GO113" i="35" s="1"/>
  <c r="R117" i="19"/>
  <c r="HE116" i="35"/>
  <c r="HU109" i="35"/>
  <c r="HE119" i="35"/>
  <c r="HD113" i="35"/>
  <c r="HD117" i="35"/>
  <c r="S113" i="19"/>
  <c r="AI113" i="19" s="1"/>
  <c r="CN142" i="35"/>
  <c r="CP142" i="35" s="1"/>
  <c r="CR142" i="35" s="1"/>
  <c r="P79" i="19"/>
  <c r="AE79" i="19" s="1"/>
  <c r="U121" i="19"/>
  <c r="AK121" i="19" s="1"/>
  <c r="HD119" i="35"/>
  <c r="CV142" i="35"/>
  <c r="HC142" i="35" s="1"/>
  <c r="CY142" i="35"/>
  <c r="V142" i="19" s="1"/>
  <c r="GK117" i="35"/>
  <c r="DA145" i="35"/>
  <c r="X145" i="19" s="1"/>
  <c r="N117" i="19"/>
  <c r="GW117" i="35"/>
  <c r="HK117" i="35" s="1"/>
  <c r="HM117" i="35" s="1"/>
  <c r="DB138" i="35"/>
  <c r="Y138" i="19" s="1"/>
  <c r="CN143" i="35"/>
  <c r="CP143" i="35" s="1"/>
  <c r="CT145" i="35"/>
  <c r="CW145" i="35" s="1"/>
  <c r="GA143" i="35"/>
  <c r="GC143" i="35" s="1"/>
  <c r="GE143" i="35" s="1"/>
  <c r="DB143" i="35"/>
  <c r="Y143" i="19" s="1"/>
  <c r="GS138" i="35"/>
  <c r="HG138" i="35" s="1"/>
  <c r="HO138" i="35" s="1"/>
  <c r="HP138" i="35" s="1"/>
  <c r="CZ138" i="35"/>
  <c r="W138" i="19" s="1"/>
  <c r="CY138" i="35"/>
  <c r="V138" i="19" s="1"/>
  <c r="DA138" i="35"/>
  <c r="X138" i="19" s="1"/>
  <c r="CT138" i="35"/>
  <c r="CU138" i="35" s="1"/>
  <c r="GA138" i="35"/>
  <c r="GC138" i="35" s="1"/>
  <c r="GE138" i="35" s="1"/>
  <c r="CY143" i="35"/>
  <c r="V143" i="19" s="1"/>
  <c r="CT143" i="35"/>
  <c r="CU143" i="35" s="1"/>
  <c r="CZ143" i="35"/>
  <c r="W143" i="19" s="1"/>
  <c r="J145" i="19"/>
  <c r="AB145" i="19" s="1"/>
  <c r="J143" i="19"/>
  <c r="AB143" i="19" s="1"/>
  <c r="DA143" i="35"/>
  <c r="X143" i="19" s="1"/>
  <c r="GK108" i="35"/>
  <c r="HD108" i="35"/>
  <c r="T108" i="19"/>
  <c r="AJ108" i="19" s="1"/>
  <c r="CJ152" i="35"/>
  <c r="H152" i="19"/>
  <c r="Z152" i="19" s="1"/>
  <c r="DB141" i="35"/>
  <c r="Y141" i="19" s="1"/>
  <c r="S108" i="19"/>
  <c r="AI108" i="19" s="1"/>
  <c r="HC108" i="35"/>
  <c r="U108" i="19"/>
  <c r="AK108" i="19" s="1"/>
  <c r="HE108" i="35"/>
  <c r="GW108" i="35"/>
  <c r="HK108" i="35" s="1"/>
  <c r="HM108" i="35" s="1"/>
  <c r="CR108" i="35"/>
  <c r="N108" i="19"/>
  <c r="CY120" i="35"/>
  <c r="V120" i="19" s="1"/>
  <c r="DB120" i="35"/>
  <c r="Y120" i="19" s="1"/>
  <c r="CK152" i="35"/>
  <c r="GA120" i="35"/>
  <c r="GC120" i="35" s="1"/>
  <c r="GE120" i="35" s="1"/>
  <c r="GG120" i="35" s="1"/>
  <c r="FA152" i="35"/>
  <c r="CT120" i="35"/>
  <c r="CX120" i="35" s="1"/>
  <c r="GS120" i="35"/>
  <c r="HG120" i="35" s="1"/>
  <c r="HO120" i="35" s="1"/>
  <c r="HQ120" i="35" s="1"/>
  <c r="HB102" i="35"/>
  <c r="R102" i="19"/>
  <c r="N102" i="19"/>
  <c r="CR102" i="35"/>
  <c r="GW102" i="35"/>
  <c r="HK102" i="35" s="1"/>
  <c r="HM102" i="35" s="1"/>
  <c r="U102" i="19"/>
  <c r="AK102" i="19" s="1"/>
  <c r="HE102" i="35"/>
  <c r="GK102" i="35"/>
  <c r="GJ102" i="35"/>
  <c r="GM102" i="35" s="1"/>
  <c r="GO102" i="35" s="1"/>
  <c r="I132" i="19"/>
  <c r="AA132" i="19" s="1"/>
  <c r="HC102" i="35"/>
  <c r="S102" i="19"/>
  <c r="AI102" i="19" s="1"/>
  <c r="T102" i="19"/>
  <c r="AJ102" i="19" s="1"/>
  <c r="HD102" i="35"/>
  <c r="J120" i="19"/>
  <c r="AB120" i="19" s="1"/>
  <c r="DA137" i="35"/>
  <c r="X137" i="19" s="1"/>
  <c r="DB137" i="35"/>
  <c r="Y137" i="19" s="1"/>
  <c r="GS137" i="35"/>
  <c r="HG137" i="35" s="1"/>
  <c r="HO137" i="35" s="1"/>
  <c r="CZ137" i="35"/>
  <c r="W137" i="19" s="1"/>
  <c r="J137" i="19"/>
  <c r="AB137" i="19" s="1"/>
  <c r="CY137" i="35"/>
  <c r="V137" i="19" s="1"/>
  <c r="CN137" i="35"/>
  <c r="GA137" i="35"/>
  <c r="CT137" i="35"/>
  <c r="CN120" i="35"/>
  <c r="CP120" i="35" s="1"/>
  <c r="CZ120" i="35"/>
  <c r="W120" i="19" s="1"/>
  <c r="I139" i="19"/>
  <c r="AA139" i="19" s="1"/>
  <c r="GS135" i="35"/>
  <c r="HG135" i="35" s="1"/>
  <c r="HO135" i="35" s="1"/>
  <c r="DB135" i="35"/>
  <c r="Y135" i="19" s="1"/>
  <c r="CN135" i="35"/>
  <c r="CZ135" i="35"/>
  <c r="W135" i="19" s="1"/>
  <c r="CT135" i="35"/>
  <c r="GA135" i="35"/>
  <c r="DA135" i="35"/>
  <c r="X135" i="19" s="1"/>
  <c r="J135" i="19"/>
  <c r="AB135" i="19" s="1"/>
  <c r="CY135" i="35"/>
  <c r="V135" i="19" s="1"/>
  <c r="BA175" i="35"/>
  <c r="BE175" i="35" s="1"/>
  <c r="BG175" i="35" s="1"/>
  <c r="BI175" i="35" s="1"/>
  <c r="BK175" i="35" s="1"/>
  <c r="BM175" i="35" s="1"/>
  <c r="BO175" i="35" s="1"/>
  <c r="BQ175" i="35" s="1"/>
  <c r="CY123" i="35"/>
  <c r="V123" i="19" s="1"/>
  <c r="J123" i="19"/>
  <c r="AB123" i="19" s="1"/>
  <c r="GA123" i="35"/>
  <c r="CN123" i="35"/>
  <c r="GS123" i="35"/>
  <c r="HG123" i="35" s="1"/>
  <c r="HO123" i="35" s="1"/>
  <c r="CT123" i="35"/>
  <c r="DA123" i="35"/>
  <c r="X123" i="19" s="1"/>
  <c r="CZ123" i="35"/>
  <c r="W123" i="19" s="1"/>
  <c r="DB123" i="35"/>
  <c r="Y123" i="19" s="1"/>
  <c r="GI128" i="35"/>
  <c r="GC128" i="35"/>
  <c r="GE128" i="35" s="1"/>
  <c r="GG128" i="35" s="1"/>
  <c r="BA167" i="35"/>
  <c r="BE167" i="35" s="1"/>
  <c r="BG167" i="35" s="1"/>
  <c r="BI167" i="35" s="1"/>
  <c r="BK167" i="35" s="1"/>
  <c r="BM167" i="35" s="1"/>
  <c r="BO167" i="35" s="1"/>
  <c r="BQ167" i="35" s="1"/>
  <c r="GK125" i="35"/>
  <c r="GJ125" i="35"/>
  <c r="GM125" i="35" s="1"/>
  <c r="GO125" i="35" s="1"/>
  <c r="CP128" i="35"/>
  <c r="L128" i="19"/>
  <c r="GU128" i="35"/>
  <c r="HI128" i="35" s="1"/>
  <c r="U125" i="19"/>
  <c r="AK125" i="19" s="1"/>
  <c r="HE125" i="35"/>
  <c r="P81" i="19"/>
  <c r="AE81" i="19" s="1"/>
  <c r="GY81" i="35"/>
  <c r="HU81" i="35" s="1"/>
  <c r="CW128" i="35"/>
  <c r="CU128" i="35"/>
  <c r="HA128" i="35"/>
  <c r="CX128" i="35"/>
  <c r="Q128" i="19"/>
  <c r="AF128" i="19" s="1"/>
  <c r="CV128" i="35"/>
  <c r="S125" i="19"/>
  <c r="AI125" i="19" s="1"/>
  <c r="HC125" i="35"/>
  <c r="BA197" i="35"/>
  <c r="BE197" i="35" s="1"/>
  <c r="BG197" i="35" s="1"/>
  <c r="BI197" i="35" s="1"/>
  <c r="BK197" i="35" s="1"/>
  <c r="BM197" i="35" s="1"/>
  <c r="BO197" i="35" s="1"/>
  <c r="BQ197" i="35" s="1"/>
  <c r="BA177" i="35"/>
  <c r="BE177" i="35" s="1"/>
  <c r="BG177" i="35" s="1"/>
  <c r="BI177" i="35" s="1"/>
  <c r="BK177" i="35" s="1"/>
  <c r="BM177" i="35" s="1"/>
  <c r="BO177" i="35" s="1"/>
  <c r="BQ177" i="35" s="1"/>
  <c r="BA176" i="35"/>
  <c r="BE176" i="35" s="1"/>
  <c r="BG176" i="35" s="1"/>
  <c r="BI176" i="35" s="1"/>
  <c r="BK176" i="35" s="1"/>
  <c r="BM176" i="35" s="1"/>
  <c r="BO176" i="35" s="1"/>
  <c r="BQ176" i="35" s="1"/>
  <c r="HB125" i="35"/>
  <c r="R125" i="19"/>
  <c r="P62" i="19"/>
  <c r="AE62" i="19" s="1"/>
  <c r="GY62" i="35"/>
  <c r="HU62" i="35" s="1"/>
  <c r="N125" i="19"/>
  <c r="GW125" i="35"/>
  <c r="HK125" i="35" s="1"/>
  <c r="HM125" i="35" s="1"/>
  <c r="CR125" i="35"/>
  <c r="HS128" i="35"/>
  <c r="HQ128" i="35"/>
  <c r="HP128" i="35"/>
  <c r="HR128" i="35"/>
  <c r="T125" i="19"/>
  <c r="AJ125" i="19" s="1"/>
  <c r="HD125" i="35"/>
  <c r="GU25" i="35"/>
  <c r="HI25" i="35" s="1"/>
  <c r="L25" i="19"/>
  <c r="GI25" i="35"/>
  <c r="GJ25" i="35" s="1"/>
  <c r="GM25" i="35" s="1"/>
  <c r="GO25" i="35" s="1"/>
  <c r="CX25" i="35"/>
  <c r="HE25" i="35" s="1"/>
  <c r="CU25" i="35"/>
  <c r="HB25" i="35" s="1"/>
  <c r="CW25" i="35"/>
  <c r="T25" i="19" s="1"/>
  <c r="AJ25" i="19" s="1"/>
  <c r="Q25" i="19"/>
  <c r="AF25" i="19" s="1"/>
  <c r="HA25" i="35"/>
  <c r="BA150" i="35"/>
  <c r="BE150" i="35" s="1"/>
  <c r="BG150" i="35" s="1"/>
  <c r="BI150" i="35" s="1"/>
  <c r="BK150" i="35" s="1"/>
  <c r="BM150" i="35" s="1"/>
  <c r="BO150" i="35" s="1"/>
  <c r="BQ150" i="35" s="1"/>
  <c r="AZ180" i="35"/>
  <c r="N25" i="19"/>
  <c r="GW25" i="35"/>
  <c r="HK25" i="35" s="1"/>
  <c r="HM25" i="35" s="1"/>
  <c r="CR25" i="35"/>
  <c r="HC25" i="35"/>
  <c r="S25" i="19"/>
  <c r="AI25" i="19" s="1"/>
  <c r="BA171" i="35"/>
  <c r="BE171" i="35" s="1"/>
  <c r="BG171" i="35" s="1"/>
  <c r="BI171" i="35" s="1"/>
  <c r="BK171" i="35" s="1"/>
  <c r="BM171" i="35" s="1"/>
  <c r="BO171" i="35" s="1"/>
  <c r="BQ171" i="35" s="1"/>
  <c r="AZ195" i="35"/>
  <c r="AZ182" i="35"/>
  <c r="AX190" i="35"/>
  <c r="AX192" i="35"/>
  <c r="AZ192" i="35" s="1"/>
  <c r="AX200" i="35"/>
  <c r="AZ200" i="35" s="1"/>
  <c r="AX198" i="35"/>
  <c r="AX196" i="35"/>
  <c r="AX186" i="35"/>
  <c r="AZ186" i="35" s="1"/>
  <c r="GY116" i="35"/>
  <c r="HU116" i="35" s="1"/>
  <c r="AX193" i="35"/>
  <c r="AZ193" i="35" s="1"/>
  <c r="AX184" i="35"/>
  <c r="AZ184" i="35" s="1"/>
  <c r="AX189" i="35"/>
  <c r="AZ189" i="35" s="1"/>
  <c r="AX191" i="35"/>
  <c r="AZ191" i="35" s="1"/>
  <c r="AX183" i="35"/>
  <c r="AZ183" i="35" s="1"/>
  <c r="AX185" i="35"/>
  <c r="AZ185" i="35" s="1"/>
  <c r="AR212" i="35"/>
  <c r="EA212" i="35" s="1"/>
  <c r="AR215" i="35"/>
  <c r="EA215" i="35" s="1"/>
  <c r="AR206" i="35"/>
  <c r="AR201" i="35"/>
  <c r="EA201" i="35" s="1"/>
  <c r="AR204" i="35"/>
  <c r="HS143" i="35"/>
  <c r="HR143" i="35"/>
  <c r="HP143" i="35"/>
  <c r="HQ143" i="35"/>
  <c r="GY124" i="35"/>
  <c r="HU124" i="35" s="1"/>
  <c r="P124" i="19"/>
  <c r="AE124" i="19" s="1"/>
  <c r="GY98" i="35"/>
  <c r="HU98" i="35" s="1"/>
  <c r="P98" i="19"/>
  <c r="AE98" i="19" s="1"/>
  <c r="EL180" i="35"/>
  <c r="P119" i="19"/>
  <c r="AE119" i="19" s="1"/>
  <c r="GY119" i="35"/>
  <c r="HU119" i="35" s="1"/>
  <c r="P117" i="19"/>
  <c r="AE117" i="19" s="1"/>
  <c r="GY117" i="35"/>
  <c r="EK182" i="35"/>
  <c r="EJ182" i="35" s="1"/>
  <c r="EK177" i="35"/>
  <c r="EJ177" i="35" s="1"/>
  <c r="EL167" i="35"/>
  <c r="AV198" i="35"/>
  <c r="AV183" i="35"/>
  <c r="EK183" i="35" s="1"/>
  <c r="EJ183" i="35" s="1"/>
  <c r="EA184" i="35"/>
  <c r="AU188" i="35"/>
  <c r="AW188" i="35" s="1"/>
  <c r="AU199" i="35"/>
  <c r="AW199" i="35" s="1"/>
  <c r="AU194" i="35"/>
  <c r="AW194" i="35" s="1"/>
  <c r="EA188" i="35"/>
  <c r="EA189" i="35"/>
  <c r="EA187" i="35"/>
  <c r="AU201" i="35"/>
  <c r="AV201" i="35" s="1"/>
  <c r="EK201" i="35" s="1"/>
  <c r="EJ201" i="35" s="1"/>
  <c r="AP216" i="35"/>
  <c r="AQ216" i="35" s="1"/>
  <c r="AP207" i="35"/>
  <c r="AQ207" i="35" s="1"/>
  <c r="AP217" i="35"/>
  <c r="AQ217" i="35" s="1"/>
  <c r="AP205" i="35"/>
  <c r="AQ205" i="35" s="1"/>
  <c r="AP210" i="35"/>
  <c r="AQ210" i="35" s="1"/>
  <c r="AU187" i="35"/>
  <c r="AW187" i="35" s="1"/>
  <c r="AP218" i="35"/>
  <c r="AQ218" i="35" s="1"/>
  <c r="AV192" i="35"/>
  <c r="AP208" i="35"/>
  <c r="AQ208" i="35" s="1"/>
  <c r="AV190" i="35"/>
  <c r="AP211" i="35"/>
  <c r="AQ211" i="35" s="1"/>
  <c r="AP203" i="35"/>
  <c r="AQ203" i="35" s="1"/>
  <c r="AP209" i="35"/>
  <c r="AQ209" i="35" s="1"/>
  <c r="AP202" i="35"/>
  <c r="AQ202" i="35" s="1"/>
  <c r="AP213" i="35"/>
  <c r="AQ213" i="35" s="1"/>
  <c r="AP214" i="35"/>
  <c r="AQ214" i="35" s="1"/>
  <c r="GG101" i="35"/>
  <c r="EL195" i="35"/>
  <c r="EK197" i="35"/>
  <c r="EJ197" i="35" s="1"/>
  <c r="AV200" i="35"/>
  <c r="EL200" i="35" s="1"/>
  <c r="AU204" i="35"/>
  <c r="AW204" i="35" s="1"/>
  <c r="AV189" i="35"/>
  <c r="AV191" i="35"/>
  <c r="EL191" i="35" s="1"/>
  <c r="EL150" i="35"/>
  <c r="EK150" i="35"/>
  <c r="EJ150" i="35" s="1"/>
  <c r="AV186" i="35"/>
  <c r="AV184" i="35"/>
  <c r="AV196" i="35"/>
  <c r="AV193" i="35"/>
  <c r="AV185" i="35"/>
  <c r="B60" i="37"/>
  <c r="AU21" i="37"/>
  <c r="AG219" i="35"/>
  <c r="AG220" i="35" s="1"/>
  <c r="AF220" i="35"/>
  <c r="AF221" i="35" s="1"/>
  <c r="M38" i="32"/>
  <c r="K38" i="32"/>
  <c r="K22" i="32"/>
  <c r="M22" i="32"/>
  <c r="K30" i="32"/>
  <c r="M30" i="32"/>
  <c r="I136" i="19" l="1"/>
  <c r="AA136" i="19" s="1"/>
  <c r="DA134" i="35"/>
  <c r="X134" i="19" s="1"/>
  <c r="CG156" i="35"/>
  <c r="CH156" i="35" s="1"/>
  <c r="CJ156" i="35" s="1"/>
  <c r="GW93" i="35"/>
  <c r="HK93" i="35" s="1"/>
  <c r="HM93" i="35" s="1"/>
  <c r="N93" i="19"/>
  <c r="CR93" i="35"/>
  <c r="CL136" i="35"/>
  <c r="GA134" i="35"/>
  <c r="GC134" i="35" s="1"/>
  <c r="GE134" i="35" s="1"/>
  <c r="GG134" i="35" s="1"/>
  <c r="CT134" i="35"/>
  <c r="CU134" i="35" s="1"/>
  <c r="HB134" i="35" s="1"/>
  <c r="CP112" i="35"/>
  <c r="GW112" i="35" s="1"/>
  <c r="HK112" i="35" s="1"/>
  <c r="HM112" i="35" s="1"/>
  <c r="GS134" i="35"/>
  <c r="HG134" i="35" s="1"/>
  <c r="HO134" i="35" s="1"/>
  <c r="HQ134" i="35" s="1"/>
  <c r="CN134" i="35"/>
  <c r="L134" i="19" s="1"/>
  <c r="J134" i="19"/>
  <c r="AB134" i="19" s="1"/>
  <c r="DB133" i="35"/>
  <c r="Y133" i="19" s="1"/>
  <c r="CT133" i="35"/>
  <c r="DB134" i="35"/>
  <c r="Y134" i="19" s="1"/>
  <c r="R93" i="19"/>
  <c r="CZ134" i="35"/>
  <c r="W134" i="19" s="1"/>
  <c r="T93" i="19"/>
  <c r="AJ93" i="19" s="1"/>
  <c r="HD93" i="35"/>
  <c r="U93" i="19"/>
  <c r="AK93" i="19" s="1"/>
  <c r="HE93" i="35"/>
  <c r="I146" i="19"/>
  <c r="AA146" i="19" s="1"/>
  <c r="CU115" i="35"/>
  <c r="HB115" i="35" s="1"/>
  <c r="CG149" i="35"/>
  <c r="CH149" i="35" s="1"/>
  <c r="P46" i="19"/>
  <c r="AE46" i="19" s="1"/>
  <c r="GY46" i="35"/>
  <c r="HU46" i="35" s="1"/>
  <c r="U122" i="19"/>
  <c r="AK122" i="19" s="1"/>
  <c r="HE122" i="35"/>
  <c r="HD122" i="35"/>
  <c r="T122" i="19"/>
  <c r="AJ122" i="19" s="1"/>
  <c r="S122" i="19"/>
  <c r="AI122" i="19" s="1"/>
  <c r="HC122" i="35"/>
  <c r="CK147" i="35"/>
  <c r="I147" i="19" s="1"/>
  <c r="AA147" i="19" s="1"/>
  <c r="CG159" i="35"/>
  <c r="CH159" i="35" s="1"/>
  <c r="GY97" i="35"/>
  <c r="HU97" i="35" s="1"/>
  <c r="P97" i="19"/>
  <c r="AE97" i="19" s="1"/>
  <c r="CR122" i="35"/>
  <c r="N122" i="19"/>
  <c r="GW122" i="35"/>
  <c r="HK122" i="35" s="1"/>
  <c r="HM122" i="35" s="1"/>
  <c r="H147" i="19"/>
  <c r="Z147" i="19" s="1"/>
  <c r="GK122" i="35"/>
  <c r="GJ122" i="35"/>
  <c r="GM122" i="35" s="1"/>
  <c r="GO122" i="35" s="1"/>
  <c r="FA159" i="35"/>
  <c r="FA147" i="35"/>
  <c r="HB122" i="35"/>
  <c r="R122" i="19"/>
  <c r="CV115" i="35"/>
  <c r="S115" i="19" s="1"/>
  <c r="AI115" i="19" s="1"/>
  <c r="H140" i="19"/>
  <c r="Z140" i="19" s="1"/>
  <c r="FA140" i="35"/>
  <c r="CK140" i="35"/>
  <c r="CJ140" i="35"/>
  <c r="EB159" i="35"/>
  <c r="CI159" i="35"/>
  <c r="CJ154" i="35"/>
  <c r="FA154" i="35"/>
  <c r="CK154" i="35"/>
  <c r="H154" i="19"/>
  <c r="Z154" i="19" s="1"/>
  <c r="EB153" i="35"/>
  <c r="CI153" i="35"/>
  <c r="FA157" i="35"/>
  <c r="H157" i="19"/>
  <c r="Z157" i="19" s="1"/>
  <c r="CK157" i="35"/>
  <c r="CJ157" i="35"/>
  <c r="I157" i="19" s="1"/>
  <c r="AA157" i="19" s="1"/>
  <c r="EB156" i="35"/>
  <c r="CI156" i="35"/>
  <c r="BZ155" i="35"/>
  <c r="CA155" i="35" s="1"/>
  <c r="CG155" i="35" s="1"/>
  <c r="CH155" i="35" s="1"/>
  <c r="BZ151" i="35"/>
  <c r="CA151" i="35" s="1"/>
  <c r="HC105" i="35"/>
  <c r="S105" i="19"/>
  <c r="AI105" i="19" s="1"/>
  <c r="GU92" i="35"/>
  <c r="HI92" i="35" s="1"/>
  <c r="L92" i="19"/>
  <c r="CP92" i="35"/>
  <c r="BZ160" i="35"/>
  <c r="CA160" i="35" s="1"/>
  <c r="CB160" i="35" s="1"/>
  <c r="R105" i="19"/>
  <c r="HB105" i="35"/>
  <c r="T105" i="19"/>
  <c r="AJ105" i="19" s="1"/>
  <c r="HD105" i="35"/>
  <c r="GW105" i="35"/>
  <c r="HK105" i="35" s="1"/>
  <c r="HM105" i="35" s="1"/>
  <c r="N105" i="19"/>
  <c r="CR105" i="35"/>
  <c r="BZ168" i="35"/>
  <c r="CA168" i="35" s="1"/>
  <c r="BZ162" i="35"/>
  <c r="CA162" i="35" s="1"/>
  <c r="CG162" i="35" s="1"/>
  <c r="CH162" i="35" s="1"/>
  <c r="CL146" i="35"/>
  <c r="GJ105" i="35"/>
  <c r="GM105" i="35" s="1"/>
  <c r="GO105" i="35" s="1"/>
  <c r="GK105" i="35"/>
  <c r="Q92" i="19"/>
  <c r="AF92" i="19" s="1"/>
  <c r="CU92" i="35"/>
  <c r="HA92" i="35"/>
  <c r="CX92" i="35"/>
  <c r="CW92" i="35"/>
  <c r="CV92" i="35"/>
  <c r="U105" i="19"/>
  <c r="AK105" i="19" s="1"/>
  <c r="HE105" i="35"/>
  <c r="CB152" i="35"/>
  <c r="GI92" i="35"/>
  <c r="GC92" i="35"/>
  <c r="GE92" i="35" s="1"/>
  <c r="GG92" i="35" s="1"/>
  <c r="CG164" i="35"/>
  <c r="CH164" i="35" s="1"/>
  <c r="BZ158" i="35"/>
  <c r="CA158" i="35" s="1"/>
  <c r="CG158" i="35" s="1"/>
  <c r="CH158" i="35" s="1"/>
  <c r="P87" i="19"/>
  <c r="AE87" i="19" s="1"/>
  <c r="GY87" i="35"/>
  <c r="HU87" i="35" s="1"/>
  <c r="BZ161" i="35"/>
  <c r="CA161" i="35" s="1"/>
  <c r="CB161" i="35" s="1"/>
  <c r="BZ165" i="35"/>
  <c r="CA165" i="35" s="1"/>
  <c r="CG165" i="35" s="1"/>
  <c r="CH165" i="35" s="1"/>
  <c r="HR92" i="35"/>
  <c r="HS92" i="35"/>
  <c r="HQ92" i="35"/>
  <c r="HP92" i="35"/>
  <c r="DB145" i="35"/>
  <c r="Y145" i="19" s="1"/>
  <c r="GI115" i="35"/>
  <c r="GK115" i="35" s="1"/>
  <c r="HS115" i="35"/>
  <c r="HP115" i="35"/>
  <c r="HA112" i="35"/>
  <c r="GA145" i="35"/>
  <c r="GI145" i="35" s="1"/>
  <c r="HP145" i="35"/>
  <c r="CW115" i="35"/>
  <c r="HD115" i="35" s="1"/>
  <c r="CZ145" i="35"/>
  <c r="W145" i="19" s="1"/>
  <c r="CY145" i="35"/>
  <c r="V145" i="19" s="1"/>
  <c r="HQ145" i="35"/>
  <c r="CN145" i="35"/>
  <c r="L145" i="19" s="1"/>
  <c r="HR145" i="35"/>
  <c r="HD142" i="35"/>
  <c r="HQ115" i="35"/>
  <c r="CB131" i="35"/>
  <c r="CI131" i="35" s="1"/>
  <c r="L115" i="19"/>
  <c r="P115" i="19"/>
  <c r="AE115" i="19" s="1"/>
  <c r="GW115" i="35"/>
  <c r="HK115" i="35" s="1"/>
  <c r="HM115" i="35" s="1"/>
  <c r="HU115" i="35" s="1"/>
  <c r="GU115" i="35"/>
  <c r="HI115" i="35" s="1"/>
  <c r="CX115" i="35"/>
  <c r="U115" i="19" s="1"/>
  <c r="AK115" i="19" s="1"/>
  <c r="H131" i="19"/>
  <c r="Z131" i="19" s="1"/>
  <c r="CJ131" i="35"/>
  <c r="GY51" i="35"/>
  <c r="HU51" i="35" s="1"/>
  <c r="P51" i="19"/>
  <c r="AE51" i="19" s="1"/>
  <c r="GU112" i="35"/>
  <c r="HI112" i="35" s="1"/>
  <c r="GS142" i="35"/>
  <c r="HG142" i="35" s="1"/>
  <c r="HO142" i="35" s="1"/>
  <c r="HR142" i="35" s="1"/>
  <c r="N115" i="19"/>
  <c r="CZ142" i="35"/>
  <c r="W142" i="19" s="1"/>
  <c r="Q115" i="19"/>
  <c r="AF115" i="19" s="1"/>
  <c r="Q142" i="19"/>
  <c r="AF142" i="19" s="1"/>
  <c r="GJ112" i="35"/>
  <c r="GM112" i="35" s="1"/>
  <c r="GO112" i="35" s="1"/>
  <c r="GC112" i="35"/>
  <c r="GE112" i="35" s="1"/>
  <c r="GG112" i="35" s="1"/>
  <c r="CZ141" i="35"/>
  <c r="W141" i="19" s="1"/>
  <c r="HP133" i="35"/>
  <c r="GI133" i="35"/>
  <c r="GJ133" i="35" s="1"/>
  <c r="GM133" i="35" s="1"/>
  <c r="GO133" i="35" s="1"/>
  <c r="CY141" i="35"/>
  <c r="V141" i="19" s="1"/>
  <c r="CU142" i="35"/>
  <c r="HB142" i="35" s="1"/>
  <c r="GI127" i="35"/>
  <c r="GK127" i="35" s="1"/>
  <c r="CV112" i="35"/>
  <c r="HC112" i="35" s="1"/>
  <c r="HD112" i="35"/>
  <c r="HQ133" i="35"/>
  <c r="CR141" i="35"/>
  <c r="GY141" i="35" s="1"/>
  <c r="HU141" i="35" s="1"/>
  <c r="DA141" i="35"/>
  <c r="X141" i="19" s="1"/>
  <c r="DA142" i="35"/>
  <c r="X142" i="19" s="1"/>
  <c r="CX142" i="35"/>
  <c r="U142" i="19" s="1"/>
  <c r="AK142" i="19" s="1"/>
  <c r="Q112" i="19"/>
  <c r="AF112" i="19" s="1"/>
  <c r="HS133" i="35"/>
  <c r="N141" i="19"/>
  <c r="J142" i="19"/>
  <c r="AB142" i="19" s="1"/>
  <c r="DB142" i="35"/>
  <c r="Y142" i="19" s="1"/>
  <c r="HA142" i="35"/>
  <c r="CX112" i="35"/>
  <c r="U112" i="19" s="1"/>
  <c r="AK112" i="19" s="1"/>
  <c r="GA142" i="35"/>
  <c r="GI142" i="35" s="1"/>
  <c r="GJ142" i="35" s="1"/>
  <c r="GM142" i="35" s="1"/>
  <c r="GO142" i="35" s="1"/>
  <c r="CU112" i="35"/>
  <c r="R112" i="19" s="1"/>
  <c r="HA127" i="35"/>
  <c r="CX127" i="35"/>
  <c r="U127" i="19" s="1"/>
  <c r="AK127" i="19" s="1"/>
  <c r="GY35" i="35"/>
  <c r="HU35" i="35" s="1"/>
  <c r="P35" i="19"/>
  <c r="AE35" i="19" s="1"/>
  <c r="CG130" i="35"/>
  <c r="CH130" i="35" s="1"/>
  <c r="GY111" i="35"/>
  <c r="HU111" i="35" s="1"/>
  <c r="FA131" i="35"/>
  <c r="CK131" i="35"/>
  <c r="GU133" i="35"/>
  <c r="HI133" i="35" s="1"/>
  <c r="HP112" i="35"/>
  <c r="HS112" i="35"/>
  <c r="HR112" i="35"/>
  <c r="L133" i="19"/>
  <c r="R127" i="19"/>
  <c r="CW127" i="35"/>
  <c r="T127" i="19" s="1"/>
  <c r="AJ127" i="19" s="1"/>
  <c r="Q127" i="19"/>
  <c r="AF127" i="19" s="1"/>
  <c r="HQ127" i="35"/>
  <c r="HP127" i="35"/>
  <c r="CJ159" i="35"/>
  <c r="GA141" i="35"/>
  <c r="GC141" i="35" s="1"/>
  <c r="GE141" i="35" s="1"/>
  <c r="EB149" i="35"/>
  <c r="L127" i="19"/>
  <c r="L141" i="19"/>
  <c r="CR127" i="35"/>
  <c r="GU141" i="35"/>
  <c r="HI141" i="35" s="1"/>
  <c r="N127" i="19"/>
  <c r="GS141" i="35"/>
  <c r="HG141" i="35" s="1"/>
  <c r="HO141" i="35" s="1"/>
  <c r="HQ141" i="35" s="1"/>
  <c r="J141" i="19"/>
  <c r="AB141" i="19" s="1"/>
  <c r="HR127" i="35"/>
  <c r="CR112" i="35"/>
  <c r="GY112" i="35" s="1"/>
  <c r="HU112" i="35" s="1"/>
  <c r="CT141" i="35"/>
  <c r="CV141" i="35" s="1"/>
  <c r="HC141" i="35" s="1"/>
  <c r="GJ115" i="35"/>
  <c r="GM115" i="35" s="1"/>
  <c r="GO115" i="35" s="1"/>
  <c r="CV127" i="35"/>
  <c r="HC127" i="35" s="1"/>
  <c r="GU127" i="35"/>
  <c r="HI127" i="35" s="1"/>
  <c r="CP126" i="35"/>
  <c r="L126" i="19"/>
  <c r="GU126" i="35"/>
  <c r="HI126" i="35" s="1"/>
  <c r="GC126" i="35"/>
  <c r="GE126" i="35" s="1"/>
  <c r="GG126" i="35" s="1"/>
  <c r="GI126" i="35"/>
  <c r="J144" i="19"/>
  <c r="AB144" i="19" s="1"/>
  <c r="HA126" i="35"/>
  <c r="CV126" i="35"/>
  <c r="CW126" i="35"/>
  <c r="CX126" i="35"/>
  <c r="Q126" i="19"/>
  <c r="AF126" i="19" s="1"/>
  <c r="CU126" i="35"/>
  <c r="DB144" i="35"/>
  <c r="Y144" i="19" s="1"/>
  <c r="CB155" i="35"/>
  <c r="CI155" i="35" s="1"/>
  <c r="EB130" i="35"/>
  <c r="GA144" i="35"/>
  <c r="GI144" i="35" s="1"/>
  <c r="GK144" i="35" s="1"/>
  <c r="GS144" i="35"/>
  <c r="HG144" i="35" s="1"/>
  <c r="HO144" i="35" s="1"/>
  <c r="HQ144" i="35" s="1"/>
  <c r="CT144" i="35"/>
  <c r="CW144" i="35" s="1"/>
  <c r="HD144" i="35" s="1"/>
  <c r="CI157" i="35"/>
  <c r="CG161" i="35"/>
  <c r="CH161" i="35" s="1"/>
  <c r="CJ161" i="35" s="1"/>
  <c r="CB162" i="35"/>
  <c r="EB162" i="35" s="1"/>
  <c r="N112" i="19"/>
  <c r="CB165" i="35"/>
  <c r="H153" i="19"/>
  <c r="Z153" i="19" s="1"/>
  <c r="BX163" i="35"/>
  <c r="CJ153" i="35"/>
  <c r="CL153" i="35" s="1"/>
  <c r="CN153" i="35" s="1"/>
  <c r="BX178" i="35"/>
  <c r="CG160" i="35"/>
  <c r="CH160" i="35" s="1"/>
  <c r="FA160" i="35" s="1"/>
  <c r="FA156" i="35"/>
  <c r="CL147" i="35"/>
  <c r="DA147" i="35" s="1"/>
  <c r="X147" i="19" s="1"/>
  <c r="BX174" i="35"/>
  <c r="H156" i="19"/>
  <c r="Z156" i="19" s="1"/>
  <c r="CY144" i="35"/>
  <c r="V144" i="19" s="1"/>
  <c r="CZ144" i="35"/>
  <c r="W144" i="19" s="1"/>
  <c r="CB158" i="35"/>
  <c r="CI158" i="35" s="1"/>
  <c r="BX173" i="35"/>
  <c r="BX181" i="35"/>
  <c r="CI140" i="35"/>
  <c r="CL140" i="35" s="1"/>
  <c r="EB140" i="35"/>
  <c r="BX179" i="35"/>
  <c r="CK156" i="35"/>
  <c r="CL156" i="35" s="1"/>
  <c r="J156" i="19" s="1"/>
  <c r="AB156" i="19" s="1"/>
  <c r="BX172" i="35"/>
  <c r="FA153" i="35"/>
  <c r="CN144" i="35"/>
  <c r="GU144" i="35" s="1"/>
  <c r="HI144" i="35" s="1"/>
  <c r="BX166" i="35"/>
  <c r="BX169" i="35"/>
  <c r="BZ169" i="35" s="1"/>
  <c r="R134" i="19"/>
  <c r="J129" i="19"/>
  <c r="AB129" i="19" s="1"/>
  <c r="CT129" i="35"/>
  <c r="CW129" i="35" s="1"/>
  <c r="DB129" i="35"/>
  <c r="Y129" i="19" s="1"/>
  <c r="DA129" i="35"/>
  <c r="X129" i="19" s="1"/>
  <c r="CY129" i="35"/>
  <c r="V129" i="19" s="1"/>
  <c r="GA129" i="35"/>
  <c r="GC129" i="35" s="1"/>
  <c r="GE129" i="35" s="1"/>
  <c r="GS129" i="35"/>
  <c r="HG129" i="35" s="1"/>
  <c r="HO129" i="35" s="1"/>
  <c r="HR129" i="35" s="1"/>
  <c r="CN129" i="35"/>
  <c r="L129" i="19" s="1"/>
  <c r="CL114" i="35"/>
  <c r="CN114" i="35" s="1"/>
  <c r="HS134" i="35"/>
  <c r="CP138" i="35"/>
  <c r="GW138" i="35" s="1"/>
  <c r="HK138" i="35" s="1"/>
  <c r="HM138" i="35" s="1"/>
  <c r="GU138" i="35"/>
  <c r="HI138" i="35" s="1"/>
  <c r="I114" i="19"/>
  <c r="AA114" i="19" s="1"/>
  <c r="CW134" i="35"/>
  <c r="T134" i="19" s="1"/>
  <c r="AJ134" i="19" s="1"/>
  <c r="Q134" i="19"/>
  <c r="AF134" i="19" s="1"/>
  <c r="BU170" i="35"/>
  <c r="CV134" i="35"/>
  <c r="HC134" i="35" s="1"/>
  <c r="BU148" i="35"/>
  <c r="BX148" i="35" s="1"/>
  <c r="CX134" i="35"/>
  <c r="U134" i="19" s="1"/>
  <c r="AK134" i="19" s="1"/>
  <c r="HR134" i="35"/>
  <c r="HP134" i="35"/>
  <c r="BS176" i="35"/>
  <c r="BS175" i="35"/>
  <c r="BU175" i="35" s="1"/>
  <c r="BS171" i="35"/>
  <c r="BU171" i="35" s="1"/>
  <c r="BS150" i="35"/>
  <c r="BS177" i="35"/>
  <c r="BU177" i="35" s="1"/>
  <c r="HA134" i="35"/>
  <c r="BS167" i="35"/>
  <c r="BS197" i="35"/>
  <c r="BU197" i="35" s="1"/>
  <c r="CP134" i="35"/>
  <c r="GW134" i="35" s="1"/>
  <c r="HK134" i="35" s="1"/>
  <c r="HM134" i="35" s="1"/>
  <c r="GU134" i="35"/>
  <c r="HI134" i="35" s="1"/>
  <c r="N142" i="19"/>
  <c r="L143" i="19"/>
  <c r="HU117" i="35"/>
  <c r="CV145" i="35"/>
  <c r="HC145" i="35" s="1"/>
  <c r="S142" i="19"/>
  <c r="AI142" i="19" s="1"/>
  <c r="GW142" i="35"/>
  <c r="HK142" i="35" s="1"/>
  <c r="HM142" i="35" s="1"/>
  <c r="GU142" i="35"/>
  <c r="HI142" i="35" s="1"/>
  <c r="L142" i="19"/>
  <c r="Q138" i="19"/>
  <c r="AF138" i="19" s="1"/>
  <c r="CX145" i="35"/>
  <c r="U145" i="19" s="1"/>
  <c r="AK145" i="19" s="1"/>
  <c r="CV138" i="35"/>
  <c r="S138" i="19" s="1"/>
  <c r="AI138" i="19" s="1"/>
  <c r="HA145" i="35"/>
  <c r="CW138" i="35"/>
  <c r="T138" i="19" s="1"/>
  <c r="AJ138" i="19" s="1"/>
  <c r="HA138" i="35"/>
  <c r="CU145" i="35"/>
  <c r="HB145" i="35" s="1"/>
  <c r="CX138" i="35"/>
  <c r="HE138" i="35" s="1"/>
  <c r="CW143" i="35"/>
  <c r="HD143" i="35" s="1"/>
  <c r="Q145" i="19"/>
  <c r="AF145" i="19" s="1"/>
  <c r="GI138" i="35"/>
  <c r="GJ138" i="35" s="1"/>
  <c r="GM138" i="35" s="1"/>
  <c r="GO138" i="35" s="1"/>
  <c r="GI143" i="35"/>
  <c r="GK143" i="35" s="1"/>
  <c r="GU143" i="35"/>
  <c r="HI143" i="35" s="1"/>
  <c r="CX143" i="35"/>
  <c r="U143" i="19" s="1"/>
  <c r="AK143" i="19" s="1"/>
  <c r="HA143" i="35"/>
  <c r="Q143" i="19"/>
  <c r="AF143" i="19" s="1"/>
  <c r="CV143" i="35"/>
  <c r="S143" i="19" s="1"/>
  <c r="AI143" i="19" s="1"/>
  <c r="HR138" i="35"/>
  <c r="HS138" i="35"/>
  <c r="HQ138" i="35"/>
  <c r="CL154" i="35"/>
  <c r="CZ154" i="35" s="1"/>
  <c r="W154" i="19" s="1"/>
  <c r="I152" i="19"/>
  <c r="AA152" i="19" s="1"/>
  <c r="HS141" i="35"/>
  <c r="GI120" i="35"/>
  <c r="GK120" i="35" s="1"/>
  <c r="P108" i="19"/>
  <c r="AE108" i="19" s="1"/>
  <c r="GY108" i="35"/>
  <c r="HU108" i="35" s="1"/>
  <c r="GU120" i="35"/>
  <c r="HI120" i="35" s="1"/>
  <c r="L120" i="19"/>
  <c r="HP120" i="35"/>
  <c r="HR120" i="35"/>
  <c r="HS120" i="35"/>
  <c r="HA120" i="35"/>
  <c r="Q120" i="19"/>
  <c r="AF120" i="19" s="1"/>
  <c r="CU120" i="35"/>
  <c r="R120" i="19" s="1"/>
  <c r="CV120" i="35"/>
  <c r="S120" i="19" s="1"/>
  <c r="AI120" i="19" s="1"/>
  <c r="CW120" i="35"/>
  <c r="HD120" i="35" s="1"/>
  <c r="J147" i="19"/>
  <c r="AB147" i="19" s="1"/>
  <c r="P102" i="19"/>
  <c r="AE102" i="19" s="1"/>
  <c r="GY102" i="35"/>
  <c r="HU102" i="35" s="1"/>
  <c r="U25" i="19"/>
  <c r="AK25" i="19" s="1"/>
  <c r="CV137" i="35"/>
  <c r="CW137" i="35"/>
  <c r="CX137" i="35"/>
  <c r="CU137" i="35"/>
  <c r="Q137" i="19"/>
  <c r="AF137" i="19" s="1"/>
  <c r="HA137" i="35"/>
  <c r="GI137" i="35"/>
  <c r="GC137" i="35"/>
  <c r="GE137" i="35" s="1"/>
  <c r="L137" i="19"/>
  <c r="GU137" i="35"/>
  <c r="HI137" i="35" s="1"/>
  <c r="CP137" i="35"/>
  <c r="DB139" i="35"/>
  <c r="Y139" i="19" s="1"/>
  <c r="GA139" i="35"/>
  <c r="CZ139" i="35"/>
  <c r="W139" i="19" s="1"/>
  <c r="CY139" i="35"/>
  <c r="V139" i="19" s="1"/>
  <c r="GS139" i="35"/>
  <c r="HG139" i="35" s="1"/>
  <c r="HO139" i="35" s="1"/>
  <c r="J139" i="19"/>
  <c r="AB139" i="19" s="1"/>
  <c r="CN139" i="35"/>
  <c r="CT139" i="35"/>
  <c r="DA139" i="35"/>
  <c r="X139" i="19" s="1"/>
  <c r="HS137" i="35"/>
  <c r="HP137" i="35"/>
  <c r="HR137" i="35"/>
  <c r="HQ137" i="35"/>
  <c r="GC135" i="35"/>
  <c r="GE135" i="35" s="1"/>
  <c r="GI135" i="35"/>
  <c r="GU135" i="35"/>
  <c r="HI135" i="35" s="1"/>
  <c r="L135" i="19"/>
  <c r="CP135" i="35"/>
  <c r="CW135" i="35"/>
  <c r="HA135" i="35"/>
  <c r="CU135" i="35"/>
  <c r="Q135" i="19"/>
  <c r="AF135" i="19" s="1"/>
  <c r="CV135" i="35"/>
  <c r="CX135" i="35"/>
  <c r="HS135" i="35"/>
  <c r="HQ135" i="35"/>
  <c r="HR135" i="35"/>
  <c r="HP135" i="35"/>
  <c r="GK25" i="35"/>
  <c r="BA195" i="35"/>
  <c r="BE195" i="35" s="1"/>
  <c r="BG195" i="35" s="1"/>
  <c r="BI195" i="35" s="1"/>
  <c r="BK195" i="35" s="1"/>
  <c r="BM195" i="35" s="1"/>
  <c r="BO195" i="35" s="1"/>
  <c r="BQ195" i="35" s="1"/>
  <c r="Q129" i="19"/>
  <c r="AF129" i="19" s="1"/>
  <c r="GY125" i="35"/>
  <c r="HU125" i="35" s="1"/>
  <c r="P125" i="19"/>
  <c r="AE125" i="19" s="1"/>
  <c r="S128" i="19"/>
  <c r="AI128" i="19" s="1"/>
  <c r="HC128" i="35"/>
  <c r="BA185" i="35"/>
  <c r="BE185" i="35" s="1"/>
  <c r="BG185" i="35" s="1"/>
  <c r="BI185" i="35" s="1"/>
  <c r="BK185" i="35" s="1"/>
  <c r="BM185" i="35" s="1"/>
  <c r="BO185" i="35" s="1"/>
  <c r="BQ185" i="35" s="1"/>
  <c r="BA180" i="35"/>
  <c r="BE180" i="35" s="1"/>
  <c r="BG180" i="35" s="1"/>
  <c r="BI180" i="35" s="1"/>
  <c r="BK180" i="35" s="1"/>
  <c r="BM180" i="35" s="1"/>
  <c r="BO180" i="35" s="1"/>
  <c r="BQ180" i="35" s="1"/>
  <c r="CK149" i="35"/>
  <c r="H149" i="19"/>
  <c r="Z149" i="19" s="1"/>
  <c r="CJ149" i="35"/>
  <c r="FA149" i="35"/>
  <c r="HE128" i="35"/>
  <c r="U128" i="19"/>
  <c r="AK128" i="19" s="1"/>
  <c r="BA183" i="35"/>
  <c r="BE183" i="35" s="1"/>
  <c r="BG183" i="35" s="1"/>
  <c r="BI183" i="35" s="1"/>
  <c r="BK183" i="35" s="1"/>
  <c r="BM183" i="35" s="1"/>
  <c r="BO183" i="35" s="1"/>
  <c r="BQ183" i="35" s="1"/>
  <c r="HE120" i="35"/>
  <c r="U120" i="19"/>
  <c r="AK120" i="19" s="1"/>
  <c r="CX123" i="35"/>
  <c r="CU123" i="35"/>
  <c r="HA123" i="35"/>
  <c r="CW123" i="35"/>
  <c r="CV123" i="35"/>
  <c r="Q123" i="19"/>
  <c r="AF123" i="19" s="1"/>
  <c r="N120" i="19"/>
  <c r="CR120" i="35"/>
  <c r="GW120" i="35"/>
  <c r="HK120" i="35" s="1"/>
  <c r="HM120" i="35" s="1"/>
  <c r="R128" i="19"/>
  <c r="HB128" i="35"/>
  <c r="HP123" i="35"/>
  <c r="HS123" i="35"/>
  <c r="HR123" i="35"/>
  <c r="HQ123" i="35"/>
  <c r="BA189" i="35"/>
  <c r="BE189" i="35" s="1"/>
  <c r="BG189" i="35" s="1"/>
  <c r="BI189" i="35" s="1"/>
  <c r="BK189" i="35" s="1"/>
  <c r="BM189" i="35" s="1"/>
  <c r="BO189" i="35" s="1"/>
  <c r="BQ189" i="35" s="1"/>
  <c r="T128" i="19"/>
  <c r="AJ128" i="19" s="1"/>
  <c r="HD128" i="35"/>
  <c r="GU123" i="35"/>
  <c r="HI123" i="35" s="1"/>
  <c r="L123" i="19"/>
  <c r="CP123" i="35"/>
  <c r="BA184" i="35"/>
  <c r="BE184" i="35" s="1"/>
  <c r="BG184" i="35" s="1"/>
  <c r="BI184" i="35" s="1"/>
  <c r="BK184" i="35" s="1"/>
  <c r="BM184" i="35" s="1"/>
  <c r="BO184" i="35" s="1"/>
  <c r="BQ184" i="35" s="1"/>
  <c r="GW128" i="35"/>
  <c r="HK128" i="35" s="1"/>
  <c r="HM128" i="35" s="1"/>
  <c r="CR128" i="35"/>
  <c r="N128" i="19"/>
  <c r="GJ128" i="35"/>
  <c r="GM128" i="35" s="1"/>
  <c r="GO128" i="35" s="1"/>
  <c r="GK128" i="35"/>
  <c r="GC123" i="35"/>
  <c r="GE123" i="35" s="1"/>
  <c r="GI123" i="35"/>
  <c r="BA193" i="35"/>
  <c r="BE193" i="35" s="1"/>
  <c r="BG193" i="35" s="1"/>
  <c r="BI193" i="35" s="1"/>
  <c r="BK193" i="35" s="1"/>
  <c r="BM193" i="35" s="1"/>
  <c r="BO193" i="35" s="1"/>
  <c r="BQ193" i="35" s="1"/>
  <c r="BA192" i="35"/>
  <c r="BE192" i="35" s="1"/>
  <c r="BG192" i="35" s="1"/>
  <c r="BI192" i="35" s="1"/>
  <c r="BK192" i="35" s="1"/>
  <c r="BM192" i="35" s="1"/>
  <c r="BO192" i="35" s="1"/>
  <c r="BQ192" i="35" s="1"/>
  <c r="GS132" i="35"/>
  <c r="HG132" i="35" s="1"/>
  <c r="HO132" i="35" s="1"/>
  <c r="CZ132" i="35"/>
  <c r="W132" i="19" s="1"/>
  <c r="J132" i="19"/>
  <c r="AB132" i="19" s="1"/>
  <c r="DA132" i="35"/>
  <c r="X132" i="19" s="1"/>
  <c r="DB132" i="35"/>
  <c r="Y132" i="19" s="1"/>
  <c r="CT132" i="35"/>
  <c r="CN132" i="35"/>
  <c r="GA132" i="35"/>
  <c r="CY132" i="35"/>
  <c r="V132" i="19" s="1"/>
  <c r="R25" i="19"/>
  <c r="HD25" i="35"/>
  <c r="BA186" i="35"/>
  <c r="BE186" i="35" s="1"/>
  <c r="BG186" i="35" s="1"/>
  <c r="BI186" i="35" s="1"/>
  <c r="BK186" i="35" s="1"/>
  <c r="BM186" i="35" s="1"/>
  <c r="BO186" i="35" s="1"/>
  <c r="BQ186" i="35" s="1"/>
  <c r="BA200" i="35"/>
  <c r="BE200" i="35" s="1"/>
  <c r="BG200" i="35" s="1"/>
  <c r="BI200" i="35" s="1"/>
  <c r="BK200" i="35" s="1"/>
  <c r="BM200" i="35" s="1"/>
  <c r="BO200" i="35" s="1"/>
  <c r="BQ200" i="35" s="1"/>
  <c r="BA191" i="35"/>
  <c r="BE191" i="35" s="1"/>
  <c r="BG191" i="35" s="1"/>
  <c r="BI191" i="35" s="1"/>
  <c r="BK191" i="35" s="1"/>
  <c r="BM191" i="35" s="1"/>
  <c r="BO191" i="35" s="1"/>
  <c r="BQ191" i="35" s="1"/>
  <c r="I140" i="19"/>
  <c r="AA140" i="19" s="1"/>
  <c r="AZ196" i="35"/>
  <c r="BA182" i="35"/>
  <c r="BE182" i="35" s="1"/>
  <c r="BG182" i="35" s="1"/>
  <c r="BI182" i="35" s="1"/>
  <c r="BK182" i="35" s="1"/>
  <c r="BM182" i="35" s="1"/>
  <c r="BO182" i="35" s="1"/>
  <c r="BQ182" i="35" s="1"/>
  <c r="AZ198" i="35"/>
  <c r="J136" i="19"/>
  <c r="AB136" i="19" s="1"/>
  <c r="CN136" i="35"/>
  <c r="GA136" i="35"/>
  <c r="CY136" i="35"/>
  <c r="V136" i="19" s="1"/>
  <c r="CT136" i="35"/>
  <c r="CZ136" i="35"/>
  <c r="W136" i="19" s="1"/>
  <c r="GS136" i="35"/>
  <c r="HG136" i="35" s="1"/>
  <c r="HO136" i="35" s="1"/>
  <c r="DA136" i="35"/>
  <c r="X136" i="19" s="1"/>
  <c r="DB136" i="35"/>
  <c r="Y136" i="19" s="1"/>
  <c r="AZ190" i="35"/>
  <c r="P25" i="19"/>
  <c r="AE25" i="19" s="1"/>
  <c r="GY25" i="35"/>
  <c r="HU25" i="35" s="1"/>
  <c r="AX187" i="35"/>
  <c r="AZ187" i="35" s="1"/>
  <c r="AX194" i="35"/>
  <c r="AZ194" i="35" s="1"/>
  <c r="AX199" i="35"/>
  <c r="AZ199" i="35" s="1"/>
  <c r="AX188" i="35"/>
  <c r="AZ188" i="35" s="1"/>
  <c r="AX204" i="35"/>
  <c r="AZ204" i="35" s="1"/>
  <c r="AW201" i="35"/>
  <c r="AR209" i="35"/>
  <c r="AR210" i="35"/>
  <c r="EA210" i="35" s="1"/>
  <c r="AR218" i="35"/>
  <c r="EA218" i="35" s="1"/>
  <c r="AR207" i="35"/>
  <c r="EA207" i="35" s="1"/>
  <c r="AR205" i="35"/>
  <c r="AV188" i="35"/>
  <c r="EL188" i="35" s="1"/>
  <c r="AR214" i="35"/>
  <c r="EA214" i="35" s="1"/>
  <c r="AR217" i="35"/>
  <c r="EA217" i="35" s="1"/>
  <c r="AR203" i="35"/>
  <c r="EA203" i="35" s="1"/>
  <c r="AR211" i="35"/>
  <c r="EA211" i="35" s="1"/>
  <c r="AR213" i="35"/>
  <c r="EA213" i="35" s="1"/>
  <c r="AR208" i="35"/>
  <c r="AR216" i="35"/>
  <c r="EA216" i="35" s="1"/>
  <c r="AR202" i="35"/>
  <c r="EA202" i="35" s="1"/>
  <c r="GW143" i="35"/>
  <c r="HK143" i="35" s="1"/>
  <c r="HM143" i="35" s="1"/>
  <c r="CR143" i="35"/>
  <c r="N143" i="19"/>
  <c r="CR133" i="35"/>
  <c r="GW133" i="35"/>
  <c r="HK133" i="35" s="1"/>
  <c r="HM133" i="35" s="1"/>
  <c r="N133" i="19"/>
  <c r="GK145" i="35"/>
  <c r="GJ145" i="35"/>
  <c r="GM145" i="35" s="1"/>
  <c r="GO145" i="35" s="1"/>
  <c r="HB138" i="35"/>
  <c r="R138" i="19"/>
  <c r="P142" i="19"/>
  <c r="AE142" i="19" s="1"/>
  <c r="GY142" i="35"/>
  <c r="HB143" i="35"/>
  <c r="R143" i="19"/>
  <c r="HD145" i="35"/>
  <c r="T145" i="19"/>
  <c r="AJ145" i="19" s="1"/>
  <c r="AV187" i="35"/>
  <c r="EL187" i="35" s="1"/>
  <c r="EL183" i="35"/>
  <c r="AV194" i="35"/>
  <c r="EL194" i="35" s="1"/>
  <c r="AV199" i="35"/>
  <c r="EK199" i="35" s="1"/>
  <c r="EJ199" i="35" s="1"/>
  <c r="EL198" i="35"/>
  <c r="EK198" i="35"/>
  <c r="EJ198" i="35" s="1"/>
  <c r="EA206" i="35"/>
  <c r="EA204" i="35"/>
  <c r="AU212" i="35"/>
  <c r="AW212" i="35" s="1"/>
  <c r="AU206" i="35"/>
  <c r="AW206" i="35" s="1"/>
  <c r="AU215" i="35"/>
  <c r="AW215" i="35" s="1"/>
  <c r="EK190" i="35"/>
  <c r="EJ190" i="35" s="1"/>
  <c r="EL190" i="35"/>
  <c r="EL192" i="35"/>
  <c r="EK192" i="35"/>
  <c r="EJ192" i="35" s="1"/>
  <c r="GG103" i="35"/>
  <c r="AU216" i="35"/>
  <c r="AW216" i="35" s="1"/>
  <c r="EK200" i="35"/>
  <c r="EJ200" i="35" s="1"/>
  <c r="AU209" i="35"/>
  <c r="AW209" i="35" s="1"/>
  <c r="AV204" i="35"/>
  <c r="EL204" i="35" s="1"/>
  <c r="EK191" i="35"/>
  <c r="EJ191" i="35" s="1"/>
  <c r="EL189" i="35"/>
  <c r="EK189" i="35"/>
  <c r="EJ189" i="35" s="1"/>
  <c r="AU210" i="35"/>
  <c r="AW210" i="35" s="1"/>
  <c r="AU202" i="35"/>
  <c r="AW202" i="35" s="1"/>
  <c r="AU203" i="35"/>
  <c r="AW203" i="35" s="1"/>
  <c r="EL185" i="35"/>
  <c r="EK185" i="35"/>
  <c r="EJ185" i="35" s="1"/>
  <c r="AU207" i="35"/>
  <c r="AW207" i="35" s="1"/>
  <c r="EL186" i="35"/>
  <c r="EK186" i="35"/>
  <c r="EJ186" i="35" s="1"/>
  <c r="EK193" i="35"/>
  <c r="EJ193" i="35" s="1"/>
  <c r="EL193" i="35"/>
  <c r="AU213" i="35"/>
  <c r="AW213" i="35" s="1"/>
  <c r="AU208" i="35"/>
  <c r="AW208" i="35" s="1"/>
  <c r="EL196" i="35"/>
  <c r="EK196" i="35"/>
  <c r="EJ196" i="35" s="1"/>
  <c r="EL184" i="35"/>
  <c r="EK184" i="35"/>
  <c r="EJ184" i="35" s="1"/>
  <c r="AU211" i="35"/>
  <c r="AW211" i="35" s="1"/>
  <c r="EL201" i="35"/>
  <c r="B61" i="37"/>
  <c r="AV21" i="37"/>
  <c r="AH219" i="35"/>
  <c r="M31" i="32"/>
  <c r="K31" i="32"/>
  <c r="M23" i="32"/>
  <c r="K23" i="32"/>
  <c r="M39" i="32"/>
  <c r="K39" i="32"/>
  <c r="CL157" i="35" l="1"/>
  <c r="GS157" i="35" s="1"/>
  <c r="HG157" i="35" s="1"/>
  <c r="HO157" i="35" s="1"/>
  <c r="R115" i="19"/>
  <c r="Q133" i="19"/>
  <c r="AF133" i="19" s="1"/>
  <c r="CW133" i="35"/>
  <c r="HA133" i="35"/>
  <c r="CV133" i="35"/>
  <c r="CX133" i="35"/>
  <c r="CU133" i="35"/>
  <c r="P93" i="19"/>
  <c r="AE93" i="19" s="1"/>
  <c r="GY93" i="35"/>
  <c r="HU93" i="35" s="1"/>
  <c r="T144" i="19"/>
  <c r="AJ144" i="19" s="1"/>
  <c r="GI134" i="35"/>
  <c r="GJ134" i="35" s="1"/>
  <c r="GM134" i="35" s="1"/>
  <c r="GO134" i="35" s="1"/>
  <c r="HC115" i="35"/>
  <c r="GA147" i="35"/>
  <c r="H159" i="19"/>
  <c r="Z159" i="19" s="1"/>
  <c r="CK159" i="35"/>
  <c r="I159" i="19" s="1"/>
  <c r="AA159" i="19" s="1"/>
  <c r="P122" i="19"/>
  <c r="AE122" i="19" s="1"/>
  <c r="GY122" i="35"/>
  <c r="HU122" i="35" s="1"/>
  <c r="CK165" i="35"/>
  <c r="H165" i="19"/>
  <c r="Z165" i="19" s="1"/>
  <c r="CJ165" i="35"/>
  <c r="FA165" i="35"/>
  <c r="EB161" i="35"/>
  <c r="CI161" i="35"/>
  <c r="CB151" i="35"/>
  <c r="EB151" i="35" s="1"/>
  <c r="CG151" i="35"/>
  <c r="CH151" i="35" s="1"/>
  <c r="FA151" i="35" s="1"/>
  <c r="FA162" i="35"/>
  <c r="H162" i="19"/>
  <c r="Z162" i="19" s="1"/>
  <c r="CK162" i="35"/>
  <c r="CJ162" i="35"/>
  <c r="I162" i="19" s="1"/>
  <c r="AA162" i="19" s="1"/>
  <c r="CJ155" i="35"/>
  <c r="CK155" i="35"/>
  <c r="FA155" i="35"/>
  <c r="H155" i="19"/>
  <c r="Z155" i="19" s="1"/>
  <c r="CB168" i="35"/>
  <c r="EB168" i="35" s="1"/>
  <c r="CG168" i="35"/>
  <c r="CH168" i="35" s="1"/>
  <c r="CK168" i="35" s="1"/>
  <c r="EB160" i="35"/>
  <c r="CI160" i="35"/>
  <c r="T92" i="19"/>
  <c r="AJ92" i="19" s="1"/>
  <c r="HD92" i="35"/>
  <c r="BZ148" i="35"/>
  <c r="CA148" i="35" s="1"/>
  <c r="BZ166" i="35"/>
  <c r="CA166" i="35" s="1"/>
  <c r="CG166" i="35" s="1"/>
  <c r="CH166" i="35" s="1"/>
  <c r="BZ181" i="35"/>
  <c r="CA181" i="35" s="1"/>
  <c r="CB181" i="35" s="1"/>
  <c r="CK164" i="35"/>
  <c r="CJ164" i="35"/>
  <c r="FA164" i="35"/>
  <c r="H164" i="19"/>
  <c r="Z164" i="19" s="1"/>
  <c r="U92" i="19"/>
  <c r="AK92" i="19" s="1"/>
  <c r="HE92" i="35"/>
  <c r="BZ173" i="35"/>
  <c r="CA173" i="35" s="1"/>
  <c r="CB173" i="35" s="1"/>
  <c r="BZ178" i="35"/>
  <c r="CA178" i="35" s="1"/>
  <c r="CB178" i="35" s="1"/>
  <c r="GJ92" i="35"/>
  <c r="GM92" i="35" s="1"/>
  <c r="GO92" i="35" s="1"/>
  <c r="GK92" i="35"/>
  <c r="R92" i="19"/>
  <c r="HB92" i="35"/>
  <c r="BZ172" i="35"/>
  <c r="CA172" i="35" s="1"/>
  <c r="CB172" i="35" s="1"/>
  <c r="EB152" i="35"/>
  <c r="CI152" i="35"/>
  <c r="CL152" i="35" s="1"/>
  <c r="CN152" i="35" s="1"/>
  <c r="GY105" i="35"/>
  <c r="HU105" i="35" s="1"/>
  <c r="P105" i="19"/>
  <c r="AE105" i="19" s="1"/>
  <c r="BZ163" i="35"/>
  <c r="CA163" i="35" s="1"/>
  <c r="CB163" i="35" s="1"/>
  <c r="GW92" i="35"/>
  <c r="HK92" i="35" s="1"/>
  <c r="HM92" i="35" s="1"/>
  <c r="CR92" i="35"/>
  <c r="N92" i="19"/>
  <c r="BZ179" i="35"/>
  <c r="CA179" i="35" s="1"/>
  <c r="CB179" i="35" s="1"/>
  <c r="BZ174" i="35"/>
  <c r="CA174" i="35" s="1"/>
  <c r="CG174" i="35" s="1"/>
  <c r="CH174" i="35" s="1"/>
  <c r="S92" i="19"/>
  <c r="AI92" i="19" s="1"/>
  <c r="HC92" i="35"/>
  <c r="GA146" i="35"/>
  <c r="DB146" i="35"/>
  <c r="Y146" i="19" s="1"/>
  <c r="CZ146" i="35"/>
  <c r="W146" i="19" s="1"/>
  <c r="CT146" i="35"/>
  <c r="J146" i="19"/>
  <c r="AB146" i="19" s="1"/>
  <c r="GS146" i="35"/>
  <c r="HG146" i="35" s="1"/>
  <c r="HO146" i="35" s="1"/>
  <c r="CN146" i="35"/>
  <c r="DA146" i="35"/>
  <c r="X146" i="19" s="1"/>
  <c r="CY146" i="35"/>
  <c r="V146" i="19" s="1"/>
  <c r="I154" i="19"/>
  <c r="AA154" i="19" s="1"/>
  <c r="EB131" i="35"/>
  <c r="T115" i="19"/>
  <c r="AJ115" i="19" s="1"/>
  <c r="I131" i="19"/>
  <c r="AA131" i="19" s="1"/>
  <c r="CP145" i="35"/>
  <c r="GW145" i="35" s="1"/>
  <c r="HK145" i="35" s="1"/>
  <c r="HM145" i="35" s="1"/>
  <c r="HE142" i="35"/>
  <c r="GU145" i="35"/>
  <c r="HI145" i="35" s="1"/>
  <c r="GC145" i="35"/>
  <c r="GE145" i="35" s="1"/>
  <c r="GK133" i="35"/>
  <c r="HQ142" i="35"/>
  <c r="HP142" i="35"/>
  <c r="R142" i="19"/>
  <c r="CL131" i="35"/>
  <c r="CN131" i="35" s="1"/>
  <c r="HE115" i="35"/>
  <c r="HS142" i="35"/>
  <c r="S112" i="19"/>
  <c r="AI112" i="19" s="1"/>
  <c r="HE112" i="35"/>
  <c r="HA141" i="35"/>
  <c r="Q141" i="19"/>
  <c r="AF141" i="19" s="1"/>
  <c r="GC142" i="35"/>
  <c r="GE142" i="35" s="1"/>
  <c r="P141" i="19"/>
  <c r="AE141" i="19" s="1"/>
  <c r="CU141" i="35"/>
  <c r="R141" i="19" s="1"/>
  <c r="HB112" i="35"/>
  <c r="S141" i="19"/>
  <c r="AI141" i="19" s="1"/>
  <c r="GI141" i="35"/>
  <c r="GJ141" i="35" s="1"/>
  <c r="GM141" i="35" s="1"/>
  <c r="GO141" i="35" s="1"/>
  <c r="GK142" i="35"/>
  <c r="GJ127" i="35"/>
  <c r="GM127" i="35" s="1"/>
  <c r="GO127" i="35" s="1"/>
  <c r="HE127" i="35"/>
  <c r="CX144" i="35"/>
  <c r="U144" i="19" s="1"/>
  <c r="AK144" i="19" s="1"/>
  <c r="CL159" i="35"/>
  <c r="CZ159" i="35" s="1"/>
  <c r="W159" i="19" s="1"/>
  <c r="HS144" i="35"/>
  <c r="HD127" i="35"/>
  <c r="CA169" i="35"/>
  <c r="CB169" i="35" s="1"/>
  <c r="CV144" i="35"/>
  <c r="HC144" i="35" s="1"/>
  <c r="H130" i="19"/>
  <c r="Z130" i="19" s="1"/>
  <c r="CK130" i="35"/>
  <c r="CJ130" i="35"/>
  <c r="HA144" i="35"/>
  <c r="FA130" i="35"/>
  <c r="S127" i="19"/>
  <c r="AI127" i="19" s="1"/>
  <c r="GJ144" i="35"/>
  <c r="GM144" i="35" s="1"/>
  <c r="GO144" i="35" s="1"/>
  <c r="CX141" i="35"/>
  <c r="U141" i="19" s="1"/>
  <c r="AK141" i="19" s="1"/>
  <c r="CU144" i="35"/>
  <c r="R144" i="19" s="1"/>
  <c r="CW141" i="35"/>
  <c r="HD141" i="35" s="1"/>
  <c r="P112" i="19"/>
  <c r="AE112" i="19" s="1"/>
  <c r="HR141" i="35"/>
  <c r="GC144" i="35"/>
  <c r="GE144" i="35" s="1"/>
  <c r="HP144" i="35"/>
  <c r="HR144" i="35"/>
  <c r="P127" i="19"/>
  <c r="AE127" i="19" s="1"/>
  <c r="GY127" i="35"/>
  <c r="HU127" i="35" s="1"/>
  <c r="EB155" i="35"/>
  <c r="HP141" i="35"/>
  <c r="GS147" i="35"/>
  <c r="HG147" i="35" s="1"/>
  <c r="HO147" i="35" s="1"/>
  <c r="HR147" i="35" s="1"/>
  <c r="I153" i="19"/>
  <c r="AA153" i="19" s="1"/>
  <c r="S126" i="19"/>
  <c r="AI126" i="19" s="1"/>
  <c r="HC126" i="35"/>
  <c r="H161" i="19"/>
  <c r="Z161" i="19" s="1"/>
  <c r="FA161" i="35"/>
  <c r="EB158" i="35"/>
  <c r="GJ126" i="35"/>
  <c r="GM126" i="35" s="1"/>
  <c r="GO126" i="35" s="1"/>
  <c r="GK126" i="35"/>
  <c r="T126" i="19"/>
  <c r="AJ126" i="19" s="1"/>
  <c r="HD126" i="35"/>
  <c r="GA153" i="35"/>
  <c r="GC153" i="35" s="1"/>
  <c r="GE153" i="35" s="1"/>
  <c r="HB126" i="35"/>
  <c r="R126" i="19"/>
  <c r="U126" i="19"/>
  <c r="AK126" i="19" s="1"/>
  <c r="HE126" i="35"/>
  <c r="GS153" i="35"/>
  <c r="HG153" i="35" s="1"/>
  <c r="HO153" i="35" s="1"/>
  <c r="HR153" i="35" s="1"/>
  <c r="CK161" i="35"/>
  <c r="I161" i="19" s="1"/>
  <c r="AA161" i="19" s="1"/>
  <c r="Q144" i="19"/>
  <c r="AF144" i="19" s="1"/>
  <c r="CG181" i="35"/>
  <c r="CH181" i="35" s="1"/>
  <c r="FA181" i="35" s="1"/>
  <c r="CR126" i="35"/>
  <c r="N126" i="19"/>
  <c r="GW126" i="35"/>
  <c r="HK126" i="35" s="1"/>
  <c r="HM126" i="35" s="1"/>
  <c r="CY153" i="35"/>
  <c r="V153" i="19" s="1"/>
  <c r="CI162" i="35"/>
  <c r="I156" i="19"/>
  <c r="AA156" i="19" s="1"/>
  <c r="CZ153" i="35"/>
  <c r="W153" i="19" s="1"/>
  <c r="DB147" i="35"/>
  <c r="Y147" i="19" s="1"/>
  <c r="DB156" i="35"/>
  <c r="Y156" i="19" s="1"/>
  <c r="CN147" i="35"/>
  <c r="L147" i="19" s="1"/>
  <c r="CY147" i="35"/>
  <c r="V147" i="19" s="1"/>
  <c r="DB153" i="35"/>
  <c r="Y153" i="19" s="1"/>
  <c r="J153" i="19"/>
  <c r="AB153" i="19" s="1"/>
  <c r="CT153" i="35"/>
  <c r="HA153" i="35" s="1"/>
  <c r="DA156" i="35"/>
  <c r="X156" i="19" s="1"/>
  <c r="CT147" i="35"/>
  <c r="HA147" i="35" s="1"/>
  <c r="CG178" i="35"/>
  <c r="CH178" i="35" s="1"/>
  <c r="FA178" i="35" s="1"/>
  <c r="CP144" i="35"/>
  <c r="GW144" i="35" s="1"/>
  <c r="HK144" i="35" s="1"/>
  <c r="HM144" i="35" s="1"/>
  <c r="BX175" i="35"/>
  <c r="CJ160" i="35"/>
  <c r="CG172" i="35"/>
  <c r="CH172" i="35" s="1"/>
  <c r="CK172" i="35" s="1"/>
  <c r="CN156" i="35"/>
  <c r="L156" i="19" s="1"/>
  <c r="GS156" i="35"/>
  <c r="HG156" i="35" s="1"/>
  <c r="HO156" i="35" s="1"/>
  <c r="HQ156" i="35" s="1"/>
  <c r="GA156" i="35"/>
  <c r="GC156" i="35" s="1"/>
  <c r="GE156" i="35" s="1"/>
  <c r="CT156" i="35"/>
  <c r="HA156" i="35" s="1"/>
  <c r="CX129" i="35"/>
  <c r="U129" i="19" s="1"/>
  <c r="AK129" i="19" s="1"/>
  <c r="CZ147" i="35"/>
  <c r="W147" i="19" s="1"/>
  <c r="CB174" i="35"/>
  <c r="BX171" i="35"/>
  <c r="BX177" i="35"/>
  <c r="DA153" i="35"/>
  <c r="X153" i="19" s="1"/>
  <c r="CG163" i="35"/>
  <c r="CH163" i="35" s="1"/>
  <c r="H163" i="19" s="1"/>
  <c r="Z163" i="19" s="1"/>
  <c r="CK160" i="35"/>
  <c r="CZ156" i="35"/>
  <c r="W156" i="19" s="1"/>
  <c r="BX197" i="35"/>
  <c r="EB165" i="35"/>
  <c r="CI165" i="35"/>
  <c r="CY156" i="35"/>
  <c r="V156" i="19" s="1"/>
  <c r="HA129" i="35"/>
  <c r="L144" i="19"/>
  <c r="CR138" i="35"/>
  <c r="GY138" i="35" s="1"/>
  <c r="HU138" i="35" s="1"/>
  <c r="CV129" i="35"/>
  <c r="S129" i="19" s="1"/>
  <c r="AI129" i="19" s="1"/>
  <c r="H160" i="19"/>
  <c r="Z160" i="19" s="1"/>
  <c r="CJ151" i="35"/>
  <c r="CK151" i="35"/>
  <c r="BX170" i="35"/>
  <c r="BZ170" i="35" s="1"/>
  <c r="GA114" i="35"/>
  <c r="GC114" i="35" s="1"/>
  <c r="GE114" i="35" s="1"/>
  <c r="GG114" i="35" s="1"/>
  <c r="CU129" i="35"/>
  <c r="HB129" i="35" s="1"/>
  <c r="CZ114" i="35"/>
  <c r="W114" i="19" s="1"/>
  <c r="CY114" i="35"/>
  <c r="V114" i="19" s="1"/>
  <c r="DB114" i="35"/>
  <c r="Y114" i="19" s="1"/>
  <c r="GS114" i="35"/>
  <c r="HG114" i="35" s="1"/>
  <c r="HO114" i="35" s="1"/>
  <c r="HR114" i="35" s="1"/>
  <c r="CT114" i="35"/>
  <c r="HA114" i="35" s="1"/>
  <c r="GI129" i="35"/>
  <c r="GK129" i="35" s="1"/>
  <c r="HS129" i="35"/>
  <c r="CP129" i="35"/>
  <c r="CR129" i="35" s="1"/>
  <c r="HP129" i="35"/>
  <c r="HQ129" i="35"/>
  <c r="GU129" i="35"/>
  <c r="HI129" i="35" s="1"/>
  <c r="N138" i="19"/>
  <c r="DA114" i="35"/>
  <c r="X114" i="19" s="1"/>
  <c r="J114" i="19"/>
  <c r="AB114" i="19" s="1"/>
  <c r="GK134" i="35"/>
  <c r="HD134" i="35"/>
  <c r="S134" i="19"/>
  <c r="AI134" i="19" s="1"/>
  <c r="HE134" i="35"/>
  <c r="N134" i="19"/>
  <c r="BU150" i="35"/>
  <c r="CJ168" i="35"/>
  <c r="I168" i="19" s="1"/>
  <c r="AA168" i="19" s="1"/>
  <c r="BU167" i="35"/>
  <c r="BU176" i="35"/>
  <c r="BX176" i="35" s="1"/>
  <c r="CP114" i="35"/>
  <c r="GU114" i="35"/>
  <c r="HI114" i="35" s="1"/>
  <c r="L114" i="19"/>
  <c r="BS186" i="35"/>
  <c r="BS192" i="35"/>
  <c r="BU192" i="35" s="1"/>
  <c r="BS182" i="35"/>
  <c r="BS193" i="35"/>
  <c r="BS191" i="35"/>
  <c r="BS183" i="35"/>
  <c r="BU183" i="35" s="1"/>
  <c r="BS180" i="35"/>
  <c r="CR134" i="35"/>
  <c r="GY134" i="35" s="1"/>
  <c r="HU134" i="35" s="1"/>
  <c r="BS200" i="35"/>
  <c r="BU200" i="35" s="1"/>
  <c r="BS184" i="35"/>
  <c r="BS189" i="35"/>
  <c r="BU189" i="35" s="1"/>
  <c r="H168" i="19"/>
  <c r="Z168" i="19" s="1"/>
  <c r="BS185" i="35"/>
  <c r="BS195" i="35"/>
  <c r="BU195" i="35" s="1"/>
  <c r="T143" i="19"/>
  <c r="AJ143" i="19" s="1"/>
  <c r="CT152" i="35"/>
  <c r="HA152" i="35" s="1"/>
  <c r="HU142" i="35"/>
  <c r="HD138" i="35"/>
  <c r="DA152" i="35"/>
  <c r="X152" i="19" s="1"/>
  <c r="GK138" i="35"/>
  <c r="S145" i="19"/>
  <c r="AI145" i="19" s="1"/>
  <c r="HC138" i="35"/>
  <c r="CR144" i="35"/>
  <c r="GY144" i="35" s="1"/>
  <c r="HU144" i="35" s="1"/>
  <c r="GA152" i="35"/>
  <c r="GC152" i="35" s="1"/>
  <c r="GE152" i="35" s="1"/>
  <c r="CZ152" i="35"/>
  <c r="W152" i="19" s="1"/>
  <c r="CY152" i="35"/>
  <c r="V152" i="19" s="1"/>
  <c r="J152" i="19"/>
  <c r="AB152" i="19" s="1"/>
  <c r="GS152" i="35"/>
  <c r="HG152" i="35" s="1"/>
  <c r="HO152" i="35" s="1"/>
  <c r="HQ152" i="35" s="1"/>
  <c r="U138" i="19"/>
  <c r="AK138" i="19" s="1"/>
  <c r="HE145" i="35"/>
  <c r="R145" i="19"/>
  <c r="HE143" i="35"/>
  <c r="N145" i="19"/>
  <c r="CR145" i="35"/>
  <c r="P145" i="19" s="1"/>
  <c r="AE145" i="19" s="1"/>
  <c r="DB152" i="35"/>
  <c r="Y152" i="19" s="1"/>
  <c r="DA157" i="35"/>
  <c r="X157" i="19" s="1"/>
  <c r="GJ143" i="35"/>
  <c r="GM143" i="35" s="1"/>
  <c r="GO143" i="35" s="1"/>
  <c r="GA157" i="35"/>
  <c r="GC157" i="35" s="1"/>
  <c r="GE157" i="35" s="1"/>
  <c r="CY154" i="35"/>
  <c r="V154" i="19" s="1"/>
  <c r="HC143" i="35"/>
  <c r="HB141" i="35"/>
  <c r="CT154" i="35"/>
  <c r="Q154" i="19" s="1"/>
  <c r="AF154" i="19" s="1"/>
  <c r="GS154" i="35"/>
  <c r="HG154" i="35" s="1"/>
  <c r="HO154" i="35" s="1"/>
  <c r="HR154" i="35" s="1"/>
  <c r="J154" i="19"/>
  <c r="AB154" i="19" s="1"/>
  <c r="GA154" i="35"/>
  <c r="GC154" i="35" s="1"/>
  <c r="GE154" i="35" s="1"/>
  <c r="CN154" i="35"/>
  <c r="GU154" i="35" s="1"/>
  <c r="HI154" i="35" s="1"/>
  <c r="DB154" i="35"/>
  <c r="Y154" i="19" s="1"/>
  <c r="DA154" i="35"/>
  <c r="X154" i="19" s="1"/>
  <c r="J159" i="19"/>
  <c r="AB159" i="19" s="1"/>
  <c r="CY157" i="35"/>
  <c r="V157" i="19" s="1"/>
  <c r="J157" i="19"/>
  <c r="AB157" i="19" s="1"/>
  <c r="CZ157" i="35"/>
  <c r="W157" i="19" s="1"/>
  <c r="CN157" i="35"/>
  <c r="CP157" i="35" s="1"/>
  <c r="DB157" i="35"/>
  <c r="Y157" i="19" s="1"/>
  <c r="CT157" i="35"/>
  <c r="CW157" i="35" s="1"/>
  <c r="HE141" i="35"/>
  <c r="HB120" i="35"/>
  <c r="T120" i="19"/>
  <c r="AJ120" i="19" s="1"/>
  <c r="DB159" i="35"/>
  <c r="Y159" i="19" s="1"/>
  <c r="GJ120" i="35"/>
  <c r="GM120" i="35" s="1"/>
  <c r="GO120" i="35" s="1"/>
  <c r="GS159" i="35"/>
  <c r="HG159" i="35" s="1"/>
  <c r="HO159" i="35" s="1"/>
  <c r="HS159" i="35" s="1"/>
  <c r="CN159" i="35"/>
  <c r="L159" i="19" s="1"/>
  <c r="CL155" i="35"/>
  <c r="CT155" i="35" s="1"/>
  <c r="GA159" i="35"/>
  <c r="GC159" i="35" s="1"/>
  <c r="GE159" i="35" s="1"/>
  <c r="CT159" i="35"/>
  <c r="HA159" i="35" s="1"/>
  <c r="DA159" i="35"/>
  <c r="X159" i="19" s="1"/>
  <c r="CY159" i="35"/>
  <c r="V159" i="19" s="1"/>
  <c r="HC120" i="35"/>
  <c r="GC147" i="35"/>
  <c r="GE147" i="35" s="1"/>
  <c r="GI147" i="35"/>
  <c r="GK137" i="35"/>
  <c r="GJ137" i="35"/>
  <c r="GM137" i="35" s="1"/>
  <c r="GO137" i="35" s="1"/>
  <c r="GC139" i="35"/>
  <c r="GE139" i="35" s="1"/>
  <c r="GI139" i="35"/>
  <c r="CU139" i="35"/>
  <c r="CX139" i="35"/>
  <c r="CW139" i="35"/>
  <c r="Q139" i="19"/>
  <c r="AF139" i="19" s="1"/>
  <c r="HA139" i="35"/>
  <c r="CV139" i="35"/>
  <c r="R137" i="19"/>
  <c r="HB137" i="35"/>
  <c r="CL149" i="35"/>
  <c r="CZ149" i="35" s="1"/>
  <c r="W149" i="19" s="1"/>
  <c r="GU139" i="35"/>
  <c r="HI139" i="35" s="1"/>
  <c r="L139" i="19"/>
  <c r="CP139" i="35"/>
  <c r="GW137" i="35"/>
  <c r="HK137" i="35" s="1"/>
  <c r="HM137" i="35" s="1"/>
  <c r="CR137" i="35"/>
  <c r="N137" i="19"/>
  <c r="HE137" i="35"/>
  <c r="U137" i="19"/>
  <c r="AK137" i="19" s="1"/>
  <c r="HD137" i="35"/>
  <c r="T137" i="19"/>
  <c r="AJ137" i="19" s="1"/>
  <c r="HS139" i="35"/>
  <c r="HP139" i="35"/>
  <c r="HQ139" i="35"/>
  <c r="HR139" i="35"/>
  <c r="HC137" i="35"/>
  <c r="S137" i="19"/>
  <c r="AI137" i="19" s="1"/>
  <c r="GW135" i="35"/>
  <c r="HK135" i="35" s="1"/>
  <c r="HM135" i="35" s="1"/>
  <c r="N135" i="19"/>
  <c r="CR135" i="35"/>
  <c r="U135" i="19"/>
  <c r="AK135" i="19" s="1"/>
  <c r="HE135" i="35"/>
  <c r="HC135" i="35"/>
  <c r="S135" i="19"/>
  <c r="AI135" i="19" s="1"/>
  <c r="R135" i="19"/>
  <c r="HB135" i="35"/>
  <c r="GJ135" i="35"/>
  <c r="GM135" i="35" s="1"/>
  <c r="GO135" i="35" s="1"/>
  <c r="GK135" i="35"/>
  <c r="T135" i="19"/>
  <c r="AJ135" i="19" s="1"/>
  <c r="HD135" i="35"/>
  <c r="I149" i="19"/>
  <c r="AA149" i="19" s="1"/>
  <c r="GU132" i="35"/>
  <c r="HI132" i="35" s="1"/>
  <c r="L132" i="19"/>
  <c r="CP132" i="35"/>
  <c r="CT131" i="35"/>
  <c r="HA132" i="35"/>
  <c r="CX132" i="35"/>
  <c r="CW132" i="35"/>
  <c r="CU132" i="35"/>
  <c r="CV132" i="35"/>
  <c r="Q132" i="19"/>
  <c r="AF132" i="19" s="1"/>
  <c r="CR123" i="35"/>
  <c r="N123" i="19"/>
  <c r="GW123" i="35"/>
  <c r="HK123" i="35" s="1"/>
  <c r="HM123" i="35" s="1"/>
  <c r="T129" i="19"/>
  <c r="AJ129" i="19" s="1"/>
  <c r="HD129" i="35"/>
  <c r="BA194" i="35"/>
  <c r="BE194" i="35" s="1"/>
  <c r="BG194" i="35" s="1"/>
  <c r="BI194" i="35" s="1"/>
  <c r="BK194" i="35" s="1"/>
  <c r="BM194" i="35" s="1"/>
  <c r="BO194" i="35" s="1"/>
  <c r="BQ194" i="35" s="1"/>
  <c r="BA187" i="35"/>
  <c r="BE187" i="35" s="1"/>
  <c r="BG187" i="35" s="1"/>
  <c r="BI187" i="35" s="1"/>
  <c r="BK187" i="35" s="1"/>
  <c r="BM187" i="35" s="1"/>
  <c r="BO187" i="35" s="1"/>
  <c r="BQ187" i="35" s="1"/>
  <c r="CJ158" i="35"/>
  <c r="H158" i="19"/>
  <c r="Z158" i="19" s="1"/>
  <c r="CK158" i="35"/>
  <c r="FA158" i="35"/>
  <c r="HC123" i="35"/>
  <c r="S123" i="19"/>
  <c r="AI123" i="19" s="1"/>
  <c r="T123" i="19"/>
  <c r="AJ123" i="19" s="1"/>
  <c r="HD123" i="35"/>
  <c r="BA190" i="35"/>
  <c r="BE190" i="35" s="1"/>
  <c r="BG190" i="35" s="1"/>
  <c r="BI190" i="35" s="1"/>
  <c r="BK190" i="35" s="1"/>
  <c r="BM190" i="35" s="1"/>
  <c r="BO190" i="35" s="1"/>
  <c r="BQ190" i="35" s="1"/>
  <c r="P128" i="19"/>
  <c r="AE128" i="19" s="1"/>
  <c r="GY128" i="35"/>
  <c r="HU128" i="35" s="1"/>
  <c r="BA196" i="35"/>
  <c r="BE196" i="35" s="1"/>
  <c r="BG196" i="35" s="1"/>
  <c r="BI196" i="35" s="1"/>
  <c r="BK196" i="35" s="1"/>
  <c r="BM196" i="35" s="1"/>
  <c r="BO196" i="35" s="1"/>
  <c r="BQ196" i="35" s="1"/>
  <c r="HR132" i="35"/>
  <c r="HQ132" i="35"/>
  <c r="HP132" i="35"/>
  <c r="HS132" i="35"/>
  <c r="GJ123" i="35"/>
  <c r="GM123" i="35" s="1"/>
  <c r="GO123" i="35" s="1"/>
  <c r="GK123" i="35"/>
  <c r="R123" i="19"/>
  <c r="HB123" i="35"/>
  <c r="GY120" i="35"/>
  <c r="HU120" i="35" s="1"/>
  <c r="P120" i="19"/>
  <c r="AE120" i="19" s="1"/>
  <c r="GI132" i="35"/>
  <c r="GC132" i="35"/>
  <c r="GE132" i="35" s="1"/>
  <c r="GG132" i="35" s="1"/>
  <c r="HE123" i="35"/>
  <c r="U123" i="19"/>
  <c r="AK123" i="19" s="1"/>
  <c r="BA188" i="35"/>
  <c r="BE188" i="35" s="1"/>
  <c r="BG188" i="35" s="1"/>
  <c r="BI188" i="35" s="1"/>
  <c r="BK188" i="35" s="1"/>
  <c r="BM188" i="35" s="1"/>
  <c r="BO188" i="35" s="1"/>
  <c r="BQ188" i="35" s="1"/>
  <c r="L152" i="19"/>
  <c r="CP152" i="35"/>
  <c r="GU152" i="35"/>
  <c r="HI152" i="35" s="1"/>
  <c r="BA204" i="35"/>
  <c r="BE204" i="35" s="1"/>
  <c r="BG204" i="35" s="1"/>
  <c r="BI204" i="35" s="1"/>
  <c r="BK204" i="35" s="1"/>
  <c r="BM204" i="35" s="1"/>
  <c r="BO204" i="35" s="1"/>
  <c r="BQ204" i="35" s="1"/>
  <c r="J140" i="19"/>
  <c r="AB140" i="19" s="1"/>
  <c r="CY140" i="35"/>
  <c r="V140" i="19" s="1"/>
  <c r="CZ140" i="35"/>
  <c r="W140" i="19" s="1"/>
  <c r="GS140" i="35"/>
  <c r="HG140" i="35" s="1"/>
  <c r="HO140" i="35" s="1"/>
  <c r="DA140" i="35"/>
  <c r="X140" i="19" s="1"/>
  <c r="DB140" i="35"/>
  <c r="Y140" i="19" s="1"/>
  <c r="GA140" i="35"/>
  <c r="CN140" i="35"/>
  <c r="CT140" i="35"/>
  <c r="HQ136" i="35"/>
  <c r="HP136" i="35"/>
  <c r="HS136" i="35"/>
  <c r="HR136" i="35"/>
  <c r="BA198" i="35"/>
  <c r="BE198" i="35" s="1"/>
  <c r="BG198" i="35" s="1"/>
  <c r="BI198" i="35" s="1"/>
  <c r="BK198" i="35" s="1"/>
  <c r="BM198" i="35" s="1"/>
  <c r="BO198" i="35" s="1"/>
  <c r="BQ198" i="35" s="1"/>
  <c r="HA136" i="35"/>
  <c r="CX136" i="35"/>
  <c r="CW136" i="35"/>
  <c r="CV136" i="35"/>
  <c r="CU136" i="35"/>
  <c r="Q136" i="19"/>
  <c r="AF136" i="19" s="1"/>
  <c r="GI136" i="35"/>
  <c r="GC136" i="35"/>
  <c r="GE136" i="35" s="1"/>
  <c r="GG136" i="35" s="1"/>
  <c r="GU136" i="35"/>
  <c r="HI136" i="35" s="1"/>
  <c r="CP136" i="35"/>
  <c r="L136" i="19"/>
  <c r="BA199" i="35"/>
  <c r="BE199" i="35" s="1"/>
  <c r="BG199" i="35" s="1"/>
  <c r="BI199" i="35" s="1"/>
  <c r="BK199" i="35" s="1"/>
  <c r="BM199" i="35" s="1"/>
  <c r="BO199" i="35" s="1"/>
  <c r="BQ199" i="35" s="1"/>
  <c r="AX208" i="35"/>
  <c r="AZ208" i="35" s="1"/>
  <c r="AX209" i="35"/>
  <c r="AZ209" i="35" s="1"/>
  <c r="AX202" i="35"/>
  <c r="AZ202" i="35" s="1"/>
  <c r="AX206" i="35"/>
  <c r="AX213" i="35"/>
  <c r="AZ213" i="35" s="1"/>
  <c r="AX210" i="35"/>
  <c r="AZ210" i="35" s="1"/>
  <c r="AX216" i="35"/>
  <c r="AX211" i="35"/>
  <c r="AX212" i="35"/>
  <c r="AZ212" i="35" s="1"/>
  <c r="AX203" i="35"/>
  <c r="AZ203" i="35" s="1"/>
  <c r="AX215" i="35"/>
  <c r="AZ215" i="35" s="1"/>
  <c r="AX207" i="35"/>
  <c r="AZ207" i="35" s="1"/>
  <c r="AX201" i="35"/>
  <c r="AZ201" i="35" s="1"/>
  <c r="EK188" i="35"/>
  <c r="EJ188" i="35" s="1"/>
  <c r="P133" i="19"/>
  <c r="AE133" i="19" s="1"/>
  <c r="GY133" i="35"/>
  <c r="HU133" i="35" s="1"/>
  <c r="HR157" i="35"/>
  <c r="HQ157" i="35"/>
  <c r="HP157" i="35"/>
  <c r="HS157" i="35"/>
  <c r="P143" i="19"/>
  <c r="AE143" i="19" s="1"/>
  <c r="GY143" i="35"/>
  <c r="HU143" i="35" s="1"/>
  <c r="CP153" i="35"/>
  <c r="L153" i="19"/>
  <c r="GU153" i="35"/>
  <c r="HI153" i="35" s="1"/>
  <c r="EK187" i="35"/>
  <c r="EJ187" i="35" s="1"/>
  <c r="EL199" i="35"/>
  <c r="EK194" i="35"/>
  <c r="EJ194" i="35" s="1"/>
  <c r="AV212" i="35"/>
  <c r="EL212" i="35" s="1"/>
  <c r="AV215" i="35"/>
  <c r="EL215" i="35" s="1"/>
  <c r="AV206" i="35"/>
  <c r="EL206" i="35" s="1"/>
  <c r="EA208" i="35"/>
  <c r="AU214" i="35"/>
  <c r="AW214" i="35" s="1"/>
  <c r="AU217" i="35"/>
  <c r="AW217" i="35" s="1"/>
  <c r="EA209" i="35"/>
  <c r="EA205" i="35"/>
  <c r="AU205" i="35"/>
  <c r="AW205" i="35" s="1"/>
  <c r="AU218" i="35"/>
  <c r="AW218" i="35" s="1"/>
  <c r="GG105" i="35"/>
  <c r="AV216" i="35"/>
  <c r="EL216" i="35" s="1"/>
  <c r="AV203" i="35"/>
  <c r="EK203" i="35" s="1"/>
  <c r="EJ203" i="35" s="1"/>
  <c r="EK204" i="35"/>
  <c r="EJ204" i="35" s="1"/>
  <c r="AV209" i="35"/>
  <c r="AV210" i="35"/>
  <c r="AV202" i="35"/>
  <c r="AV211" i="35"/>
  <c r="AV213" i="35"/>
  <c r="AV208" i="35"/>
  <c r="AV207" i="35"/>
  <c r="B62" i="37"/>
  <c r="AW21" i="37"/>
  <c r="AI219" i="35"/>
  <c r="AI220" i="35" s="1"/>
  <c r="AH220" i="35"/>
  <c r="K40" i="32"/>
  <c r="M40" i="32"/>
  <c r="M24" i="32"/>
  <c r="K24" i="32"/>
  <c r="M32" i="32"/>
  <c r="K32" i="32"/>
  <c r="R133" i="19" l="1"/>
  <c r="HB133" i="35"/>
  <c r="S133" i="19"/>
  <c r="AI133" i="19" s="1"/>
  <c r="HC133" i="35"/>
  <c r="U133" i="19"/>
  <c r="AK133" i="19" s="1"/>
  <c r="HE133" i="35"/>
  <c r="CL162" i="35"/>
  <c r="DB162" i="35" s="1"/>
  <c r="Y162" i="19" s="1"/>
  <c r="I165" i="19"/>
  <c r="AA165" i="19" s="1"/>
  <c r="T133" i="19"/>
  <c r="AJ133" i="19" s="1"/>
  <c r="HD133" i="35"/>
  <c r="EB178" i="35"/>
  <c r="CI178" i="35"/>
  <c r="H174" i="19"/>
  <c r="Z174" i="19" s="1"/>
  <c r="CJ174" i="35"/>
  <c r="CG173" i="35"/>
  <c r="CH173" i="35" s="1"/>
  <c r="CJ173" i="35" s="1"/>
  <c r="CG179" i="35"/>
  <c r="CH179" i="35" s="1"/>
  <c r="CK179" i="35" s="1"/>
  <c r="CB166" i="35"/>
  <c r="CI166" i="35" s="1"/>
  <c r="CL165" i="35"/>
  <c r="DA165" i="35" s="1"/>
  <c r="X165" i="19" s="1"/>
  <c r="CI168" i="35"/>
  <c r="CI172" i="35"/>
  <c r="EB172" i="35"/>
  <c r="EB163" i="35"/>
  <c r="CI163" i="35"/>
  <c r="EB181" i="35"/>
  <c r="CI181" i="35"/>
  <c r="EB179" i="35"/>
  <c r="CI179" i="35"/>
  <c r="EB173" i="35"/>
  <c r="CI173" i="35"/>
  <c r="H166" i="19"/>
  <c r="Z166" i="19" s="1"/>
  <c r="FA166" i="35"/>
  <c r="CJ166" i="35"/>
  <c r="CK166" i="35"/>
  <c r="BZ177" i="35"/>
  <c r="CA177" i="35" s="1"/>
  <c r="CB177" i="35" s="1"/>
  <c r="CV146" i="35"/>
  <c r="CU146" i="35"/>
  <c r="CW146" i="35"/>
  <c r="HA146" i="35"/>
  <c r="CX146" i="35"/>
  <c r="Q146" i="19"/>
  <c r="AF146" i="19" s="1"/>
  <c r="CP147" i="35"/>
  <c r="CR147" i="35" s="1"/>
  <c r="T141" i="19"/>
  <c r="AJ141" i="19" s="1"/>
  <c r="BZ176" i="35"/>
  <c r="CA176" i="35" s="1"/>
  <c r="H151" i="19"/>
  <c r="Z151" i="19" s="1"/>
  <c r="BZ171" i="35"/>
  <c r="CA171" i="35" s="1"/>
  <c r="CG171" i="35" s="1"/>
  <c r="CH171" i="35" s="1"/>
  <c r="CI151" i="35"/>
  <c r="CL164" i="35"/>
  <c r="I164" i="19"/>
  <c r="AA164" i="19" s="1"/>
  <c r="I155" i="19"/>
  <c r="AA155" i="19" s="1"/>
  <c r="BZ197" i="35"/>
  <c r="CA197" i="35" s="1"/>
  <c r="CB197" i="35" s="1"/>
  <c r="GC146" i="35"/>
  <c r="GE146" i="35" s="1"/>
  <c r="GI146" i="35"/>
  <c r="P92" i="19"/>
  <c r="AE92" i="19" s="1"/>
  <c r="GY92" i="35"/>
  <c r="HU92" i="35" s="1"/>
  <c r="FA174" i="35"/>
  <c r="CK174" i="35"/>
  <c r="BZ175" i="35"/>
  <c r="CA175" i="35" s="1"/>
  <c r="CB175" i="35" s="1"/>
  <c r="L146" i="19"/>
  <c r="GU146" i="35"/>
  <c r="HI146" i="35" s="1"/>
  <c r="CP146" i="35"/>
  <c r="HQ146" i="35"/>
  <c r="HP146" i="35"/>
  <c r="HR146" i="35"/>
  <c r="HS146" i="35"/>
  <c r="GS131" i="35"/>
  <c r="HG131" i="35" s="1"/>
  <c r="HO131" i="35" s="1"/>
  <c r="HP131" i="35" s="1"/>
  <c r="J131" i="19"/>
  <c r="AB131" i="19" s="1"/>
  <c r="CY131" i="35"/>
  <c r="V131" i="19" s="1"/>
  <c r="DB131" i="35"/>
  <c r="Y131" i="19" s="1"/>
  <c r="S144" i="19"/>
  <c r="AI144" i="19" s="1"/>
  <c r="DA131" i="35"/>
  <c r="X131" i="19" s="1"/>
  <c r="GK141" i="35"/>
  <c r="CZ131" i="35"/>
  <c r="W131" i="19" s="1"/>
  <c r="HS153" i="35"/>
  <c r="GA131" i="35"/>
  <c r="GI131" i="35" s="1"/>
  <c r="CG169" i="35"/>
  <c r="CH169" i="35" s="1"/>
  <c r="H169" i="19" s="1"/>
  <c r="Z169" i="19" s="1"/>
  <c r="CL161" i="35"/>
  <c r="GS161" i="35" s="1"/>
  <c r="HG161" i="35" s="1"/>
  <c r="HO161" i="35" s="1"/>
  <c r="HQ161" i="35" s="1"/>
  <c r="HE144" i="35"/>
  <c r="EB169" i="35"/>
  <c r="CI169" i="35"/>
  <c r="HE129" i="35"/>
  <c r="HP147" i="35"/>
  <c r="HS147" i="35"/>
  <c r="I130" i="19"/>
  <c r="AA130" i="19" s="1"/>
  <c r="CL130" i="35"/>
  <c r="CA170" i="35"/>
  <c r="CB170" i="35" s="1"/>
  <c r="GU147" i="35"/>
  <c r="HI147" i="35" s="1"/>
  <c r="CJ178" i="35"/>
  <c r="HQ147" i="35"/>
  <c r="HB144" i="35"/>
  <c r="HQ153" i="35"/>
  <c r="CK178" i="35"/>
  <c r="HP153" i="35"/>
  <c r="H172" i="19"/>
  <c r="Z172" i="19" s="1"/>
  <c r="N144" i="19"/>
  <c r="CJ181" i="35"/>
  <c r="H178" i="19"/>
  <c r="Z178" i="19" s="1"/>
  <c r="H181" i="19"/>
  <c r="Z181" i="19" s="1"/>
  <c r="CK181" i="35"/>
  <c r="HS156" i="35"/>
  <c r="HC129" i="35"/>
  <c r="FA172" i="35"/>
  <c r="CU156" i="35"/>
  <c r="HB156" i="35" s="1"/>
  <c r="GY126" i="35"/>
  <c r="HU126" i="35" s="1"/>
  <c r="P126" i="19"/>
  <c r="AE126" i="19" s="1"/>
  <c r="CV147" i="35"/>
  <c r="HC147" i="35" s="1"/>
  <c r="CU147" i="35"/>
  <c r="HB147" i="35" s="1"/>
  <c r="CW147" i="35"/>
  <c r="HD147" i="35" s="1"/>
  <c r="GI153" i="35"/>
  <c r="GJ153" i="35" s="1"/>
  <c r="GM153" i="35" s="1"/>
  <c r="GO153" i="35" s="1"/>
  <c r="Q147" i="19"/>
  <c r="AF147" i="19" s="1"/>
  <c r="CL151" i="35"/>
  <c r="J151" i="19" s="1"/>
  <c r="AB151" i="19" s="1"/>
  <c r="CX147" i="35"/>
  <c r="U147" i="19" s="1"/>
  <c r="AK147" i="19" s="1"/>
  <c r="CX156" i="35"/>
  <c r="U156" i="19" s="1"/>
  <c r="AK156" i="19" s="1"/>
  <c r="CK163" i="35"/>
  <c r="FA163" i="35"/>
  <c r="CV153" i="35"/>
  <c r="S153" i="19" s="1"/>
  <c r="AI153" i="19" s="1"/>
  <c r="CJ163" i="35"/>
  <c r="CL160" i="35"/>
  <c r="GS160" i="35" s="1"/>
  <c r="HG160" i="35" s="1"/>
  <c r="HO160" i="35" s="1"/>
  <c r="HR160" i="35" s="1"/>
  <c r="Q153" i="19"/>
  <c r="AF153" i="19" s="1"/>
  <c r="CU153" i="35"/>
  <c r="HB153" i="35" s="1"/>
  <c r="CW153" i="35"/>
  <c r="HD153" i="35" s="1"/>
  <c r="CX153" i="35"/>
  <c r="U153" i="19" s="1"/>
  <c r="AK153" i="19" s="1"/>
  <c r="FA179" i="35"/>
  <c r="H179" i="19"/>
  <c r="Z179" i="19" s="1"/>
  <c r="BX189" i="35"/>
  <c r="BX150" i="35"/>
  <c r="BZ150" i="35" s="1"/>
  <c r="HR156" i="35"/>
  <c r="CP156" i="35"/>
  <c r="GW156" i="35" s="1"/>
  <c r="HK156" i="35" s="1"/>
  <c r="HM156" i="35" s="1"/>
  <c r="R129" i="19"/>
  <c r="I160" i="19"/>
  <c r="AA160" i="19" s="1"/>
  <c r="BX195" i="35"/>
  <c r="BX192" i="35"/>
  <c r="GU156" i="35"/>
  <c r="HI156" i="35" s="1"/>
  <c r="GI156" i="35"/>
  <c r="GK156" i="35" s="1"/>
  <c r="CG177" i="35"/>
  <c r="CH177" i="35" s="1"/>
  <c r="CJ177" i="35" s="1"/>
  <c r="BX200" i="35"/>
  <c r="CB171" i="35"/>
  <c r="CI171" i="35" s="1"/>
  <c r="P138" i="19"/>
  <c r="AE138" i="19" s="1"/>
  <c r="Q156" i="19"/>
  <c r="AF156" i="19" s="1"/>
  <c r="BX183" i="35"/>
  <c r="EB174" i="35"/>
  <c r="CI174" i="35"/>
  <c r="CL174" i="35" s="1"/>
  <c r="CW156" i="35"/>
  <c r="HD156" i="35" s="1"/>
  <c r="CJ172" i="35"/>
  <c r="I172" i="19" s="1"/>
  <c r="AA172" i="19" s="1"/>
  <c r="HP156" i="35"/>
  <c r="CV156" i="35"/>
  <c r="S156" i="19" s="1"/>
  <c r="AI156" i="19" s="1"/>
  <c r="EB166" i="35"/>
  <c r="BX167" i="35"/>
  <c r="BZ167" i="35" s="1"/>
  <c r="I151" i="19"/>
  <c r="AA151" i="19" s="1"/>
  <c r="CX114" i="35"/>
  <c r="U114" i="19" s="1"/>
  <c r="AK114" i="19" s="1"/>
  <c r="CV114" i="35"/>
  <c r="S114" i="19" s="1"/>
  <c r="AI114" i="19" s="1"/>
  <c r="CW114" i="35"/>
  <c r="HD114" i="35" s="1"/>
  <c r="HP114" i="35"/>
  <c r="HS114" i="35"/>
  <c r="HQ114" i="35"/>
  <c r="GI114" i="35"/>
  <c r="GK114" i="35" s="1"/>
  <c r="N129" i="19"/>
  <c r="GJ129" i="35"/>
  <c r="GM129" i="35" s="1"/>
  <c r="GO129" i="35" s="1"/>
  <c r="GW129" i="35"/>
  <c r="HK129" i="35" s="1"/>
  <c r="HM129" i="35" s="1"/>
  <c r="CU114" i="35"/>
  <c r="R114" i="19" s="1"/>
  <c r="Q114" i="19"/>
  <c r="AF114" i="19" s="1"/>
  <c r="CL168" i="35"/>
  <c r="GS168" i="35" s="1"/>
  <c r="HG168" i="35" s="1"/>
  <c r="HO168" i="35" s="1"/>
  <c r="HQ168" i="35" s="1"/>
  <c r="CG148" i="35"/>
  <c r="CH148" i="35" s="1"/>
  <c r="CB148" i="35"/>
  <c r="BU184" i="35"/>
  <c r="BU185" i="35"/>
  <c r="BU191" i="35"/>
  <c r="BX191" i="35" s="1"/>
  <c r="BU182" i="35"/>
  <c r="N114" i="19"/>
  <c r="GW114" i="35"/>
  <c r="HK114" i="35" s="1"/>
  <c r="HM114" i="35" s="1"/>
  <c r="CR114" i="35"/>
  <c r="BU186" i="35"/>
  <c r="BX186" i="35" s="1"/>
  <c r="BU193" i="35"/>
  <c r="BU180" i="35"/>
  <c r="P134" i="19"/>
  <c r="AE134" i="19" s="1"/>
  <c r="BS198" i="35"/>
  <c r="BU198" i="35" s="1"/>
  <c r="BS187" i="35"/>
  <c r="BU187" i="35" s="1"/>
  <c r="BS196" i="35"/>
  <c r="BS194" i="35"/>
  <c r="BU194" i="35" s="1"/>
  <c r="BS188" i="35"/>
  <c r="BS199" i="35"/>
  <c r="BU199" i="35" s="1"/>
  <c r="BS204" i="35"/>
  <c r="BU204" i="35" s="1"/>
  <c r="BS190" i="35"/>
  <c r="BU190" i="35" s="1"/>
  <c r="CW152" i="35"/>
  <c r="T152" i="19" s="1"/>
  <c r="AJ152" i="19" s="1"/>
  <c r="HR152" i="35"/>
  <c r="P144" i="19"/>
  <c r="AE144" i="19" s="1"/>
  <c r="HP152" i="35"/>
  <c r="GS155" i="35"/>
  <c r="HG155" i="35" s="1"/>
  <c r="HO155" i="35" s="1"/>
  <c r="HS155" i="35" s="1"/>
  <c r="Q152" i="19"/>
  <c r="AF152" i="19" s="1"/>
  <c r="CX152" i="35"/>
  <c r="U152" i="19" s="1"/>
  <c r="AK152" i="19" s="1"/>
  <c r="CV152" i="35"/>
  <c r="S152" i="19" s="1"/>
  <c r="AI152" i="19" s="1"/>
  <c r="CU152" i="35"/>
  <c r="R152" i="19" s="1"/>
  <c r="GI152" i="35"/>
  <c r="GK152" i="35" s="1"/>
  <c r="HS152" i="35"/>
  <c r="GY145" i="35"/>
  <c r="HU145" i="35" s="1"/>
  <c r="HP154" i="35"/>
  <c r="CX154" i="35"/>
  <c r="U154" i="19" s="1"/>
  <c r="AK154" i="19" s="1"/>
  <c r="CU154" i="35"/>
  <c r="R154" i="19" s="1"/>
  <c r="CP154" i="35"/>
  <c r="CR154" i="35" s="1"/>
  <c r="CV154" i="35"/>
  <c r="S154" i="19" s="1"/>
  <c r="AI154" i="19" s="1"/>
  <c r="L154" i="19"/>
  <c r="CX157" i="35"/>
  <c r="U157" i="19" s="1"/>
  <c r="AK157" i="19" s="1"/>
  <c r="Q157" i="19"/>
  <c r="AF157" i="19" s="1"/>
  <c r="CU157" i="35"/>
  <c r="HB157" i="35" s="1"/>
  <c r="CY165" i="35"/>
  <c r="V165" i="19" s="1"/>
  <c r="DB165" i="35"/>
  <c r="Y165" i="19" s="1"/>
  <c r="J165" i="19"/>
  <c r="AB165" i="19" s="1"/>
  <c r="CN165" i="35"/>
  <c r="GU165" i="35" s="1"/>
  <c r="HI165" i="35" s="1"/>
  <c r="GU157" i="35"/>
  <c r="HI157" i="35" s="1"/>
  <c r="GI157" i="35"/>
  <c r="GJ157" i="35" s="1"/>
  <c r="GM157" i="35" s="1"/>
  <c r="GO157" i="35" s="1"/>
  <c r="HQ154" i="35"/>
  <c r="DA162" i="35"/>
  <c r="X162" i="19" s="1"/>
  <c r="HS154" i="35"/>
  <c r="GI154" i="35"/>
  <c r="GJ154" i="35" s="1"/>
  <c r="GM154" i="35" s="1"/>
  <c r="GO154" i="35" s="1"/>
  <c r="DA155" i="35"/>
  <c r="X155" i="19" s="1"/>
  <c r="HA154" i="35"/>
  <c r="CT165" i="35"/>
  <c r="HA165" i="35" s="1"/>
  <c r="CV157" i="35"/>
  <c r="S157" i="19" s="1"/>
  <c r="AI157" i="19" s="1"/>
  <c r="GA165" i="35"/>
  <c r="GC165" i="35" s="1"/>
  <c r="GE165" i="35" s="1"/>
  <c r="HA157" i="35"/>
  <c r="GS165" i="35"/>
  <c r="HG165" i="35" s="1"/>
  <c r="HO165" i="35" s="1"/>
  <c r="HS165" i="35" s="1"/>
  <c r="CW154" i="35"/>
  <c r="HD154" i="35" s="1"/>
  <c r="CZ165" i="35"/>
  <c r="W165" i="19" s="1"/>
  <c r="HQ159" i="35"/>
  <c r="L157" i="19"/>
  <c r="HP159" i="35"/>
  <c r="HR159" i="35"/>
  <c r="J155" i="19"/>
  <c r="AB155" i="19" s="1"/>
  <c r="CZ155" i="35"/>
  <c r="W155" i="19" s="1"/>
  <c r="DB155" i="35"/>
  <c r="Y155" i="19" s="1"/>
  <c r="CN155" i="35"/>
  <c r="GU155" i="35" s="1"/>
  <c r="HI155" i="35" s="1"/>
  <c r="GA155" i="35"/>
  <c r="GI155" i="35" s="1"/>
  <c r="CY155" i="35"/>
  <c r="V155" i="19" s="1"/>
  <c r="CP159" i="35"/>
  <c r="GW159" i="35" s="1"/>
  <c r="HK159" i="35" s="1"/>
  <c r="HM159" i="35" s="1"/>
  <c r="GU159" i="35"/>
  <c r="HI159" i="35" s="1"/>
  <c r="CV159" i="35"/>
  <c r="S159" i="19" s="1"/>
  <c r="AI159" i="19" s="1"/>
  <c r="CU159" i="35"/>
  <c r="HB159" i="35" s="1"/>
  <c r="CW159" i="35"/>
  <c r="HD159" i="35" s="1"/>
  <c r="CX159" i="35"/>
  <c r="HE159" i="35" s="1"/>
  <c r="DA149" i="35"/>
  <c r="X149" i="19" s="1"/>
  <c r="Q159" i="19"/>
  <c r="AF159" i="19" s="1"/>
  <c r="CZ162" i="35"/>
  <c r="W162" i="19" s="1"/>
  <c r="GI159" i="35"/>
  <c r="GK159" i="35" s="1"/>
  <c r="GJ147" i="35"/>
  <c r="GM147" i="35" s="1"/>
  <c r="GO147" i="35" s="1"/>
  <c r="GK147" i="35"/>
  <c r="CN149" i="35"/>
  <c r="GU149" i="35" s="1"/>
  <c r="HI149" i="35" s="1"/>
  <c r="CT149" i="35"/>
  <c r="CX149" i="35" s="1"/>
  <c r="U139" i="19"/>
  <c r="AK139" i="19" s="1"/>
  <c r="HE139" i="35"/>
  <c r="J149" i="19"/>
  <c r="AB149" i="19" s="1"/>
  <c r="R139" i="19"/>
  <c r="HB139" i="35"/>
  <c r="CY149" i="35"/>
  <c r="V149" i="19" s="1"/>
  <c r="DB149" i="35"/>
  <c r="Y149" i="19" s="1"/>
  <c r="P137" i="19"/>
  <c r="AE137" i="19" s="1"/>
  <c r="GY137" i="35"/>
  <c r="HU137" i="35" s="1"/>
  <c r="S139" i="19"/>
  <c r="AI139" i="19" s="1"/>
  <c r="HC139" i="35"/>
  <c r="GK139" i="35"/>
  <c r="GJ139" i="35"/>
  <c r="GM139" i="35" s="1"/>
  <c r="GO139" i="35" s="1"/>
  <c r="GS149" i="35"/>
  <c r="HG149" i="35" s="1"/>
  <c r="HO149" i="35" s="1"/>
  <c r="HS149" i="35" s="1"/>
  <c r="GA149" i="35"/>
  <c r="GC149" i="35" s="1"/>
  <c r="GE149" i="35" s="1"/>
  <c r="CR139" i="35"/>
  <c r="GW139" i="35"/>
  <c r="HK139" i="35" s="1"/>
  <c r="HM139" i="35" s="1"/>
  <c r="N139" i="19"/>
  <c r="HD139" i="35"/>
  <c r="T139" i="19"/>
  <c r="AJ139" i="19" s="1"/>
  <c r="P135" i="19"/>
  <c r="AE135" i="19" s="1"/>
  <c r="GY135" i="35"/>
  <c r="HU135" i="35" s="1"/>
  <c r="BA212" i="35"/>
  <c r="BE212" i="35" s="1"/>
  <c r="BG212" i="35" s="1"/>
  <c r="BI212" i="35" s="1"/>
  <c r="BK212" i="35" s="1"/>
  <c r="BM212" i="35" s="1"/>
  <c r="BO212" i="35" s="1"/>
  <c r="BQ212" i="35" s="1"/>
  <c r="HC132" i="35"/>
  <c r="S132" i="19"/>
  <c r="AI132" i="19" s="1"/>
  <c r="HA131" i="35"/>
  <c r="CW131" i="35"/>
  <c r="CX131" i="35"/>
  <c r="CU131" i="35"/>
  <c r="CV131" i="35"/>
  <c r="Q131" i="19"/>
  <c r="AF131" i="19" s="1"/>
  <c r="BA201" i="35"/>
  <c r="BE201" i="35" s="1"/>
  <c r="BG201" i="35" s="1"/>
  <c r="BI201" i="35" s="1"/>
  <c r="BK201" i="35" s="1"/>
  <c r="BM201" i="35" s="1"/>
  <c r="BO201" i="35" s="1"/>
  <c r="BQ201" i="35" s="1"/>
  <c r="R132" i="19"/>
  <c r="HB132" i="35"/>
  <c r="BA208" i="35"/>
  <c r="BE208" i="35" s="1"/>
  <c r="BG208" i="35" s="1"/>
  <c r="BI208" i="35" s="1"/>
  <c r="BK208" i="35" s="1"/>
  <c r="BM208" i="35" s="1"/>
  <c r="BO208" i="35" s="1"/>
  <c r="BQ208" i="35" s="1"/>
  <c r="L131" i="19"/>
  <c r="GU131" i="35"/>
  <c r="HI131" i="35" s="1"/>
  <c r="CP131" i="35"/>
  <c r="BA207" i="35"/>
  <c r="BE207" i="35" s="1"/>
  <c r="BG207" i="35" s="1"/>
  <c r="BI207" i="35" s="1"/>
  <c r="BK207" i="35" s="1"/>
  <c r="BM207" i="35" s="1"/>
  <c r="BO207" i="35" s="1"/>
  <c r="BQ207" i="35" s="1"/>
  <c r="I158" i="19"/>
  <c r="AA158" i="19" s="1"/>
  <c r="T132" i="19"/>
  <c r="AJ132" i="19" s="1"/>
  <c r="HD132" i="35"/>
  <c r="CR132" i="35"/>
  <c r="N132" i="19"/>
  <c r="GW132" i="35"/>
  <c r="HK132" i="35" s="1"/>
  <c r="HM132" i="35" s="1"/>
  <c r="BA210" i="35"/>
  <c r="BE210" i="35" s="1"/>
  <c r="BG210" i="35" s="1"/>
  <c r="BI210" i="35" s="1"/>
  <c r="BK210" i="35" s="1"/>
  <c r="BM210" i="35" s="1"/>
  <c r="BO210" i="35" s="1"/>
  <c r="BQ210" i="35" s="1"/>
  <c r="BA213" i="35"/>
  <c r="BE213" i="35" s="1"/>
  <c r="BG213" i="35" s="1"/>
  <c r="BI213" i="35" s="1"/>
  <c r="BK213" i="35" s="1"/>
  <c r="BM213" i="35" s="1"/>
  <c r="BO213" i="35" s="1"/>
  <c r="BQ213" i="35" s="1"/>
  <c r="I174" i="19"/>
  <c r="AA174" i="19" s="1"/>
  <c r="BA215" i="35"/>
  <c r="BE215" i="35" s="1"/>
  <c r="BG215" i="35" s="1"/>
  <c r="BI215" i="35" s="1"/>
  <c r="BK215" i="35" s="1"/>
  <c r="BM215" i="35" s="1"/>
  <c r="BO215" i="35" s="1"/>
  <c r="BQ215" i="35" s="1"/>
  <c r="HE132" i="35"/>
  <c r="U132" i="19"/>
  <c r="AK132" i="19" s="1"/>
  <c r="P129" i="19"/>
  <c r="AE129" i="19" s="1"/>
  <c r="GY129" i="35"/>
  <c r="GJ132" i="35"/>
  <c r="GM132" i="35" s="1"/>
  <c r="GO132" i="35" s="1"/>
  <c r="GK132" i="35"/>
  <c r="CL158" i="35"/>
  <c r="P123" i="19"/>
  <c r="AE123" i="19" s="1"/>
  <c r="GY123" i="35"/>
  <c r="HU123" i="35" s="1"/>
  <c r="BA203" i="35"/>
  <c r="BE203" i="35" s="1"/>
  <c r="BG203" i="35" s="1"/>
  <c r="BI203" i="35" s="1"/>
  <c r="BK203" i="35" s="1"/>
  <c r="BM203" i="35" s="1"/>
  <c r="BO203" i="35" s="1"/>
  <c r="BQ203" i="35" s="1"/>
  <c r="BA209" i="35"/>
  <c r="BE209" i="35" s="1"/>
  <c r="BG209" i="35" s="1"/>
  <c r="BI209" i="35" s="1"/>
  <c r="BK209" i="35" s="1"/>
  <c r="BM209" i="35" s="1"/>
  <c r="BO209" i="35" s="1"/>
  <c r="BQ209" i="35" s="1"/>
  <c r="BA202" i="35"/>
  <c r="BE202" i="35" s="1"/>
  <c r="BG202" i="35" s="1"/>
  <c r="BI202" i="35" s="1"/>
  <c r="BK202" i="35" s="1"/>
  <c r="BM202" i="35" s="1"/>
  <c r="BO202" i="35" s="1"/>
  <c r="BQ202" i="35" s="1"/>
  <c r="HA155" i="35"/>
  <c r="CW155" i="35"/>
  <c r="Q155" i="19"/>
  <c r="AF155" i="19" s="1"/>
  <c r="CV155" i="35"/>
  <c r="CX155" i="35"/>
  <c r="CU155" i="35"/>
  <c r="GI140" i="35"/>
  <c r="GC140" i="35"/>
  <c r="GE140" i="35" s="1"/>
  <c r="N152" i="19"/>
  <c r="GW152" i="35"/>
  <c r="HK152" i="35" s="1"/>
  <c r="HM152" i="35" s="1"/>
  <c r="CR152" i="35"/>
  <c r="HQ140" i="35"/>
  <c r="HR140" i="35"/>
  <c r="HP140" i="35"/>
  <c r="HS140" i="35"/>
  <c r="GK136" i="35"/>
  <c r="GJ136" i="35"/>
  <c r="GM136" i="35" s="1"/>
  <c r="GO136" i="35" s="1"/>
  <c r="HB136" i="35"/>
  <c r="R136" i="19"/>
  <c r="S136" i="19"/>
  <c r="AI136" i="19" s="1"/>
  <c r="HC136" i="35"/>
  <c r="AZ211" i="35"/>
  <c r="CR136" i="35"/>
  <c r="N136" i="19"/>
  <c r="GW136" i="35"/>
  <c r="HK136" i="35" s="1"/>
  <c r="HM136" i="35" s="1"/>
  <c r="T136" i="19"/>
  <c r="AJ136" i="19" s="1"/>
  <c r="HD136" i="35"/>
  <c r="AZ206" i="35"/>
  <c r="Q140" i="19"/>
  <c r="AF140" i="19" s="1"/>
  <c r="CW140" i="35"/>
  <c r="HA140" i="35"/>
  <c r="CV140" i="35"/>
  <c r="CU140" i="35"/>
  <c r="CX140" i="35"/>
  <c r="U136" i="19"/>
  <c r="AK136" i="19" s="1"/>
  <c r="HE136" i="35"/>
  <c r="AZ216" i="35"/>
  <c r="L140" i="19"/>
  <c r="GU140" i="35"/>
  <c r="HI140" i="35" s="1"/>
  <c r="CP140" i="35"/>
  <c r="AX218" i="35"/>
  <c r="AZ218" i="35" s="1"/>
  <c r="AX217" i="35"/>
  <c r="AZ217" i="35" s="1"/>
  <c r="AX214" i="35"/>
  <c r="AZ214" i="35" s="1"/>
  <c r="AX205" i="35"/>
  <c r="AZ205" i="35" s="1"/>
  <c r="HP161" i="35"/>
  <c r="T153" i="19"/>
  <c r="AJ153" i="19" s="1"/>
  <c r="T157" i="19"/>
  <c r="AJ157" i="19" s="1"/>
  <c r="HD157" i="35"/>
  <c r="GW153" i="35"/>
  <c r="HK153" i="35" s="1"/>
  <c r="HM153" i="35" s="1"/>
  <c r="CR153" i="35"/>
  <c r="N153" i="19"/>
  <c r="GW157" i="35"/>
  <c r="HK157" i="35" s="1"/>
  <c r="HM157" i="35" s="1"/>
  <c r="N157" i="19"/>
  <c r="CR157" i="35"/>
  <c r="HQ160" i="35"/>
  <c r="HP160" i="35"/>
  <c r="HS160" i="35"/>
  <c r="AV205" i="35"/>
  <c r="EL205" i="35" s="1"/>
  <c r="EK212" i="35"/>
  <c r="EJ212" i="35" s="1"/>
  <c r="EK206" i="35"/>
  <c r="EJ206" i="35" s="1"/>
  <c r="EK215" i="35"/>
  <c r="EJ215" i="35" s="1"/>
  <c r="AV214" i="35"/>
  <c r="EL214" i="35" s="1"/>
  <c r="AV218" i="35"/>
  <c r="AV217" i="35"/>
  <c r="EL217" i="35" s="1"/>
  <c r="GG107" i="35"/>
  <c r="GG138" i="35"/>
  <c r="EK216" i="35"/>
  <c r="EJ216" i="35" s="1"/>
  <c r="EL203" i="35"/>
  <c r="EL209" i="35"/>
  <c r="EK209" i="35"/>
  <c r="EJ209" i="35" s="1"/>
  <c r="EL210" i="35"/>
  <c r="EK210" i="35"/>
  <c r="EJ210" i="35" s="1"/>
  <c r="EL202" i="35"/>
  <c r="EK202" i="35"/>
  <c r="EJ202" i="35" s="1"/>
  <c r="EK207" i="35"/>
  <c r="EJ207" i="35" s="1"/>
  <c r="EL207" i="35"/>
  <c r="EL208" i="35"/>
  <c r="EK208" i="35"/>
  <c r="EJ208" i="35" s="1"/>
  <c r="EK211" i="35"/>
  <c r="EJ211" i="35" s="1"/>
  <c r="EL211" i="35"/>
  <c r="EL213" i="35"/>
  <c r="EK213" i="35"/>
  <c r="EJ213" i="35" s="1"/>
  <c r="B63" i="37"/>
  <c r="AX21" i="37"/>
  <c r="AJ219" i="35"/>
  <c r="AH227" i="35"/>
  <c r="AH230" i="35" s="1"/>
  <c r="AH221" i="35"/>
  <c r="K33" i="32"/>
  <c r="M33" i="32"/>
  <c r="K25" i="32"/>
  <c r="M25" i="32"/>
  <c r="M41" i="32"/>
  <c r="K41" i="32"/>
  <c r="J162" i="19" l="1"/>
  <c r="AB162" i="19" s="1"/>
  <c r="H173" i="19"/>
  <c r="Z173" i="19" s="1"/>
  <c r="GA162" i="35"/>
  <c r="GI162" i="35" s="1"/>
  <c r="GK162" i="35" s="1"/>
  <c r="CT162" i="35"/>
  <c r="HA162" i="35" s="1"/>
  <c r="FA173" i="35"/>
  <c r="GS162" i="35"/>
  <c r="HG162" i="35" s="1"/>
  <c r="HO162" i="35" s="1"/>
  <c r="HS162" i="35" s="1"/>
  <c r="CN162" i="35"/>
  <c r="L162" i="19" s="1"/>
  <c r="CK173" i="35"/>
  <c r="I173" i="19" s="1"/>
  <c r="AA173" i="19" s="1"/>
  <c r="CJ179" i="35"/>
  <c r="CL179" i="35" s="1"/>
  <c r="DB179" i="35" s="1"/>
  <c r="Y179" i="19" s="1"/>
  <c r="CY162" i="35"/>
  <c r="V162" i="19" s="1"/>
  <c r="I166" i="19"/>
  <c r="AA166" i="19" s="1"/>
  <c r="CL166" i="35"/>
  <c r="GA166" i="35" s="1"/>
  <c r="GI166" i="35" s="1"/>
  <c r="CG197" i="35"/>
  <c r="CH197" i="35" s="1"/>
  <c r="FA197" i="35" s="1"/>
  <c r="HQ131" i="35"/>
  <c r="N147" i="19"/>
  <c r="HR131" i="35"/>
  <c r="HS131" i="35"/>
  <c r="GW147" i="35"/>
  <c r="HK147" i="35" s="1"/>
  <c r="HM147" i="35" s="1"/>
  <c r="CG175" i="35"/>
  <c r="CH175" i="35" s="1"/>
  <c r="CJ175" i="35" s="1"/>
  <c r="CG176" i="35"/>
  <c r="CH176" i="35" s="1"/>
  <c r="H176" i="19" s="1"/>
  <c r="Z176" i="19" s="1"/>
  <c r="CB176" i="35"/>
  <c r="EB197" i="35"/>
  <c r="CI197" i="35"/>
  <c r="EB177" i="35"/>
  <c r="CI177" i="35"/>
  <c r="EB175" i="35"/>
  <c r="CI175" i="35"/>
  <c r="CK171" i="35"/>
  <c r="CJ171" i="35"/>
  <c r="FA171" i="35"/>
  <c r="H171" i="19"/>
  <c r="Z171" i="19" s="1"/>
  <c r="BZ183" i="35"/>
  <c r="CA183" i="35" s="1"/>
  <c r="CG183" i="35" s="1"/>
  <c r="CH183" i="35" s="1"/>
  <c r="BZ191" i="35"/>
  <c r="CA191" i="35" s="1"/>
  <c r="BZ189" i="35"/>
  <c r="CA189" i="35" s="1"/>
  <c r="CG189" i="35" s="1"/>
  <c r="CH189" i="35" s="1"/>
  <c r="GS164" i="35"/>
  <c r="HG164" i="35" s="1"/>
  <c r="HO164" i="35" s="1"/>
  <c r="CY164" i="35"/>
  <c r="V164" i="19" s="1"/>
  <c r="DB164" i="35"/>
  <c r="Y164" i="19" s="1"/>
  <c r="J164" i="19"/>
  <c r="AB164" i="19" s="1"/>
  <c r="GA164" i="35"/>
  <c r="CN164" i="35"/>
  <c r="CZ164" i="35"/>
  <c r="W164" i="19" s="1"/>
  <c r="DA164" i="35"/>
  <c r="X164" i="19" s="1"/>
  <c r="CT164" i="35"/>
  <c r="BZ192" i="35"/>
  <c r="CA192" i="35" s="1"/>
  <c r="CB192" i="35" s="1"/>
  <c r="GW146" i="35"/>
  <c r="HK146" i="35" s="1"/>
  <c r="HM146" i="35" s="1"/>
  <c r="N146" i="19"/>
  <c r="CR146" i="35"/>
  <c r="BZ195" i="35"/>
  <c r="CA195" i="35" s="1"/>
  <c r="CB195" i="35" s="1"/>
  <c r="GJ146" i="35"/>
  <c r="GM146" i="35" s="1"/>
  <c r="GO146" i="35" s="1"/>
  <c r="GK146" i="35"/>
  <c r="U146" i="19"/>
  <c r="AK146" i="19" s="1"/>
  <c r="HE146" i="35"/>
  <c r="BZ186" i="35"/>
  <c r="CA186" i="35" s="1"/>
  <c r="BZ200" i="35"/>
  <c r="CA200" i="35" s="1"/>
  <c r="CG200" i="35" s="1"/>
  <c r="CH200" i="35" s="1"/>
  <c r="T146" i="19"/>
  <c r="AJ146" i="19" s="1"/>
  <c r="HD146" i="35"/>
  <c r="HB146" i="35"/>
  <c r="R146" i="19"/>
  <c r="S146" i="19"/>
  <c r="AI146" i="19" s="1"/>
  <c r="HC146" i="35"/>
  <c r="I178" i="19"/>
  <c r="AA178" i="19" s="1"/>
  <c r="CL181" i="35"/>
  <c r="CZ181" i="35" s="1"/>
  <c r="W181" i="19" s="1"/>
  <c r="HS161" i="35"/>
  <c r="HR161" i="35"/>
  <c r="DA160" i="35"/>
  <c r="X160" i="19" s="1"/>
  <c r="CK169" i="35"/>
  <c r="CZ161" i="35"/>
  <c r="W161" i="19" s="1"/>
  <c r="CJ169" i="35"/>
  <c r="CN161" i="35"/>
  <c r="L161" i="19" s="1"/>
  <c r="J161" i="19"/>
  <c r="AB161" i="19" s="1"/>
  <c r="DA161" i="35"/>
  <c r="X161" i="19" s="1"/>
  <c r="GC131" i="35"/>
  <c r="GE131" i="35" s="1"/>
  <c r="CT161" i="35"/>
  <c r="CV161" i="35" s="1"/>
  <c r="S161" i="19" s="1"/>
  <c r="AI161" i="19" s="1"/>
  <c r="FA175" i="35"/>
  <c r="GA160" i="35"/>
  <c r="GI160" i="35" s="1"/>
  <c r="GK160" i="35" s="1"/>
  <c r="GA161" i="35"/>
  <c r="GI161" i="35" s="1"/>
  <c r="GK161" i="35" s="1"/>
  <c r="DB161" i="35"/>
  <c r="Y161" i="19" s="1"/>
  <c r="CZ160" i="35"/>
  <c r="W160" i="19" s="1"/>
  <c r="CY161" i="35"/>
  <c r="V161" i="19" s="1"/>
  <c r="CL178" i="35"/>
  <c r="DB178" i="35" s="1"/>
  <c r="Y178" i="19" s="1"/>
  <c r="CY160" i="35"/>
  <c r="V160" i="19" s="1"/>
  <c r="EB171" i="35"/>
  <c r="GK153" i="35"/>
  <c r="J160" i="19"/>
  <c r="AB160" i="19" s="1"/>
  <c r="EB170" i="35"/>
  <c r="CI170" i="35"/>
  <c r="CA167" i="35"/>
  <c r="CG167" i="35" s="1"/>
  <c r="CH167" i="35" s="1"/>
  <c r="CG170" i="35"/>
  <c r="CH170" i="35" s="1"/>
  <c r="CJ170" i="35" s="1"/>
  <c r="GS130" i="35"/>
  <c r="HG130" i="35" s="1"/>
  <c r="HO130" i="35" s="1"/>
  <c r="CT130" i="35"/>
  <c r="GA130" i="35"/>
  <c r="DB130" i="35"/>
  <c r="Y130" i="19" s="1"/>
  <c r="DA130" i="35"/>
  <c r="X130" i="19" s="1"/>
  <c r="CN130" i="35"/>
  <c r="CZ130" i="35"/>
  <c r="W130" i="19" s="1"/>
  <c r="J130" i="19"/>
  <c r="AB130" i="19" s="1"/>
  <c r="CY130" i="35"/>
  <c r="V130" i="19" s="1"/>
  <c r="CA150" i="35"/>
  <c r="CB150" i="35" s="1"/>
  <c r="HE156" i="35"/>
  <c r="I181" i="19"/>
  <c r="AA181" i="19" s="1"/>
  <c r="CN160" i="35"/>
  <c r="CP160" i="35" s="1"/>
  <c r="N160" i="19" s="1"/>
  <c r="S147" i="19"/>
  <c r="AI147" i="19" s="1"/>
  <c r="DB160" i="35"/>
  <c r="Y160" i="19" s="1"/>
  <c r="CR156" i="35"/>
  <c r="P156" i="19" s="1"/>
  <c r="AE156" i="19" s="1"/>
  <c r="T156" i="19"/>
  <c r="AJ156" i="19" s="1"/>
  <c r="N156" i="19"/>
  <c r="R156" i="19"/>
  <c r="CT160" i="35"/>
  <c r="HA160" i="35" s="1"/>
  <c r="CL163" i="35"/>
  <c r="DB163" i="35" s="1"/>
  <c r="Y163" i="19" s="1"/>
  <c r="T147" i="19"/>
  <c r="AJ147" i="19" s="1"/>
  <c r="R147" i="19"/>
  <c r="HC153" i="35"/>
  <c r="I179" i="19"/>
  <c r="AA179" i="19" s="1"/>
  <c r="I163" i="19"/>
  <c r="AA163" i="19" s="1"/>
  <c r="R153" i="19"/>
  <c r="HE147" i="35"/>
  <c r="CY151" i="35"/>
  <c r="V151" i="19" s="1"/>
  <c r="CZ151" i="35"/>
  <c r="W151" i="19" s="1"/>
  <c r="CK197" i="35"/>
  <c r="CJ197" i="35"/>
  <c r="GS151" i="35"/>
  <c r="HG151" i="35" s="1"/>
  <c r="HO151" i="35" s="1"/>
  <c r="H197" i="19"/>
  <c r="Z197" i="19" s="1"/>
  <c r="GA151" i="35"/>
  <c r="DA151" i="35"/>
  <c r="X151" i="19" s="1"/>
  <c r="HE153" i="35"/>
  <c r="CN151" i="35"/>
  <c r="CP151" i="35" s="1"/>
  <c r="CR151" i="35" s="1"/>
  <c r="P151" i="19" s="1"/>
  <c r="AE151" i="19" s="1"/>
  <c r="DB151" i="35"/>
  <c r="Y151" i="19" s="1"/>
  <c r="CT151" i="35"/>
  <c r="CW151" i="35" s="1"/>
  <c r="T151" i="19" s="1"/>
  <c r="AJ151" i="19" s="1"/>
  <c r="CB189" i="35"/>
  <c r="EB189" i="35" s="1"/>
  <c r="CL172" i="35"/>
  <c r="J172" i="19" s="1"/>
  <c r="AB172" i="19" s="1"/>
  <c r="CL173" i="35"/>
  <c r="GA173" i="35" s="1"/>
  <c r="GI173" i="35" s="1"/>
  <c r="BX204" i="35"/>
  <c r="BX194" i="35"/>
  <c r="CB183" i="35"/>
  <c r="HC156" i="35"/>
  <c r="CB200" i="35"/>
  <c r="EB200" i="35" s="1"/>
  <c r="BX190" i="35"/>
  <c r="CG192" i="35"/>
  <c r="CH192" i="35" s="1"/>
  <c r="H192" i="19" s="1"/>
  <c r="Z192" i="19" s="1"/>
  <c r="H177" i="19"/>
  <c r="Z177" i="19" s="1"/>
  <c r="BX199" i="35"/>
  <c r="GJ156" i="35"/>
  <c r="GM156" i="35" s="1"/>
  <c r="GO156" i="35" s="1"/>
  <c r="FA177" i="35"/>
  <c r="CK177" i="35"/>
  <c r="CL177" i="35" s="1"/>
  <c r="CT177" i="35" s="1"/>
  <c r="HA177" i="35" s="1"/>
  <c r="BX187" i="35"/>
  <c r="BX198" i="35"/>
  <c r="CG195" i="35"/>
  <c r="CH195" i="35" s="1"/>
  <c r="HC114" i="35"/>
  <c r="T114" i="19"/>
  <c r="AJ114" i="19" s="1"/>
  <c r="BX180" i="35"/>
  <c r="BZ180" i="35" s="1"/>
  <c r="BX193" i="35"/>
  <c r="BZ193" i="35" s="1"/>
  <c r="CB167" i="35"/>
  <c r="BX182" i="35"/>
  <c r="BZ182" i="35" s="1"/>
  <c r="BX185" i="35"/>
  <c r="BZ185" i="35" s="1"/>
  <c r="BX184" i="35"/>
  <c r="BZ184" i="35" s="1"/>
  <c r="GJ114" i="35"/>
  <c r="GM114" i="35" s="1"/>
  <c r="GO114" i="35" s="1"/>
  <c r="HE114" i="35"/>
  <c r="HB114" i="35"/>
  <c r="GA168" i="35"/>
  <c r="GI168" i="35" s="1"/>
  <c r="GJ168" i="35" s="1"/>
  <c r="GM168" i="35" s="1"/>
  <c r="GO168" i="35" s="1"/>
  <c r="CT168" i="35"/>
  <c r="CU168" i="35" s="1"/>
  <c r="R168" i="19" s="1"/>
  <c r="HU129" i="35"/>
  <c r="J168" i="19"/>
  <c r="AB168" i="19" s="1"/>
  <c r="CY168" i="35"/>
  <c r="V168" i="19" s="1"/>
  <c r="DB168" i="35"/>
  <c r="Y168" i="19" s="1"/>
  <c r="DA168" i="35"/>
  <c r="X168" i="19" s="1"/>
  <c r="CN168" i="35"/>
  <c r="L168" i="19" s="1"/>
  <c r="CZ168" i="35"/>
  <c r="W168" i="19" s="1"/>
  <c r="CI148" i="35"/>
  <c r="EB148" i="35"/>
  <c r="CK148" i="35"/>
  <c r="CJ148" i="35"/>
  <c r="H148" i="19"/>
  <c r="Z148" i="19" s="1"/>
  <c r="FA148" i="35"/>
  <c r="BU188" i="35"/>
  <c r="GY114" i="35"/>
  <c r="HU114" i="35" s="1"/>
  <c r="P114" i="19"/>
  <c r="AE114" i="19" s="1"/>
  <c r="EB176" i="35"/>
  <c r="CI176" i="35"/>
  <c r="BU196" i="35"/>
  <c r="HD152" i="35"/>
  <c r="HS168" i="35"/>
  <c r="BS212" i="35"/>
  <c r="BU212" i="35" s="1"/>
  <c r="BS210" i="35"/>
  <c r="BS209" i="35"/>
  <c r="BU209" i="35" s="1"/>
  <c r="BS202" i="35"/>
  <c r="BU202" i="35" s="1"/>
  <c r="BS203" i="35"/>
  <c r="BU203" i="35" s="1"/>
  <c r="BS208" i="35"/>
  <c r="BU208" i="35" s="1"/>
  <c r="BS207" i="35"/>
  <c r="BS213" i="35"/>
  <c r="BU213" i="35" s="1"/>
  <c r="BS201" i="35"/>
  <c r="BU201" i="35" s="1"/>
  <c r="BS215" i="35"/>
  <c r="BU215" i="35" s="1"/>
  <c r="HR168" i="35"/>
  <c r="HP168" i="35"/>
  <c r="HR155" i="35"/>
  <c r="HB154" i="35"/>
  <c r="HC152" i="35"/>
  <c r="HE152" i="35"/>
  <c r="N154" i="19"/>
  <c r="CP161" i="35"/>
  <c r="GW161" i="35" s="1"/>
  <c r="HK161" i="35" s="1"/>
  <c r="HM161" i="35" s="1"/>
  <c r="HB152" i="35"/>
  <c r="HQ155" i="35"/>
  <c r="HP155" i="35"/>
  <c r="HC154" i="35"/>
  <c r="R157" i="19"/>
  <c r="GW154" i="35"/>
  <c r="HK154" i="35" s="1"/>
  <c r="HM154" i="35" s="1"/>
  <c r="GJ152" i="35"/>
  <c r="GM152" i="35" s="1"/>
  <c r="GO152" i="35" s="1"/>
  <c r="CX165" i="35"/>
  <c r="U165" i="19" s="1"/>
  <c r="AK165" i="19" s="1"/>
  <c r="HE154" i="35"/>
  <c r="HE157" i="35"/>
  <c r="L155" i="19"/>
  <c r="HA161" i="35"/>
  <c r="DA179" i="35"/>
  <c r="X179" i="19" s="1"/>
  <c r="Q165" i="19"/>
  <c r="AF165" i="19" s="1"/>
  <c r="CV165" i="35"/>
  <c r="HC165" i="35" s="1"/>
  <c r="CU165" i="35"/>
  <c r="R165" i="19" s="1"/>
  <c r="CW165" i="35"/>
  <c r="T165" i="19" s="1"/>
  <c r="AJ165" i="19" s="1"/>
  <c r="R159" i="19"/>
  <c r="GC162" i="35"/>
  <c r="GE162" i="35" s="1"/>
  <c r="HP165" i="35"/>
  <c r="GI165" i="35"/>
  <c r="GK165" i="35" s="1"/>
  <c r="CN179" i="35"/>
  <c r="L179" i="19" s="1"/>
  <c r="CW162" i="35"/>
  <c r="HD162" i="35" s="1"/>
  <c r="GK154" i="35"/>
  <c r="CV162" i="35"/>
  <c r="HC162" i="35" s="1"/>
  <c r="CP165" i="35"/>
  <c r="GW165" i="35" s="1"/>
  <c r="HK165" i="35" s="1"/>
  <c r="HM165" i="35" s="1"/>
  <c r="CU162" i="35"/>
  <c r="R162" i="19" s="1"/>
  <c r="L165" i="19"/>
  <c r="Q162" i="19"/>
  <c r="AF162" i="19" s="1"/>
  <c r="CX162" i="35"/>
  <c r="U162" i="19" s="1"/>
  <c r="AK162" i="19" s="1"/>
  <c r="HC157" i="35"/>
  <c r="GK157" i="35"/>
  <c r="CP162" i="35"/>
  <c r="GW162" i="35" s="1"/>
  <c r="HK162" i="35" s="1"/>
  <c r="HM162" i="35" s="1"/>
  <c r="CT179" i="35"/>
  <c r="HA179" i="35" s="1"/>
  <c r="U159" i="19"/>
  <c r="AK159" i="19" s="1"/>
  <c r="CY166" i="35"/>
  <c r="V166" i="19" s="1"/>
  <c r="CY179" i="35"/>
  <c r="V179" i="19" s="1"/>
  <c r="HR165" i="35"/>
  <c r="CZ179" i="35"/>
  <c r="W179" i="19" s="1"/>
  <c r="CP155" i="35"/>
  <c r="CR155" i="35" s="1"/>
  <c r="HQ165" i="35"/>
  <c r="GA179" i="35"/>
  <c r="GC179" i="35" s="1"/>
  <c r="GE179" i="35" s="1"/>
  <c r="GS179" i="35"/>
  <c r="HG179" i="35" s="1"/>
  <c r="HO179" i="35" s="1"/>
  <c r="HS179" i="35" s="1"/>
  <c r="J179" i="19"/>
  <c r="AB179" i="19" s="1"/>
  <c r="CT166" i="35"/>
  <c r="CX166" i="35" s="1"/>
  <c r="HE166" i="35" s="1"/>
  <c r="T154" i="19"/>
  <c r="AJ154" i="19" s="1"/>
  <c r="GJ162" i="35"/>
  <c r="GM162" i="35" s="1"/>
  <c r="GO162" i="35" s="1"/>
  <c r="GC155" i="35"/>
  <c r="GE155" i="35" s="1"/>
  <c r="T159" i="19"/>
  <c r="AJ159" i="19" s="1"/>
  <c r="CX160" i="35"/>
  <c r="U160" i="19" s="1"/>
  <c r="AK160" i="19" s="1"/>
  <c r="DB166" i="35"/>
  <c r="Y166" i="19" s="1"/>
  <c r="GS166" i="35"/>
  <c r="HG166" i="35" s="1"/>
  <c r="HO166" i="35" s="1"/>
  <c r="HS166" i="35" s="1"/>
  <c r="HP162" i="35"/>
  <c r="DA166" i="35"/>
  <c r="X166" i="19" s="1"/>
  <c r="J166" i="19"/>
  <c r="AB166" i="19" s="1"/>
  <c r="HR162" i="35"/>
  <c r="CZ166" i="35"/>
  <c r="W166" i="19" s="1"/>
  <c r="HQ162" i="35"/>
  <c r="CN166" i="35"/>
  <c r="GU166" i="35" s="1"/>
  <c r="HI166" i="35" s="1"/>
  <c r="N159" i="19"/>
  <c r="CN181" i="35"/>
  <c r="CP181" i="35" s="1"/>
  <c r="CY181" i="35"/>
  <c r="V181" i="19" s="1"/>
  <c r="CR159" i="35"/>
  <c r="GY159" i="35" s="1"/>
  <c r="HU159" i="35" s="1"/>
  <c r="DB181" i="35"/>
  <c r="Y181" i="19" s="1"/>
  <c r="J181" i="19"/>
  <c r="AB181" i="19" s="1"/>
  <c r="DA181" i="35"/>
  <c r="X181" i="19" s="1"/>
  <c r="GA181" i="35"/>
  <c r="GC181" i="35" s="1"/>
  <c r="GE181" i="35" s="1"/>
  <c r="GS181" i="35"/>
  <c r="HG181" i="35" s="1"/>
  <c r="HO181" i="35" s="1"/>
  <c r="HQ181" i="35" s="1"/>
  <c r="CT181" i="35"/>
  <c r="Q181" i="19" s="1"/>
  <c r="AF181" i="19" s="1"/>
  <c r="L149" i="19"/>
  <c r="HC159" i="35"/>
  <c r="GJ159" i="35"/>
  <c r="GM159" i="35" s="1"/>
  <c r="GO159" i="35" s="1"/>
  <c r="CV149" i="35"/>
  <c r="HC149" i="35" s="1"/>
  <c r="CU149" i="35"/>
  <c r="R149" i="19" s="1"/>
  <c r="Q149" i="19"/>
  <c r="AF149" i="19" s="1"/>
  <c r="CW149" i="35"/>
  <c r="T149" i="19" s="1"/>
  <c r="AJ149" i="19" s="1"/>
  <c r="HA149" i="35"/>
  <c r="GI149" i="35"/>
  <c r="GK149" i="35" s="1"/>
  <c r="CP149" i="35"/>
  <c r="GW149" i="35" s="1"/>
  <c r="HK149" i="35" s="1"/>
  <c r="HM149" i="35" s="1"/>
  <c r="P147" i="19"/>
  <c r="AE147" i="19" s="1"/>
  <c r="GY147" i="35"/>
  <c r="HU147" i="35" s="1"/>
  <c r="HP149" i="35"/>
  <c r="HQ149" i="35"/>
  <c r="HR149" i="35"/>
  <c r="P139" i="19"/>
  <c r="AE139" i="19" s="1"/>
  <c r="GY139" i="35"/>
  <c r="HU139" i="35" s="1"/>
  <c r="CZ158" i="35"/>
  <c r="W158" i="19" s="1"/>
  <c r="CN158" i="35"/>
  <c r="DA158" i="35"/>
  <c r="X158" i="19" s="1"/>
  <c r="GS158" i="35"/>
  <c r="HG158" i="35" s="1"/>
  <c r="HO158" i="35" s="1"/>
  <c r="DB158" i="35"/>
  <c r="Y158" i="19" s="1"/>
  <c r="GA158" i="35"/>
  <c r="J158" i="19"/>
  <c r="AB158" i="19" s="1"/>
  <c r="CT158" i="35"/>
  <c r="CY158" i="35"/>
  <c r="V158" i="19" s="1"/>
  <c r="U131" i="19"/>
  <c r="AK131" i="19" s="1"/>
  <c r="HE131" i="35"/>
  <c r="HB131" i="35"/>
  <c r="R131" i="19"/>
  <c r="CY174" i="35"/>
  <c r="V174" i="19" s="1"/>
  <c r="CZ174" i="35"/>
  <c r="W174" i="19" s="1"/>
  <c r="GA174" i="35"/>
  <c r="DA174" i="35"/>
  <c r="X174" i="19" s="1"/>
  <c r="J174" i="19"/>
  <c r="AB174" i="19" s="1"/>
  <c r="CN174" i="35"/>
  <c r="CT174" i="35"/>
  <c r="DB174" i="35"/>
  <c r="Y174" i="19" s="1"/>
  <c r="GS174" i="35"/>
  <c r="HG174" i="35" s="1"/>
  <c r="HO174" i="35" s="1"/>
  <c r="N131" i="19"/>
  <c r="CR131" i="35"/>
  <c r="GW131" i="35"/>
  <c r="HK131" i="35" s="1"/>
  <c r="HM131" i="35" s="1"/>
  <c r="T131" i="19"/>
  <c r="AJ131" i="19" s="1"/>
  <c r="HD131" i="35"/>
  <c r="BA216" i="35"/>
  <c r="BE216" i="35" s="1"/>
  <c r="BG216" i="35" s="1"/>
  <c r="BI216" i="35" s="1"/>
  <c r="BK216" i="35" s="1"/>
  <c r="BM216" i="35" s="1"/>
  <c r="BO216" i="35" s="1"/>
  <c r="BQ216" i="35" s="1"/>
  <c r="GY132" i="35"/>
  <c r="HU132" i="35" s="1"/>
  <c r="P132" i="19"/>
  <c r="AE132" i="19" s="1"/>
  <c r="BA217" i="35"/>
  <c r="BE217" i="35" s="1"/>
  <c r="BG217" i="35" s="1"/>
  <c r="BI217" i="35" s="1"/>
  <c r="BK217" i="35" s="1"/>
  <c r="BM217" i="35" s="1"/>
  <c r="BO217" i="35" s="1"/>
  <c r="BQ217" i="35" s="1"/>
  <c r="BA205" i="35"/>
  <c r="BE205" i="35" s="1"/>
  <c r="BG205" i="35" s="1"/>
  <c r="BI205" i="35" s="1"/>
  <c r="BK205" i="35" s="1"/>
  <c r="BM205" i="35" s="1"/>
  <c r="BO205" i="35" s="1"/>
  <c r="BQ205" i="35" s="1"/>
  <c r="BA218" i="35"/>
  <c r="BE218" i="35" s="1"/>
  <c r="BG218" i="35" s="1"/>
  <c r="BI218" i="35" s="1"/>
  <c r="BK218" i="35" s="1"/>
  <c r="BM218" i="35" s="1"/>
  <c r="BO218" i="35" s="1"/>
  <c r="BQ218" i="35" s="1"/>
  <c r="BA214" i="35"/>
  <c r="BE214" i="35" s="1"/>
  <c r="BG214" i="35" s="1"/>
  <c r="BI214" i="35" s="1"/>
  <c r="BK214" i="35" s="1"/>
  <c r="BM214" i="35" s="1"/>
  <c r="BO214" i="35" s="1"/>
  <c r="BQ214" i="35" s="1"/>
  <c r="BA211" i="35"/>
  <c r="BE211" i="35" s="1"/>
  <c r="BG211" i="35" s="1"/>
  <c r="BI211" i="35" s="1"/>
  <c r="BK211" i="35" s="1"/>
  <c r="BM211" i="35" s="1"/>
  <c r="BO211" i="35" s="1"/>
  <c r="BQ211" i="35" s="1"/>
  <c r="GJ131" i="35"/>
  <c r="GM131" i="35" s="1"/>
  <c r="GO131" i="35" s="1"/>
  <c r="GK131" i="35"/>
  <c r="HE149" i="35"/>
  <c r="U149" i="19"/>
  <c r="AK149" i="19" s="1"/>
  <c r="S131" i="19"/>
  <c r="AI131" i="19" s="1"/>
  <c r="HC131" i="35"/>
  <c r="U140" i="19"/>
  <c r="AK140" i="19" s="1"/>
  <c r="HE140" i="35"/>
  <c r="GK155" i="35"/>
  <c r="GJ155" i="35"/>
  <c r="GM155" i="35" s="1"/>
  <c r="GO155" i="35" s="1"/>
  <c r="R155" i="19"/>
  <c r="HB155" i="35"/>
  <c r="HB140" i="35"/>
  <c r="R140" i="19"/>
  <c r="GY152" i="35"/>
  <c r="HU152" i="35" s="1"/>
  <c r="P152" i="19"/>
  <c r="AE152" i="19" s="1"/>
  <c r="HE155" i="35"/>
  <c r="U155" i="19"/>
  <c r="AK155" i="19" s="1"/>
  <c r="S140" i="19"/>
  <c r="AI140" i="19" s="1"/>
  <c r="HC140" i="35"/>
  <c r="S155" i="19"/>
  <c r="AI155" i="19" s="1"/>
  <c r="HC155" i="35"/>
  <c r="GW140" i="35"/>
  <c r="HK140" i="35" s="1"/>
  <c r="HM140" i="35" s="1"/>
  <c r="N140" i="19"/>
  <c r="CR140" i="35"/>
  <c r="HD140" i="35"/>
  <c r="T140" i="19"/>
  <c r="AJ140" i="19" s="1"/>
  <c r="HD155" i="35"/>
  <c r="T155" i="19"/>
  <c r="AJ155" i="19" s="1"/>
  <c r="GY136" i="35"/>
  <c r="HU136" i="35" s="1"/>
  <c r="P136" i="19"/>
  <c r="AE136" i="19" s="1"/>
  <c r="BA206" i="35"/>
  <c r="BE206" i="35" s="1"/>
  <c r="BG206" i="35" s="1"/>
  <c r="BI206" i="35" s="1"/>
  <c r="BK206" i="35" s="1"/>
  <c r="BM206" i="35" s="1"/>
  <c r="BO206" i="35" s="1"/>
  <c r="BQ206" i="35" s="1"/>
  <c r="GJ140" i="35"/>
  <c r="GM140" i="35" s="1"/>
  <c r="GO140" i="35" s="1"/>
  <c r="GK140" i="35"/>
  <c r="GC166" i="35"/>
  <c r="GE166" i="35" s="1"/>
  <c r="GY157" i="35"/>
  <c r="HU157" i="35" s="1"/>
  <c r="P157" i="19"/>
  <c r="AE157" i="19" s="1"/>
  <c r="GY153" i="35"/>
  <c r="HU153" i="35" s="1"/>
  <c r="P153" i="19"/>
  <c r="AE153" i="19" s="1"/>
  <c r="GJ166" i="35"/>
  <c r="GM166" i="35" s="1"/>
  <c r="GO166" i="35" s="1"/>
  <c r="GK166" i="35"/>
  <c r="GY154" i="35"/>
  <c r="P154" i="19"/>
  <c r="AE154" i="19" s="1"/>
  <c r="GJ160" i="35"/>
  <c r="GM160" i="35" s="1"/>
  <c r="GO160" i="35" s="1"/>
  <c r="GW160" i="35"/>
  <c r="HK160" i="35" s="1"/>
  <c r="HM160" i="35" s="1"/>
  <c r="EK217" i="35"/>
  <c r="EJ217" i="35" s="1"/>
  <c r="EK205" i="35"/>
  <c r="EJ205" i="35" s="1"/>
  <c r="EK214" i="35"/>
  <c r="EJ214" i="35" s="1"/>
  <c r="EK218" i="35"/>
  <c r="EJ218" i="35" s="1"/>
  <c r="EL218" i="35"/>
  <c r="GG109" i="35"/>
  <c r="GG140" i="35"/>
  <c r="AK219" i="35"/>
  <c r="AK3" i="35" s="1"/>
  <c r="B64" i="37"/>
  <c r="AY21" i="37"/>
  <c r="AJ220" i="35"/>
  <c r="GU162" i="35" l="1"/>
  <c r="HI162" i="35" s="1"/>
  <c r="CL171" i="35"/>
  <c r="CN171" i="35" s="1"/>
  <c r="CK189" i="35"/>
  <c r="H189" i="19"/>
  <c r="Z189" i="19" s="1"/>
  <c r="FA189" i="35"/>
  <c r="CJ189" i="35"/>
  <c r="I189" i="19" s="1"/>
  <c r="AA189" i="19" s="1"/>
  <c r="I171" i="19"/>
  <c r="AA171" i="19" s="1"/>
  <c r="CL169" i="35"/>
  <c r="CT169" i="35" s="1"/>
  <c r="CJ176" i="35"/>
  <c r="CK176" i="35"/>
  <c r="I176" i="19" s="1"/>
  <c r="AA176" i="19" s="1"/>
  <c r="CK170" i="35"/>
  <c r="H175" i="19"/>
  <c r="Z175" i="19" s="1"/>
  <c r="CK175" i="35"/>
  <c r="GC160" i="35"/>
  <c r="GE160" i="35" s="1"/>
  <c r="H170" i="19"/>
  <c r="Z170" i="19" s="1"/>
  <c r="CI195" i="35"/>
  <c r="EB195" i="35"/>
  <c r="CG191" i="35"/>
  <c r="CH191" i="35" s="1"/>
  <c r="CK191" i="35" s="1"/>
  <c r="CB191" i="35"/>
  <c r="CJ183" i="35"/>
  <c r="CK183" i="35"/>
  <c r="H183" i="19"/>
  <c r="Z183" i="19" s="1"/>
  <c r="FA183" i="35"/>
  <c r="FA200" i="35"/>
  <c r="H200" i="19"/>
  <c r="Z200" i="19" s="1"/>
  <c r="CJ200" i="35"/>
  <c r="CK200" i="35"/>
  <c r="CB186" i="35"/>
  <c r="CG186" i="35"/>
  <c r="CH186" i="35" s="1"/>
  <c r="H186" i="19" s="1"/>
  <c r="Z186" i="19" s="1"/>
  <c r="EB192" i="35"/>
  <c r="CI192" i="35"/>
  <c r="BZ187" i="35"/>
  <c r="CA187" i="35" s="1"/>
  <c r="CB187" i="35" s="1"/>
  <c r="P146" i="19"/>
  <c r="AE146" i="19" s="1"/>
  <c r="GY146" i="35"/>
  <c r="HU146" i="35" s="1"/>
  <c r="GU164" i="35"/>
  <c r="HI164" i="35" s="1"/>
  <c r="L164" i="19"/>
  <c r="CP164" i="35"/>
  <c r="GI164" i="35"/>
  <c r="GC164" i="35"/>
  <c r="GE164" i="35" s="1"/>
  <c r="BZ194" i="35"/>
  <c r="CA194" i="35" s="1"/>
  <c r="CG194" i="35" s="1"/>
  <c r="CH194" i="35" s="1"/>
  <c r="BZ199" i="35"/>
  <c r="CA199" i="35" s="1"/>
  <c r="CB199" i="35" s="1"/>
  <c r="CI199" i="35" s="1"/>
  <c r="BZ204" i="35"/>
  <c r="CA204" i="35" s="1"/>
  <c r="CG204" i="35" s="1"/>
  <c r="CH204" i="35" s="1"/>
  <c r="CU164" i="35"/>
  <c r="CV164" i="35"/>
  <c r="HA164" i="35"/>
  <c r="Q164" i="19"/>
  <c r="AF164" i="19" s="1"/>
  <c r="CW164" i="35"/>
  <c r="CX164" i="35"/>
  <c r="HR164" i="35"/>
  <c r="HS164" i="35"/>
  <c r="HP164" i="35"/>
  <c r="HQ164" i="35"/>
  <c r="BZ198" i="35"/>
  <c r="CA198" i="35" s="1"/>
  <c r="CG198" i="35" s="1"/>
  <c r="CH198" i="35" s="1"/>
  <c r="BZ190" i="35"/>
  <c r="CA190" i="35" s="1"/>
  <c r="CG190" i="35" s="1"/>
  <c r="CH190" i="35" s="1"/>
  <c r="GJ161" i="35"/>
  <c r="GM161" i="35" s="1"/>
  <c r="GO161" i="35" s="1"/>
  <c r="GC161" i="35"/>
  <c r="GE161" i="35" s="1"/>
  <c r="J169" i="19"/>
  <c r="AB169" i="19" s="1"/>
  <c r="HC161" i="35"/>
  <c r="I169" i="19"/>
  <c r="AA169" i="19" s="1"/>
  <c r="CX161" i="35"/>
  <c r="U161" i="19" s="1"/>
  <c r="AK161" i="19" s="1"/>
  <c r="CU161" i="35"/>
  <c r="HB161" i="35" s="1"/>
  <c r="CW161" i="35"/>
  <c r="HD161" i="35" s="1"/>
  <c r="DA178" i="35"/>
  <c r="X178" i="19" s="1"/>
  <c r="Q161" i="19"/>
  <c r="AF161" i="19" s="1"/>
  <c r="GU161" i="35"/>
  <c r="HI161" i="35" s="1"/>
  <c r="CK167" i="35"/>
  <c r="H167" i="19"/>
  <c r="Z167" i="19" s="1"/>
  <c r="CG150" i="35"/>
  <c r="CH150" i="35" s="1"/>
  <c r="CJ150" i="35" s="1"/>
  <c r="CZ178" i="35"/>
  <c r="W178" i="19" s="1"/>
  <c r="GA169" i="35"/>
  <c r="GC169" i="35" s="1"/>
  <c r="GE169" i="35" s="1"/>
  <c r="CN169" i="35"/>
  <c r="CP169" i="35" s="1"/>
  <c r="GW169" i="35" s="1"/>
  <c r="HK169" i="35" s="1"/>
  <c r="HM169" i="35" s="1"/>
  <c r="GS178" i="35"/>
  <c r="HG178" i="35" s="1"/>
  <c r="HO178" i="35" s="1"/>
  <c r="HR178" i="35" s="1"/>
  <c r="CN178" i="35"/>
  <c r="GU178" i="35" s="1"/>
  <c r="HI178" i="35" s="1"/>
  <c r="CT178" i="35"/>
  <c r="HA178" i="35" s="1"/>
  <c r="GA178" i="35"/>
  <c r="GC178" i="35" s="1"/>
  <c r="GE178" i="35" s="1"/>
  <c r="CZ169" i="35"/>
  <c r="W169" i="19" s="1"/>
  <c r="CY178" i="35"/>
  <c r="V178" i="19" s="1"/>
  <c r="CY169" i="35"/>
  <c r="V169" i="19" s="1"/>
  <c r="J178" i="19"/>
  <c r="AB178" i="19" s="1"/>
  <c r="GS169" i="35"/>
  <c r="HG169" i="35" s="1"/>
  <c r="HO169" i="35" s="1"/>
  <c r="HR169" i="35" s="1"/>
  <c r="CJ167" i="35"/>
  <c r="FA167" i="35"/>
  <c r="EB150" i="35"/>
  <c r="CI150" i="35"/>
  <c r="L130" i="19"/>
  <c r="CP130" i="35"/>
  <c r="GU130" i="35"/>
  <c r="HI130" i="35" s="1"/>
  <c r="GU160" i="35"/>
  <c r="HI160" i="35" s="1"/>
  <c r="CX130" i="35"/>
  <c r="Q130" i="19"/>
  <c r="AF130" i="19" s="1"/>
  <c r="CU130" i="35"/>
  <c r="CW130" i="35"/>
  <c r="CV130" i="35"/>
  <c r="HA130" i="35"/>
  <c r="GI130" i="35"/>
  <c r="GC130" i="35"/>
  <c r="GE130" i="35" s="1"/>
  <c r="GG130" i="35" s="1"/>
  <c r="GY156" i="35"/>
  <c r="HU156" i="35" s="1"/>
  <c r="L160" i="19"/>
  <c r="HS130" i="35"/>
  <c r="HQ130" i="35"/>
  <c r="HR130" i="35"/>
  <c r="HP130" i="35"/>
  <c r="CA185" i="35"/>
  <c r="CG185" i="35" s="1"/>
  <c r="CH185" i="35" s="1"/>
  <c r="CA184" i="35"/>
  <c r="CB184" i="35" s="1"/>
  <c r="CA182" i="35"/>
  <c r="CB182" i="35" s="1"/>
  <c r="CL197" i="35"/>
  <c r="CT197" i="35" s="1"/>
  <c r="CU197" i="35" s="1"/>
  <c r="CR160" i="35"/>
  <c r="P160" i="19" s="1"/>
  <c r="AE160" i="19" s="1"/>
  <c r="CA193" i="35"/>
  <c r="CG193" i="35" s="1"/>
  <c r="CH193" i="35" s="1"/>
  <c r="CJ193" i="35" s="1"/>
  <c r="GY151" i="35"/>
  <c r="DB169" i="35"/>
  <c r="Y169" i="19" s="1"/>
  <c r="CA180" i="35"/>
  <c r="CB180" i="35" s="1"/>
  <c r="CV151" i="35"/>
  <c r="S151" i="19" s="1"/>
  <c r="AI151" i="19" s="1"/>
  <c r="CU151" i="35"/>
  <c r="R151" i="19" s="1"/>
  <c r="GA163" i="35"/>
  <c r="GC163" i="35" s="1"/>
  <c r="GE163" i="35" s="1"/>
  <c r="I177" i="19"/>
  <c r="AA177" i="19" s="1"/>
  <c r="CX151" i="35"/>
  <c r="U151" i="19" s="1"/>
  <c r="AK151" i="19" s="1"/>
  <c r="GS163" i="35"/>
  <c r="HG163" i="35" s="1"/>
  <c r="HO163" i="35" s="1"/>
  <c r="HD151" i="35"/>
  <c r="CT173" i="35"/>
  <c r="CX173" i="35" s="1"/>
  <c r="U173" i="19" s="1"/>
  <c r="AK173" i="19" s="1"/>
  <c r="CN163" i="35"/>
  <c r="L163" i="19" s="1"/>
  <c r="DA163" i="35"/>
  <c r="X163" i="19" s="1"/>
  <c r="Q160" i="19"/>
  <c r="AF160" i="19" s="1"/>
  <c r="CU160" i="35"/>
  <c r="HB160" i="35" s="1"/>
  <c r="CW160" i="35"/>
  <c r="T160" i="19" s="1"/>
  <c r="AJ160" i="19" s="1"/>
  <c r="GC173" i="35"/>
  <c r="GE173" i="35" s="1"/>
  <c r="CY163" i="35"/>
  <c r="V163" i="19" s="1"/>
  <c r="CV160" i="35"/>
  <c r="S160" i="19" s="1"/>
  <c r="AI160" i="19" s="1"/>
  <c r="DA173" i="35"/>
  <c r="X173" i="19" s="1"/>
  <c r="CZ163" i="35"/>
  <c r="W163" i="19" s="1"/>
  <c r="CT163" i="35"/>
  <c r="CX163" i="35" s="1"/>
  <c r="GS173" i="35"/>
  <c r="HG173" i="35" s="1"/>
  <c r="HO173" i="35" s="1"/>
  <c r="HQ173" i="35" s="1"/>
  <c r="J163" i="19"/>
  <c r="AB163" i="19" s="1"/>
  <c r="CY173" i="35"/>
  <c r="V173" i="19" s="1"/>
  <c r="CL170" i="35"/>
  <c r="DA170" i="35" s="1"/>
  <c r="X170" i="19" s="1"/>
  <c r="J173" i="19"/>
  <c r="AB173" i="19" s="1"/>
  <c r="I197" i="19"/>
  <c r="AA197" i="19" s="1"/>
  <c r="CN173" i="35"/>
  <c r="GU173" i="35" s="1"/>
  <c r="HI173" i="35" s="1"/>
  <c r="HA151" i="35"/>
  <c r="DB173" i="35"/>
  <c r="Y173" i="19" s="1"/>
  <c r="Q151" i="19"/>
  <c r="AF151" i="19" s="1"/>
  <c r="CZ173" i="35"/>
  <c r="W173" i="19" s="1"/>
  <c r="DB172" i="35"/>
  <c r="Y172" i="19" s="1"/>
  <c r="HS151" i="35"/>
  <c r="HQ151" i="35"/>
  <c r="HP151" i="35"/>
  <c r="HR151" i="35"/>
  <c r="GS172" i="35"/>
  <c r="HG172" i="35" s="1"/>
  <c r="HO172" i="35" s="1"/>
  <c r="HQ172" i="35" s="1"/>
  <c r="GW151" i="35"/>
  <c r="HK151" i="35" s="1"/>
  <c r="HM151" i="35" s="1"/>
  <c r="L151" i="19"/>
  <c r="GI151" i="35"/>
  <c r="GC151" i="35"/>
  <c r="GE151" i="35" s="1"/>
  <c r="GU151" i="35"/>
  <c r="HI151" i="35" s="1"/>
  <c r="CI189" i="35"/>
  <c r="CL189" i="35" s="1"/>
  <c r="GS189" i="35" s="1"/>
  <c r="HG189" i="35" s="1"/>
  <c r="HO189" i="35" s="1"/>
  <c r="HR189" i="35" s="1"/>
  <c r="N151" i="19"/>
  <c r="CT172" i="35"/>
  <c r="Q172" i="19" s="1"/>
  <c r="AF172" i="19" s="1"/>
  <c r="CK150" i="35"/>
  <c r="I150" i="19" s="1"/>
  <c r="AA150" i="19" s="1"/>
  <c r="CY172" i="35"/>
  <c r="V172" i="19" s="1"/>
  <c r="CN172" i="35"/>
  <c r="GU172" i="35" s="1"/>
  <c r="HI172" i="35" s="1"/>
  <c r="FA150" i="35"/>
  <c r="GA172" i="35"/>
  <c r="GC172" i="35" s="1"/>
  <c r="GE172" i="35" s="1"/>
  <c r="CZ172" i="35"/>
  <c r="W172" i="19" s="1"/>
  <c r="DA172" i="35"/>
  <c r="X172" i="19" s="1"/>
  <c r="BX208" i="35"/>
  <c r="CB194" i="35"/>
  <c r="EB194" i="35" s="1"/>
  <c r="BX203" i="35"/>
  <c r="CB198" i="35"/>
  <c r="EB198" i="35" s="1"/>
  <c r="CB190" i="35"/>
  <c r="BX202" i="35"/>
  <c r="CG187" i="35"/>
  <c r="CH187" i="35" s="1"/>
  <c r="CJ187" i="35" s="1"/>
  <c r="BX209" i="35"/>
  <c r="EB183" i="35"/>
  <c r="CI183" i="35"/>
  <c r="CL183" i="35" s="1"/>
  <c r="CI200" i="35"/>
  <c r="CJ192" i="35"/>
  <c r="BX212" i="35"/>
  <c r="CK192" i="35"/>
  <c r="BX215" i="35"/>
  <c r="FA192" i="35"/>
  <c r="BX201" i="35"/>
  <c r="BX213" i="35"/>
  <c r="BX196" i="35"/>
  <c r="BZ196" i="35" s="1"/>
  <c r="CG182" i="35"/>
  <c r="CH182" i="35" s="1"/>
  <c r="EB167" i="35"/>
  <c r="CI167" i="35"/>
  <c r="BX188" i="35"/>
  <c r="BZ188" i="35" s="1"/>
  <c r="I170" i="19"/>
  <c r="AA170" i="19" s="1"/>
  <c r="CP168" i="35"/>
  <c r="N168" i="19" s="1"/>
  <c r="CV168" i="35"/>
  <c r="S168" i="19" s="1"/>
  <c r="AI168" i="19" s="1"/>
  <c r="CX168" i="35"/>
  <c r="U168" i="19" s="1"/>
  <c r="AK168" i="19" s="1"/>
  <c r="HA168" i="35"/>
  <c r="CW168" i="35"/>
  <c r="T168" i="19" s="1"/>
  <c r="AJ168" i="19" s="1"/>
  <c r="Q168" i="19"/>
  <c r="AF168" i="19" s="1"/>
  <c r="GK168" i="35"/>
  <c r="HB168" i="35"/>
  <c r="GC168" i="35"/>
  <c r="GE168" i="35" s="1"/>
  <c r="GU168" i="35"/>
  <c r="HI168" i="35" s="1"/>
  <c r="CV173" i="35"/>
  <c r="S173" i="19" s="1"/>
  <c r="AI173" i="19" s="1"/>
  <c r="I148" i="19"/>
  <c r="AA148" i="19" s="1"/>
  <c r="CL148" i="35"/>
  <c r="CK186" i="35"/>
  <c r="CJ186" i="35"/>
  <c r="BU207" i="35"/>
  <c r="BX207" i="35" s="1"/>
  <c r="BU210" i="35"/>
  <c r="EB191" i="35"/>
  <c r="CI191" i="35"/>
  <c r="EB199" i="35"/>
  <c r="CI186" i="35"/>
  <c r="EB186" i="35"/>
  <c r="BS218" i="35"/>
  <c r="BS206" i="35"/>
  <c r="BS217" i="35"/>
  <c r="BU217" i="35" s="1"/>
  <c r="BS214" i="35"/>
  <c r="BU214" i="35" s="1"/>
  <c r="BS211" i="35"/>
  <c r="BU211" i="35" s="1"/>
  <c r="BS205" i="35"/>
  <c r="BU205" i="35" s="1"/>
  <c r="BS216" i="35"/>
  <c r="BU216" i="35" s="1"/>
  <c r="N161" i="19"/>
  <c r="CR161" i="35"/>
  <c r="GY161" i="35" s="1"/>
  <c r="HU161" i="35" s="1"/>
  <c r="HU154" i="35"/>
  <c r="HE165" i="35"/>
  <c r="GJ165" i="35"/>
  <c r="GM165" i="35" s="1"/>
  <c r="GO165" i="35" s="1"/>
  <c r="S165" i="19"/>
  <c r="AI165" i="19" s="1"/>
  <c r="HD165" i="35"/>
  <c r="U166" i="19"/>
  <c r="AK166" i="19" s="1"/>
  <c r="CV166" i="35"/>
  <c r="S166" i="19" s="1"/>
  <c r="AI166" i="19" s="1"/>
  <c r="HE162" i="35"/>
  <c r="CU166" i="35"/>
  <c r="HB166" i="35" s="1"/>
  <c r="HB165" i="35"/>
  <c r="GI179" i="35"/>
  <c r="GK179" i="35" s="1"/>
  <c r="HB162" i="35"/>
  <c r="T162" i="19"/>
  <c r="AJ162" i="19" s="1"/>
  <c r="HR179" i="35"/>
  <c r="CP179" i="35"/>
  <c r="N179" i="19" s="1"/>
  <c r="GU179" i="35"/>
  <c r="HI179" i="35" s="1"/>
  <c r="HA181" i="35"/>
  <c r="Q166" i="19"/>
  <c r="AF166" i="19" s="1"/>
  <c r="CW166" i="35"/>
  <c r="T166" i="19" s="1"/>
  <c r="AJ166" i="19" s="1"/>
  <c r="HE161" i="35"/>
  <c r="CR162" i="35"/>
  <c r="P162" i="19" s="1"/>
  <c r="AE162" i="19" s="1"/>
  <c r="S162" i="19"/>
  <c r="AI162" i="19" s="1"/>
  <c r="N165" i="19"/>
  <c r="CR165" i="35"/>
  <c r="P165" i="19" s="1"/>
  <c r="AE165" i="19" s="1"/>
  <c r="HP179" i="35"/>
  <c r="HR181" i="35"/>
  <c r="HS181" i="35"/>
  <c r="HQ179" i="35"/>
  <c r="HP181" i="35"/>
  <c r="HA197" i="35"/>
  <c r="CZ177" i="35"/>
  <c r="W177" i="19" s="1"/>
  <c r="CW197" i="35"/>
  <c r="T197" i="19" s="1"/>
  <c r="S149" i="19"/>
  <c r="AI149" i="19" s="1"/>
  <c r="P159" i="19"/>
  <c r="AE159" i="19" s="1"/>
  <c r="GS197" i="35"/>
  <c r="HG197" i="35" s="1"/>
  <c r="HO197" i="35" s="1"/>
  <c r="HQ197" i="35" s="1"/>
  <c r="DA197" i="35"/>
  <c r="X197" i="19" s="1"/>
  <c r="HP166" i="35"/>
  <c r="N162" i="19"/>
  <c r="N155" i="19"/>
  <c r="CX179" i="35"/>
  <c r="U179" i="19" s="1"/>
  <c r="AK179" i="19" s="1"/>
  <c r="CV179" i="35"/>
  <c r="HC179" i="35" s="1"/>
  <c r="CW179" i="35"/>
  <c r="HD179" i="35" s="1"/>
  <c r="Q179" i="19"/>
  <c r="AF179" i="19" s="1"/>
  <c r="GW155" i="35"/>
  <c r="HK155" i="35" s="1"/>
  <c r="HM155" i="35" s="1"/>
  <c r="HR166" i="35"/>
  <c r="HA166" i="35"/>
  <c r="HQ166" i="35"/>
  <c r="CU179" i="35"/>
  <c r="R179" i="19" s="1"/>
  <c r="CV197" i="35"/>
  <c r="HC197" i="35" s="1"/>
  <c r="CX197" i="35"/>
  <c r="HE197" i="35" s="1"/>
  <c r="CN177" i="35"/>
  <c r="GU177" i="35" s="1"/>
  <c r="HI177" i="35" s="1"/>
  <c r="CN197" i="35"/>
  <c r="CP197" i="35" s="1"/>
  <c r="CR197" i="35" s="1"/>
  <c r="CP166" i="35"/>
  <c r="N166" i="19" s="1"/>
  <c r="Q197" i="19"/>
  <c r="AF197" i="19" s="1"/>
  <c r="J177" i="19"/>
  <c r="AB177" i="19" s="1"/>
  <c r="CY177" i="35"/>
  <c r="V177" i="19" s="1"/>
  <c r="DB177" i="35"/>
  <c r="Y177" i="19" s="1"/>
  <c r="CY197" i="35"/>
  <c r="V197" i="19" s="1"/>
  <c r="L166" i="19"/>
  <c r="GI181" i="35"/>
  <c r="GJ181" i="35" s="1"/>
  <c r="GM181" i="35" s="1"/>
  <c r="GO181" i="35" s="1"/>
  <c r="GS177" i="35"/>
  <c r="HG177" i="35" s="1"/>
  <c r="HO177" i="35" s="1"/>
  <c r="HP177" i="35" s="1"/>
  <c r="DA177" i="35"/>
  <c r="X177" i="19" s="1"/>
  <c r="CZ197" i="35"/>
  <c r="W197" i="19" s="1"/>
  <c r="J197" i="19"/>
  <c r="AB197" i="19" s="1"/>
  <c r="GA197" i="35"/>
  <c r="GC197" i="35" s="1"/>
  <c r="GE197" i="35" s="1"/>
  <c r="HD149" i="35"/>
  <c r="GA177" i="35"/>
  <c r="GC177" i="35" s="1"/>
  <c r="GE177" i="35" s="1"/>
  <c r="DB197" i="35"/>
  <c r="Y197" i="19" s="1"/>
  <c r="HE160" i="35"/>
  <c r="CX181" i="35"/>
  <c r="U181" i="19" s="1"/>
  <c r="AK181" i="19" s="1"/>
  <c r="N149" i="19"/>
  <c r="CU181" i="35"/>
  <c r="R181" i="19" s="1"/>
  <c r="L181" i="19"/>
  <c r="CV181" i="35"/>
  <c r="S181" i="19" s="1"/>
  <c r="AI181" i="19" s="1"/>
  <c r="GU181" i="35"/>
  <c r="HI181" i="35" s="1"/>
  <c r="CW181" i="35"/>
  <c r="HD181" i="35" s="1"/>
  <c r="I183" i="19"/>
  <c r="AA183" i="19" s="1"/>
  <c r="HB149" i="35"/>
  <c r="DA171" i="35"/>
  <c r="X171" i="19" s="1"/>
  <c r="CY171" i="35"/>
  <c r="V171" i="19" s="1"/>
  <c r="GJ149" i="35"/>
  <c r="GM149" i="35" s="1"/>
  <c r="GO149" i="35" s="1"/>
  <c r="CR149" i="35"/>
  <c r="GY149" i="35" s="1"/>
  <c r="HU149" i="35" s="1"/>
  <c r="L174" i="19"/>
  <c r="GU174" i="35"/>
  <c r="HI174" i="35" s="1"/>
  <c r="CP174" i="35"/>
  <c r="H195" i="19"/>
  <c r="Z195" i="19" s="1"/>
  <c r="CK195" i="35"/>
  <c r="CJ195" i="35"/>
  <c r="FA195" i="35"/>
  <c r="CV158" i="35"/>
  <c r="CU158" i="35"/>
  <c r="CX158" i="35"/>
  <c r="Q158" i="19"/>
  <c r="AF158" i="19" s="1"/>
  <c r="CW158" i="35"/>
  <c r="HA158" i="35"/>
  <c r="GS171" i="35"/>
  <c r="HG171" i="35" s="1"/>
  <c r="HO171" i="35" s="1"/>
  <c r="HS171" i="35" s="1"/>
  <c r="CZ171" i="35"/>
  <c r="W171" i="19" s="1"/>
  <c r="GI158" i="35"/>
  <c r="GC158" i="35"/>
  <c r="GE158" i="35" s="1"/>
  <c r="HQ163" i="35"/>
  <c r="HP163" i="35"/>
  <c r="HR163" i="35"/>
  <c r="HS163" i="35"/>
  <c r="GC174" i="35"/>
  <c r="GE174" i="35" s="1"/>
  <c r="GI174" i="35"/>
  <c r="CT171" i="35"/>
  <c r="HA171" i="35" s="1"/>
  <c r="HP158" i="35"/>
  <c r="HQ158" i="35"/>
  <c r="HR158" i="35"/>
  <c r="HS158" i="35"/>
  <c r="J171" i="19"/>
  <c r="AB171" i="19" s="1"/>
  <c r="GA171" i="35"/>
  <c r="GC171" i="35" s="1"/>
  <c r="GE171" i="35" s="1"/>
  <c r="HR174" i="35"/>
  <c r="HQ174" i="35"/>
  <c r="HP174" i="35"/>
  <c r="HS174" i="35"/>
  <c r="DB171" i="35"/>
  <c r="Y171" i="19" s="1"/>
  <c r="GU158" i="35"/>
  <c r="HI158" i="35" s="1"/>
  <c r="L158" i="19"/>
  <c r="CP158" i="35"/>
  <c r="GY131" i="35"/>
  <c r="HU131" i="35" s="1"/>
  <c r="P131" i="19"/>
  <c r="AE131" i="19" s="1"/>
  <c r="Q163" i="19"/>
  <c r="AF163" i="19" s="1"/>
  <c r="HA174" i="35"/>
  <c r="CV174" i="35"/>
  <c r="Q174" i="19"/>
  <c r="AF174" i="19" s="1"/>
  <c r="CW174" i="35"/>
  <c r="CX174" i="35"/>
  <c r="CU174" i="35"/>
  <c r="GY140" i="35"/>
  <c r="HU140" i="35" s="1"/>
  <c r="P140" i="19"/>
  <c r="AE140" i="19" s="1"/>
  <c r="CP171" i="35"/>
  <c r="GU171" i="35"/>
  <c r="HI171" i="35" s="1"/>
  <c r="L171" i="19"/>
  <c r="P155" i="19"/>
  <c r="AE155" i="19" s="1"/>
  <c r="GY155" i="35"/>
  <c r="AO219" i="35"/>
  <c r="CU177" i="35"/>
  <c r="R177" i="19" s="1"/>
  <c r="CX177" i="35"/>
  <c r="HE177" i="35" s="1"/>
  <c r="CW177" i="35"/>
  <c r="T177" i="19" s="1"/>
  <c r="AJ177" i="19" s="1"/>
  <c r="Q177" i="19"/>
  <c r="AF177" i="19" s="1"/>
  <c r="CV177" i="35"/>
  <c r="S177" i="19" s="1"/>
  <c r="AI177" i="19" s="1"/>
  <c r="GW181" i="35"/>
  <c r="HK181" i="35" s="1"/>
  <c r="HM181" i="35" s="1"/>
  <c r="CR181" i="35"/>
  <c r="N181" i="19"/>
  <c r="HE173" i="35"/>
  <c r="R197" i="19"/>
  <c r="HB197" i="35"/>
  <c r="GJ173" i="35"/>
  <c r="GM173" i="35" s="1"/>
  <c r="GO173" i="35" s="1"/>
  <c r="GK173" i="35"/>
  <c r="AK220" i="35"/>
  <c r="GG111" i="35"/>
  <c r="GG142" i="35"/>
  <c r="B65" i="37"/>
  <c r="AZ21" i="37"/>
  <c r="AJ227" i="35"/>
  <c r="AJ230" i="35" s="1"/>
  <c r="AJ221" i="35"/>
  <c r="I200" i="19" l="1"/>
  <c r="AA200" i="19" s="1"/>
  <c r="DA169" i="35"/>
  <c r="X169" i="19" s="1"/>
  <c r="CX169" i="35"/>
  <c r="CW169" i="35"/>
  <c r="T169" i="19" s="1"/>
  <c r="AJ169" i="19" s="1"/>
  <c r="HA169" i="35"/>
  <c r="Q169" i="19"/>
  <c r="AF169" i="19" s="1"/>
  <c r="CV169" i="35"/>
  <c r="S169" i="19" s="1"/>
  <c r="AI169" i="19" s="1"/>
  <c r="CU169" i="35"/>
  <c r="HB169" i="35" s="1"/>
  <c r="HQ178" i="35"/>
  <c r="CL200" i="35"/>
  <c r="CY200" i="35" s="1"/>
  <c r="V200" i="19" s="1"/>
  <c r="HS178" i="35"/>
  <c r="CL176" i="35"/>
  <c r="CN176" i="35" s="1"/>
  <c r="H191" i="19"/>
  <c r="Z191" i="19" s="1"/>
  <c r="I175" i="19"/>
  <c r="AA175" i="19" s="1"/>
  <c r="CL175" i="35"/>
  <c r="HP178" i="35"/>
  <c r="CJ191" i="35"/>
  <c r="I191" i="19" s="1"/>
  <c r="AA191" i="19" s="1"/>
  <c r="CB204" i="35"/>
  <c r="CI204" i="35" s="1"/>
  <c r="CJ190" i="35"/>
  <c r="H190" i="19"/>
  <c r="Z190" i="19" s="1"/>
  <c r="CK190" i="35"/>
  <c r="CK204" i="35"/>
  <c r="CJ204" i="35"/>
  <c r="H204" i="19"/>
  <c r="Z204" i="19" s="1"/>
  <c r="CK194" i="35"/>
  <c r="H194" i="19"/>
  <c r="Z194" i="19" s="1"/>
  <c r="FA194" i="35"/>
  <c r="CJ194" i="35"/>
  <c r="EB187" i="35"/>
  <c r="CI187" i="35"/>
  <c r="HB164" i="35"/>
  <c r="R164" i="19"/>
  <c r="GK164" i="35"/>
  <c r="GJ164" i="35"/>
  <c r="GM164" i="35" s="1"/>
  <c r="GO164" i="35" s="1"/>
  <c r="BZ203" i="35"/>
  <c r="CA203" i="35" s="1"/>
  <c r="CB203" i="35" s="1"/>
  <c r="CR164" i="35"/>
  <c r="N164" i="19"/>
  <c r="GW164" i="35"/>
  <c r="HK164" i="35" s="1"/>
  <c r="HM164" i="35" s="1"/>
  <c r="BZ213" i="35"/>
  <c r="CA213" i="35" s="1"/>
  <c r="CB213" i="35" s="1"/>
  <c r="BZ207" i="35"/>
  <c r="CA207" i="35" s="1"/>
  <c r="BZ201" i="35"/>
  <c r="CA201" i="35" s="1"/>
  <c r="CB201" i="35" s="1"/>
  <c r="BZ208" i="35"/>
  <c r="CA208" i="35" s="1"/>
  <c r="CB208" i="35" s="1"/>
  <c r="HE164" i="35"/>
  <c r="U164" i="19"/>
  <c r="AK164" i="19" s="1"/>
  <c r="BZ209" i="35"/>
  <c r="CA209" i="35" s="1"/>
  <c r="CB209" i="35" s="1"/>
  <c r="T164" i="19"/>
  <c r="AJ164" i="19" s="1"/>
  <c r="HD164" i="35"/>
  <c r="CG199" i="35"/>
  <c r="CH199" i="35" s="1"/>
  <c r="BZ215" i="35"/>
  <c r="CA215" i="35" s="1"/>
  <c r="CB215" i="35" s="1"/>
  <c r="BZ202" i="35"/>
  <c r="CA202" i="35" s="1"/>
  <c r="CG202" i="35" s="1"/>
  <c r="CH202" i="35" s="1"/>
  <c r="BZ212" i="35"/>
  <c r="CA212" i="35" s="1"/>
  <c r="CG212" i="35" s="1"/>
  <c r="CH212" i="35" s="1"/>
  <c r="HC164" i="35"/>
  <c r="S164" i="19"/>
  <c r="AI164" i="19" s="1"/>
  <c r="GI169" i="35"/>
  <c r="GJ169" i="35" s="1"/>
  <c r="GM169" i="35" s="1"/>
  <c r="GO169" i="35" s="1"/>
  <c r="CU173" i="35"/>
  <c r="HB173" i="35" s="1"/>
  <c r="Q173" i="19"/>
  <c r="AF173" i="19" s="1"/>
  <c r="CW173" i="35"/>
  <c r="HD173" i="35" s="1"/>
  <c r="GY160" i="35"/>
  <c r="HU160" i="35" s="1"/>
  <c r="CW178" i="35"/>
  <c r="HD178" i="35" s="1"/>
  <c r="GI178" i="35"/>
  <c r="GK178" i="35" s="1"/>
  <c r="CP178" i="35"/>
  <c r="GW178" i="35" s="1"/>
  <c r="HK178" i="35" s="1"/>
  <c r="HM178" i="35" s="1"/>
  <c r="CU178" i="35"/>
  <c r="R178" i="19" s="1"/>
  <c r="R161" i="19"/>
  <c r="I167" i="19"/>
  <c r="AA167" i="19" s="1"/>
  <c r="L178" i="19"/>
  <c r="GU163" i="35"/>
  <c r="HI163" i="35" s="1"/>
  <c r="T161" i="19"/>
  <c r="AJ161" i="19" s="1"/>
  <c r="HA173" i="35"/>
  <c r="CL167" i="35"/>
  <c r="GS167" i="35" s="1"/>
  <c r="HG167" i="35" s="1"/>
  <c r="HO167" i="35" s="1"/>
  <c r="HP167" i="35" s="1"/>
  <c r="H150" i="19"/>
  <c r="Z150" i="19" s="1"/>
  <c r="CR169" i="35"/>
  <c r="GY169" i="35" s="1"/>
  <c r="HU169" i="35" s="1"/>
  <c r="N169" i="19"/>
  <c r="L169" i="19"/>
  <c r="CB193" i="35"/>
  <c r="GU169" i="35"/>
  <c r="HI169" i="35" s="1"/>
  <c r="CV178" i="35"/>
  <c r="S178" i="19" s="1"/>
  <c r="AI178" i="19" s="1"/>
  <c r="Q178" i="19"/>
  <c r="AF178" i="19" s="1"/>
  <c r="HA163" i="35"/>
  <c r="HQ169" i="35"/>
  <c r="HS169" i="35"/>
  <c r="HP169" i="35"/>
  <c r="GI163" i="35"/>
  <c r="GK163" i="35" s="1"/>
  <c r="CX178" i="35"/>
  <c r="U178" i="19" s="1"/>
  <c r="AK178" i="19" s="1"/>
  <c r="HU151" i="35"/>
  <c r="EB182" i="35"/>
  <c r="CI182" i="35"/>
  <c r="CI180" i="35"/>
  <c r="EB180" i="35"/>
  <c r="CI184" i="35"/>
  <c r="EB184" i="35"/>
  <c r="H185" i="19"/>
  <c r="Z185" i="19" s="1"/>
  <c r="CK185" i="35"/>
  <c r="CJ185" i="35"/>
  <c r="R130" i="19"/>
  <c r="HB130" i="35"/>
  <c r="FA185" i="35"/>
  <c r="U130" i="19"/>
  <c r="AK130" i="19" s="1"/>
  <c r="HE130" i="35"/>
  <c r="CG184" i="35"/>
  <c r="CH184" i="35" s="1"/>
  <c r="CJ184" i="35" s="1"/>
  <c r="CB185" i="35"/>
  <c r="EB185" i="35" s="1"/>
  <c r="HC130" i="35"/>
  <c r="S130" i="19"/>
  <c r="AI130" i="19" s="1"/>
  <c r="HC151" i="35"/>
  <c r="CI194" i="35"/>
  <c r="CL194" i="35" s="1"/>
  <c r="GA194" i="35" s="1"/>
  <c r="CP173" i="35"/>
  <c r="CR173" i="35" s="1"/>
  <c r="GY173" i="35" s="1"/>
  <c r="HB151" i="35"/>
  <c r="N130" i="19"/>
  <c r="GW130" i="35"/>
  <c r="HK130" i="35" s="1"/>
  <c r="HM130" i="35" s="1"/>
  <c r="CR130" i="35"/>
  <c r="CA196" i="35"/>
  <c r="CB196" i="35" s="1"/>
  <c r="CA188" i="35"/>
  <c r="CG188" i="35" s="1"/>
  <c r="CH188" i="35" s="1"/>
  <c r="CG180" i="35"/>
  <c r="CH180" i="35" s="1"/>
  <c r="CJ180" i="35" s="1"/>
  <c r="HD130" i="35"/>
  <c r="T130" i="19"/>
  <c r="AJ130" i="19" s="1"/>
  <c r="GK130" i="35"/>
  <c r="GJ130" i="35"/>
  <c r="GM130" i="35" s="1"/>
  <c r="GO130" i="35" s="1"/>
  <c r="HE151" i="35"/>
  <c r="GA170" i="35"/>
  <c r="GC170" i="35" s="1"/>
  <c r="GE170" i="35" s="1"/>
  <c r="CN170" i="35"/>
  <c r="CP170" i="35" s="1"/>
  <c r="GW170" i="35" s="1"/>
  <c r="HK170" i="35" s="1"/>
  <c r="HM170" i="35" s="1"/>
  <c r="CV163" i="35"/>
  <c r="S163" i="19" s="1"/>
  <c r="AI163" i="19" s="1"/>
  <c r="CU163" i="35"/>
  <c r="R163" i="19" s="1"/>
  <c r="R160" i="19"/>
  <c r="DB170" i="35"/>
  <c r="Y170" i="19" s="1"/>
  <c r="CZ170" i="35"/>
  <c r="W170" i="19" s="1"/>
  <c r="CW163" i="35"/>
  <c r="T163" i="19" s="1"/>
  <c r="AJ163" i="19" s="1"/>
  <c r="GS170" i="35"/>
  <c r="HG170" i="35" s="1"/>
  <c r="HO170" i="35" s="1"/>
  <c r="HP170" i="35" s="1"/>
  <c r="CY170" i="35"/>
  <c r="V170" i="19" s="1"/>
  <c r="CT170" i="35"/>
  <c r="CV170" i="35" s="1"/>
  <c r="HC170" i="35" s="1"/>
  <c r="J170" i="19"/>
  <c r="AB170" i="19" s="1"/>
  <c r="HC160" i="35"/>
  <c r="CP163" i="35"/>
  <c r="N163" i="19" s="1"/>
  <c r="L173" i="19"/>
  <c r="HS172" i="35"/>
  <c r="HP173" i="35"/>
  <c r="HS173" i="35"/>
  <c r="HR173" i="35"/>
  <c r="HD160" i="35"/>
  <c r="HR172" i="35"/>
  <c r="CU172" i="35"/>
  <c r="R172" i="19" s="1"/>
  <c r="HA172" i="35"/>
  <c r="L172" i="19"/>
  <c r="GK169" i="35"/>
  <c r="CP172" i="35"/>
  <c r="CR172" i="35" s="1"/>
  <c r="GY172" i="35" s="1"/>
  <c r="CL192" i="35"/>
  <c r="CZ192" i="35" s="1"/>
  <c r="W192" i="19" s="1"/>
  <c r="GI172" i="35"/>
  <c r="GJ172" i="35" s="1"/>
  <c r="GM172" i="35" s="1"/>
  <c r="GO172" i="35" s="1"/>
  <c r="CL150" i="35"/>
  <c r="CN150" i="35" s="1"/>
  <c r="GU150" i="35" s="1"/>
  <c r="HI150" i="35" s="1"/>
  <c r="GK151" i="35"/>
  <c r="GJ151" i="35"/>
  <c r="GM151" i="35" s="1"/>
  <c r="GO151" i="35" s="1"/>
  <c r="CG215" i="35"/>
  <c r="CH215" i="35" s="1"/>
  <c r="CJ215" i="35" s="1"/>
  <c r="HP172" i="35"/>
  <c r="CY183" i="35"/>
  <c r="V183" i="19" s="1"/>
  <c r="CZ183" i="35"/>
  <c r="W183" i="19" s="1"/>
  <c r="J183" i="19"/>
  <c r="AB183" i="19" s="1"/>
  <c r="DB183" i="35"/>
  <c r="Y183" i="19" s="1"/>
  <c r="DA183" i="35"/>
  <c r="X183" i="19" s="1"/>
  <c r="CX172" i="35"/>
  <c r="U172" i="19" s="1"/>
  <c r="AK172" i="19" s="1"/>
  <c r="CV172" i="35"/>
  <c r="HC172" i="35" s="1"/>
  <c r="CG209" i="35"/>
  <c r="CH209" i="35" s="1"/>
  <c r="CK209" i="35" s="1"/>
  <c r="I192" i="19"/>
  <c r="AA192" i="19" s="1"/>
  <c r="CG208" i="35"/>
  <c r="CH208" i="35" s="1"/>
  <c r="CJ208" i="35" s="1"/>
  <c r="CK193" i="35"/>
  <c r="I193" i="19" s="1"/>
  <c r="AA193" i="19" s="1"/>
  <c r="CW172" i="35"/>
  <c r="T172" i="19" s="1"/>
  <c r="AJ172" i="19" s="1"/>
  <c r="H193" i="19"/>
  <c r="Z193" i="19" s="1"/>
  <c r="BX205" i="35"/>
  <c r="BX217" i="35"/>
  <c r="CG213" i="35"/>
  <c r="CH213" i="35" s="1"/>
  <c r="CK213" i="35" s="1"/>
  <c r="FA187" i="35"/>
  <c r="HE168" i="35"/>
  <c r="GW168" i="35"/>
  <c r="HK168" i="35" s="1"/>
  <c r="HM168" i="35" s="1"/>
  <c r="H187" i="19"/>
  <c r="Z187" i="19" s="1"/>
  <c r="CB202" i="35"/>
  <c r="CN183" i="35"/>
  <c r="CP183" i="35" s="1"/>
  <c r="GW183" i="35" s="1"/>
  <c r="HK183" i="35" s="1"/>
  <c r="HM183" i="35" s="1"/>
  <c r="GA183" i="35"/>
  <c r="GC183" i="35" s="1"/>
  <c r="GE183" i="35" s="1"/>
  <c r="CI198" i="35"/>
  <c r="GS183" i="35"/>
  <c r="HG183" i="35" s="1"/>
  <c r="HO183" i="35" s="1"/>
  <c r="HQ183" i="35" s="1"/>
  <c r="CT183" i="35"/>
  <c r="CW183" i="35" s="1"/>
  <c r="T183" i="19" s="1"/>
  <c r="AJ183" i="19" s="1"/>
  <c r="BX216" i="35"/>
  <c r="CB212" i="35"/>
  <c r="EB212" i="35" s="1"/>
  <c r="CK187" i="35"/>
  <c r="I187" i="19" s="1"/>
  <c r="AA187" i="19" s="1"/>
  <c r="BX211" i="35"/>
  <c r="BX214" i="35"/>
  <c r="CY167" i="35"/>
  <c r="V167" i="19" s="1"/>
  <c r="EB190" i="35"/>
  <c r="CI190" i="35"/>
  <c r="CL190" i="35" s="1"/>
  <c r="GS190" i="35" s="1"/>
  <c r="HG190" i="35" s="1"/>
  <c r="HO190" i="35" s="1"/>
  <c r="CG203" i="35"/>
  <c r="CH203" i="35" s="1"/>
  <c r="CJ203" i="35" s="1"/>
  <c r="R169" i="19"/>
  <c r="CJ182" i="35"/>
  <c r="FA182" i="35"/>
  <c r="CK182" i="35"/>
  <c r="H182" i="19"/>
  <c r="Z182" i="19" s="1"/>
  <c r="BX210" i="35"/>
  <c r="BZ210" i="35" s="1"/>
  <c r="GA176" i="35"/>
  <c r="GC176" i="35" s="1"/>
  <c r="GE176" i="35" s="1"/>
  <c r="CR168" i="35"/>
  <c r="P168" i="19" s="1"/>
  <c r="AE168" i="19" s="1"/>
  <c r="CZ176" i="35"/>
  <c r="W176" i="19" s="1"/>
  <c r="HC168" i="35"/>
  <c r="HD169" i="35"/>
  <c r="HD168" i="35"/>
  <c r="CY176" i="35"/>
  <c r="V176" i="19" s="1"/>
  <c r="J176" i="19"/>
  <c r="AB176" i="19" s="1"/>
  <c r="CT176" i="35"/>
  <c r="HA176" i="35" s="1"/>
  <c r="T173" i="19"/>
  <c r="AJ173" i="19" s="1"/>
  <c r="DB176" i="35"/>
  <c r="Y176" i="19" s="1"/>
  <c r="DA176" i="35"/>
  <c r="X176" i="19" s="1"/>
  <c r="GS176" i="35"/>
  <c r="HG176" i="35" s="1"/>
  <c r="HO176" i="35" s="1"/>
  <c r="HS176" i="35" s="1"/>
  <c r="R173" i="19"/>
  <c r="HC173" i="35"/>
  <c r="CL191" i="35"/>
  <c r="DA191" i="35" s="1"/>
  <c r="X191" i="19" s="1"/>
  <c r="CL186" i="35"/>
  <c r="CY186" i="35" s="1"/>
  <c r="V186" i="19" s="1"/>
  <c r="CN148" i="35"/>
  <c r="CT148" i="35"/>
  <c r="CZ148" i="35"/>
  <c r="W148" i="19" s="1"/>
  <c r="GA148" i="35"/>
  <c r="GS148" i="35"/>
  <c r="HG148" i="35" s="1"/>
  <c r="HO148" i="35" s="1"/>
  <c r="CY148" i="35"/>
  <c r="V148" i="19" s="1"/>
  <c r="DA148" i="35"/>
  <c r="X148" i="19" s="1"/>
  <c r="DB148" i="35"/>
  <c r="Y148" i="19" s="1"/>
  <c r="J148" i="19"/>
  <c r="AB148" i="19" s="1"/>
  <c r="I186" i="19"/>
  <c r="AA186" i="19" s="1"/>
  <c r="BU206" i="35"/>
  <c r="BU218" i="35"/>
  <c r="HC166" i="35"/>
  <c r="P161" i="19"/>
  <c r="AE161" i="19" s="1"/>
  <c r="GY165" i="35"/>
  <c r="HU165" i="35" s="1"/>
  <c r="R166" i="19"/>
  <c r="HE178" i="35"/>
  <c r="GJ179" i="35"/>
  <c r="GM179" i="35" s="1"/>
  <c r="GO179" i="35" s="1"/>
  <c r="S179" i="19"/>
  <c r="AI179" i="19" s="1"/>
  <c r="T181" i="19"/>
  <c r="AJ181" i="19" s="1"/>
  <c r="HE181" i="35"/>
  <c r="GW179" i="35"/>
  <c r="HK179" i="35" s="1"/>
  <c r="HM179" i="35" s="1"/>
  <c r="CR179" i="35"/>
  <c r="GY179" i="35" s="1"/>
  <c r="HE179" i="35"/>
  <c r="GY162" i="35"/>
  <c r="HU162" i="35" s="1"/>
  <c r="HD197" i="35"/>
  <c r="HB181" i="35"/>
  <c r="L177" i="19"/>
  <c r="HD166" i="35"/>
  <c r="GW166" i="35"/>
  <c r="HK166" i="35" s="1"/>
  <c r="HM166" i="35" s="1"/>
  <c r="GI177" i="35"/>
  <c r="GJ177" i="35" s="1"/>
  <c r="GM177" i="35" s="1"/>
  <c r="GO177" i="35" s="1"/>
  <c r="HR197" i="35"/>
  <c r="HS197" i="35"/>
  <c r="T179" i="19"/>
  <c r="AJ179" i="19" s="1"/>
  <c r="HP197" i="35"/>
  <c r="CR166" i="35"/>
  <c r="GY166" i="35" s="1"/>
  <c r="N197" i="19"/>
  <c r="GU197" i="35"/>
  <c r="HI197" i="35" s="1"/>
  <c r="L197" i="19"/>
  <c r="GW197" i="35"/>
  <c r="HK197" i="35" s="1"/>
  <c r="HM197" i="35" s="1"/>
  <c r="GI197" i="35"/>
  <c r="GK197" i="35" s="1"/>
  <c r="HB178" i="35"/>
  <c r="HU155" i="35"/>
  <c r="HR177" i="35"/>
  <c r="T178" i="19"/>
  <c r="AJ178" i="19" s="1"/>
  <c r="HS177" i="35"/>
  <c r="HQ177" i="35"/>
  <c r="S197" i="19"/>
  <c r="HB179" i="35"/>
  <c r="CP177" i="35"/>
  <c r="GW177" i="35" s="1"/>
  <c r="HK177" i="35" s="1"/>
  <c r="HM177" i="35" s="1"/>
  <c r="U197" i="19"/>
  <c r="GK181" i="35"/>
  <c r="CY189" i="35"/>
  <c r="V189" i="19" s="1"/>
  <c r="HC181" i="35"/>
  <c r="GA189" i="35"/>
  <c r="GI189" i="35" s="1"/>
  <c r="GK189" i="35" s="1"/>
  <c r="J189" i="19"/>
  <c r="AB189" i="19" s="1"/>
  <c r="CZ189" i="35"/>
  <c r="W189" i="19" s="1"/>
  <c r="CT189" i="35"/>
  <c r="Q189" i="19" s="1"/>
  <c r="AF189" i="19" s="1"/>
  <c r="DB189" i="35"/>
  <c r="Y189" i="19" s="1"/>
  <c r="CN189" i="35"/>
  <c r="GU189" i="35" s="1"/>
  <c r="HI189" i="35" s="1"/>
  <c r="DA189" i="35"/>
  <c r="X189" i="19" s="1"/>
  <c r="N178" i="19"/>
  <c r="CR178" i="35"/>
  <c r="GY178" i="35" s="1"/>
  <c r="HU178" i="35" s="1"/>
  <c r="P149" i="19"/>
  <c r="AE149" i="19" s="1"/>
  <c r="HQ171" i="35"/>
  <c r="CV171" i="35"/>
  <c r="HC171" i="35" s="1"/>
  <c r="HP171" i="35"/>
  <c r="HR171" i="35"/>
  <c r="I195" i="19"/>
  <c r="AA195" i="19" s="1"/>
  <c r="GI171" i="35"/>
  <c r="GK171" i="35" s="1"/>
  <c r="CU171" i="35"/>
  <c r="R171" i="19" s="1"/>
  <c r="CX171" i="35"/>
  <c r="HE171" i="35" s="1"/>
  <c r="CW171" i="35"/>
  <c r="T171" i="19" s="1"/>
  <c r="AJ171" i="19" s="1"/>
  <c r="Q171" i="19"/>
  <c r="AF171" i="19" s="1"/>
  <c r="CJ198" i="35"/>
  <c r="H198" i="19"/>
  <c r="Z198" i="19" s="1"/>
  <c r="CK198" i="35"/>
  <c r="FA198" i="35"/>
  <c r="L176" i="19"/>
  <c r="GU176" i="35"/>
  <c r="HI176" i="35" s="1"/>
  <c r="CP176" i="35"/>
  <c r="GK158" i="35"/>
  <c r="GJ158" i="35"/>
  <c r="GM158" i="35" s="1"/>
  <c r="GO158" i="35" s="1"/>
  <c r="HB158" i="35"/>
  <c r="R158" i="19"/>
  <c r="GJ174" i="35"/>
  <c r="GM174" i="35" s="1"/>
  <c r="GO174" i="35" s="1"/>
  <c r="GK174" i="35"/>
  <c r="U158" i="19"/>
  <c r="AK158" i="19" s="1"/>
  <c r="HE158" i="35"/>
  <c r="GW174" i="35"/>
  <c r="HK174" i="35" s="1"/>
  <c r="HM174" i="35" s="1"/>
  <c r="N174" i="19"/>
  <c r="CR174" i="35"/>
  <c r="R174" i="19"/>
  <c r="HB174" i="35"/>
  <c r="HC158" i="35"/>
  <c r="S158" i="19"/>
  <c r="AI158" i="19" s="1"/>
  <c r="U174" i="19"/>
  <c r="AK174" i="19" s="1"/>
  <c r="HE174" i="35"/>
  <c r="T174" i="19"/>
  <c r="AJ174" i="19" s="1"/>
  <c r="HD174" i="35"/>
  <c r="I204" i="19"/>
  <c r="AA204" i="19" s="1"/>
  <c r="CL195" i="35"/>
  <c r="GW158" i="35"/>
  <c r="HK158" i="35" s="1"/>
  <c r="HM158" i="35" s="1"/>
  <c r="N158" i="19"/>
  <c r="CR158" i="35"/>
  <c r="S174" i="19"/>
  <c r="AI174" i="19" s="1"/>
  <c r="HC174" i="35"/>
  <c r="HE163" i="35"/>
  <c r="U163" i="19"/>
  <c r="AK163" i="19" s="1"/>
  <c r="I190" i="19"/>
  <c r="AA190" i="19" s="1"/>
  <c r="HD158" i="35"/>
  <c r="T158" i="19"/>
  <c r="AJ158" i="19" s="1"/>
  <c r="HD163" i="35"/>
  <c r="GW171" i="35"/>
  <c r="HK171" i="35" s="1"/>
  <c r="HM171" i="35" s="1"/>
  <c r="CR171" i="35"/>
  <c r="N171" i="19"/>
  <c r="U177" i="19"/>
  <c r="AK177" i="19" s="1"/>
  <c r="HB177" i="35"/>
  <c r="HP189" i="35"/>
  <c r="HS189" i="35"/>
  <c r="HD177" i="35"/>
  <c r="HQ189" i="35"/>
  <c r="HC177" i="35"/>
  <c r="GY197" i="35"/>
  <c r="P197" i="19"/>
  <c r="AE197" i="19" s="1"/>
  <c r="P181" i="19"/>
  <c r="AE181" i="19" s="1"/>
  <c r="GY181" i="35"/>
  <c r="HU181" i="35" s="1"/>
  <c r="AP219" i="35"/>
  <c r="AP220" i="35" s="1"/>
  <c r="AO220" i="35"/>
  <c r="GG113" i="35"/>
  <c r="GG144" i="35"/>
  <c r="AL220" i="35"/>
  <c r="B66" i="37"/>
  <c r="BA21" i="37"/>
  <c r="L170" i="19" l="1"/>
  <c r="HC169" i="35"/>
  <c r="CL204" i="35"/>
  <c r="CB207" i="35"/>
  <c r="CG207" i="35"/>
  <c r="CH207" i="35" s="1"/>
  <c r="CK207" i="35" s="1"/>
  <c r="EB209" i="35"/>
  <c r="CI209" i="35"/>
  <c r="CT200" i="35"/>
  <c r="HA200" i="35" s="1"/>
  <c r="CG201" i="35"/>
  <c r="CH201" i="35" s="1"/>
  <c r="CK201" i="35" s="1"/>
  <c r="DA200" i="35"/>
  <c r="X200" i="19" s="1"/>
  <c r="DB200" i="35"/>
  <c r="Y200" i="19" s="1"/>
  <c r="GA200" i="35"/>
  <c r="GC200" i="35" s="1"/>
  <c r="GE200" i="35" s="1"/>
  <c r="CN200" i="35"/>
  <c r="CP200" i="35" s="1"/>
  <c r="N200" i="19" s="1"/>
  <c r="GA175" i="35"/>
  <c r="DA175" i="35"/>
  <c r="X175" i="19" s="1"/>
  <c r="CZ175" i="35"/>
  <c r="W175" i="19" s="1"/>
  <c r="CY175" i="35"/>
  <c r="V175" i="19" s="1"/>
  <c r="CN175" i="35"/>
  <c r="CT175" i="35"/>
  <c r="DB175" i="35"/>
  <c r="Y175" i="19" s="1"/>
  <c r="GS175" i="35"/>
  <c r="HG175" i="35" s="1"/>
  <c r="HO175" i="35" s="1"/>
  <c r="J175" i="19"/>
  <c r="AB175" i="19" s="1"/>
  <c r="CZ200" i="35"/>
  <c r="W200" i="19" s="1"/>
  <c r="J200" i="19"/>
  <c r="AB200" i="19" s="1"/>
  <c r="EB204" i="35"/>
  <c r="GS200" i="35"/>
  <c r="HG200" i="35" s="1"/>
  <c r="HO200" i="35" s="1"/>
  <c r="HP200" i="35" s="1"/>
  <c r="HQ170" i="35"/>
  <c r="HR170" i="35"/>
  <c r="U169" i="19"/>
  <c r="AK169" i="19" s="1"/>
  <c r="HE169" i="35"/>
  <c r="CI201" i="35"/>
  <c r="EB201" i="35"/>
  <c r="EB213" i="35"/>
  <c r="CI213" i="35"/>
  <c r="H212" i="19"/>
  <c r="Z212" i="19" s="1"/>
  <c r="CJ212" i="35"/>
  <c r="FA212" i="35"/>
  <c r="CK212" i="35"/>
  <c r="CK202" i="35"/>
  <c r="H202" i="19"/>
  <c r="Z202" i="19" s="1"/>
  <c r="CJ202" i="35"/>
  <c r="EB215" i="35"/>
  <c r="CI215" i="35"/>
  <c r="CI208" i="35"/>
  <c r="EB208" i="35"/>
  <c r="EB203" i="35"/>
  <c r="CI203" i="35"/>
  <c r="BZ214" i="35"/>
  <c r="CA214" i="35" s="1"/>
  <c r="CB214" i="35" s="1"/>
  <c r="BZ211" i="35"/>
  <c r="CA211" i="35" s="1"/>
  <c r="CG211" i="35" s="1"/>
  <c r="CH211" i="35" s="1"/>
  <c r="BZ217" i="35"/>
  <c r="CA217" i="35" s="1"/>
  <c r="CG217" i="35" s="1"/>
  <c r="CH217" i="35" s="1"/>
  <c r="BZ205" i="35"/>
  <c r="CA205" i="35" s="1"/>
  <c r="CG205" i="35" s="1"/>
  <c r="CH205" i="35" s="1"/>
  <c r="CJ205" i="35" s="1"/>
  <c r="BZ216" i="35"/>
  <c r="CA216" i="35" s="1"/>
  <c r="CB216" i="35" s="1"/>
  <c r="H199" i="19"/>
  <c r="Z199" i="19" s="1"/>
  <c r="FA199" i="35"/>
  <c r="CK199" i="35"/>
  <c r="CJ199" i="35"/>
  <c r="P164" i="19"/>
  <c r="AE164" i="19" s="1"/>
  <c r="GY164" i="35"/>
  <c r="HU164" i="35" s="1"/>
  <c r="I194" i="19"/>
  <c r="AA194" i="19" s="1"/>
  <c r="HC163" i="35"/>
  <c r="I185" i="19"/>
  <c r="AA185" i="19" s="1"/>
  <c r="GJ178" i="35"/>
  <c r="GM178" i="35" s="1"/>
  <c r="GO178" i="35" s="1"/>
  <c r="P169" i="19"/>
  <c r="AE169" i="19" s="1"/>
  <c r="CI212" i="35"/>
  <c r="GU170" i="35"/>
  <c r="HI170" i="35" s="1"/>
  <c r="HC178" i="35"/>
  <c r="CK208" i="35"/>
  <c r="I208" i="19" s="1"/>
  <c r="AA208" i="19" s="1"/>
  <c r="CT167" i="35"/>
  <c r="CV167" i="35" s="1"/>
  <c r="S167" i="19" s="1"/>
  <c r="AI167" i="19" s="1"/>
  <c r="GJ163" i="35"/>
  <c r="GM163" i="35" s="1"/>
  <c r="GO163" i="35" s="1"/>
  <c r="CZ167" i="35"/>
  <c r="W167" i="19" s="1"/>
  <c r="HR167" i="35"/>
  <c r="H208" i="19"/>
  <c r="Z208" i="19" s="1"/>
  <c r="HS167" i="35"/>
  <c r="J167" i="19"/>
  <c r="AB167" i="19" s="1"/>
  <c r="CN167" i="35"/>
  <c r="CP167" i="35" s="1"/>
  <c r="GW167" i="35" s="1"/>
  <c r="HK167" i="35" s="1"/>
  <c r="HM167" i="35" s="1"/>
  <c r="DA167" i="35"/>
  <c r="X167" i="19" s="1"/>
  <c r="HQ167" i="35"/>
  <c r="N173" i="19"/>
  <c r="GA167" i="35"/>
  <c r="GI167" i="35" s="1"/>
  <c r="GJ167" i="35" s="1"/>
  <c r="GM167" i="35" s="1"/>
  <c r="GO167" i="35" s="1"/>
  <c r="P173" i="19"/>
  <c r="AE173" i="19" s="1"/>
  <c r="DB167" i="35"/>
  <c r="Y167" i="19" s="1"/>
  <c r="CI193" i="35"/>
  <c r="CL193" i="35" s="1"/>
  <c r="EB193" i="35"/>
  <c r="CR163" i="35"/>
  <c r="GY163" i="35" s="1"/>
  <c r="CG196" i="35"/>
  <c r="CH196" i="35" s="1"/>
  <c r="CJ196" i="35" s="1"/>
  <c r="CB188" i="35"/>
  <c r="CI188" i="35" s="1"/>
  <c r="GW163" i="35"/>
  <c r="HK163" i="35" s="1"/>
  <c r="HM163" i="35" s="1"/>
  <c r="CY192" i="35"/>
  <c r="V192" i="19" s="1"/>
  <c r="H184" i="19"/>
  <c r="Z184" i="19" s="1"/>
  <c r="HB163" i="35"/>
  <c r="CK184" i="35"/>
  <c r="I184" i="19" s="1"/>
  <c r="AA184" i="19" s="1"/>
  <c r="DA192" i="35"/>
  <c r="X192" i="19" s="1"/>
  <c r="P172" i="19"/>
  <c r="AE172" i="19" s="1"/>
  <c r="N170" i="19"/>
  <c r="N172" i="19"/>
  <c r="CR170" i="35"/>
  <c r="H180" i="19"/>
  <c r="Z180" i="19" s="1"/>
  <c r="CI185" i="35"/>
  <c r="CL185" i="35" s="1"/>
  <c r="CZ185" i="35" s="1"/>
  <c r="W185" i="19" s="1"/>
  <c r="FA180" i="35"/>
  <c r="CK188" i="35"/>
  <c r="H188" i="19"/>
  <c r="Z188" i="19" s="1"/>
  <c r="CJ188" i="35"/>
  <c r="CI196" i="35"/>
  <c r="EB196" i="35"/>
  <c r="CW170" i="35"/>
  <c r="T170" i="19" s="1"/>
  <c r="AJ170" i="19" s="1"/>
  <c r="HS183" i="35"/>
  <c r="CK180" i="35"/>
  <c r="CL180" i="35" s="1"/>
  <c r="CY180" i="35" s="1"/>
  <c r="V180" i="19" s="1"/>
  <c r="GI170" i="35"/>
  <c r="HR183" i="35"/>
  <c r="HA183" i="35"/>
  <c r="CA210" i="35"/>
  <c r="CG210" i="35" s="1"/>
  <c r="CH210" i="35" s="1"/>
  <c r="HD183" i="35"/>
  <c r="GW173" i="35"/>
  <c r="HK173" i="35" s="1"/>
  <c r="HM173" i="35" s="1"/>
  <c r="HU173" i="35" s="1"/>
  <c r="GY130" i="35"/>
  <c r="HU130" i="35" s="1"/>
  <c r="P130" i="19"/>
  <c r="AE130" i="19" s="1"/>
  <c r="CU170" i="35"/>
  <c r="R170" i="19" s="1"/>
  <c r="Q170" i="19"/>
  <c r="AF170" i="19" s="1"/>
  <c r="HA170" i="35"/>
  <c r="S170" i="19"/>
  <c r="AI170" i="19" s="1"/>
  <c r="GY168" i="35"/>
  <c r="HU168" i="35" s="1"/>
  <c r="HP183" i="35"/>
  <c r="GW172" i="35"/>
  <c r="HK172" i="35" s="1"/>
  <c r="HM172" i="35" s="1"/>
  <c r="HU172" i="35" s="1"/>
  <c r="CZ150" i="35"/>
  <c r="W150" i="19" s="1"/>
  <c r="CV183" i="35"/>
  <c r="HC183" i="35" s="1"/>
  <c r="CU183" i="35"/>
  <c r="R183" i="19" s="1"/>
  <c r="HS170" i="35"/>
  <c r="CX170" i="35"/>
  <c r="L183" i="19"/>
  <c r="GA192" i="35"/>
  <c r="GC192" i="35" s="1"/>
  <c r="GE192" i="35" s="1"/>
  <c r="J192" i="19"/>
  <c r="AB192" i="19" s="1"/>
  <c r="HB172" i="35"/>
  <c r="GS192" i="35"/>
  <c r="HG192" i="35" s="1"/>
  <c r="HO192" i="35" s="1"/>
  <c r="HQ192" i="35" s="1"/>
  <c r="DB192" i="35"/>
  <c r="Y192" i="19" s="1"/>
  <c r="Q183" i="19"/>
  <c r="AF183" i="19" s="1"/>
  <c r="CN192" i="35"/>
  <c r="GU192" i="35" s="1"/>
  <c r="HI192" i="35" s="1"/>
  <c r="GK172" i="35"/>
  <c r="HD172" i="35"/>
  <c r="CX183" i="35"/>
  <c r="U183" i="19" s="1"/>
  <c r="AK183" i="19" s="1"/>
  <c r="CT192" i="35"/>
  <c r="CW192" i="35" s="1"/>
  <c r="HD192" i="35" s="1"/>
  <c r="HE172" i="35"/>
  <c r="CL182" i="35"/>
  <c r="CY182" i="35" s="1"/>
  <c r="V182" i="19" s="1"/>
  <c r="CJ201" i="35"/>
  <c r="I201" i="19" s="1"/>
  <c r="AA201" i="19" s="1"/>
  <c r="H201" i="19"/>
  <c r="Z201" i="19" s="1"/>
  <c r="GS150" i="35"/>
  <c r="HG150" i="35" s="1"/>
  <c r="HO150" i="35" s="1"/>
  <c r="DB150" i="35"/>
  <c r="Y150" i="19" s="1"/>
  <c r="CY150" i="35"/>
  <c r="V150" i="19" s="1"/>
  <c r="J150" i="19"/>
  <c r="AB150" i="19" s="1"/>
  <c r="CT150" i="35"/>
  <c r="DA150" i="35"/>
  <c r="X150" i="19" s="1"/>
  <c r="H215" i="19"/>
  <c r="Z215" i="19" s="1"/>
  <c r="CK215" i="35"/>
  <c r="CL215" i="35" s="1"/>
  <c r="J215" i="19" s="1"/>
  <c r="AB215" i="19" s="1"/>
  <c r="CG214" i="35"/>
  <c r="CH214" i="35" s="1"/>
  <c r="CK214" i="35" s="1"/>
  <c r="FA215" i="35"/>
  <c r="CG216" i="35"/>
  <c r="CH216" i="35" s="1"/>
  <c r="CK216" i="35" s="1"/>
  <c r="L150" i="19"/>
  <c r="GA150" i="35"/>
  <c r="H209" i="19"/>
  <c r="Z209" i="19" s="1"/>
  <c r="CU176" i="35"/>
  <c r="HB176" i="35" s="1"/>
  <c r="CJ209" i="35"/>
  <c r="CL209" i="35" s="1"/>
  <c r="CW176" i="35"/>
  <c r="T176" i="19" s="1"/>
  <c r="AJ176" i="19" s="1"/>
  <c r="S172" i="19"/>
  <c r="AI172" i="19" s="1"/>
  <c r="CX176" i="35"/>
  <c r="U176" i="19" s="1"/>
  <c r="AK176" i="19" s="1"/>
  <c r="CB211" i="35"/>
  <c r="CI211" i="35" s="1"/>
  <c r="CP150" i="35"/>
  <c r="GW150" i="35" s="1"/>
  <c r="HK150" i="35" s="1"/>
  <c r="HM150" i="35" s="1"/>
  <c r="GI183" i="35"/>
  <c r="GJ183" i="35" s="1"/>
  <c r="GM183" i="35" s="1"/>
  <c r="GO183" i="35" s="1"/>
  <c r="FA213" i="35"/>
  <c r="CK203" i="35"/>
  <c r="CL203" i="35" s="1"/>
  <c r="DA203" i="35" s="1"/>
  <c r="X203" i="19" s="1"/>
  <c r="CJ213" i="35"/>
  <c r="I213" i="19" s="1"/>
  <c r="AA213" i="19" s="1"/>
  <c r="EB188" i="35"/>
  <c r="N183" i="19"/>
  <c r="H203" i="19"/>
  <c r="Z203" i="19" s="1"/>
  <c r="H213" i="19"/>
  <c r="Z213" i="19" s="1"/>
  <c r="CL187" i="35"/>
  <c r="DA187" i="35" s="1"/>
  <c r="X187" i="19" s="1"/>
  <c r="CR183" i="35"/>
  <c r="GY183" i="35" s="1"/>
  <c r="HU183" i="35" s="1"/>
  <c r="FA203" i="35"/>
  <c r="EB202" i="35"/>
  <c r="CI202" i="35"/>
  <c r="GU183" i="35"/>
  <c r="HI183" i="35" s="1"/>
  <c r="BX218" i="35"/>
  <c r="BZ218" i="35" s="1"/>
  <c r="BX206" i="35"/>
  <c r="BZ206" i="35" s="1"/>
  <c r="GI176" i="35"/>
  <c r="GK176" i="35" s="1"/>
  <c r="GA180" i="35"/>
  <c r="GI180" i="35" s="1"/>
  <c r="I182" i="19"/>
  <c r="AA182" i="19" s="1"/>
  <c r="Q176" i="19"/>
  <c r="AF176" i="19" s="1"/>
  <c r="CV176" i="35"/>
  <c r="HC176" i="35" s="1"/>
  <c r="HQ176" i="35"/>
  <c r="HR176" i="35"/>
  <c r="HP176" i="35"/>
  <c r="CN191" i="35"/>
  <c r="CP191" i="35" s="1"/>
  <c r="CY191" i="35"/>
  <c r="V191" i="19" s="1"/>
  <c r="CT191" i="35"/>
  <c r="CX191" i="35" s="1"/>
  <c r="DB191" i="35"/>
  <c r="Y191" i="19" s="1"/>
  <c r="J186" i="19"/>
  <c r="AB186" i="19" s="1"/>
  <c r="CZ191" i="35"/>
  <c r="W191" i="19" s="1"/>
  <c r="GA191" i="35"/>
  <c r="GC191" i="35" s="1"/>
  <c r="GE191" i="35" s="1"/>
  <c r="J191" i="19"/>
  <c r="AB191" i="19" s="1"/>
  <c r="GS191" i="35"/>
  <c r="HG191" i="35" s="1"/>
  <c r="HO191" i="35" s="1"/>
  <c r="HS191" i="35" s="1"/>
  <c r="CN186" i="35"/>
  <c r="CP186" i="35" s="1"/>
  <c r="CR186" i="35" s="1"/>
  <c r="DB186" i="35"/>
  <c r="Y186" i="19" s="1"/>
  <c r="HS148" i="35"/>
  <c r="HQ148" i="35"/>
  <c r="HP148" i="35"/>
  <c r="HR148" i="35"/>
  <c r="GC148" i="35"/>
  <c r="GE148" i="35" s="1"/>
  <c r="GI148" i="35"/>
  <c r="GS186" i="35"/>
  <c r="HG186" i="35" s="1"/>
  <c r="HO186" i="35" s="1"/>
  <c r="HQ186" i="35" s="1"/>
  <c r="CV148" i="35"/>
  <c r="Q148" i="19"/>
  <c r="AF148" i="19" s="1"/>
  <c r="CX148" i="35"/>
  <c r="CU148" i="35"/>
  <c r="HA148" i="35"/>
  <c r="CW148" i="35"/>
  <c r="L148" i="19"/>
  <c r="CP148" i="35"/>
  <c r="GU148" i="35"/>
  <c r="HI148" i="35" s="1"/>
  <c r="CT186" i="35"/>
  <c r="HA186" i="35" s="1"/>
  <c r="DA186" i="35"/>
  <c r="X186" i="19" s="1"/>
  <c r="CZ186" i="35"/>
  <c r="W186" i="19" s="1"/>
  <c r="GA186" i="35"/>
  <c r="GC186" i="35" s="1"/>
  <c r="GE186" i="35" s="1"/>
  <c r="H207" i="19"/>
  <c r="Z207" i="19" s="1"/>
  <c r="CJ207" i="35"/>
  <c r="I207" i="19" s="1"/>
  <c r="AA207" i="19" s="1"/>
  <c r="CI207" i="35"/>
  <c r="EB207" i="35"/>
  <c r="Q200" i="19"/>
  <c r="AF200" i="19" s="1"/>
  <c r="CW200" i="35"/>
  <c r="HD200" i="35" s="1"/>
  <c r="CP189" i="35"/>
  <c r="N189" i="19" s="1"/>
  <c r="P179" i="19"/>
  <c r="AE179" i="19" s="1"/>
  <c r="GW200" i="35"/>
  <c r="HK200" i="35" s="1"/>
  <c r="HM200" i="35" s="1"/>
  <c r="CR200" i="35"/>
  <c r="P200" i="19" s="1"/>
  <c r="AE200" i="19" s="1"/>
  <c r="HU179" i="35"/>
  <c r="HQ200" i="35"/>
  <c r="HU197" i="35"/>
  <c r="GK177" i="35"/>
  <c r="CX200" i="35"/>
  <c r="U200" i="19" s="1"/>
  <c r="CU200" i="35"/>
  <c r="HB200" i="35" s="1"/>
  <c r="HS200" i="35"/>
  <c r="CV200" i="35"/>
  <c r="HC200" i="35" s="1"/>
  <c r="HR200" i="35"/>
  <c r="HU166" i="35"/>
  <c r="P166" i="19"/>
  <c r="AE166" i="19" s="1"/>
  <c r="GJ197" i="35"/>
  <c r="GM197" i="35" s="1"/>
  <c r="GO197" i="35" s="1"/>
  <c r="L189" i="19"/>
  <c r="HA189" i="35"/>
  <c r="CV189" i="35"/>
  <c r="HC189" i="35" s="1"/>
  <c r="CX189" i="35"/>
  <c r="U189" i="19" s="1"/>
  <c r="CU189" i="35"/>
  <c r="R189" i="19" s="1"/>
  <c r="CW189" i="35"/>
  <c r="T189" i="19" s="1"/>
  <c r="GJ189" i="35"/>
  <c r="GM189" i="35" s="1"/>
  <c r="GO189" i="35" s="1"/>
  <c r="GC189" i="35"/>
  <c r="GE189" i="35" s="1"/>
  <c r="N177" i="19"/>
  <c r="CR177" i="35"/>
  <c r="GY177" i="35" s="1"/>
  <c r="HU177" i="35" s="1"/>
  <c r="CT194" i="35"/>
  <c r="CW194" i="35" s="1"/>
  <c r="J194" i="19"/>
  <c r="AB194" i="19" s="1"/>
  <c r="DB194" i="35"/>
  <c r="Y194" i="19" s="1"/>
  <c r="GS194" i="35"/>
  <c r="HG194" i="35" s="1"/>
  <c r="HO194" i="35" s="1"/>
  <c r="HQ194" i="35" s="1"/>
  <c r="CN194" i="35"/>
  <c r="GU194" i="35" s="1"/>
  <c r="HI194" i="35" s="1"/>
  <c r="DA194" i="35"/>
  <c r="X194" i="19" s="1"/>
  <c r="CZ194" i="35"/>
  <c r="W194" i="19" s="1"/>
  <c r="CY194" i="35"/>
  <c r="V194" i="19" s="1"/>
  <c r="CL208" i="35"/>
  <c r="DA208" i="35" s="1"/>
  <c r="X208" i="19" s="1"/>
  <c r="P178" i="19"/>
  <c r="AE178" i="19" s="1"/>
  <c r="HB171" i="35"/>
  <c r="GJ171" i="35"/>
  <c r="GM171" i="35" s="1"/>
  <c r="GO171" i="35" s="1"/>
  <c r="S171" i="19"/>
  <c r="AI171" i="19" s="1"/>
  <c r="U171" i="19"/>
  <c r="AK171" i="19" s="1"/>
  <c r="HD171" i="35"/>
  <c r="CZ190" i="35"/>
  <c r="W190" i="19" s="1"/>
  <c r="DA190" i="35"/>
  <c r="X190" i="19" s="1"/>
  <c r="CY190" i="35"/>
  <c r="V190" i="19" s="1"/>
  <c r="DB190" i="35"/>
  <c r="Y190" i="19" s="1"/>
  <c r="CT190" i="35"/>
  <c r="Q190" i="19" s="1"/>
  <c r="AF190" i="19" s="1"/>
  <c r="CN190" i="35"/>
  <c r="CP190" i="35" s="1"/>
  <c r="J190" i="19"/>
  <c r="AB190" i="19" s="1"/>
  <c r="GA190" i="35"/>
  <c r="GC190" i="35" s="1"/>
  <c r="GE190" i="35" s="1"/>
  <c r="I198" i="19"/>
  <c r="AA198" i="19" s="1"/>
  <c r="GY174" i="35"/>
  <c r="HU174" i="35" s="1"/>
  <c r="P174" i="19"/>
  <c r="AE174" i="19" s="1"/>
  <c r="P163" i="19"/>
  <c r="AE163" i="19" s="1"/>
  <c r="CZ204" i="35"/>
  <c r="W204" i="19" s="1"/>
  <c r="GA204" i="35"/>
  <c r="GS204" i="35"/>
  <c r="HG204" i="35" s="1"/>
  <c r="HO204" i="35" s="1"/>
  <c r="CT204" i="35"/>
  <c r="DA204" i="35"/>
  <c r="X204" i="19" s="1"/>
  <c r="CN204" i="35"/>
  <c r="CY204" i="35"/>
  <c r="V204" i="19" s="1"/>
  <c r="J204" i="19"/>
  <c r="AB204" i="19" s="1"/>
  <c r="DB204" i="35"/>
  <c r="Y204" i="19" s="1"/>
  <c r="HQ190" i="35"/>
  <c r="HP190" i="35"/>
  <c r="HR190" i="35"/>
  <c r="HS190" i="35"/>
  <c r="CZ195" i="35"/>
  <c r="W195" i="19" s="1"/>
  <c r="CY195" i="35"/>
  <c r="V195" i="19" s="1"/>
  <c r="DA195" i="35"/>
  <c r="X195" i="19" s="1"/>
  <c r="GS195" i="35"/>
  <c r="HG195" i="35" s="1"/>
  <c r="HO195" i="35" s="1"/>
  <c r="CT195" i="35"/>
  <c r="GA195" i="35"/>
  <c r="CN195" i="35"/>
  <c r="J195" i="19"/>
  <c r="AB195" i="19" s="1"/>
  <c r="DB195" i="35"/>
  <c r="Y195" i="19" s="1"/>
  <c r="CL198" i="35"/>
  <c r="GY158" i="35"/>
  <c r="HU158" i="35" s="1"/>
  <c r="P158" i="19"/>
  <c r="AE158" i="19" s="1"/>
  <c r="GY170" i="35"/>
  <c r="HU170" i="35" s="1"/>
  <c r="P170" i="19"/>
  <c r="AE170" i="19" s="1"/>
  <c r="N176" i="19"/>
  <c r="CR176" i="35"/>
  <c r="GW176" i="35"/>
  <c r="HK176" i="35" s="1"/>
  <c r="HM176" i="35" s="1"/>
  <c r="GY171" i="35"/>
  <c r="HU171" i="35" s="1"/>
  <c r="P171" i="19"/>
  <c r="AE171" i="19" s="1"/>
  <c r="HB183" i="35"/>
  <c r="GI194" i="35"/>
  <c r="GC194" i="35"/>
  <c r="GE194" i="35" s="1"/>
  <c r="AQ219" i="35"/>
  <c r="GG115" i="35"/>
  <c r="GG146" i="35"/>
  <c r="B67" i="37"/>
  <c r="BB21" i="37"/>
  <c r="I202" i="19" l="1"/>
  <c r="AA202" i="19" s="1"/>
  <c r="GC167" i="35"/>
  <c r="GE167" i="35" s="1"/>
  <c r="CL202" i="35"/>
  <c r="DA202" i="35" s="1"/>
  <c r="X202" i="19" s="1"/>
  <c r="HE176" i="35"/>
  <c r="GK167" i="35"/>
  <c r="CL212" i="35"/>
  <c r="CN212" i="35" s="1"/>
  <c r="HP175" i="35"/>
  <c r="HS175" i="35"/>
  <c r="HR175" i="35"/>
  <c r="HQ175" i="35"/>
  <c r="L200" i="19"/>
  <c r="CX167" i="35"/>
  <c r="U167" i="19" s="1"/>
  <c r="AK167" i="19" s="1"/>
  <c r="CB205" i="35"/>
  <c r="Q175" i="19"/>
  <c r="AF175" i="19" s="1"/>
  <c r="CU175" i="35"/>
  <c r="HA175" i="35"/>
  <c r="CV175" i="35"/>
  <c r="CW175" i="35"/>
  <c r="CX175" i="35"/>
  <c r="HA167" i="35"/>
  <c r="CR167" i="35"/>
  <c r="GY167" i="35" s="1"/>
  <c r="HU167" i="35" s="1"/>
  <c r="GU175" i="35"/>
  <c r="HI175" i="35" s="1"/>
  <c r="L175" i="19"/>
  <c r="CP175" i="35"/>
  <c r="GU200" i="35"/>
  <c r="HI200" i="35" s="1"/>
  <c r="CU167" i="35"/>
  <c r="R167" i="19" s="1"/>
  <c r="HP192" i="35"/>
  <c r="I212" i="19"/>
  <c r="AA212" i="19" s="1"/>
  <c r="GI200" i="35"/>
  <c r="GK200" i="35" s="1"/>
  <c r="HC167" i="35"/>
  <c r="CW167" i="35"/>
  <c r="HD167" i="35" s="1"/>
  <c r="CB217" i="35"/>
  <c r="EB217" i="35" s="1"/>
  <c r="HS192" i="35"/>
  <c r="Q167" i="19"/>
  <c r="AF167" i="19" s="1"/>
  <c r="GI175" i="35"/>
  <c r="GC175" i="35"/>
  <c r="GE175" i="35" s="1"/>
  <c r="CI216" i="35"/>
  <c r="EB216" i="35"/>
  <c r="H217" i="19"/>
  <c r="Z217" i="19" s="1"/>
  <c r="CJ217" i="35"/>
  <c r="CK217" i="35"/>
  <c r="FA217" i="35"/>
  <c r="EB214" i="35"/>
  <c r="CI214" i="35"/>
  <c r="CL199" i="35"/>
  <c r="I199" i="19"/>
  <c r="AA199" i="19" s="1"/>
  <c r="DA193" i="35"/>
  <c r="X193" i="19" s="1"/>
  <c r="GS193" i="35"/>
  <c r="HG193" i="35" s="1"/>
  <c r="HO193" i="35" s="1"/>
  <c r="HR193" i="35" s="1"/>
  <c r="DB193" i="35"/>
  <c r="Y193" i="19" s="1"/>
  <c r="CT193" i="35"/>
  <c r="Q193" i="19" s="1"/>
  <c r="AF193" i="19" s="1"/>
  <c r="HR192" i="35"/>
  <c r="HU163" i="35"/>
  <c r="CN193" i="35"/>
  <c r="GU193" i="35" s="1"/>
  <c r="HI193" i="35" s="1"/>
  <c r="J193" i="19"/>
  <c r="AB193" i="19" s="1"/>
  <c r="GA193" i="35"/>
  <c r="GI193" i="35" s="1"/>
  <c r="GJ193" i="35" s="1"/>
  <c r="GM193" i="35" s="1"/>
  <c r="GO193" i="35" s="1"/>
  <c r="L167" i="19"/>
  <c r="S183" i="19"/>
  <c r="AI183" i="19" s="1"/>
  <c r="CY193" i="35"/>
  <c r="V193" i="19" s="1"/>
  <c r="N167" i="19"/>
  <c r="CN185" i="35"/>
  <c r="GU185" i="35" s="1"/>
  <c r="HI185" i="35" s="1"/>
  <c r="CL188" i="35"/>
  <c r="DA188" i="35" s="1"/>
  <c r="X188" i="19" s="1"/>
  <c r="GU167" i="35"/>
  <c r="HI167" i="35" s="1"/>
  <c r="CZ193" i="35"/>
  <c r="W193" i="19" s="1"/>
  <c r="CK196" i="35"/>
  <c r="I196" i="19" s="1"/>
  <c r="AA196" i="19" s="1"/>
  <c r="H196" i="19"/>
  <c r="Z196" i="19" s="1"/>
  <c r="CB210" i="35"/>
  <c r="CI210" i="35" s="1"/>
  <c r="J185" i="19"/>
  <c r="AB185" i="19" s="1"/>
  <c r="GS185" i="35"/>
  <c r="HG185" i="35" s="1"/>
  <c r="HO185" i="35" s="1"/>
  <c r="HP185" i="35" s="1"/>
  <c r="CL184" i="35"/>
  <c r="GS184" i="35" s="1"/>
  <c r="HG184" i="35" s="1"/>
  <c r="HO184" i="35" s="1"/>
  <c r="HQ184" i="35" s="1"/>
  <c r="DA185" i="35"/>
  <c r="X185" i="19" s="1"/>
  <c r="HB170" i="35"/>
  <c r="HD170" i="35"/>
  <c r="I188" i="19"/>
  <c r="AA188" i="19" s="1"/>
  <c r="DA180" i="35"/>
  <c r="X180" i="19" s="1"/>
  <c r="GA185" i="35"/>
  <c r="GC185" i="35" s="1"/>
  <c r="GE185" i="35" s="1"/>
  <c r="DB182" i="35"/>
  <c r="Y182" i="19" s="1"/>
  <c r="DB185" i="35"/>
  <c r="Y185" i="19" s="1"/>
  <c r="CY185" i="35"/>
  <c r="V185" i="19" s="1"/>
  <c r="CT185" i="35"/>
  <c r="CW185" i="35" s="1"/>
  <c r="HD185" i="35" s="1"/>
  <c r="I180" i="19"/>
  <c r="AA180" i="19" s="1"/>
  <c r="CN180" i="35"/>
  <c r="L180" i="19" s="1"/>
  <c r="HQ185" i="35"/>
  <c r="GS180" i="35"/>
  <c r="HG180" i="35" s="1"/>
  <c r="HO180" i="35" s="1"/>
  <c r="HS180" i="35" s="1"/>
  <c r="CA218" i="35"/>
  <c r="CG218" i="35" s="1"/>
  <c r="CH218" i="35" s="1"/>
  <c r="CK218" i="35" s="1"/>
  <c r="GK170" i="35"/>
  <c r="GJ170" i="35"/>
  <c r="GM170" i="35" s="1"/>
  <c r="GO170" i="35" s="1"/>
  <c r="EB210" i="35"/>
  <c r="CA206" i="35"/>
  <c r="CG206" i="35" s="1"/>
  <c r="CH206" i="35" s="1"/>
  <c r="CJ206" i="35" s="1"/>
  <c r="J180" i="19"/>
  <c r="AB180" i="19" s="1"/>
  <c r="CT180" i="35"/>
  <c r="CV180" i="35" s="1"/>
  <c r="S180" i="19" s="1"/>
  <c r="AI180" i="19" s="1"/>
  <c r="Q192" i="19"/>
  <c r="AF192" i="19" s="1"/>
  <c r="CZ180" i="35"/>
  <c r="W180" i="19" s="1"/>
  <c r="T192" i="19"/>
  <c r="T185" i="19"/>
  <c r="CX192" i="35"/>
  <c r="HE192" i="35" s="1"/>
  <c r="CU192" i="35"/>
  <c r="HB192" i="35" s="1"/>
  <c r="CV192" i="35"/>
  <c r="HC192" i="35" s="1"/>
  <c r="HA192" i="35"/>
  <c r="DB180" i="35"/>
  <c r="Y180" i="19" s="1"/>
  <c r="CZ182" i="35"/>
  <c r="W182" i="19" s="1"/>
  <c r="I215" i="19"/>
  <c r="AA215" i="19" s="1"/>
  <c r="HE170" i="35"/>
  <c r="U170" i="19"/>
  <c r="AK170" i="19" s="1"/>
  <c r="GI192" i="35"/>
  <c r="GK192" i="35" s="1"/>
  <c r="CJ216" i="35"/>
  <c r="I216" i="19" s="1"/>
  <c r="AA216" i="19" s="1"/>
  <c r="P183" i="19"/>
  <c r="AE183" i="19" s="1"/>
  <c r="HE183" i="35"/>
  <c r="L192" i="19"/>
  <c r="CP192" i="35"/>
  <c r="CR192" i="35" s="1"/>
  <c r="HB167" i="35"/>
  <c r="J182" i="19"/>
  <c r="AB182" i="19" s="1"/>
  <c r="CN215" i="35"/>
  <c r="GU215" i="35" s="1"/>
  <c r="HI215" i="35" s="1"/>
  <c r="GA182" i="35"/>
  <c r="GI182" i="35" s="1"/>
  <c r="GJ182" i="35" s="1"/>
  <c r="GM182" i="35" s="1"/>
  <c r="GO182" i="35" s="1"/>
  <c r="GS215" i="35"/>
  <c r="HG215" i="35" s="1"/>
  <c r="HO215" i="35" s="1"/>
  <c r="HP215" i="35" s="1"/>
  <c r="H216" i="19"/>
  <c r="Z216" i="19" s="1"/>
  <c r="GU191" i="35"/>
  <c r="HI191" i="35" s="1"/>
  <c r="FA216" i="35"/>
  <c r="CN182" i="35"/>
  <c r="CP182" i="35" s="1"/>
  <c r="GW182" i="35" s="1"/>
  <c r="HK182" i="35" s="1"/>
  <c r="HM182" i="35" s="1"/>
  <c r="CT182" i="35"/>
  <c r="Q182" i="19" s="1"/>
  <c r="AF182" i="19" s="1"/>
  <c r="FA214" i="35"/>
  <c r="H214" i="19"/>
  <c r="Z214" i="19" s="1"/>
  <c r="DA182" i="35"/>
  <c r="X182" i="19" s="1"/>
  <c r="GS182" i="35"/>
  <c r="HG182" i="35" s="1"/>
  <c r="HO182" i="35" s="1"/>
  <c r="HR182" i="35" s="1"/>
  <c r="CJ214" i="35"/>
  <c r="CL201" i="35"/>
  <c r="CT201" i="35" s="1"/>
  <c r="HD176" i="35"/>
  <c r="CZ215" i="35"/>
  <c r="W215" i="19" s="1"/>
  <c r="DB215" i="35"/>
  <c r="Y215" i="19" s="1"/>
  <c r="GA215" i="35"/>
  <c r="GC215" i="35" s="1"/>
  <c r="GE215" i="35" s="1"/>
  <c r="DA215" i="35"/>
  <c r="X215" i="19" s="1"/>
  <c r="I209" i="19"/>
  <c r="AA209" i="19" s="1"/>
  <c r="CY215" i="35"/>
  <c r="V215" i="19" s="1"/>
  <c r="CT215" i="35"/>
  <c r="HA215" i="35" s="1"/>
  <c r="CY188" i="35"/>
  <c r="V188" i="19" s="1"/>
  <c r="HS184" i="35"/>
  <c r="R176" i="19"/>
  <c r="CW150" i="35"/>
  <c r="CU150" i="35"/>
  <c r="HA150" i="35"/>
  <c r="Q150" i="19"/>
  <c r="AF150" i="19" s="1"/>
  <c r="CV150" i="35"/>
  <c r="CX150" i="35"/>
  <c r="DB184" i="35"/>
  <c r="Y184" i="19" s="1"/>
  <c r="GC150" i="35"/>
  <c r="GE150" i="35" s="1"/>
  <c r="GI150" i="35"/>
  <c r="J184" i="19"/>
  <c r="AB184" i="19" s="1"/>
  <c r="HE167" i="35"/>
  <c r="HS150" i="35"/>
  <c r="HR150" i="35"/>
  <c r="HP150" i="35"/>
  <c r="HQ150" i="35"/>
  <c r="P167" i="19"/>
  <c r="AE167" i="19" s="1"/>
  <c r="GA184" i="35"/>
  <c r="GC184" i="35" s="1"/>
  <c r="GE184" i="35" s="1"/>
  <c r="I203" i="19"/>
  <c r="AA203" i="19" s="1"/>
  <c r="HP184" i="35"/>
  <c r="EB211" i="35"/>
  <c r="N150" i="19"/>
  <c r="CY187" i="35"/>
  <c r="V187" i="19" s="1"/>
  <c r="CR150" i="35"/>
  <c r="GY150" i="35" s="1"/>
  <c r="HU150" i="35" s="1"/>
  <c r="CZ187" i="35"/>
  <c r="W187" i="19" s="1"/>
  <c r="CK205" i="35"/>
  <c r="I205" i="19" s="1"/>
  <c r="AA205" i="19" s="1"/>
  <c r="GA187" i="35"/>
  <c r="GI187" i="35" s="1"/>
  <c r="GK187" i="35" s="1"/>
  <c r="GS187" i="35"/>
  <c r="HG187" i="35" s="1"/>
  <c r="HO187" i="35" s="1"/>
  <c r="HS187" i="35" s="1"/>
  <c r="GA188" i="35"/>
  <c r="GC188" i="35" s="1"/>
  <c r="GE188" i="35" s="1"/>
  <c r="CL213" i="35"/>
  <c r="DB213" i="35" s="1"/>
  <c r="Y213" i="19" s="1"/>
  <c r="DB187" i="35"/>
  <c r="Y187" i="19" s="1"/>
  <c r="CT187" i="35"/>
  <c r="CV187" i="35" s="1"/>
  <c r="HC187" i="35" s="1"/>
  <c r="CN187" i="35"/>
  <c r="CP187" i="35" s="1"/>
  <c r="J187" i="19"/>
  <c r="AB187" i="19" s="1"/>
  <c r="GJ176" i="35"/>
  <c r="GM176" i="35" s="1"/>
  <c r="GO176" i="35" s="1"/>
  <c r="GK183" i="35"/>
  <c r="CW191" i="35"/>
  <c r="T191" i="19" s="1"/>
  <c r="S176" i="19"/>
  <c r="AI176" i="19" s="1"/>
  <c r="HA191" i="35"/>
  <c r="H205" i="19"/>
  <c r="Z205" i="19" s="1"/>
  <c r="GC180" i="35"/>
  <c r="GE180" i="35" s="1"/>
  <c r="H210" i="19"/>
  <c r="Z210" i="19" s="1"/>
  <c r="CK210" i="35"/>
  <c r="CJ210" i="35"/>
  <c r="Q191" i="19"/>
  <c r="AF191" i="19" s="1"/>
  <c r="L191" i="19"/>
  <c r="CU191" i="35"/>
  <c r="HB191" i="35" s="1"/>
  <c r="CP193" i="35"/>
  <c r="N193" i="19" s="1"/>
  <c r="GK193" i="35"/>
  <c r="GC193" i="35"/>
  <c r="GE193" i="35" s="1"/>
  <c r="CV191" i="35"/>
  <c r="HC191" i="35" s="1"/>
  <c r="L193" i="19"/>
  <c r="HP191" i="35"/>
  <c r="GI191" i="35"/>
  <c r="GK191" i="35" s="1"/>
  <c r="HR191" i="35"/>
  <c r="HQ191" i="35"/>
  <c r="CV193" i="35"/>
  <c r="HC193" i="35" s="1"/>
  <c r="CX193" i="35"/>
  <c r="HE193" i="35" s="1"/>
  <c r="GU186" i="35"/>
  <c r="HI186" i="35" s="1"/>
  <c r="N186" i="19"/>
  <c r="GW186" i="35"/>
  <c r="HK186" i="35" s="1"/>
  <c r="HM186" i="35" s="1"/>
  <c r="HA193" i="35"/>
  <c r="CU193" i="35"/>
  <c r="R193" i="19" s="1"/>
  <c r="CW193" i="35"/>
  <c r="HD193" i="35" s="1"/>
  <c r="CW186" i="35"/>
  <c r="HD186" i="35" s="1"/>
  <c r="HP186" i="35"/>
  <c r="L186" i="19"/>
  <c r="CV186" i="35"/>
  <c r="S186" i="19" s="1"/>
  <c r="Q186" i="19"/>
  <c r="AF186" i="19" s="1"/>
  <c r="CL207" i="35"/>
  <c r="GA207" i="35" s="1"/>
  <c r="GC207" i="35" s="1"/>
  <c r="GE207" i="35" s="1"/>
  <c r="S148" i="19"/>
  <c r="AI148" i="19" s="1"/>
  <c r="HC148" i="35"/>
  <c r="CU186" i="35"/>
  <c r="R186" i="19" s="1"/>
  <c r="CX186" i="35"/>
  <c r="U186" i="19" s="1"/>
  <c r="GW148" i="35"/>
  <c r="HK148" i="35" s="1"/>
  <c r="HM148" i="35" s="1"/>
  <c r="N148" i="19"/>
  <c r="CR148" i="35"/>
  <c r="HS186" i="35"/>
  <c r="R148" i="19"/>
  <c r="HB148" i="35"/>
  <c r="HE148" i="35"/>
  <c r="U148" i="19"/>
  <c r="AK148" i="19" s="1"/>
  <c r="GJ148" i="35"/>
  <c r="GM148" i="35" s="1"/>
  <c r="GO148" i="35" s="1"/>
  <c r="GK148" i="35"/>
  <c r="HR186" i="35"/>
  <c r="GI186" i="35"/>
  <c r="GK186" i="35" s="1"/>
  <c r="HD148" i="35"/>
  <c r="T148" i="19"/>
  <c r="AJ148" i="19" s="1"/>
  <c r="CR189" i="35"/>
  <c r="GY189" i="35" s="1"/>
  <c r="T200" i="19"/>
  <c r="P177" i="19"/>
  <c r="AE177" i="19" s="1"/>
  <c r="GW189" i="35"/>
  <c r="HK189" i="35" s="1"/>
  <c r="HM189" i="35" s="1"/>
  <c r="R200" i="19"/>
  <c r="HD189" i="35"/>
  <c r="GY200" i="35"/>
  <c r="HU200" i="35" s="1"/>
  <c r="S200" i="19"/>
  <c r="GJ200" i="35"/>
  <c r="GM200" i="35" s="1"/>
  <c r="GO200" i="35" s="1"/>
  <c r="HB189" i="35"/>
  <c r="HE200" i="35"/>
  <c r="S189" i="19"/>
  <c r="HE189" i="35"/>
  <c r="HS194" i="35"/>
  <c r="CX194" i="35"/>
  <c r="U194" i="19" s="1"/>
  <c r="Q194" i="19"/>
  <c r="AF194" i="19" s="1"/>
  <c r="HA194" i="35"/>
  <c r="CU194" i="35"/>
  <c r="R194" i="19" s="1"/>
  <c r="CV194" i="35"/>
  <c r="HC194" i="35" s="1"/>
  <c r="GS202" i="35"/>
  <c r="HG202" i="35" s="1"/>
  <c r="HO202" i="35" s="1"/>
  <c r="HS202" i="35" s="1"/>
  <c r="CY208" i="35"/>
  <c r="V208" i="19" s="1"/>
  <c r="CZ208" i="35"/>
  <c r="W208" i="19" s="1"/>
  <c r="L194" i="19"/>
  <c r="CN208" i="35"/>
  <c r="CP208" i="35" s="1"/>
  <c r="GW208" i="35" s="1"/>
  <c r="HK208" i="35" s="1"/>
  <c r="HM208" i="35" s="1"/>
  <c r="HR194" i="35"/>
  <c r="CP194" i="35"/>
  <c r="GW194" i="35" s="1"/>
  <c r="HK194" i="35" s="1"/>
  <c r="HM194" i="35" s="1"/>
  <c r="CT208" i="35"/>
  <c r="CV208" i="35" s="1"/>
  <c r="HC208" i="35" s="1"/>
  <c r="HP194" i="35"/>
  <c r="J208" i="19"/>
  <c r="AB208" i="19" s="1"/>
  <c r="GS208" i="35"/>
  <c r="HG208" i="35" s="1"/>
  <c r="HO208" i="35" s="1"/>
  <c r="HR208" i="35" s="1"/>
  <c r="DB208" i="35"/>
  <c r="Y208" i="19" s="1"/>
  <c r="GA208" i="35"/>
  <c r="GI208" i="35" s="1"/>
  <c r="CT212" i="35"/>
  <c r="CW212" i="35" s="1"/>
  <c r="DB212" i="35"/>
  <c r="Y212" i="19" s="1"/>
  <c r="GA212" i="35"/>
  <c r="GI212" i="35" s="1"/>
  <c r="J212" i="19"/>
  <c r="AB212" i="19" s="1"/>
  <c r="GS212" i="35"/>
  <c r="HG212" i="35" s="1"/>
  <c r="HO212" i="35" s="1"/>
  <c r="HQ212" i="35" s="1"/>
  <c r="DA212" i="35"/>
  <c r="X212" i="19" s="1"/>
  <c r="CZ212" i="35"/>
  <c r="W212" i="19" s="1"/>
  <c r="CY212" i="35"/>
  <c r="V212" i="19" s="1"/>
  <c r="GU190" i="35"/>
  <c r="HI190" i="35" s="1"/>
  <c r="L190" i="19"/>
  <c r="CZ202" i="35"/>
  <c r="W202" i="19" s="1"/>
  <c r="GA202" i="35"/>
  <c r="GC202" i="35" s="1"/>
  <c r="GE202" i="35" s="1"/>
  <c r="CN203" i="35"/>
  <c r="L203" i="19" s="1"/>
  <c r="GA203" i="35"/>
  <c r="GI203" i="35" s="1"/>
  <c r="J202" i="19"/>
  <c r="AB202" i="19" s="1"/>
  <c r="CY202" i="35"/>
  <c r="V202" i="19" s="1"/>
  <c r="CN202" i="35"/>
  <c r="CP202" i="35" s="1"/>
  <c r="CX190" i="35"/>
  <c r="U190" i="19" s="1"/>
  <c r="DB202" i="35"/>
  <c r="Y202" i="19" s="1"/>
  <c r="CT202" i="35"/>
  <c r="CX202" i="35" s="1"/>
  <c r="R192" i="19"/>
  <c r="GI190" i="35"/>
  <c r="GK190" i="35" s="1"/>
  <c r="J203" i="19"/>
  <c r="AB203" i="19" s="1"/>
  <c r="CU190" i="35"/>
  <c r="R190" i="19" s="1"/>
  <c r="GS203" i="35"/>
  <c r="HG203" i="35" s="1"/>
  <c r="HO203" i="35" s="1"/>
  <c r="HP203" i="35" s="1"/>
  <c r="HA190" i="35"/>
  <c r="CW190" i="35"/>
  <c r="HD190" i="35" s="1"/>
  <c r="CV190" i="35"/>
  <c r="S190" i="19" s="1"/>
  <c r="CT203" i="35"/>
  <c r="CX203" i="35" s="1"/>
  <c r="GW191" i="35"/>
  <c r="HK191" i="35" s="1"/>
  <c r="HM191" i="35" s="1"/>
  <c r="CR191" i="35"/>
  <c r="N191" i="19"/>
  <c r="U191" i="19"/>
  <c r="HE191" i="35"/>
  <c r="CL216" i="35"/>
  <c r="CZ216" i="35" s="1"/>
  <c r="W216" i="19" s="1"/>
  <c r="CZ203" i="35"/>
  <c r="W203" i="19" s="1"/>
  <c r="DB203" i="35"/>
  <c r="Y203" i="19" s="1"/>
  <c r="GK180" i="35"/>
  <c r="GJ180" i="35"/>
  <c r="GM180" i="35" s="1"/>
  <c r="GO180" i="35" s="1"/>
  <c r="GW190" i="35"/>
  <c r="HK190" i="35" s="1"/>
  <c r="HM190" i="35" s="1"/>
  <c r="N190" i="19"/>
  <c r="CR190" i="35"/>
  <c r="GU195" i="35"/>
  <c r="HI195" i="35" s="1"/>
  <c r="L195" i="19"/>
  <c r="CP195" i="35"/>
  <c r="CZ209" i="35"/>
  <c r="W209" i="19" s="1"/>
  <c r="GA209" i="35"/>
  <c r="CY209" i="35"/>
  <c r="V209" i="19" s="1"/>
  <c r="J209" i="19"/>
  <c r="AB209" i="19" s="1"/>
  <c r="DB209" i="35"/>
  <c r="Y209" i="19" s="1"/>
  <c r="CT209" i="35"/>
  <c r="CN209" i="35"/>
  <c r="GS209" i="35"/>
  <c r="HG209" i="35" s="1"/>
  <c r="HO209" i="35" s="1"/>
  <c r="DA209" i="35"/>
  <c r="X209" i="19" s="1"/>
  <c r="GC195" i="35"/>
  <c r="GE195" i="35" s="1"/>
  <c r="GI195" i="35"/>
  <c r="CP204" i="35"/>
  <c r="GU204" i="35"/>
  <c r="HI204" i="35" s="1"/>
  <c r="L204" i="19"/>
  <c r="CJ211" i="35"/>
  <c r="H211" i="19"/>
  <c r="Z211" i="19" s="1"/>
  <c r="CK211" i="35"/>
  <c r="FA211" i="35"/>
  <c r="CY203" i="35"/>
  <c r="V203" i="19" s="1"/>
  <c r="CX195" i="35"/>
  <c r="CW195" i="35"/>
  <c r="Q195" i="19"/>
  <c r="AF195" i="19" s="1"/>
  <c r="HA195" i="35"/>
  <c r="CU195" i="35"/>
  <c r="CV195" i="35"/>
  <c r="P176" i="19"/>
  <c r="AE176" i="19" s="1"/>
  <c r="GY176" i="35"/>
  <c r="HU176" i="35" s="1"/>
  <c r="CY198" i="35"/>
  <c r="V198" i="19" s="1"/>
  <c r="GA198" i="35"/>
  <c r="DB198" i="35"/>
  <c r="Y198" i="19" s="1"/>
  <c r="CZ198" i="35"/>
  <c r="W198" i="19" s="1"/>
  <c r="DA198" i="35"/>
  <c r="X198" i="19" s="1"/>
  <c r="J198" i="19"/>
  <c r="AB198" i="19" s="1"/>
  <c r="CN198" i="35"/>
  <c r="CT198" i="35"/>
  <c r="GS198" i="35"/>
  <c r="HG198" i="35" s="1"/>
  <c r="HO198" i="35" s="1"/>
  <c r="HQ195" i="35"/>
  <c r="HP195" i="35"/>
  <c r="HR195" i="35"/>
  <c r="HS195" i="35"/>
  <c r="CW204" i="35"/>
  <c r="Q204" i="19"/>
  <c r="AF204" i="19" s="1"/>
  <c r="HA204" i="35"/>
  <c r="CU204" i="35"/>
  <c r="CX204" i="35"/>
  <c r="CV204" i="35"/>
  <c r="HR204" i="35"/>
  <c r="HQ204" i="35"/>
  <c r="HP204" i="35"/>
  <c r="HS204" i="35"/>
  <c r="GI204" i="35"/>
  <c r="GC204" i="35"/>
  <c r="GE204" i="35" s="1"/>
  <c r="AR219" i="35"/>
  <c r="AR220" i="35" s="1"/>
  <c r="L212" i="19"/>
  <c r="CP212" i="35"/>
  <c r="GU212" i="35"/>
  <c r="HI212" i="35" s="1"/>
  <c r="GK194" i="35"/>
  <c r="GJ194" i="35"/>
  <c r="GM194" i="35" s="1"/>
  <c r="GO194" i="35" s="1"/>
  <c r="T194" i="19"/>
  <c r="HD194" i="35"/>
  <c r="GY186" i="35"/>
  <c r="P186" i="19"/>
  <c r="AE186" i="19" s="1"/>
  <c r="AT220" i="35"/>
  <c r="AQ220" i="35"/>
  <c r="GG117" i="35"/>
  <c r="GG148" i="35"/>
  <c r="F15" i="5"/>
  <c r="F15" i="24"/>
  <c r="B68" i="37"/>
  <c r="BC21" i="37"/>
  <c r="I217" i="19" l="1"/>
  <c r="AA217" i="19" s="1"/>
  <c r="HP193" i="35"/>
  <c r="CL196" i="35"/>
  <c r="T167" i="19"/>
  <c r="AJ167" i="19" s="1"/>
  <c r="HS193" i="35"/>
  <c r="HA185" i="35"/>
  <c r="CI217" i="35"/>
  <c r="CL217" i="35" s="1"/>
  <c r="CT217" i="35" s="1"/>
  <c r="CV217" i="35" s="1"/>
  <c r="Q185" i="19"/>
  <c r="AF185" i="19" s="1"/>
  <c r="HQ193" i="35"/>
  <c r="CV185" i="35"/>
  <c r="S185" i="19" s="1"/>
  <c r="CX185" i="35"/>
  <c r="HE185" i="35" s="1"/>
  <c r="CI205" i="35"/>
  <c r="EB205" i="35"/>
  <c r="GK175" i="35"/>
  <c r="GJ175" i="35"/>
  <c r="GM175" i="35" s="1"/>
  <c r="GO175" i="35" s="1"/>
  <c r="U175" i="19"/>
  <c r="AK175" i="19" s="1"/>
  <c r="HE175" i="35"/>
  <c r="T175" i="19"/>
  <c r="AJ175" i="19" s="1"/>
  <c r="HD175" i="35"/>
  <c r="S175" i="19"/>
  <c r="AI175" i="19" s="1"/>
  <c r="HC175" i="35"/>
  <c r="CL214" i="35"/>
  <c r="CZ214" i="35" s="1"/>
  <c r="W214" i="19" s="1"/>
  <c r="CR175" i="35"/>
  <c r="N175" i="19"/>
  <c r="GW175" i="35"/>
  <c r="HK175" i="35" s="1"/>
  <c r="HM175" i="35" s="1"/>
  <c r="R175" i="19"/>
  <c r="HB175" i="35"/>
  <c r="CP185" i="35"/>
  <c r="N185" i="19" s="1"/>
  <c r="DB199" i="35"/>
  <c r="Y199" i="19" s="1"/>
  <c r="GA199" i="35"/>
  <c r="CN199" i="35"/>
  <c r="CZ199" i="35"/>
  <c r="W199" i="19" s="1"/>
  <c r="GS199" i="35"/>
  <c r="HG199" i="35" s="1"/>
  <c r="HO199" i="35" s="1"/>
  <c r="DA199" i="35"/>
  <c r="X199" i="19" s="1"/>
  <c r="CT199" i="35"/>
  <c r="CY199" i="35"/>
  <c r="V199" i="19" s="1"/>
  <c r="J199" i="19"/>
  <c r="AB199" i="19" s="1"/>
  <c r="HR184" i="35"/>
  <c r="J188" i="19"/>
  <c r="AB188" i="19" s="1"/>
  <c r="DB188" i="35"/>
  <c r="Y188" i="19" s="1"/>
  <c r="HR215" i="35"/>
  <c r="GS213" i="35"/>
  <c r="HG213" i="35" s="1"/>
  <c r="HO213" i="35" s="1"/>
  <c r="HQ213" i="35" s="1"/>
  <c r="CP180" i="35"/>
  <c r="CR180" i="35" s="1"/>
  <c r="CN188" i="35"/>
  <c r="GU188" i="35" s="1"/>
  <c r="HI188" i="35" s="1"/>
  <c r="GS188" i="35"/>
  <c r="HG188" i="35" s="1"/>
  <c r="HO188" i="35" s="1"/>
  <c r="HP188" i="35" s="1"/>
  <c r="CY184" i="35"/>
  <c r="V184" i="19" s="1"/>
  <c r="CT188" i="35"/>
  <c r="CW188" i="35" s="1"/>
  <c r="HD188" i="35" s="1"/>
  <c r="CT213" i="35"/>
  <c r="Q213" i="19" s="1"/>
  <c r="AF213" i="19" s="1"/>
  <c r="L185" i="19"/>
  <c r="CZ188" i="35"/>
  <c r="W188" i="19" s="1"/>
  <c r="HR187" i="35"/>
  <c r="CN213" i="35"/>
  <c r="CP213" i="35" s="1"/>
  <c r="CZ184" i="35"/>
  <c r="W184" i="19" s="1"/>
  <c r="CU185" i="35"/>
  <c r="HB185" i="35" s="1"/>
  <c r="CT184" i="35"/>
  <c r="CV184" i="35" s="1"/>
  <c r="HC184" i="35" s="1"/>
  <c r="CN184" i="35"/>
  <c r="GU184" i="35" s="1"/>
  <c r="HI184" i="35" s="1"/>
  <c r="DA184" i="35"/>
  <c r="X184" i="19" s="1"/>
  <c r="HS185" i="35"/>
  <c r="HR185" i="35"/>
  <c r="GI185" i="35"/>
  <c r="GJ185" i="35" s="1"/>
  <c r="GM185" i="35" s="1"/>
  <c r="GO185" i="35" s="1"/>
  <c r="L215" i="19"/>
  <c r="GJ192" i="35"/>
  <c r="GM192" i="35" s="1"/>
  <c r="GO192" i="35" s="1"/>
  <c r="CB218" i="35"/>
  <c r="EB218" i="35" s="1"/>
  <c r="CP215" i="35"/>
  <c r="GW215" i="35" s="1"/>
  <c r="HK215" i="35" s="1"/>
  <c r="HM215" i="35" s="1"/>
  <c r="HP180" i="35"/>
  <c r="U192" i="19"/>
  <c r="GA201" i="35"/>
  <c r="HC185" i="35"/>
  <c r="CR185" i="35"/>
  <c r="GY185" i="35" s="1"/>
  <c r="HQ180" i="35"/>
  <c r="GW185" i="35"/>
  <c r="HK185" i="35" s="1"/>
  <c r="HM185" i="35" s="1"/>
  <c r="GU180" i="35"/>
  <c r="HI180" i="35" s="1"/>
  <c r="HR180" i="35"/>
  <c r="GK182" i="35"/>
  <c r="Q180" i="19"/>
  <c r="AF180" i="19" s="1"/>
  <c r="CU180" i="35"/>
  <c r="CX180" i="35"/>
  <c r="U180" i="19" s="1"/>
  <c r="AK180" i="19" s="1"/>
  <c r="GW180" i="35"/>
  <c r="HK180" i="35" s="1"/>
  <c r="HM180" i="35" s="1"/>
  <c r="N192" i="19"/>
  <c r="S192" i="19"/>
  <c r="HQ182" i="35"/>
  <c r="GW192" i="35"/>
  <c r="HK192" i="35" s="1"/>
  <c r="HM192" i="35" s="1"/>
  <c r="CL205" i="35"/>
  <c r="CT205" i="35" s="1"/>
  <c r="CV205" i="35" s="1"/>
  <c r="S205" i="19" s="1"/>
  <c r="U185" i="19"/>
  <c r="CB206" i="35"/>
  <c r="HA180" i="35"/>
  <c r="CW180" i="35"/>
  <c r="N182" i="19"/>
  <c r="HA182" i="35"/>
  <c r="CV182" i="35"/>
  <c r="S182" i="19" s="1"/>
  <c r="AI182" i="19" s="1"/>
  <c r="CR182" i="35"/>
  <c r="GY182" i="35" s="1"/>
  <c r="HU182" i="35" s="1"/>
  <c r="CX182" i="35"/>
  <c r="HE182" i="35" s="1"/>
  <c r="CN201" i="35"/>
  <c r="HC180" i="35"/>
  <c r="CU187" i="35"/>
  <c r="HB187" i="35" s="1"/>
  <c r="L182" i="19"/>
  <c r="CU215" i="35"/>
  <c r="HB215" i="35" s="1"/>
  <c r="I214" i="19"/>
  <c r="AA214" i="19" s="1"/>
  <c r="HP187" i="35"/>
  <c r="CW187" i="35"/>
  <c r="HD187" i="35" s="1"/>
  <c r="GU182" i="35"/>
  <c r="HI182" i="35" s="1"/>
  <c r="HS215" i="35"/>
  <c r="HS182" i="35"/>
  <c r="HQ215" i="35"/>
  <c r="CW215" i="35"/>
  <c r="T215" i="19" s="1"/>
  <c r="HQ187" i="35"/>
  <c r="S187" i="19"/>
  <c r="GI184" i="35"/>
  <c r="GK184" i="35" s="1"/>
  <c r="CU182" i="35"/>
  <c r="HB182" i="35" s="1"/>
  <c r="CX215" i="35"/>
  <c r="U215" i="19" s="1"/>
  <c r="CV215" i="35"/>
  <c r="S215" i="19" s="1"/>
  <c r="Q215" i="19"/>
  <c r="AF215" i="19" s="1"/>
  <c r="GI215" i="35"/>
  <c r="GJ215" i="35" s="1"/>
  <c r="GM215" i="35" s="1"/>
  <c r="GO215" i="35" s="1"/>
  <c r="GC182" i="35"/>
  <c r="GE182" i="35" s="1"/>
  <c r="CW182" i="35"/>
  <c r="HD182" i="35" s="1"/>
  <c r="J201" i="19"/>
  <c r="AB201" i="19" s="1"/>
  <c r="CZ201" i="35"/>
  <c r="W201" i="19" s="1"/>
  <c r="DB201" i="35"/>
  <c r="Y201" i="19" s="1"/>
  <c r="CK206" i="35"/>
  <c r="I206" i="19" s="1"/>
  <c r="AA206" i="19" s="1"/>
  <c r="CY201" i="35"/>
  <c r="V201" i="19" s="1"/>
  <c r="DA201" i="35"/>
  <c r="X201" i="19" s="1"/>
  <c r="H206" i="19"/>
  <c r="Z206" i="19" s="1"/>
  <c r="GS201" i="35"/>
  <c r="HG201" i="35" s="1"/>
  <c r="HO201" i="35" s="1"/>
  <c r="HP201" i="35" s="1"/>
  <c r="HP182" i="35"/>
  <c r="HE150" i="35"/>
  <c r="U150" i="19"/>
  <c r="AK150" i="19" s="1"/>
  <c r="GI188" i="35"/>
  <c r="GK188" i="35" s="1"/>
  <c r="R150" i="19"/>
  <c r="HB150" i="35"/>
  <c r="S150" i="19"/>
  <c r="AI150" i="19" s="1"/>
  <c r="HC150" i="35"/>
  <c r="T150" i="19"/>
  <c r="AJ150" i="19" s="1"/>
  <c r="HD150" i="35"/>
  <c r="GJ150" i="35"/>
  <c r="GM150" i="35" s="1"/>
  <c r="GO150" i="35" s="1"/>
  <c r="GK150" i="35"/>
  <c r="GA213" i="35"/>
  <c r="GC213" i="35" s="1"/>
  <c r="GE213" i="35" s="1"/>
  <c r="HA187" i="35"/>
  <c r="Q187" i="19"/>
  <c r="AF187" i="19" s="1"/>
  <c r="DA213" i="35"/>
  <c r="X213" i="19" s="1"/>
  <c r="CZ213" i="35"/>
  <c r="W213" i="19" s="1"/>
  <c r="GJ187" i="35"/>
  <c r="GM187" i="35" s="1"/>
  <c r="GO187" i="35" s="1"/>
  <c r="HD191" i="35"/>
  <c r="J213" i="19"/>
  <c r="AB213" i="19" s="1"/>
  <c r="GC187" i="35"/>
  <c r="GE187" i="35" s="1"/>
  <c r="CX187" i="35"/>
  <c r="U187" i="19" s="1"/>
  <c r="P150" i="19"/>
  <c r="AE150" i="19" s="1"/>
  <c r="CY213" i="35"/>
  <c r="V213" i="19" s="1"/>
  <c r="L187" i="19"/>
  <c r="CJ218" i="35"/>
  <c r="I218" i="19" s="1"/>
  <c r="AA218" i="19" s="1"/>
  <c r="FA218" i="35"/>
  <c r="GK185" i="35"/>
  <c r="H218" i="19"/>
  <c r="Z218" i="19" s="1"/>
  <c r="GU187" i="35"/>
  <c r="HI187" i="35" s="1"/>
  <c r="S191" i="19"/>
  <c r="I210" i="19"/>
  <c r="AA210" i="19" s="1"/>
  <c r="CL210" i="35"/>
  <c r="J196" i="19"/>
  <c r="AB196" i="19" s="1"/>
  <c r="DB196" i="35"/>
  <c r="Y196" i="19" s="1"/>
  <c r="GA196" i="35"/>
  <c r="CY196" i="35"/>
  <c r="V196" i="19" s="1"/>
  <c r="CZ196" i="35"/>
  <c r="W196" i="19" s="1"/>
  <c r="GS196" i="35"/>
  <c r="HG196" i="35" s="1"/>
  <c r="HO196" i="35" s="1"/>
  <c r="DA196" i="35"/>
  <c r="X196" i="19" s="1"/>
  <c r="CN196" i="35"/>
  <c r="CT196" i="35"/>
  <c r="R191" i="19"/>
  <c r="CR193" i="35"/>
  <c r="GY193" i="35" s="1"/>
  <c r="S193" i="19"/>
  <c r="GW193" i="35"/>
  <c r="HK193" i="35" s="1"/>
  <c r="HM193" i="35" s="1"/>
  <c r="T186" i="19"/>
  <c r="GJ191" i="35"/>
  <c r="GM191" i="35" s="1"/>
  <c r="GO191" i="35" s="1"/>
  <c r="U193" i="19"/>
  <c r="T193" i="19"/>
  <c r="HU186" i="35"/>
  <c r="HB193" i="35"/>
  <c r="HC186" i="35"/>
  <c r="GJ186" i="35"/>
  <c r="GM186" i="35" s="1"/>
  <c r="GO186" i="35" s="1"/>
  <c r="DB207" i="35"/>
  <c r="Y207" i="19" s="1"/>
  <c r="J207" i="19"/>
  <c r="AB207" i="19" s="1"/>
  <c r="DA207" i="35"/>
  <c r="X207" i="19" s="1"/>
  <c r="GS207" i="35"/>
  <c r="HG207" i="35" s="1"/>
  <c r="HO207" i="35" s="1"/>
  <c r="HS207" i="35" s="1"/>
  <c r="CY207" i="35"/>
  <c r="V207" i="19" s="1"/>
  <c r="CZ207" i="35"/>
  <c r="W207" i="19" s="1"/>
  <c r="CN207" i="35"/>
  <c r="GU207" i="35" s="1"/>
  <c r="HI207" i="35" s="1"/>
  <c r="CT207" i="35"/>
  <c r="HA207" i="35" s="1"/>
  <c r="HB186" i="35"/>
  <c r="P148" i="19"/>
  <c r="AE148" i="19" s="1"/>
  <c r="GY148" i="35"/>
  <c r="HU148" i="35" s="1"/>
  <c r="HE186" i="35"/>
  <c r="GI207" i="35"/>
  <c r="GK207" i="35" s="1"/>
  <c r="HU189" i="35"/>
  <c r="P189" i="19"/>
  <c r="AE189" i="19" s="1"/>
  <c r="GC212" i="35"/>
  <c r="GE212" i="35" s="1"/>
  <c r="HQ208" i="35"/>
  <c r="S194" i="19"/>
  <c r="HP208" i="35"/>
  <c r="HS208" i="35"/>
  <c r="GU213" i="35"/>
  <c r="HI213" i="35" s="1"/>
  <c r="S208" i="19"/>
  <c r="Q212" i="19"/>
  <c r="AF212" i="19" s="1"/>
  <c r="GC208" i="35"/>
  <c r="GE208" i="35" s="1"/>
  <c r="GI202" i="35"/>
  <c r="GK202" i="35" s="1"/>
  <c r="CW208" i="35"/>
  <c r="HD208" i="35" s="1"/>
  <c r="HB194" i="35"/>
  <c r="L208" i="19"/>
  <c r="GU208" i="35"/>
  <c r="HI208" i="35" s="1"/>
  <c r="L213" i="19"/>
  <c r="HP202" i="35"/>
  <c r="HE194" i="35"/>
  <c r="CY214" i="35"/>
  <c r="V214" i="19" s="1"/>
  <c r="GC203" i="35"/>
  <c r="GE203" i="35" s="1"/>
  <c r="N208" i="19"/>
  <c r="HR202" i="35"/>
  <c r="CR208" i="35"/>
  <c r="GY208" i="35" s="1"/>
  <c r="HU208" i="35" s="1"/>
  <c r="HQ202" i="35"/>
  <c r="Q208" i="19"/>
  <c r="AF208" i="19" s="1"/>
  <c r="CU208" i="35"/>
  <c r="HB208" i="35" s="1"/>
  <c r="HA208" i="35"/>
  <c r="CX208" i="35"/>
  <c r="U208" i="19" s="1"/>
  <c r="CU202" i="35"/>
  <c r="HB202" i="35" s="1"/>
  <c r="Q202" i="19"/>
  <c r="AF202" i="19" s="1"/>
  <c r="N194" i="19"/>
  <c r="CR194" i="35"/>
  <c r="P194" i="19" s="1"/>
  <c r="AE194" i="19" s="1"/>
  <c r="CX212" i="35"/>
  <c r="HE212" i="35" s="1"/>
  <c r="CU212" i="35"/>
  <c r="HB212" i="35" s="1"/>
  <c r="HA212" i="35"/>
  <c r="HR212" i="35"/>
  <c r="HP212" i="35"/>
  <c r="GW187" i="35"/>
  <c r="HK187" i="35" s="1"/>
  <c r="HM187" i="35" s="1"/>
  <c r="N187" i="19"/>
  <c r="CR187" i="35"/>
  <c r="CV212" i="35"/>
  <c r="S212" i="19" s="1"/>
  <c r="HS212" i="35"/>
  <c r="GA214" i="35"/>
  <c r="GI214" i="35" s="1"/>
  <c r="CZ217" i="35"/>
  <c r="W217" i="19" s="1"/>
  <c r="CT214" i="35"/>
  <c r="CX214" i="35" s="1"/>
  <c r="J214" i="19"/>
  <c r="AB214" i="19" s="1"/>
  <c r="DB214" i="35"/>
  <c r="Y214" i="19" s="1"/>
  <c r="CN214" i="35"/>
  <c r="GU214" i="35" s="1"/>
  <c r="HI214" i="35" s="1"/>
  <c r="DA214" i="35"/>
  <c r="X214" i="19" s="1"/>
  <c r="GS214" i="35"/>
  <c r="HG214" i="35" s="1"/>
  <c r="HO214" i="35" s="1"/>
  <c r="HS214" i="35" s="1"/>
  <c r="CW203" i="35"/>
  <c r="T203" i="19" s="1"/>
  <c r="CU203" i="35"/>
  <c r="HB203" i="35" s="1"/>
  <c r="CP203" i="35"/>
  <c r="CR203" i="35" s="1"/>
  <c r="HR203" i="35"/>
  <c r="GU202" i="35"/>
  <c r="HI202" i="35" s="1"/>
  <c r="L202" i="19"/>
  <c r="HC190" i="35"/>
  <c r="HE190" i="35"/>
  <c r="CV203" i="35"/>
  <c r="HC203" i="35" s="1"/>
  <c r="Q203" i="19"/>
  <c r="AF203" i="19" s="1"/>
  <c r="GU203" i="35"/>
  <c r="HI203" i="35" s="1"/>
  <c r="HA203" i="35"/>
  <c r="GJ190" i="35"/>
  <c r="GM190" i="35" s="1"/>
  <c r="GO190" i="35" s="1"/>
  <c r="HA202" i="35"/>
  <c r="HB190" i="35"/>
  <c r="CV202" i="35"/>
  <c r="S202" i="19" s="1"/>
  <c r="CW202" i="35"/>
  <c r="T202" i="19" s="1"/>
  <c r="HS203" i="35"/>
  <c r="HQ203" i="35"/>
  <c r="GA216" i="35"/>
  <c r="CY216" i="35"/>
  <c r="V216" i="19" s="1"/>
  <c r="T190" i="19"/>
  <c r="CT216" i="35"/>
  <c r="Q216" i="19" s="1"/>
  <c r="AF216" i="19" s="1"/>
  <c r="GY192" i="35"/>
  <c r="P192" i="19"/>
  <c r="AE192" i="19" s="1"/>
  <c r="CN216" i="35"/>
  <c r="DB216" i="35"/>
  <c r="Y216" i="19" s="1"/>
  <c r="DA216" i="35"/>
  <c r="X216" i="19" s="1"/>
  <c r="J216" i="19"/>
  <c r="AB216" i="19" s="1"/>
  <c r="GS216" i="35"/>
  <c r="HG216" i="35" s="1"/>
  <c r="HO216" i="35" s="1"/>
  <c r="HQ216" i="35" s="1"/>
  <c r="GY191" i="35"/>
  <c r="HU191" i="35" s="1"/>
  <c r="P191" i="19"/>
  <c r="AE191" i="19" s="1"/>
  <c r="GK204" i="35"/>
  <c r="GJ204" i="35"/>
  <c r="GM204" i="35" s="1"/>
  <c r="GO204" i="35" s="1"/>
  <c r="S204" i="19"/>
  <c r="HC204" i="35"/>
  <c r="HC195" i="35"/>
  <c r="S195" i="19"/>
  <c r="GI209" i="35"/>
  <c r="GC209" i="35"/>
  <c r="GE209" i="35" s="1"/>
  <c r="HE204" i="35"/>
  <c r="U204" i="19"/>
  <c r="R195" i="19"/>
  <c r="HB195" i="35"/>
  <c r="I211" i="19"/>
  <c r="AA211" i="19" s="1"/>
  <c r="P190" i="19"/>
  <c r="AE190" i="19" s="1"/>
  <c r="GY190" i="35"/>
  <c r="HU190" i="35" s="1"/>
  <c r="HQ201" i="35"/>
  <c r="R204" i="19"/>
  <c r="HB204" i="35"/>
  <c r="HR209" i="35"/>
  <c r="HS209" i="35"/>
  <c r="HP209" i="35"/>
  <c r="HQ209" i="35"/>
  <c r="CP198" i="35"/>
  <c r="L198" i="19"/>
  <c r="GU198" i="35"/>
  <c r="HI198" i="35" s="1"/>
  <c r="CX201" i="35"/>
  <c r="CU201" i="35"/>
  <c r="CW201" i="35"/>
  <c r="CV201" i="35"/>
  <c r="Q201" i="19"/>
  <c r="AF201" i="19" s="1"/>
  <c r="HA201" i="35"/>
  <c r="L209" i="19"/>
  <c r="CP209" i="35"/>
  <c r="GU209" i="35"/>
  <c r="HI209" i="35" s="1"/>
  <c r="GI201" i="35"/>
  <c r="GC201" i="35"/>
  <c r="GE201" i="35" s="1"/>
  <c r="GI198" i="35"/>
  <c r="GC198" i="35"/>
  <c r="GE198" i="35" s="1"/>
  <c r="T195" i="19"/>
  <c r="HD195" i="35"/>
  <c r="N204" i="19"/>
  <c r="GW204" i="35"/>
  <c r="HK204" i="35" s="1"/>
  <c r="HM204" i="35" s="1"/>
  <c r="CR204" i="35"/>
  <c r="HA209" i="35"/>
  <c r="CW209" i="35"/>
  <c r="CU209" i="35"/>
  <c r="CV209" i="35"/>
  <c r="Q209" i="19"/>
  <c r="AF209" i="19" s="1"/>
  <c r="CX209" i="35"/>
  <c r="CP201" i="35"/>
  <c r="GU201" i="35"/>
  <c r="HI201" i="35" s="1"/>
  <c r="L201" i="19"/>
  <c r="T204" i="19"/>
  <c r="HD204" i="35"/>
  <c r="HS198" i="35"/>
  <c r="HR198" i="35"/>
  <c r="HQ198" i="35"/>
  <c r="HP198" i="35"/>
  <c r="HE195" i="35"/>
  <c r="U195" i="19"/>
  <c r="CL211" i="35"/>
  <c r="GK195" i="35"/>
  <c r="GJ195" i="35"/>
  <c r="GM195" i="35" s="1"/>
  <c r="GO195" i="35" s="1"/>
  <c r="P180" i="19"/>
  <c r="AE180" i="19" s="1"/>
  <c r="GY180" i="35"/>
  <c r="CV198" i="35"/>
  <c r="HA198" i="35"/>
  <c r="CU198" i="35"/>
  <c r="CX198" i="35"/>
  <c r="CW198" i="35"/>
  <c r="Q198" i="19"/>
  <c r="AF198" i="19" s="1"/>
  <c r="GW195" i="35"/>
  <c r="HK195" i="35" s="1"/>
  <c r="HM195" i="35" s="1"/>
  <c r="CR195" i="35"/>
  <c r="N195" i="19"/>
  <c r="F15" i="39"/>
  <c r="F16" i="5"/>
  <c r="F17" i="5" s="1"/>
  <c r="GK208" i="35"/>
  <c r="GJ208" i="35"/>
  <c r="GM208" i="35" s="1"/>
  <c r="GO208" i="35" s="1"/>
  <c r="U202" i="19"/>
  <c r="HE202" i="35"/>
  <c r="HE203" i="35"/>
  <c r="U203" i="19"/>
  <c r="GW213" i="35"/>
  <c r="HK213" i="35" s="1"/>
  <c r="HM213" i="35" s="1"/>
  <c r="N213" i="19"/>
  <c r="CR213" i="35"/>
  <c r="GW202" i="35"/>
  <c r="HK202" i="35" s="1"/>
  <c r="HM202" i="35" s="1"/>
  <c r="CR202" i="35"/>
  <c r="N202" i="19"/>
  <c r="GW212" i="35"/>
  <c r="HK212" i="35" s="1"/>
  <c r="HM212" i="35" s="1"/>
  <c r="N212" i="19"/>
  <c r="CR212" i="35"/>
  <c r="GJ203" i="35"/>
  <c r="GM203" i="35" s="1"/>
  <c r="GO203" i="35" s="1"/>
  <c r="GK203" i="35"/>
  <c r="CU217" i="35"/>
  <c r="Q217" i="19"/>
  <c r="AF217" i="19" s="1"/>
  <c r="T212" i="19"/>
  <c r="HD212" i="35"/>
  <c r="GK212" i="35"/>
  <c r="GJ212" i="35"/>
  <c r="GM212" i="35" s="1"/>
  <c r="GO212" i="35" s="1"/>
  <c r="AU219" i="35"/>
  <c r="AW219" i="35" s="1"/>
  <c r="AS220" i="35"/>
  <c r="EA219" i="35"/>
  <c r="F15" i="32"/>
  <c r="F15" i="38"/>
  <c r="GG119" i="35"/>
  <c r="GG150" i="35"/>
  <c r="F15" i="10"/>
  <c r="I27" i="31" s="1"/>
  <c r="F15" i="9"/>
  <c r="F21" i="9" s="1"/>
  <c r="I30" i="29" s="1"/>
  <c r="F15" i="6"/>
  <c r="F16" i="8"/>
  <c r="I27" i="28" s="1"/>
  <c r="F16" i="7"/>
  <c r="I27" i="27" s="1"/>
  <c r="I27" i="26"/>
  <c r="A253" i="5"/>
  <c r="F15" i="20"/>
  <c r="F15" i="33"/>
  <c r="F21" i="33" s="1"/>
  <c r="A255" i="24"/>
  <c r="F15" i="23"/>
  <c r="I27" i="25" s="1"/>
  <c r="F15" i="34"/>
  <c r="B69" i="37"/>
  <c r="BD21" i="37"/>
  <c r="F20" i="5"/>
  <c r="CY217" i="35" l="1"/>
  <c r="V217" i="19" s="1"/>
  <c r="CU213" i="35"/>
  <c r="R213" i="19" s="1"/>
  <c r="HA217" i="35"/>
  <c r="GS217" i="35"/>
  <c r="HG217" i="35" s="1"/>
  <c r="HO217" i="35" s="1"/>
  <c r="HP217" i="35" s="1"/>
  <c r="CN217" i="35"/>
  <c r="L217" i="19" s="1"/>
  <c r="CX217" i="35"/>
  <c r="DB217" i="35"/>
  <c r="Y217" i="19" s="1"/>
  <c r="CW217" i="35"/>
  <c r="T217" i="19" s="1"/>
  <c r="N215" i="19"/>
  <c r="CR215" i="35"/>
  <c r="J217" i="19"/>
  <c r="AB217" i="19" s="1"/>
  <c r="GA217" i="35"/>
  <c r="GC217" i="35" s="1"/>
  <c r="GE217" i="35" s="1"/>
  <c r="DA217" i="35"/>
  <c r="X217" i="19" s="1"/>
  <c r="L184" i="19"/>
  <c r="HS213" i="35"/>
  <c r="HR213" i="35"/>
  <c r="HP213" i="35"/>
  <c r="GY175" i="35"/>
  <c r="HU175" i="35" s="1"/>
  <c r="P175" i="19"/>
  <c r="AE175" i="19" s="1"/>
  <c r="CX184" i="35"/>
  <c r="U184" i="19" s="1"/>
  <c r="HA199" i="35"/>
  <c r="Q199" i="19"/>
  <c r="AF199" i="19" s="1"/>
  <c r="CW199" i="35"/>
  <c r="CX199" i="35"/>
  <c r="CV199" i="35"/>
  <c r="CU199" i="35"/>
  <c r="HR199" i="35"/>
  <c r="HQ199" i="35"/>
  <c r="HP199" i="35"/>
  <c r="HS199" i="35"/>
  <c r="GU199" i="35"/>
  <c r="HI199" i="35" s="1"/>
  <c r="L199" i="19"/>
  <c r="CP199" i="35"/>
  <c r="GI199" i="35"/>
  <c r="GC199" i="35"/>
  <c r="GE199" i="35" s="1"/>
  <c r="CU205" i="35"/>
  <c r="R205" i="19" s="1"/>
  <c r="CZ205" i="35"/>
  <c r="W205" i="19" s="1"/>
  <c r="N180" i="19"/>
  <c r="R185" i="19"/>
  <c r="S184" i="19"/>
  <c r="Q184" i="19"/>
  <c r="AF184" i="19" s="1"/>
  <c r="HA184" i="35"/>
  <c r="CX188" i="35"/>
  <c r="U188" i="19" s="1"/>
  <c r="HA188" i="35"/>
  <c r="CV213" i="35"/>
  <c r="HC213" i="35" s="1"/>
  <c r="CP188" i="35"/>
  <c r="GW188" i="35" s="1"/>
  <c r="HK188" i="35" s="1"/>
  <c r="HM188" i="35" s="1"/>
  <c r="CV188" i="35"/>
  <c r="S188" i="19" s="1"/>
  <c r="L188" i="19"/>
  <c r="HR188" i="35"/>
  <c r="CU184" i="35"/>
  <c r="R184" i="19" s="1"/>
  <c r="CU188" i="35"/>
  <c r="R188" i="19" s="1"/>
  <c r="HQ188" i="35"/>
  <c r="HS188" i="35"/>
  <c r="CW213" i="35"/>
  <c r="T213" i="19" s="1"/>
  <c r="HA213" i="35"/>
  <c r="T188" i="19"/>
  <c r="Q188" i="19"/>
  <c r="AF188" i="19" s="1"/>
  <c r="CX213" i="35"/>
  <c r="HE213" i="35" s="1"/>
  <c r="CP184" i="35"/>
  <c r="GW184" i="35" s="1"/>
  <c r="HK184" i="35" s="1"/>
  <c r="HM184" i="35" s="1"/>
  <c r="CW184" i="35"/>
  <c r="T184" i="19" s="1"/>
  <c r="CI218" i="35"/>
  <c r="CL218" i="35" s="1"/>
  <c r="HE215" i="35"/>
  <c r="R215" i="19"/>
  <c r="HU180" i="35"/>
  <c r="HU185" i="35"/>
  <c r="HR201" i="35"/>
  <c r="P185" i="19"/>
  <c r="AE185" i="19" s="1"/>
  <c r="HE180" i="35"/>
  <c r="P182" i="19"/>
  <c r="AE182" i="19" s="1"/>
  <c r="J205" i="19"/>
  <c r="AB205" i="19" s="1"/>
  <c r="GA205" i="35"/>
  <c r="GC205" i="35" s="1"/>
  <c r="GE205" i="35" s="1"/>
  <c r="GS205" i="35"/>
  <c r="HG205" i="35" s="1"/>
  <c r="HO205" i="35" s="1"/>
  <c r="HS205" i="35" s="1"/>
  <c r="HD180" i="35"/>
  <c r="T180" i="19"/>
  <c r="AJ180" i="19" s="1"/>
  <c r="DA205" i="35"/>
  <c r="X205" i="19" s="1"/>
  <c r="U182" i="19"/>
  <c r="AK182" i="19" s="1"/>
  <c r="HC215" i="35"/>
  <c r="T187" i="19"/>
  <c r="CN205" i="35"/>
  <c r="L205" i="19" s="1"/>
  <c r="CI206" i="35"/>
  <c r="CL206" i="35" s="1"/>
  <c r="DA206" i="35" s="1"/>
  <c r="X206" i="19" s="1"/>
  <c r="EB206" i="35"/>
  <c r="CY205" i="35"/>
  <c r="V205" i="19" s="1"/>
  <c r="HC205" i="35"/>
  <c r="HA205" i="35"/>
  <c r="DB205" i="35"/>
  <c r="Y205" i="19" s="1"/>
  <c r="R180" i="19"/>
  <c r="HB180" i="35"/>
  <c r="Q205" i="19"/>
  <c r="AF205" i="19" s="1"/>
  <c r="CW205" i="35"/>
  <c r="T205" i="19" s="1"/>
  <c r="HU192" i="35"/>
  <c r="GK215" i="35"/>
  <c r="CX205" i="35"/>
  <c r="U205" i="19" s="1"/>
  <c r="HC182" i="35"/>
  <c r="R182" i="19"/>
  <c r="R187" i="19"/>
  <c r="GJ188" i="35"/>
  <c r="GM188" i="35" s="1"/>
  <c r="GO188" i="35" s="1"/>
  <c r="GJ184" i="35"/>
  <c r="GM184" i="35" s="1"/>
  <c r="GO184" i="35" s="1"/>
  <c r="HD215" i="35"/>
  <c r="HS201" i="35"/>
  <c r="T182" i="19"/>
  <c r="AJ182" i="19" s="1"/>
  <c r="GI213" i="35"/>
  <c r="GJ213" i="35" s="1"/>
  <c r="GM213" i="35" s="1"/>
  <c r="GO213" i="35" s="1"/>
  <c r="HE187" i="35"/>
  <c r="HU193" i="35"/>
  <c r="P193" i="19"/>
  <c r="AE193" i="19" s="1"/>
  <c r="Q196" i="19"/>
  <c r="AF196" i="19" s="1"/>
  <c r="CX196" i="35"/>
  <c r="CU196" i="35"/>
  <c r="HA196" i="35"/>
  <c r="CW196" i="35"/>
  <c r="CV196" i="35"/>
  <c r="GU196" i="35"/>
  <c r="HI196" i="35" s="1"/>
  <c r="CP196" i="35"/>
  <c r="L196" i="19"/>
  <c r="HP196" i="35"/>
  <c r="HR196" i="35"/>
  <c r="HQ196" i="35"/>
  <c r="HS196" i="35"/>
  <c r="GI196" i="35"/>
  <c r="GC196" i="35"/>
  <c r="GE196" i="35" s="1"/>
  <c r="GA210" i="35"/>
  <c r="GS210" i="35"/>
  <c r="HG210" i="35" s="1"/>
  <c r="HO210" i="35" s="1"/>
  <c r="DB210" i="35"/>
  <c r="Y210" i="19" s="1"/>
  <c r="DA210" i="35"/>
  <c r="X210" i="19" s="1"/>
  <c r="CT210" i="35"/>
  <c r="CZ210" i="35"/>
  <c r="W210" i="19" s="1"/>
  <c r="J210" i="19"/>
  <c r="AB210" i="19" s="1"/>
  <c r="CY210" i="35"/>
  <c r="V210" i="19" s="1"/>
  <c r="CN210" i="35"/>
  <c r="Q207" i="19"/>
  <c r="AF207" i="19" s="1"/>
  <c r="CW207" i="35"/>
  <c r="T207" i="19" s="1"/>
  <c r="HP207" i="35"/>
  <c r="CU207" i="35"/>
  <c r="R207" i="19" s="1"/>
  <c r="CV207" i="35"/>
  <c r="HC207" i="35" s="1"/>
  <c r="CX207" i="35"/>
  <c r="U207" i="19" s="1"/>
  <c r="HR207" i="35"/>
  <c r="HQ207" i="35"/>
  <c r="CP207" i="35"/>
  <c r="CR207" i="35" s="1"/>
  <c r="L207" i="19"/>
  <c r="GJ207" i="35"/>
  <c r="GM207" i="35" s="1"/>
  <c r="GO207" i="35" s="1"/>
  <c r="Q214" i="19"/>
  <c r="AF214" i="19" s="1"/>
  <c r="GJ202" i="35"/>
  <c r="GM202" i="35" s="1"/>
  <c r="GO202" i="35" s="1"/>
  <c r="T208" i="19"/>
  <c r="HC212" i="35"/>
  <c r="R212" i="19"/>
  <c r="R208" i="19"/>
  <c r="HB213" i="35"/>
  <c r="R202" i="19"/>
  <c r="GI217" i="35"/>
  <c r="GK217" i="35" s="1"/>
  <c r="P208" i="19"/>
  <c r="AE208" i="19" s="1"/>
  <c r="CP217" i="35"/>
  <c r="GW217" i="35" s="1"/>
  <c r="HK217" i="35" s="1"/>
  <c r="HM217" i="35" s="1"/>
  <c r="GU217" i="35"/>
  <c r="HI217" i="35" s="1"/>
  <c r="GY194" i="35"/>
  <c r="HU194" i="35" s="1"/>
  <c r="HE208" i="35"/>
  <c r="HQ217" i="35"/>
  <c r="GC214" i="35"/>
  <c r="GE214" i="35" s="1"/>
  <c r="HR214" i="35"/>
  <c r="HQ214" i="35"/>
  <c r="U212" i="19"/>
  <c r="HP214" i="35"/>
  <c r="GW203" i="35"/>
  <c r="HK203" i="35" s="1"/>
  <c r="HM203" i="35" s="1"/>
  <c r="N203" i="19"/>
  <c r="P187" i="19"/>
  <c r="AE187" i="19" s="1"/>
  <c r="GY187" i="35"/>
  <c r="HU187" i="35" s="1"/>
  <c r="CP214" i="35"/>
  <c r="GW214" i="35" s="1"/>
  <c r="HK214" i="35" s="1"/>
  <c r="HM214" i="35" s="1"/>
  <c r="L214" i="19"/>
  <c r="R203" i="19"/>
  <c r="CW214" i="35"/>
  <c r="T214" i="19" s="1"/>
  <c r="CU214" i="35"/>
  <c r="HB214" i="35" s="1"/>
  <c r="CV214" i="35"/>
  <c r="S214" i="19" s="1"/>
  <c r="HA214" i="35"/>
  <c r="U213" i="19"/>
  <c r="HD203" i="35"/>
  <c r="HR217" i="35"/>
  <c r="HS217" i="35"/>
  <c r="HS216" i="35"/>
  <c r="HC202" i="35"/>
  <c r="HD202" i="35"/>
  <c r="S203" i="19"/>
  <c r="HP216" i="35"/>
  <c r="HR216" i="35"/>
  <c r="CU216" i="35"/>
  <c r="HA216" i="35"/>
  <c r="CV216" i="35"/>
  <c r="CW216" i="35"/>
  <c r="CX216" i="35"/>
  <c r="GU216" i="35"/>
  <c r="HI216" i="35" s="1"/>
  <c r="L216" i="19"/>
  <c r="CP216" i="35"/>
  <c r="GC216" i="35"/>
  <c r="GE216" i="35" s="1"/>
  <c r="GI216" i="35"/>
  <c r="HE198" i="35"/>
  <c r="U198" i="19"/>
  <c r="CR201" i="35"/>
  <c r="GW201" i="35"/>
  <c r="HK201" i="35" s="1"/>
  <c r="HM201" i="35" s="1"/>
  <c r="N201" i="19"/>
  <c r="S201" i="19"/>
  <c r="HC201" i="35"/>
  <c r="GJ209" i="35"/>
  <c r="GM209" i="35" s="1"/>
  <c r="GO209" i="35" s="1"/>
  <c r="GK209" i="35"/>
  <c r="R198" i="19"/>
  <c r="HB198" i="35"/>
  <c r="HE209" i="35"/>
  <c r="U209" i="19"/>
  <c r="T201" i="19"/>
  <c r="HD201" i="35"/>
  <c r="R201" i="19"/>
  <c r="HB201" i="35"/>
  <c r="GY195" i="35"/>
  <c r="HU195" i="35" s="1"/>
  <c r="P195" i="19"/>
  <c r="AE195" i="19" s="1"/>
  <c r="S198" i="19"/>
  <c r="HC198" i="35"/>
  <c r="S209" i="19"/>
  <c r="HC209" i="35"/>
  <c r="HE201" i="35"/>
  <c r="U201" i="19"/>
  <c r="P204" i="19"/>
  <c r="AE204" i="19" s="1"/>
  <c r="GY204" i="35"/>
  <c r="HU204" i="35" s="1"/>
  <c r="R209" i="19"/>
  <c r="HB209" i="35"/>
  <c r="N209" i="19"/>
  <c r="GW209" i="35"/>
  <c r="HK209" i="35" s="1"/>
  <c r="HM209" i="35" s="1"/>
  <c r="CR209" i="35"/>
  <c r="CZ211" i="35"/>
  <c r="W211" i="19" s="1"/>
  <c r="CY211" i="35"/>
  <c r="V211" i="19" s="1"/>
  <c r="GA211" i="35"/>
  <c r="J211" i="19"/>
  <c r="AB211" i="19" s="1"/>
  <c r="DB211" i="35"/>
  <c r="Y211" i="19" s="1"/>
  <c r="CN211" i="35"/>
  <c r="CT211" i="35"/>
  <c r="GS211" i="35"/>
  <c r="HG211" i="35" s="1"/>
  <c r="HO211" i="35" s="1"/>
  <c r="DA211" i="35"/>
  <c r="X211" i="19" s="1"/>
  <c r="T209" i="19"/>
  <c r="HD209" i="35"/>
  <c r="GJ198" i="35"/>
  <c r="GM198" i="35" s="1"/>
  <c r="GO198" i="35" s="1"/>
  <c r="GK198" i="35"/>
  <c r="T198" i="19"/>
  <c r="HD198" i="35"/>
  <c r="GK201" i="35"/>
  <c r="GJ201" i="35"/>
  <c r="GM201" i="35" s="1"/>
  <c r="GO201" i="35" s="1"/>
  <c r="GW198" i="35"/>
  <c r="HK198" i="35" s="1"/>
  <c r="HM198" i="35" s="1"/>
  <c r="N198" i="19"/>
  <c r="CR198" i="35"/>
  <c r="AX219" i="35"/>
  <c r="AZ219" i="35" s="1"/>
  <c r="AW220" i="35"/>
  <c r="HB205" i="35"/>
  <c r="C1" i="5"/>
  <c r="F16" i="39"/>
  <c r="F17" i="39" s="1"/>
  <c r="A114" i="39" s="1"/>
  <c r="F16" i="38"/>
  <c r="C1" i="38" s="1"/>
  <c r="F16" i="34"/>
  <c r="F17" i="34" s="1"/>
  <c r="A114" i="34" s="1"/>
  <c r="F16" i="32"/>
  <c r="F17" i="32" s="1"/>
  <c r="A130" i="32" s="1"/>
  <c r="F16" i="23"/>
  <c r="I28" i="25" s="1"/>
  <c r="F18" i="7"/>
  <c r="F17" i="7" s="1"/>
  <c r="I28" i="27" s="1"/>
  <c r="F17" i="6"/>
  <c r="F16" i="6" s="1"/>
  <c r="I28" i="26"/>
  <c r="F17" i="9"/>
  <c r="F17" i="33"/>
  <c r="F16" i="20"/>
  <c r="I28" i="30" s="1"/>
  <c r="F17" i="10"/>
  <c r="I28" i="31" s="1"/>
  <c r="F18" i="8"/>
  <c r="F16" i="24"/>
  <c r="HD217" i="35"/>
  <c r="U217" i="19"/>
  <c r="HE217" i="35"/>
  <c r="S217" i="19"/>
  <c r="HC217" i="35"/>
  <c r="GY212" i="35"/>
  <c r="HU212" i="35" s="1"/>
  <c r="P212" i="19"/>
  <c r="AE212" i="19" s="1"/>
  <c r="P202" i="19"/>
  <c r="AE202" i="19" s="1"/>
  <c r="GY202" i="35"/>
  <c r="HU202" i="35" s="1"/>
  <c r="GY215" i="35"/>
  <c r="HU215" i="35" s="1"/>
  <c r="P215" i="19"/>
  <c r="AE215" i="19" s="1"/>
  <c r="GY203" i="35"/>
  <c r="P203" i="19"/>
  <c r="AE203" i="19" s="1"/>
  <c r="GJ214" i="35"/>
  <c r="GM214" i="35" s="1"/>
  <c r="GO214" i="35" s="1"/>
  <c r="GK214" i="35"/>
  <c r="HE214" i="35"/>
  <c r="U214" i="19"/>
  <c r="R217" i="19"/>
  <c r="HB217" i="35"/>
  <c r="GY213" i="35"/>
  <c r="HU213" i="35" s="1"/>
  <c r="P213" i="19"/>
  <c r="AE213" i="19" s="1"/>
  <c r="AU220" i="35"/>
  <c r="AV219" i="35"/>
  <c r="AV220" i="35" s="1"/>
  <c r="F20" i="38"/>
  <c r="F20" i="39"/>
  <c r="F17" i="38"/>
  <c r="E18" i="38" s="1"/>
  <c r="A239" i="38"/>
  <c r="GG121" i="35"/>
  <c r="GG152" i="35"/>
  <c r="F22" i="8"/>
  <c r="I30" i="28" s="1"/>
  <c r="I27" i="13"/>
  <c r="F16" i="9"/>
  <c r="I27" i="29"/>
  <c r="F17" i="8"/>
  <c r="I27" i="30"/>
  <c r="F20" i="20"/>
  <c r="I30" i="30" s="1"/>
  <c r="F21" i="10"/>
  <c r="I30" i="31" s="1"/>
  <c r="F16" i="33"/>
  <c r="I29" i="26"/>
  <c r="D14" i="37"/>
  <c r="B70" i="37"/>
  <c r="BE21" i="37"/>
  <c r="F20" i="24"/>
  <c r="F21" i="6"/>
  <c r="F22" i="7"/>
  <c r="F20" i="23"/>
  <c r="I30" i="25" s="1"/>
  <c r="F20" i="32"/>
  <c r="F20" i="34"/>
  <c r="I30" i="26"/>
  <c r="HP205" i="35" l="1"/>
  <c r="HC188" i="35"/>
  <c r="GI205" i="35"/>
  <c r="GK205" i="35" s="1"/>
  <c r="S213" i="19"/>
  <c r="HE184" i="35"/>
  <c r="HD213" i="35"/>
  <c r="GJ199" i="35"/>
  <c r="GM199" i="35" s="1"/>
  <c r="GO199" i="35" s="1"/>
  <c r="GK199" i="35"/>
  <c r="HB199" i="35"/>
  <c r="R199" i="19"/>
  <c r="CR199" i="35"/>
  <c r="GW199" i="35"/>
  <c r="HK199" i="35" s="1"/>
  <c r="HM199" i="35" s="1"/>
  <c r="N199" i="19"/>
  <c r="S199" i="19"/>
  <c r="HC199" i="35"/>
  <c r="U199" i="19"/>
  <c r="HE199" i="35"/>
  <c r="HD199" i="35"/>
  <c r="T199" i="19"/>
  <c r="HE188" i="35"/>
  <c r="HB184" i="35"/>
  <c r="N184" i="19"/>
  <c r="CR188" i="35"/>
  <c r="P188" i="19" s="1"/>
  <c r="AE188" i="19" s="1"/>
  <c r="N188" i="19"/>
  <c r="CN218" i="35"/>
  <c r="L218" i="19" s="1"/>
  <c r="J218" i="19"/>
  <c r="AB218" i="19" s="1"/>
  <c r="HB188" i="35"/>
  <c r="CR184" i="35"/>
  <c r="HR205" i="35"/>
  <c r="HQ205" i="35"/>
  <c r="HD184" i="35"/>
  <c r="HE205" i="35"/>
  <c r="HD205" i="35"/>
  <c r="CP205" i="35"/>
  <c r="CR205" i="35" s="1"/>
  <c r="GY205" i="35" s="1"/>
  <c r="GU205" i="35"/>
  <c r="HI205" i="35" s="1"/>
  <c r="GK213" i="35"/>
  <c r="J206" i="19"/>
  <c r="AB206" i="19" s="1"/>
  <c r="DB206" i="35"/>
  <c r="Y206" i="19" s="1"/>
  <c r="GS218" i="35"/>
  <c r="HG218" i="35" s="1"/>
  <c r="HO218" i="35" s="1"/>
  <c r="HQ218" i="35" s="1"/>
  <c r="DA218" i="35"/>
  <c r="X218" i="19" s="1"/>
  <c r="GA218" i="35"/>
  <c r="GC218" i="35" s="1"/>
  <c r="GE218" i="35" s="1"/>
  <c r="CT218" i="35"/>
  <c r="CW218" i="35" s="1"/>
  <c r="HD218" i="35" s="1"/>
  <c r="CY218" i="35"/>
  <c r="V218" i="19" s="1"/>
  <c r="CZ218" i="35"/>
  <c r="W218" i="19" s="1"/>
  <c r="DB218" i="35"/>
  <c r="Y218" i="19" s="1"/>
  <c r="GA206" i="35"/>
  <c r="GC206" i="35" s="1"/>
  <c r="GE206" i="35" s="1"/>
  <c r="CY206" i="35"/>
  <c r="V206" i="19" s="1"/>
  <c r="CZ206" i="35"/>
  <c r="W206" i="19" s="1"/>
  <c r="GS206" i="35"/>
  <c r="HG206" i="35" s="1"/>
  <c r="HO206" i="35" s="1"/>
  <c r="HS206" i="35" s="1"/>
  <c r="CT206" i="35"/>
  <c r="CX206" i="35" s="1"/>
  <c r="HE206" i="35" s="1"/>
  <c r="CN206" i="35"/>
  <c r="L206" i="19" s="1"/>
  <c r="HQ210" i="35"/>
  <c r="HS210" i="35"/>
  <c r="HP210" i="35"/>
  <c r="HR210" i="35"/>
  <c r="HD196" i="35"/>
  <c r="T196" i="19"/>
  <c r="N196" i="19"/>
  <c r="CR196" i="35"/>
  <c r="GW196" i="35"/>
  <c r="HK196" i="35" s="1"/>
  <c r="HM196" i="35" s="1"/>
  <c r="GI210" i="35"/>
  <c r="GC210" i="35"/>
  <c r="GE210" i="35" s="1"/>
  <c r="R196" i="19"/>
  <c r="HB196" i="35"/>
  <c r="GU210" i="35"/>
  <c r="HI210" i="35" s="1"/>
  <c r="L210" i="19"/>
  <c r="CP210" i="35"/>
  <c r="GJ196" i="35"/>
  <c r="GM196" i="35" s="1"/>
  <c r="GO196" i="35" s="1"/>
  <c r="GK196" i="35"/>
  <c r="HE196" i="35"/>
  <c r="U196" i="19"/>
  <c r="HA210" i="35"/>
  <c r="CX210" i="35"/>
  <c r="CW210" i="35"/>
  <c r="CU210" i="35"/>
  <c r="CV210" i="35"/>
  <c r="Q210" i="19"/>
  <c r="AF210" i="19" s="1"/>
  <c r="S196" i="19"/>
  <c r="HC196" i="35"/>
  <c r="HB207" i="35"/>
  <c r="GY207" i="35"/>
  <c r="P207" i="19"/>
  <c r="AE207" i="19" s="1"/>
  <c r="HD207" i="35"/>
  <c r="S207" i="19"/>
  <c r="GW207" i="35"/>
  <c r="HK207" i="35" s="1"/>
  <c r="HM207" i="35" s="1"/>
  <c r="N207" i="19"/>
  <c r="HE207" i="35"/>
  <c r="CR217" i="35"/>
  <c r="GY217" i="35" s="1"/>
  <c r="HU217" i="35" s="1"/>
  <c r="N217" i="19"/>
  <c r="GJ217" i="35"/>
  <c r="GM217" i="35" s="1"/>
  <c r="GO217" i="35" s="1"/>
  <c r="HC214" i="35"/>
  <c r="CR214" i="35"/>
  <c r="P214" i="19" s="1"/>
  <c r="AE214" i="19" s="1"/>
  <c r="N214" i="19"/>
  <c r="GJ205" i="35"/>
  <c r="GM205" i="35" s="1"/>
  <c r="GO205" i="35" s="1"/>
  <c r="HU203" i="35"/>
  <c r="HD214" i="35"/>
  <c r="R214" i="19"/>
  <c r="CR216" i="35"/>
  <c r="N216" i="19"/>
  <c r="GW216" i="35"/>
  <c r="HK216" i="35" s="1"/>
  <c r="HM216" i="35" s="1"/>
  <c r="U216" i="19"/>
  <c r="HE216" i="35"/>
  <c r="HD216" i="35"/>
  <c r="T216" i="19"/>
  <c r="S216" i="19"/>
  <c r="HC216" i="35"/>
  <c r="GK216" i="35"/>
  <c r="GJ216" i="35"/>
  <c r="GM216" i="35" s="1"/>
  <c r="GO216" i="35" s="1"/>
  <c r="R216" i="19"/>
  <c r="HB216" i="35"/>
  <c r="GY201" i="35"/>
  <c r="HU201" i="35" s="1"/>
  <c r="P201" i="19"/>
  <c r="AE201" i="19" s="1"/>
  <c r="BA219" i="35"/>
  <c r="BE219" i="35" s="1"/>
  <c r="BG219" i="35" s="1"/>
  <c r="BI219" i="35" s="1"/>
  <c r="BK219" i="35" s="1"/>
  <c r="BM219" i="35" s="1"/>
  <c r="BO219" i="35" s="1"/>
  <c r="GI211" i="35"/>
  <c r="GC211" i="35"/>
  <c r="GE211" i="35" s="1"/>
  <c r="GY198" i="35"/>
  <c r="HU198" i="35" s="1"/>
  <c r="P198" i="19"/>
  <c r="AE198" i="19" s="1"/>
  <c r="HP211" i="35"/>
  <c r="HS211" i="35"/>
  <c r="HQ211" i="35"/>
  <c r="HR211" i="35"/>
  <c r="CU211" i="35"/>
  <c r="CX211" i="35"/>
  <c r="HA211" i="35"/>
  <c r="CV211" i="35"/>
  <c r="Q211" i="19"/>
  <c r="AF211" i="19" s="1"/>
  <c r="CW211" i="35"/>
  <c r="GY209" i="35"/>
  <c r="HU209" i="35" s="1"/>
  <c r="P209" i="19"/>
  <c r="AE209" i="19" s="1"/>
  <c r="GU211" i="35"/>
  <c r="HI211" i="35" s="1"/>
  <c r="L211" i="19"/>
  <c r="CP211" i="35"/>
  <c r="AZ220" i="35"/>
  <c r="AX220" i="35"/>
  <c r="F18" i="33"/>
  <c r="F23" i="33" s="1"/>
  <c r="F25" i="33" s="1"/>
  <c r="F27" i="33" s="1"/>
  <c r="O18" i="33" s="1"/>
  <c r="I28" i="13"/>
  <c r="F18" i="6"/>
  <c r="I29" i="13" s="1"/>
  <c r="F16" i="10"/>
  <c r="F18" i="10" s="1"/>
  <c r="I29" i="31" s="1"/>
  <c r="E19" i="6"/>
  <c r="I28" i="29"/>
  <c r="F17" i="20"/>
  <c r="F22" i="20" s="1"/>
  <c r="F19" i="8"/>
  <c r="F20" i="8" s="1"/>
  <c r="F17" i="23"/>
  <c r="I29" i="25" s="1"/>
  <c r="C1" i="24"/>
  <c r="F17" i="24"/>
  <c r="F22" i="24" s="1"/>
  <c r="F47" i="24" s="1"/>
  <c r="EL219" i="35"/>
  <c r="EK219" i="35"/>
  <c r="EJ219" i="35" s="1"/>
  <c r="F19" i="38"/>
  <c r="F22" i="38" s="1"/>
  <c r="F32" i="38" s="1"/>
  <c r="F19" i="39"/>
  <c r="F22" i="39" s="1"/>
  <c r="F22" i="5"/>
  <c r="F46" i="5" s="1"/>
  <c r="F19" i="34"/>
  <c r="F22" i="34" s="1"/>
  <c r="F35" i="34" s="1"/>
  <c r="I31" i="26"/>
  <c r="F19" i="23"/>
  <c r="F19" i="32"/>
  <c r="F22" i="32" s="1"/>
  <c r="F49" i="32" s="1"/>
  <c r="GG123" i="35"/>
  <c r="GG154" i="35"/>
  <c r="F18" i="9"/>
  <c r="A55" i="9" s="1"/>
  <c r="E20" i="7"/>
  <c r="F19" i="7"/>
  <c r="I29" i="27" s="1"/>
  <c r="I28" i="28"/>
  <c r="BZ23" i="37"/>
  <c r="C25" i="37"/>
  <c r="H14" i="37"/>
  <c r="A25" i="37"/>
  <c r="B71" i="37"/>
  <c r="BF21" i="37"/>
  <c r="I31" i="13"/>
  <c r="I30" i="27"/>
  <c r="I30" i="13"/>
  <c r="I31" i="30"/>
  <c r="GY188" i="35" l="1"/>
  <c r="HU188" i="35" s="1"/>
  <c r="GY199" i="35"/>
  <c r="HU199" i="35" s="1"/>
  <c r="P199" i="19"/>
  <c r="AE199" i="19" s="1"/>
  <c r="HP206" i="35"/>
  <c r="GU218" i="35"/>
  <c r="HI218" i="35" s="1"/>
  <c r="CP218" i="35"/>
  <c r="GW218" i="35" s="1"/>
  <c r="HK218" i="35" s="1"/>
  <c r="HM218" i="35" s="1"/>
  <c r="HR206" i="35"/>
  <c r="P205" i="19"/>
  <c r="AE205" i="19" s="1"/>
  <c r="P184" i="19"/>
  <c r="AE184" i="19" s="1"/>
  <c r="GY184" i="35"/>
  <c r="HU184" i="35" s="1"/>
  <c r="N205" i="19"/>
  <c r="GW205" i="35"/>
  <c r="HK205" i="35" s="1"/>
  <c r="HM205" i="35" s="1"/>
  <c r="HU205" i="35" s="1"/>
  <c r="CV206" i="35"/>
  <c r="HC206" i="35" s="1"/>
  <c r="Q206" i="19"/>
  <c r="AF206" i="19" s="1"/>
  <c r="HA206" i="35"/>
  <c r="HP218" i="35"/>
  <c r="HS218" i="35"/>
  <c r="HR218" i="35"/>
  <c r="T218" i="19"/>
  <c r="GI218" i="35"/>
  <c r="GJ218" i="35" s="1"/>
  <c r="GM218" i="35" s="1"/>
  <c r="GO218" i="35" s="1"/>
  <c r="GU206" i="35"/>
  <c r="HI206" i="35" s="1"/>
  <c r="CR218" i="35"/>
  <c r="GY218" i="35" s="1"/>
  <c r="HU218" i="35" s="1"/>
  <c r="GI206" i="35"/>
  <c r="GK206" i="35" s="1"/>
  <c r="HA218" i="35"/>
  <c r="Q218" i="19"/>
  <c r="AF218" i="19" s="1"/>
  <c r="CX218" i="35"/>
  <c r="U218" i="19" s="1"/>
  <c r="CU218" i="35"/>
  <c r="R218" i="19" s="1"/>
  <c r="CV218" i="35"/>
  <c r="S218" i="19" s="1"/>
  <c r="CP206" i="35"/>
  <c r="CW206" i="35"/>
  <c r="CU206" i="35"/>
  <c r="HQ206" i="35"/>
  <c r="R210" i="19"/>
  <c r="HB210" i="35"/>
  <c r="GK210" i="35"/>
  <c r="GJ210" i="35"/>
  <c r="GM210" i="35" s="1"/>
  <c r="GO210" i="35" s="1"/>
  <c r="GY196" i="35"/>
  <c r="HU196" i="35" s="1"/>
  <c r="P196" i="19"/>
  <c r="AE196" i="19" s="1"/>
  <c r="CR210" i="35"/>
  <c r="GW210" i="35"/>
  <c r="HK210" i="35" s="1"/>
  <c r="HM210" i="35" s="1"/>
  <c r="N210" i="19"/>
  <c r="U210" i="19"/>
  <c r="HE210" i="35"/>
  <c r="T210" i="19"/>
  <c r="HD210" i="35"/>
  <c r="S210" i="19"/>
  <c r="HC210" i="35"/>
  <c r="U206" i="19"/>
  <c r="HU207" i="35"/>
  <c r="BQ219" i="35"/>
  <c r="BS219" i="35" s="1"/>
  <c r="BO220" i="35"/>
  <c r="GY214" i="35"/>
  <c r="HU214" i="35" s="1"/>
  <c r="P217" i="19"/>
  <c r="AE217" i="19" s="1"/>
  <c r="BM220" i="35"/>
  <c r="BK220" i="35"/>
  <c r="BI220" i="35"/>
  <c r="BG220" i="35"/>
  <c r="P216" i="19"/>
  <c r="AE216" i="19" s="1"/>
  <c r="GY216" i="35"/>
  <c r="HU216" i="35" s="1"/>
  <c r="CR211" i="35"/>
  <c r="N211" i="19"/>
  <c r="GW211" i="35"/>
  <c r="HK211" i="35" s="1"/>
  <c r="HM211" i="35" s="1"/>
  <c r="T211" i="19"/>
  <c r="HD211" i="35"/>
  <c r="S211" i="19"/>
  <c r="HC211" i="35"/>
  <c r="GJ211" i="35"/>
  <c r="GM211" i="35" s="1"/>
  <c r="GO211" i="35" s="1"/>
  <c r="GK211" i="35"/>
  <c r="U211" i="19"/>
  <c r="HE211" i="35"/>
  <c r="R211" i="19"/>
  <c r="HB211" i="35"/>
  <c r="BA220" i="35"/>
  <c r="A57" i="33"/>
  <c r="A55" i="33"/>
  <c r="F19" i="33"/>
  <c r="F28" i="33"/>
  <c r="O19" i="33" s="1"/>
  <c r="E53" i="32"/>
  <c r="F53" i="32" s="1"/>
  <c r="E55" i="32"/>
  <c r="F55" i="32" s="1"/>
  <c r="E54" i="32"/>
  <c r="F54" i="32" s="1"/>
  <c r="E52" i="32"/>
  <c r="F52" i="32" s="1"/>
  <c r="E52" i="5"/>
  <c r="F52" i="5" s="1"/>
  <c r="E51" i="5"/>
  <c r="F51" i="5" s="1"/>
  <c r="E50" i="5"/>
  <c r="F50" i="5" s="1"/>
  <c r="E49" i="5"/>
  <c r="F49" i="5" s="1"/>
  <c r="E52" i="24"/>
  <c r="F52" i="24" s="1"/>
  <c r="E51" i="24"/>
  <c r="F51" i="24" s="1"/>
  <c r="E50" i="24"/>
  <c r="F50" i="24" s="1"/>
  <c r="E53" i="24"/>
  <c r="F24" i="5"/>
  <c r="F26" i="5" s="1"/>
  <c r="F28" i="5" s="1"/>
  <c r="N37" i="5" s="1"/>
  <c r="A53" i="6"/>
  <c r="F24" i="32"/>
  <c r="F26" i="32" s="1"/>
  <c r="G30" i="32" s="1"/>
  <c r="A114" i="23"/>
  <c r="A114" i="10"/>
  <c r="I29" i="28"/>
  <c r="F23" i="10"/>
  <c r="I32" i="31" s="1"/>
  <c r="F22" i="23"/>
  <c r="F50" i="23" s="1"/>
  <c r="F26" i="24"/>
  <c r="N61" i="24" s="1"/>
  <c r="F24" i="24"/>
  <c r="F31" i="24"/>
  <c r="N64" i="24" s="1"/>
  <c r="A74" i="8"/>
  <c r="A72" i="8"/>
  <c r="G18" i="20"/>
  <c r="I29" i="30"/>
  <c r="A51" i="20"/>
  <c r="F24" i="38"/>
  <c r="F30" i="5"/>
  <c r="N64" i="5" s="1"/>
  <c r="F26" i="38"/>
  <c r="F30" i="38" s="1"/>
  <c r="I32" i="26"/>
  <c r="F26" i="39"/>
  <c r="G33" i="39" s="1"/>
  <c r="F24" i="39"/>
  <c r="F35" i="39"/>
  <c r="I31" i="25"/>
  <c r="E39" i="38"/>
  <c r="F39" i="38" s="1"/>
  <c r="E40" i="38"/>
  <c r="F40" i="38" s="1"/>
  <c r="N64" i="38"/>
  <c r="E37" i="38"/>
  <c r="F37" i="38" s="1"/>
  <c r="E38" i="38"/>
  <c r="F38" i="38" s="1"/>
  <c r="GG125" i="35"/>
  <c r="GG156" i="35"/>
  <c r="I29" i="29"/>
  <c r="F20" i="9"/>
  <c r="I31" i="29" s="1"/>
  <c r="F19" i="9"/>
  <c r="A57" i="9"/>
  <c r="A50" i="7"/>
  <c r="I31" i="27"/>
  <c r="D25" i="37"/>
  <c r="F25" i="37" s="1"/>
  <c r="N55" i="5"/>
  <c r="N53" i="5"/>
  <c r="N54" i="5"/>
  <c r="N51" i="5"/>
  <c r="N52" i="5"/>
  <c r="CA23" i="37"/>
  <c r="BY25" i="37"/>
  <c r="BX25" i="37" s="1"/>
  <c r="BZ25" i="37" s="1"/>
  <c r="BY26" i="37" s="1"/>
  <c r="BX26" i="37" s="1"/>
  <c r="BZ26" i="37" s="1"/>
  <c r="BY27" i="37" s="1"/>
  <c r="BX27" i="37" s="1"/>
  <c r="BZ27" i="37" s="1"/>
  <c r="BY28" i="37" s="1"/>
  <c r="BX28" i="37" s="1"/>
  <c r="BZ28" i="37" s="1"/>
  <c r="BY29" i="37" s="1"/>
  <c r="BX29" i="37" s="1"/>
  <c r="BZ29" i="37" s="1"/>
  <c r="BY30" i="37" s="1"/>
  <c r="BX30" i="37" s="1"/>
  <c r="BZ30" i="37" s="1"/>
  <c r="BY31" i="37" s="1"/>
  <c r="BX31" i="37" s="1"/>
  <c r="BZ31" i="37" s="1"/>
  <c r="BY32" i="37" s="1"/>
  <c r="BX32" i="37" s="1"/>
  <c r="BZ32" i="37" s="1"/>
  <c r="H25" i="37"/>
  <c r="A26" i="37"/>
  <c r="B72" i="37"/>
  <c r="BG21" i="37"/>
  <c r="F33" i="32"/>
  <c r="N59" i="32" s="1"/>
  <c r="F23" i="6"/>
  <c r="F24" i="34"/>
  <c r="F26" i="34" s="1"/>
  <c r="F27" i="34" s="1"/>
  <c r="G32" i="34" s="1"/>
  <c r="N59" i="34"/>
  <c r="F40" i="34"/>
  <c r="G40" i="34" s="1"/>
  <c r="F43" i="34"/>
  <c r="G43" i="34" s="1"/>
  <c r="F41" i="34"/>
  <c r="G41" i="34" s="1"/>
  <c r="F42" i="34"/>
  <c r="G42" i="34" s="1"/>
  <c r="F24" i="20"/>
  <c r="F26" i="20" s="1"/>
  <c r="F28" i="20" s="1"/>
  <c r="I32" i="30"/>
  <c r="N49" i="5"/>
  <c r="N50" i="5"/>
  <c r="N48" i="5"/>
  <c r="F24" i="8"/>
  <c r="I31" i="28"/>
  <c r="N218" i="19" l="1"/>
  <c r="S206" i="19"/>
  <c r="GJ206" i="35"/>
  <c r="GM206" i="35" s="1"/>
  <c r="GO206" i="35" s="1"/>
  <c r="GK218" i="35"/>
  <c r="P218" i="19"/>
  <c r="AE218" i="19" s="1"/>
  <c r="HB218" i="35"/>
  <c r="HC218" i="35"/>
  <c r="HE218" i="35"/>
  <c r="HB206" i="35"/>
  <c r="R206" i="19"/>
  <c r="T206" i="19"/>
  <c r="HD206" i="35"/>
  <c r="N206" i="19"/>
  <c r="CR206" i="35"/>
  <c r="GW206" i="35"/>
  <c r="HK206" i="35" s="1"/>
  <c r="HM206" i="35" s="1"/>
  <c r="P210" i="19"/>
  <c r="AE210" i="19" s="1"/>
  <c r="GY210" i="35"/>
  <c r="HU210" i="35" s="1"/>
  <c r="BS220" i="35"/>
  <c r="BU219" i="35"/>
  <c r="BX219" i="35" s="1"/>
  <c r="BQ220" i="35"/>
  <c r="GY211" i="35"/>
  <c r="HU211" i="35" s="1"/>
  <c r="P211" i="19"/>
  <c r="AE211" i="19" s="1"/>
  <c r="BE220" i="35"/>
  <c r="G31" i="32"/>
  <c r="G29" i="32"/>
  <c r="E53" i="23"/>
  <c r="F53" i="23" s="1"/>
  <c r="E56" i="23"/>
  <c r="F56" i="23" s="1"/>
  <c r="E55" i="23"/>
  <c r="F55" i="23" s="1"/>
  <c r="E54" i="23"/>
  <c r="F54" i="23" s="1"/>
  <c r="N23" i="5"/>
  <c r="M23" i="5" s="1"/>
  <c r="M23" i="10" s="1"/>
  <c r="N35" i="5"/>
  <c r="K35" i="5" s="1"/>
  <c r="N34" i="5"/>
  <c r="M34" i="5" s="1"/>
  <c r="M34" i="10" s="1"/>
  <c r="N42" i="5"/>
  <c r="K42" i="5" s="1"/>
  <c r="N20" i="5"/>
  <c r="K20" i="5" s="1"/>
  <c r="F25" i="10"/>
  <c r="F29" i="6"/>
  <c r="E35" i="6" s="1"/>
  <c r="F35" i="6" s="1"/>
  <c r="F46" i="6"/>
  <c r="N21" i="5"/>
  <c r="K21" i="5" s="1"/>
  <c r="N41" i="5"/>
  <c r="K41" i="5" s="1"/>
  <c r="N47" i="5"/>
  <c r="M47" i="5" s="1"/>
  <c r="N40" i="5"/>
  <c r="K40" i="5" s="1"/>
  <c r="N30" i="5"/>
  <c r="M30" i="5" s="1"/>
  <c r="M30" i="10" s="1"/>
  <c r="F27" i="10"/>
  <c r="N32" i="5"/>
  <c r="K32" i="5" s="1"/>
  <c r="N43" i="5"/>
  <c r="M43" i="5" s="1"/>
  <c r="N18" i="5"/>
  <c r="M18" i="5" s="1"/>
  <c r="M18" i="10" s="1"/>
  <c r="N39" i="5"/>
  <c r="M39" i="5" s="1"/>
  <c r="M39" i="10" s="1"/>
  <c r="N26" i="5"/>
  <c r="K26" i="5" s="1"/>
  <c r="N31" i="5"/>
  <c r="K31" i="5" s="1"/>
  <c r="N19" i="5"/>
  <c r="M19" i="5" s="1"/>
  <c r="M19" i="10" s="1"/>
  <c r="N24" i="5"/>
  <c r="K24" i="5" s="1"/>
  <c r="N45" i="5"/>
  <c r="M45" i="5" s="1"/>
  <c r="N22" i="5"/>
  <c r="M22" i="5" s="1"/>
  <c r="M22" i="10" s="1"/>
  <c r="N38" i="5"/>
  <c r="M38" i="5" s="1"/>
  <c r="M38" i="10" s="1"/>
  <c r="N36" i="5"/>
  <c r="K36" i="5" s="1"/>
  <c r="N46" i="5"/>
  <c r="K46" i="5" s="1"/>
  <c r="N27" i="5"/>
  <c r="K27" i="5" s="1"/>
  <c r="N33" i="5"/>
  <c r="M33" i="5" s="1"/>
  <c r="M33" i="10" s="1"/>
  <c r="N29" i="5"/>
  <c r="M29" i="5" s="1"/>
  <c r="M29" i="10" s="1"/>
  <c r="N28" i="5"/>
  <c r="M28" i="5" s="1"/>
  <c r="M28" i="10" s="1"/>
  <c r="N25" i="5"/>
  <c r="M25" i="5" s="1"/>
  <c r="M25" i="10" s="1"/>
  <c r="N44" i="5"/>
  <c r="M44" i="5" s="1"/>
  <c r="F35" i="10"/>
  <c r="N57" i="10" s="1"/>
  <c r="F27" i="24"/>
  <c r="F29" i="24" s="1"/>
  <c r="N35" i="24" s="1"/>
  <c r="M35" i="24" s="1"/>
  <c r="I32" i="25"/>
  <c r="F34" i="23"/>
  <c r="F42" i="23" s="1"/>
  <c r="G42" i="23" s="1"/>
  <c r="F24" i="23"/>
  <c r="F26" i="23"/>
  <c r="N58" i="23" s="1"/>
  <c r="E36" i="24"/>
  <c r="F36" i="24" s="1"/>
  <c r="E37" i="24"/>
  <c r="F37" i="24" s="1"/>
  <c r="E38" i="24"/>
  <c r="F38" i="24" s="1"/>
  <c r="E39" i="24"/>
  <c r="F39" i="24" s="1"/>
  <c r="E36" i="5"/>
  <c r="F36" i="5" s="1"/>
  <c r="E35" i="5"/>
  <c r="F35" i="5" s="1"/>
  <c r="E38" i="5"/>
  <c r="F38" i="5" s="1"/>
  <c r="E37" i="5"/>
  <c r="F37" i="5" s="1"/>
  <c r="F27" i="38"/>
  <c r="F27" i="39"/>
  <c r="G32" i="39" s="1"/>
  <c r="N41" i="39" s="1"/>
  <c r="F39" i="39"/>
  <c r="G39" i="39" s="1"/>
  <c r="F41" i="39"/>
  <c r="G41" i="39" s="1"/>
  <c r="N57" i="39"/>
  <c r="F40" i="39"/>
  <c r="G40" i="39" s="1"/>
  <c r="F42" i="39"/>
  <c r="G42" i="39" s="1"/>
  <c r="GG127" i="35"/>
  <c r="GG158" i="35"/>
  <c r="F23" i="9"/>
  <c r="F25" i="9" s="1"/>
  <c r="F27" i="9" s="1"/>
  <c r="O18" i="9" s="1"/>
  <c r="F24" i="7"/>
  <c r="G25" i="37"/>
  <c r="M25" i="37" s="1"/>
  <c r="N55" i="20"/>
  <c r="N54" i="20"/>
  <c r="N53" i="20"/>
  <c r="N51" i="20"/>
  <c r="N52" i="20"/>
  <c r="N53" i="24"/>
  <c r="N54" i="24"/>
  <c r="N55" i="24"/>
  <c r="N51" i="24"/>
  <c r="N52" i="24"/>
  <c r="M53" i="5"/>
  <c r="K53" i="5"/>
  <c r="M52" i="5"/>
  <c r="K52" i="5"/>
  <c r="K51" i="5"/>
  <c r="M51" i="5"/>
  <c r="K54" i="5"/>
  <c r="M54" i="5"/>
  <c r="K55" i="5"/>
  <c r="M55" i="5"/>
  <c r="D26" i="37"/>
  <c r="A27" i="37"/>
  <c r="M26" i="37"/>
  <c r="BY33" i="37"/>
  <c r="BX33" i="37" s="1"/>
  <c r="BZ33" i="37" s="1"/>
  <c r="BY34" i="37" s="1"/>
  <c r="BX34" i="37" s="1"/>
  <c r="BZ34" i="37" s="1"/>
  <c r="BY35" i="37" s="1"/>
  <c r="BX35" i="37" s="1"/>
  <c r="BZ35" i="37" s="1"/>
  <c r="BY36" i="37" s="1"/>
  <c r="BX36" i="37" s="1"/>
  <c r="BZ36" i="37" s="1"/>
  <c r="BY37" i="37" s="1"/>
  <c r="BX37" i="37" s="1"/>
  <c r="BZ37" i="37" s="1"/>
  <c r="BY38" i="37" s="1"/>
  <c r="BX38" i="37" s="1"/>
  <c r="BZ38" i="37" s="1"/>
  <c r="BY39" i="37" s="1"/>
  <c r="BX39" i="37" s="1"/>
  <c r="BZ39" i="37" s="1"/>
  <c r="BY40" i="37" s="1"/>
  <c r="BX40" i="37" s="1"/>
  <c r="BZ40" i="37" s="1"/>
  <c r="BY41" i="37" s="1"/>
  <c r="BX41" i="37" s="1"/>
  <c r="BZ41" i="37" s="1"/>
  <c r="BY42" i="37" s="1"/>
  <c r="BX42" i="37" s="1"/>
  <c r="BZ42" i="37" s="1"/>
  <c r="BY43" i="37" s="1"/>
  <c r="BX43" i="37" s="1"/>
  <c r="BZ43" i="37" s="1"/>
  <c r="BY44" i="37" s="1"/>
  <c r="BX44" i="37" s="1"/>
  <c r="BZ44" i="37" s="1"/>
  <c r="BY45" i="37" s="1"/>
  <c r="BX45" i="37" s="1"/>
  <c r="BZ45" i="37" s="1"/>
  <c r="B73" i="37"/>
  <c r="BH21" i="37"/>
  <c r="N49" i="24"/>
  <c r="K49" i="24" s="1"/>
  <c r="N48" i="24"/>
  <c r="M48" i="24" s="1"/>
  <c r="N50" i="24"/>
  <c r="K50" i="24" s="1"/>
  <c r="F38" i="32"/>
  <c r="G38" i="32" s="1"/>
  <c r="F39" i="32"/>
  <c r="G39" i="32" s="1"/>
  <c r="F40" i="32"/>
  <c r="G40" i="32" s="1"/>
  <c r="F41" i="32"/>
  <c r="G41" i="32" s="1"/>
  <c r="G31" i="34"/>
  <c r="N40" i="34" s="1"/>
  <c r="M40" i="34" s="1"/>
  <c r="G29" i="34"/>
  <c r="N18" i="34" s="1"/>
  <c r="M18" i="34" s="1"/>
  <c r="G30" i="34"/>
  <c r="N29" i="34" s="1"/>
  <c r="F25" i="6"/>
  <c r="F27" i="6" s="1"/>
  <c r="M18" i="6" s="1"/>
  <c r="I32" i="13"/>
  <c r="K48" i="5"/>
  <c r="M48" i="5"/>
  <c r="F26" i="8"/>
  <c r="F28" i="8" s="1"/>
  <c r="O19" i="8" s="1"/>
  <c r="I32" i="28"/>
  <c r="M37" i="5"/>
  <c r="M37" i="10" s="1"/>
  <c r="K37" i="5"/>
  <c r="M50" i="5"/>
  <c r="K50" i="5"/>
  <c r="N23" i="20"/>
  <c r="N43" i="20"/>
  <c r="N20" i="20"/>
  <c r="N32" i="20"/>
  <c r="N50" i="20"/>
  <c r="N31" i="20"/>
  <c r="N22" i="20"/>
  <c r="N34" i="20"/>
  <c r="N42" i="20"/>
  <c r="N25" i="20"/>
  <c r="N41" i="20"/>
  <c r="N24" i="20"/>
  <c r="N36" i="20"/>
  <c r="N48" i="20"/>
  <c r="N35" i="20"/>
  <c r="N26" i="20"/>
  <c r="N49" i="20"/>
  <c r="N46" i="20"/>
  <c r="N37" i="20"/>
  <c r="N33" i="20"/>
  <c r="N19" i="20"/>
  <c r="N44" i="20"/>
  <c r="N18" i="20"/>
  <c r="N21" i="20"/>
  <c r="N30" i="20"/>
  <c r="N28" i="20"/>
  <c r="N47" i="20"/>
  <c r="N29" i="20"/>
  <c r="N45" i="20"/>
  <c r="N38" i="20"/>
  <c r="N40" i="20"/>
  <c r="N27" i="20"/>
  <c r="N39" i="20"/>
  <c r="M49" i="5"/>
  <c r="K49" i="5"/>
  <c r="BZ219" i="35" l="1"/>
  <c r="BZ220" i="35" s="1"/>
  <c r="P206" i="19"/>
  <c r="AE206" i="19" s="1"/>
  <c r="GY206" i="35"/>
  <c r="HU206" i="35" s="1"/>
  <c r="BX220" i="35"/>
  <c r="BU220" i="35"/>
  <c r="CA220" i="35"/>
  <c r="F28" i="10"/>
  <c r="G33" i="10" s="1"/>
  <c r="N59" i="23"/>
  <c r="F41" i="23"/>
  <c r="G41" i="23" s="1"/>
  <c r="E37" i="6"/>
  <c r="F37" i="6" s="1"/>
  <c r="F40" i="23"/>
  <c r="G40" i="23" s="1"/>
  <c r="M32" i="5"/>
  <c r="M32" i="10" s="1"/>
  <c r="E38" i="6"/>
  <c r="F38" i="6" s="1"/>
  <c r="K43" i="5"/>
  <c r="M19" i="6"/>
  <c r="K29" i="5"/>
  <c r="E36" i="6"/>
  <c r="F36" i="6" s="1"/>
  <c r="K28" i="5"/>
  <c r="K23" i="5"/>
  <c r="F39" i="10"/>
  <c r="G39" i="10" s="1"/>
  <c r="M36" i="5"/>
  <c r="M36" i="10" s="1"/>
  <c r="M35" i="5"/>
  <c r="M35" i="10" s="1"/>
  <c r="F40" i="10"/>
  <c r="G40" i="10" s="1"/>
  <c r="M41" i="5"/>
  <c r="K39" i="5"/>
  <c r="M26" i="5"/>
  <c r="M26" i="10" s="1"/>
  <c r="M42" i="5"/>
  <c r="N31" i="24"/>
  <c r="K31" i="24" s="1"/>
  <c r="M46" i="5"/>
  <c r="N34" i="24"/>
  <c r="K34" i="24" s="1"/>
  <c r="N33" i="24"/>
  <c r="K33" i="24" s="1"/>
  <c r="N29" i="24"/>
  <c r="K29" i="24" s="1"/>
  <c r="N42" i="24"/>
  <c r="M42" i="24" s="1"/>
  <c r="M21" i="5"/>
  <c r="M21" i="10" s="1"/>
  <c r="K22" i="5"/>
  <c r="F39" i="23"/>
  <c r="G39" i="23" s="1"/>
  <c r="K34" i="5"/>
  <c r="K18" i="5"/>
  <c r="K30" i="5"/>
  <c r="M20" i="5"/>
  <c r="M20" i="10" s="1"/>
  <c r="K25" i="5"/>
  <c r="K45" i="5"/>
  <c r="F41" i="10"/>
  <c r="G41" i="10" s="1"/>
  <c r="K44" i="5"/>
  <c r="K38" i="5"/>
  <c r="N38" i="24"/>
  <c r="M38" i="24" s="1"/>
  <c r="N23" i="24"/>
  <c r="K23" i="24" s="1"/>
  <c r="N36" i="24"/>
  <c r="K36" i="24" s="1"/>
  <c r="N25" i="24"/>
  <c r="M25" i="24" s="1"/>
  <c r="N40" i="24"/>
  <c r="M40" i="24" s="1"/>
  <c r="N32" i="24"/>
  <c r="M32" i="24" s="1"/>
  <c r="N45" i="24"/>
  <c r="M45" i="24" s="1"/>
  <c r="N20" i="24"/>
  <c r="M20" i="24" s="1"/>
  <c r="N28" i="24"/>
  <c r="M28" i="24" s="1"/>
  <c r="N18" i="24"/>
  <c r="K18" i="24" s="1"/>
  <c r="N21" i="24"/>
  <c r="M21" i="24" s="1"/>
  <c r="N37" i="24"/>
  <c r="M37" i="24" s="1"/>
  <c r="N19" i="24"/>
  <c r="M19" i="24" s="1"/>
  <c r="N47" i="24"/>
  <c r="M47" i="24" s="1"/>
  <c r="N30" i="24"/>
  <c r="M30" i="24" s="1"/>
  <c r="N22" i="24"/>
  <c r="K22" i="24" s="1"/>
  <c r="N46" i="24"/>
  <c r="K46" i="24" s="1"/>
  <c r="N43" i="24"/>
  <c r="K43" i="24" s="1"/>
  <c r="N27" i="24"/>
  <c r="M27" i="24" s="1"/>
  <c r="N44" i="24"/>
  <c r="K44" i="24" s="1"/>
  <c r="N24" i="24"/>
  <c r="K24" i="24" s="1"/>
  <c r="K47" i="5"/>
  <c r="N39" i="24"/>
  <c r="M39" i="24" s="1"/>
  <c r="N41" i="24"/>
  <c r="K41" i="24" s="1"/>
  <c r="N26" i="24"/>
  <c r="M26" i="24" s="1"/>
  <c r="F42" i="10"/>
  <c r="G42" i="10" s="1"/>
  <c r="M40" i="5"/>
  <c r="K19" i="5"/>
  <c r="F27" i="23"/>
  <c r="G31" i="23" s="1"/>
  <c r="M31" i="5"/>
  <c r="M31" i="10" s="1"/>
  <c r="K33" i="5"/>
  <c r="M27" i="5"/>
  <c r="M27" i="10" s="1"/>
  <c r="M24" i="5"/>
  <c r="M24" i="10" s="1"/>
  <c r="E52" i="6"/>
  <c r="F52" i="6" s="1"/>
  <c r="E51" i="6"/>
  <c r="F51" i="6" s="1"/>
  <c r="E50" i="6"/>
  <c r="F50" i="6" s="1"/>
  <c r="E49" i="6"/>
  <c r="F49" i="6" s="1"/>
  <c r="F30" i="7"/>
  <c r="E38" i="7" s="1"/>
  <c r="F38" i="7" s="1"/>
  <c r="F47" i="7"/>
  <c r="F29" i="38"/>
  <c r="N18" i="38" s="1"/>
  <c r="G31" i="39"/>
  <c r="N29" i="39" s="1"/>
  <c r="G30" i="39"/>
  <c r="N18" i="39" s="1"/>
  <c r="N19" i="39" s="1"/>
  <c r="N20" i="39" s="1"/>
  <c r="N21" i="39" s="1"/>
  <c r="N22" i="39" s="1"/>
  <c r="N23" i="39" s="1"/>
  <c r="N24" i="39" s="1"/>
  <c r="N25" i="39" s="1"/>
  <c r="N26" i="39" s="1"/>
  <c r="N27" i="39" s="1"/>
  <c r="N28" i="39" s="1"/>
  <c r="M54" i="39"/>
  <c r="N42" i="39"/>
  <c r="N43" i="39" s="1"/>
  <c r="N44" i="39" s="1"/>
  <c r="N45" i="39" s="1"/>
  <c r="N46" i="39" s="1"/>
  <c r="N47" i="39" s="1"/>
  <c r="N48" i="39" s="1"/>
  <c r="N49" i="39" s="1"/>
  <c r="N50" i="39" s="1"/>
  <c r="N51" i="39" s="1"/>
  <c r="N52" i="39" s="1"/>
  <c r="M55" i="10"/>
  <c r="M55" i="39"/>
  <c r="GG129" i="35"/>
  <c r="GG160" i="35"/>
  <c r="I32" i="29"/>
  <c r="F26" i="7"/>
  <c r="F28" i="7" s="1"/>
  <c r="P19" i="7" s="1"/>
  <c r="I32" i="27"/>
  <c r="I25" i="37"/>
  <c r="C26" i="37" s="1"/>
  <c r="H26" i="37" s="1"/>
  <c r="N26" i="37" s="1"/>
  <c r="M27" i="37"/>
  <c r="K54" i="24"/>
  <c r="M54" i="24"/>
  <c r="M53" i="24"/>
  <c r="K53" i="24"/>
  <c r="K52" i="20"/>
  <c r="M52" i="20"/>
  <c r="K51" i="20"/>
  <c r="M51" i="20"/>
  <c r="K52" i="24"/>
  <c r="M52" i="24"/>
  <c r="K53" i="20"/>
  <c r="M53" i="20"/>
  <c r="M51" i="24"/>
  <c r="K51" i="24"/>
  <c r="M54" i="20"/>
  <c r="K54" i="20"/>
  <c r="M55" i="24"/>
  <c r="K55" i="24"/>
  <c r="K55" i="20"/>
  <c r="M55" i="20"/>
  <c r="BY46" i="37"/>
  <c r="BX46" i="37" s="1"/>
  <c r="BZ46" i="37" s="1"/>
  <c r="BY47" i="37" s="1"/>
  <c r="BX47" i="37" s="1"/>
  <c r="BZ47" i="37" s="1"/>
  <c r="D27" i="37"/>
  <c r="A28" i="37"/>
  <c r="B74" i="37"/>
  <c r="BI21" i="37"/>
  <c r="M49" i="24"/>
  <c r="K35" i="24"/>
  <c r="K48" i="24"/>
  <c r="M50" i="24"/>
  <c r="K40" i="34"/>
  <c r="N41" i="34"/>
  <c r="K41" i="34" s="1"/>
  <c r="K18" i="34"/>
  <c r="N19" i="34"/>
  <c r="M19" i="34" s="1"/>
  <c r="N39" i="34"/>
  <c r="M39" i="34" s="1"/>
  <c r="M28" i="20"/>
  <c r="K28" i="20"/>
  <c r="K46" i="20"/>
  <c r="M46" i="20"/>
  <c r="K25" i="20"/>
  <c r="M25" i="20"/>
  <c r="K43" i="20"/>
  <c r="M43" i="20"/>
  <c r="M39" i="20"/>
  <c r="K39" i="20"/>
  <c r="K30" i="20"/>
  <c r="M30" i="20"/>
  <c r="M49" i="20"/>
  <c r="K49" i="20"/>
  <c r="K42" i="20"/>
  <c r="M42" i="20"/>
  <c r="K23" i="20"/>
  <c r="M23" i="20"/>
  <c r="M27" i="20"/>
  <c r="K27" i="20"/>
  <c r="M21" i="20"/>
  <c r="K21" i="20"/>
  <c r="K26" i="20"/>
  <c r="M26" i="20"/>
  <c r="M34" i="20"/>
  <c r="K34" i="20"/>
  <c r="M40" i="20"/>
  <c r="K40" i="20"/>
  <c r="M18" i="20"/>
  <c r="K18" i="20"/>
  <c r="M35" i="20"/>
  <c r="K35" i="20"/>
  <c r="M22" i="20"/>
  <c r="K22" i="20"/>
  <c r="K38" i="20"/>
  <c r="M38" i="20"/>
  <c r="M44" i="20"/>
  <c r="K44" i="20"/>
  <c r="K48" i="20"/>
  <c r="M48" i="20"/>
  <c r="K31" i="20"/>
  <c r="M31" i="20"/>
  <c r="K45" i="20"/>
  <c r="M45" i="20"/>
  <c r="M19" i="20"/>
  <c r="K19" i="20"/>
  <c r="K36" i="20"/>
  <c r="M36" i="20"/>
  <c r="K50" i="20"/>
  <c r="M50" i="20"/>
  <c r="K29" i="20"/>
  <c r="M29" i="20"/>
  <c r="M33" i="20"/>
  <c r="K33" i="20"/>
  <c r="M24" i="20"/>
  <c r="K24" i="20"/>
  <c r="M32" i="20"/>
  <c r="K32" i="20"/>
  <c r="K47" i="20"/>
  <c r="M47" i="20"/>
  <c r="M37" i="20"/>
  <c r="K37" i="20"/>
  <c r="M41" i="20"/>
  <c r="K41" i="20"/>
  <c r="M20" i="20"/>
  <c r="K20" i="20"/>
  <c r="N30" i="34"/>
  <c r="K29" i="34"/>
  <c r="M29" i="34"/>
  <c r="CA219" i="35" l="1"/>
  <c r="CG219" i="35" s="1"/>
  <c r="CB219" i="35"/>
  <c r="EB219" i="35" s="1"/>
  <c r="G31" i="10"/>
  <c r="G32" i="10"/>
  <c r="M29" i="24"/>
  <c r="M41" i="24"/>
  <c r="K47" i="24"/>
  <c r="K32" i="24"/>
  <c r="E39" i="7"/>
  <c r="F39" i="7" s="1"/>
  <c r="M31" i="24"/>
  <c r="M34" i="24"/>
  <c r="M33" i="24"/>
  <c r="K20" i="24"/>
  <c r="M22" i="24"/>
  <c r="M36" i="24"/>
  <c r="M23" i="24"/>
  <c r="K27" i="24"/>
  <c r="K21" i="24"/>
  <c r="G30" i="23"/>
  <c r="G32" i="23"/>
  <c r="M24" i="24"/>
  <c r="K42" i="24"/>
  <c r="K40" i="24"/>
  <c r="K19" i="24"/>
  <c r="K38" i="24"/>
  <c r="M44" i="24"/>
  <c r="K37" i="24"/>
  <c r="K25" i="24"/>
  <c r="K45" i="24"/>
  <c r="K39" i="24"/>
  <c r="K30" i="24"/>
  <c r="M18" i="24"/>
  <c r="E36" i="7"/>
  <c r="F36" i="7" s="1"/>
  <c r="E37" i="7"/>
  <c r="F37" i="7" s="1"/>
  <c r="K26" i="24"/>
  <c r="M43" i="24"/>
  <c r="M46" i="24"/>
  <c r="K28" i="24"/>
  <c r="P20" i="7"/>
  <c r="E51" i="7"/>
  <c r="F51" i="7" s="1"/>
  <c r="E52" i="7"/>
  <c r="F52" i="7" s="1"/>
  <c r="E53" i="7"/>
  <c r="F53" i="7" s="1"/>
  <c r="E50" i="7"/>
  <c r="F50" i="7" s="1"/>
  <c r="N42" i="38"/>
  <c r="K42" i="38" s="1"/>
  <c r="K42" i="39" s="1"/>
  <c r="N30" i="38"/>
  <c r="K30" i="38" s="1"/>
  <c r="K30" i="39" s="1"/>
  <c r="M18" i="38"/>
  <c r="M18" i="39" s="1"/>
  <c r="N19" i="38"/>
  <c r="N20" i="38" s="1"/>
  <c r="K20" i="38" s="1"/>
  <c r="K20" i="39" s="1"/>
  <c r="K18" i="38"/>
  <c r="K18" i="39" s="1"/>
  <c r="N30" i="39"/>
  <c r="N31" i="39" s="1"/>
  <c r="N32" i="39" s="1"/>
  <c r="N33" i="39" s="1"/>
  <c r="N34" i="39" s="1"/>
  <c r="N35" i="39" s="1"/>
  <c r="N36" i="39" s="1"/>
  <c r="N37" i="39" s="1"/>
  <c r="N38" i="39" s="1"/>
  <c r="N39" i="39" s="1"/>
  <c r="N40" i="39" s="1"/>
  <c r="GG131" i="35"/>
  <c r="GG162" i="35"/>
  <c r="F26" i="37"/>
  <c r="G26" i="37" s="1"/>
  <c r="I26" i="37" s="1"/>
  <c r="C27" i="37" s="1"/>
  <c r="H27" i="37" s="1"/>
  <c r="O26" i="37" s="1"/>
  <c r="BY48" i="37"/>
  <c r="BX48" i="37" s="1"/>
  <c r="BZ48" i="37" s="1"/>
  <c r="BY49" i="37" s="1"/>
  <c r="BX49" i="37" s="1"/>
  <c r="BZ49" i="37" s="1"/>
  <c r="BY50" i="37" s="1"/>
  <c r="BX50" i="37" s="1"/>
  <c r="BZ50" i="37" s="1"/>
  <c r="BY51" i="37" s="1"/>
  <c r="BX51" i="37" s="1"/>
  <c r="BZ51" i="37" s="1"/>
  <c r="BY52" i="37" s="1"/>
  <c r="BX52" i="37" s="1"/>
  <c r="BZ52" i="37" s="1"/>
  <c r="BY53" i="37" s="1"/>
  <c r="BX53" i="37" s="1"/>
  <c r="BZ53" i="37" s="1"/>
  <c r="BY54" i="37" s="1"/>
  <c r="BX54" i="37" s="1"/>
  <c r="BZ54" i="37" s="1"/>
  <c r="BY55" i="37" s="1"/>
  <c r="BX55" i="37" s="1"/>
  <c r="BZ55" i="37" s="1"/>
  <c r="BY56" i="37" s="1"/>
  <c r="BX56" i="37" s="1"/>
  <c r="BZ56" i="37" s="1"/>
  <c r="BY57" i="37" s="1"/>
  <c r="BX57" i="37" s="1"/>
  <c r="BZ57" i="37" s="1"/>
  <c r="BY58" i="37" s="1"/>
  <c r="BX58" i="37" s="1"/>
  <c r="BZ58" i="37" s="1"/>
  <c r="BY59" i="37" s="1"/>
  <c r="BX59" i="37" s="1"/>
  <c r="BZ59" i="37" s="1"/>
  <c r="BY60" i="37" s="1"/>
  <c r="BX60" i="37" s="1"/>
  <c r="BZ60" i="37" s="1"/>
  <c r="BY61" i="37" s="1"/>
  <c r="BX61" i="37" s="1"/>
  <c r="BZ61" i="37" s="1"/>
  <c r="BY62" i="37" s="1"/>
  <c r="BX62" i="37" s="1"/>
  <c r="BZ62" i="37" s="1"/>
  <c r="BY63" i="37" s="1"/>
  <c r="BX63" i="37" s="1"/>
  <c r="BZ63" i="37" s="1"/>
  <c r="BY64" i="37" s="1"/>
  <c r="BX64" i="37" s="1"/>
  <c r="BZ64" i="37" s="1"/>
  <c r="BY65" i="37" s="1"/>
  <c r="BX65" i="37" s="1"/>
  <c r="BZ65" i="37" s="1"/>
  <c r="BY66" i="37" s="1"/>
  <c r="BX66" i="37" s="1"/>
  <c r="BZ66" i="37" s="1"/>
  <c r="BY67" i="37" s="1"/>
  <c r="BX67" i="37" s="1"/>
  <c r="BZ67" i="37" s="1"/>
  <c r="BY68" i="37" s="1"/>
  <c r="BX68" i="37" s="1"/>
  <c r="BZ68" i="37" s="1"/>
  <c r="BY69" i="37" s="1"/>
  <c r="BX69" i="37" s="1"/>
  <c r="BZ69" i="37" s="1"/>
  <c r="BY70" i="37" s="1"/>
  <c r="BX70" i="37" s="1"/>
  <c r="BZ70" i="37" s="1"/>
  <c r="BY71" i="37" s="1"/>
  <c r="BX71" i="37" s="1"/>
  <c r="BZ71" i="37" s="1"/>
  <c r="BY72" i="37" s="1"/>
  <c r="BX72" i="37" s="1"/>
  <c r="BZ72" i="37" s="1"/>
  <c r="D28" i="37"/>
  <c r="A29" i="37"/>
  <c r="B75" i="37"/>
  <c r="BJ21" i="37"/>
  <c r="N42" i="34"/>
  <c r="K42" i="34" s="1"/>
  <c r="K19" i="34"/>
  <c r="M41" i="34"/>
  <c r="N20" i="34"/>
  <c r="N21" i="34" s="1"/>
  <c r="N31" i="34"/>
  <c r="K30" i="34"/>
  <c r="M30" i="34"/>
  <c r="CB220" i="35" l="1"/>
  <c r="CI219" i="35"/>
  <c r="CI220" i="35" s="1"/>
  <c r="CH219" i="35"/>
  <c r="CG220" i="35"/>
  <c r="N43" i="38"/>
  <c r="M43" i="38" s="1"/>
  <c r="M43" i="39" s="1"/>
  <c r="M42" i="38"/>
  <c r="M42" i="39" s="1"/>
  <c r="M30" i="38"/>
  <c r="M30" i="39" s="1"/>
  <c r="M19" i="38"/>
  <c r="M19" i="39" s="1"/>
  <c r="N31" i="38"/>
  <c r="K31" i="38" s="1"/>
  <c r="K31" i="39" s="1"/>
  <c r="N21" i="38"/>
  <c r="K21" i="38" s="1"/>
  <c r="K21" i="39" s="1"/>
  <c r="M20" i="38"/>
  <c r="M20" i="39" s="1"/>
  <c r="K19" i="38"/>
  <c r="K19" i="39" s="1"/>
  <c r="GG133" i="35"/>
  <c r="GG164" i="35"/>
  <c r="N25" i="37"/>
  <c r="N27" i="37" s="1"/>
  <c r="F27" i="37"/>
  <c r="G27" i="37" s="1"/>
  <c r="O25" i="37" s="1"/>
  <c r="O27" i="37" s="1"/>
  <c r="D29" i="37"/>
  <c r="A30" i="37"/>
  <c r="B76" i="37"/>
  <c r="BK21" i="37"/>
  <c r="BY73" i="37"/>
  <c r="BX73" i="37" s="1"/>
  <c r="BZ73" i="37" s="1"/>
  <c r="N43" i="34"/>
  <c r="K43" i="34" s="1"/>
  <c r="M42" i="34"/>
  <c r="M20" i="34"/>
  <c r="K20" i="34"/>
  <c r="K21" i="34"/>
  <c r="N22" i="34"/>
  <c r="M21" i="34"/>
  <c r="M31" i="34"/>
  <c r="K31" i="34"/>
  <c r="N32" i="34"/>
  <c r="CJ219" i="35" l="1"/>
  <c r="CK219" i="35"/>
  <c r="CK220" i="35" s="1"/>
  <c r="CH220" i="35"/>
  <c r="CH223" i="35"/>
  <c r="H219" i="19"/>
  <c r="Z219" i="19" s="1"/>
  <c r="N44" i="38"/>
  <c r="N45" i="38" s="1"/>
  <c r="K43" i="38"/>
  <c r="K43" i="39" s="1"/>
  <c r="M21" i="38"/>
  <c r="M21" i="39" s="1"/>
  <c r="N22" i="38"/>
  <c r="N23" i="38" s="1"/>
  <c r="N32" i="38"/>
  <c r="M32" i="38" s="1"/>
  <c r="M32" i="39" s="1"/>
  <c r="M31" i="38"/>
  <c r="M31" i="39" s="1"/>
  <c r="GG135" i="35"/>
  <c r="GG166" i="35"/>
  <c r="I27" i="37"/>
  <c r="C28" i="37" s="1"/>
  <c r="H28" i="37" s="1"/>
  <c r="P26" i="37" s="1"/>
  <c r="D30" i="37"/>
  <c r="A31" i="37"/>
  <c r="BY74" i="37"/>
  <c r="BX74" i="37" s="1"/>
  <c r="BZ74" i="37" s="1"/>
  <c r="B77" i="37"/>
  <c r="BL21" i="37"/>
  <c r="N44" i="34"/>
  <c r="K44" i="34" s="1"/>
  <c r="M43" i="34"/>
  <c r="N33" i="34"/>
  <c r="M32" i="34"/>
  <c r="K32" i="34"/>
  <c r="N23" i="34"/>
  <c r="K22" i="34"/>
  <c r="M22" i="34"/>
  <c r="CL219" i="35" l="1"/>
  <c r="CZ219" i="35" s="1"/>
  <c r="CJ220" i="35"/>
  <c r="I219" i="19"/>
  <c r="AA219" i="19" s="1"/>
  <c r="M44" i="38"/>
  <c r="M44" i="39" s="1"/>
  <c r="K44" i="38"/>
  <c r="K44" i="39" s="1"/>
  <c r="M22" i="38"/>
  <c r="M22" i="39" s="1"/>
  <c r="K22" i="38"/>
  <c r="K22" i="39" s="1"/>
  <c r="K32" i="38"/>
  <c r="K32" i="39" s="1"/>
  <c r="N33" i="38"/>
  <c r="K33" i="38" s="1"/>
  <c r="K33" i="39" s="1"/>
  <c r="N46" i="38"/>
  <c r="M45" i="38"/>
  <c r="M45" i="39" s="1"/>
  <c r="K45" i="38"/>
  <c r="K45" i="39" s="1"/>
  <c r="N24" i="38"/>
  <c r="M23" i="38"/>
  <c r="M23" i="39" s="1"/>
  <c r="K23" i="38"/>
  <c r="K23" i="39" s="1"/>
  <c r="GG137" i="35"/>
  <c r="GG168" i="35"/>
  <c r="F28" i="37"/>
  <c r="G28" i="37" s="1"/>
  <c r="P25" i="37" s="1"/>
  <c r="P27" i="37" s="1"/>
  <c r="D31" i="37"/>
  <c r="A32" i="37"/>
  <c r="BY75" i="37"/>
  <c r="BX75" i="37" s="1"/>
  <c r="BZ75" i="37" s="1"/>
  <c r="B78" i="37"/>
  <c r="BM21" i="37"/>
  <c r="N45" i="34"/>
  <c r="K45" i="34" s="1"/>
  <c r="M44" i="34"/>
  <c r="N34" i="34"/>
  <c r="K33" i="34"/>
  <c r="M33" i="34"/>
  <c r="N24" i="34"/>
  <c r="K23" i="34"/>
  <c r="M23" i="34"/>
  <c r="CL220" i="35" l="1"/>
  <c r="GS219" i="35"/>
  <c r="HG219" i="35" s="1"/>
  <c r="HO219" i="35" s="1"/>
  <c r="HR219" i="35" s="1"/>
  <c r="GA219" i="35"/>
  <c r="GI219" i="35" s="1"/>
  <c r="CN219" i="35"/>
  <c r="CP219" i="35" s="1"/>
  <c r="DA219" i="35"/>
  <c r="X219" i="19" s="1"/>
  <c r="CT219" i="35"/>
  <c r="CX219" i="35" s="1"/>
  <c r="DB219" i="35"/>
  <c r="Y219" i="19" s="1"/>
  <c r="CY219" i="35"/>
  <c r="V219" i="19" s="1"/>
  <c r="J219" i="19"/>
  <c r="AB219" i="19" s="1"/>
  <c r="DB220" i="35"/>
  <c r="DA220" i="35"/>
  <c r="W219" i="19"/>
  <c r="CZ220" i="35"/>
  <c r="M33" i="38"/>
  <c r="M33" i="39" s="1"/>
  <c r="N34" i="38"/>
  <c r="M34" i="38" s="1"/>
  <c r="M34" i="39" s="1"/>
  <c r="K46" i="38"/>
  <c r="K46" i="39" s="1"/>
  <c r="M46" i="38"/>
  <c r="M46" i="39" s="1"/>
  <c r="N47" i="38"/>
  <c r="K24" i="38"/>
  <c r="K24" i="39" s="1"/>
  <c r="N25" i="38"/>
  <c r="M24" i="38"/>
  <c r="M24" i="39" s="1"/>
  <c r="GG139" i="35"/>
  <c r="GG170" i="35"/>
  <c r="I28" i="37"/>
  <c r="C29" i="37" s="1"/>
  <c r="H29" i="37" s="1"/>
  <c r="Q26" i="37" s="1"/>
  <c r="D32" i="37"/>
  <c r="A33" i="37"/>
  <c r="BY76" i="37"/>
  <c r="BX76" i="37" s="1"/>
  <c r="BZ76" i="37" s="1"/>
  <c r="B79" i="37"/>
  <c r="BN21" i="37"/>
  <c r="M45" i="34"/>
  <c r="N46" i="34"/>
  <c r="M46" i="34" s="1"/>
  <c r="N35" i="34"/>
  <c r="K34" i="34"/>
  <c r="M34" i="34"/>
  <c r="N25" i="34"/>
  <c r="K24" i="34"/>
  <c r="M24" i="34"/>
  <c r="CN220" i="35" l="1"/>
  <c r="CT220" i="35"/>
  <c r="GU219" i="35"/>
  <c r="HI219" i="35" s="1"/>
  <c r="L219" i="19"/>
  <c r="GC219" i="35"/>
  <c r="GE219" i="35" s="1"/>
  <c r="HQ219" i="35"/>
  <c r="CY220" i="35"/>
  <c r="CW219" i="35"/>
  <c r="T219" i="19" s="1"/>
  <c r="Q219" i="19"/>
  <c r="AF219" i="19" s="1"/>
  <c r="HA219" i="35"/>
  <c r="CV219" i="35"/>
  <c r="S219" i="19" s="1"/>
  <c r="CU219" i="35"/>
  <c r="R219" i="19" s="1"/>
  <c r="HS219" i="35"/>
  <c r="HP219" i="35"/>
  <c r="GJ219" i="35"/>
  <c r="GM219" i="35" s="1"/>
  <c r="GO219" i="35" s="1"/>
  <c r="GK219" i="35"/>
  <c r="GW219" i="35"/>
  <c r="HK219" i="35" s="1"/>
  <c r="HM219" i="35" s="1"/>
  <c r="CP220" i="35"/>
  <c r="N219" i="19"/>
  <c r="CR219" i="35"/>
  <c r="HE219" i="35"/>
  <c r="CX220" i="35"/>
  <c r="U219" i="19"/>
  <c r="K34" i="38"/>
  <c r="K34" i="39" s="1"/>
  <c r="N35" i="38"/>
  <c r="M35" i="38" s="1"/>
  <c r="M35" i="39" s="1"/>
  <c r="M47" i="38"/>
  <c r="M47" i="39" s="1"/>
  <c r="K47" i="38"/>
  <c r="K47" i="39" s="1"/>
  <c r="N48" i="38"/>
  <c r="K25" i="38"/>
  <c r="K25" i="39" s="1"/>
  <c r="N26" i="38"/>
  <c r="M25" i="38"/>
  <c r="M25" i="39" s="1"/>
  <c r="GG141" i="35"/>
  <c r="GG172" i="35"/>
  <c r="F29" i="37"/>
  <c r="G29" i="37" s="1"/>
  <c r="Q25" i="37" s="1"/>
  <c r="Q27" i="37" s="1"/>
  <c r="D33" i="37"/>
  <c r="A34" i="37"/>
  <c r="B80" i="37"/>
  <c r="BO21" i="37"/>
  <c r="BY77" i="37"/>
  <c r="BX77" i="37" s="1"/>
  <c r="BZ77" i="37" s="1"/>
  <c r="N47" i="34"/>
  <c r="M47" i="34" s="1"/>
  <c r="K46" i="34"/>
  <c r="N36" i="34"/>
  <c r="M35" i="34"/>
  <c r="K35" i="34"/>
  <c r="M25" i="34"/>
  <c r="N26" i="34"/>
  <c r="K25" i="34"/>
  <c r="CU220" i="35" l="1"/>
  <c r="CV220" i="35"/>
  <c r="HD219" i="35"/>
  <c r="CW220" i="35"/>
  <c r="HB219" i="35"/>
  <c r="HC219" i="35"/>
  <c r="P219" i="19"/>
  <c r="AE219" i="19" s="1"/>
  <c r="CR220" i="35"/>
  <c r="GY219" i="35"/>
  <c r="HU219" i="35" s="1"/>
  <c r="N36" i="38"/>
  <c r="N37" i="38" s="1"/>
  <c r="K35" i="38"/>
  <c r="K35" i="39" s="1"/>
  <c r="K48" i="38"/>
  <c r="K48" i="39" s="1"/>
  <c r="M48" i="38"/>
  <c r="M48" i="39" s="1"/>
  <c r="N49" i="38"/>
  <c r="N27" i="38"/>
  <c r="K26" i="38"/>
  <c r="K26" i="39" s="1"/>
  <c r="M26" i="38"/>
  <c r="M26" i="39" s="1"/>
  <c r="GG143" i="35"/>
  <c r="GG174" i="35"/>
  <c r="I29" i="37"/>
  <c r="C30" i="37" s="1"/>
  <c r="H30" i="37" s="1"/>
  <c r="R26" i="37" s="1"/>
  <c r="D34" i="37"/>
  <c r="A35" i="37"/>
  <c r="BY78" i="37"/>
  <c r="BX78" i="37" s="1"/>
  <c r="BZ78" i="37" s="1"/>
  <c r="B81" i="37"/>
  <c r="BP21" i="37"/>
  <c r="K47" i="34"/>
  <c r="N48" i="34"/>
  <c r="M48" i="34" s="1"/>
  <c r="K26" i="34"/>
  <c r="N27" i="34"/>
  <c r="M26" i="34"/>
  <c r="N37" i="34"/>
  <c r="K36" i="34"/>
  <c r="M36" i="34"/>
  <c r="M36" i="38" l="1"/>
  <c r="M36" i="39" s="1"/>
  <c r="K36" i="38"/>
  <c r="K36" i="39" s="1"/>
  <c r="M37" i="38"/>
  <c r="M37" i="39" s="1"/>
  <c r="N38" i="38"/>
  <c r="K37" i="38"/>
  <c r="K37" i="39" s="1"/>
  <c r="K49" i="38"/>
  <c r="K49" i="39" s="1"/>
  <c r="N50" i="38"/>
  <c r="M49" i="38"/>
  <c r="M49" i="39" s="1"/>
  <c r="M27" i="38"/>
  <c r="M27" i="39" s="1"/>
  <c r="N28" i="38"/>
  <c r="K27" i="38"/>
  <c r="K27" i="39" s="1"/>
  <c r="GG145" i="35"/>
  <c r="GG176" i="35"/>
  <c r="F30" i="37"/>
  <c r="G30" i="37" s="1"/>
  <c r="R25" i="37" s="1"/>
  <c r="R27" i="37" s="1"/>
  <c r="D35" i="37"/>
  <c r="A36" i="37"/>
  <c r="BY79" i="37"/>
  <c r="BX79" i="37" s="1"/>
  <c r="BZ79" i="37" s="1"/>
  <c r="B82" i="37"/>
  <c r="BQ21" i="37"/>
  <c r="K48" i="34"/>
  <c r="N49" i="34"/>
  <c r="N50" i="34" s="1"/>
  <c r="M37" i="34"/>
  <c r="K37" i="34"/>
  <c r="N38" i="34"/>
  <c r="N28" i="34"/>
  <c r="M28" i="34" s="1"/>
  <c r="K27" i="34"/>
  <c r="M27" i="34"/>
  <c r="K28" i="38" l="1"/>
  <c r="K28" i="39" s="1"/>
  <c r="N29" i="38"/>
  <c r="M29" i="38" s="1"/>
  <c r="M29" i="39" s="1"/>
  <c r="N51" i="38"/>
  <c r="K50" i="38"/>
  <c r="K50" i="39" s="1"/>
  <c r="M50" i="38"/>
  <c r="M50" i="39" s="1"/>
  <c r="N39" i="38"/>
  <c r="K38" i="38"/>
  <c r="K38" i="39" s="1"/>
  <c r="M38" i="38"/>
  <c r="M38" i="39" s="1"/>
  <c r="M28" i="38"/>
  <c r="M28" i="39" s="1"/>
  <c r="GG147" i="35"/>
  <c r="GG178" i="35"/>
  <c r="I30" i="37"/>
  <c r="C31" i="37" s="1"/>
  <c r="H31" i="37" s="1"/>
  <c r="S26" i="37" s="1"/>
  <c r="D36" i="37"/>
  <c r="A37" i="37"/>
  <c r="BY80" i="37"/>
  <c r="BX80" i="37" s="1"/>
  <c r="BZ80" i="37" s="1"/>
  <c r="B83" i="37"/>
  <c r="BR21" i="37"/>
  <c r="M49" i="34"/>
  <c r="K49" i="34"/>
  <c r="M50" i="34"/>
  <c r="O60" i="34"/>
  <c r="K38" i="34"/>
  <c r="M38" i="34"/>
  <c r="M39" i="38" l="1"/>
  <c r="M39" i="39" s="1"/>
  <c r="N40" i="38"/>
  <c r="K39" i="38"/>
  <c r="K39" i="39" s="1"/>
  <c r="K51" i="38"/>
  <c r="K51" i="39" s="1"/>
  <c r="N52" i="38"/>
  <c r="M51" i="38"/>
  <c r="M51" i="39" s="1"/>
  <c r="GG149" i="35"/>
  <c r="GG180" i="35"/>
  <c r="F31" i="37"/>
  <c r="G31" i="37" s="1"/>
  <c r="D37" i="37"/>
  <c r="A38" i="37"/>
  <c r="BY81" i="37"/>
  <c r="BX81" i="37" s="1"/>
  <c r="BZ81" i="37" s="1"/>
  <c r="B84" i="37"/>
  <c r="BS21" i="37"/>
  <c r="N41" i="38" l="1"/>
  <c r="K40" i="38"/>
  <c r="K40" i="39" s="1"/>
  <c r="M40" i="38"/>
  <c r="M40" i="39" s="1"/>
  <c r="M53" i="38"/>
  <c r="M53" i="39" s="1"/>
  <c r="K52" i="38"/>
  <c r="K52" i="39" s="1"/>
  <c r="M52" i="38"/>
  <c r="M52" i="39" s="1"/>
  <c r="GG151" i="35"/>
  <c r="GG182" i="35"/>
  <c r="S25" i="37"/>
  <c r="S27" i="37" s="1"/>
  <c r="I31" i="37"/>
  <c r="C32" i="37" s="1"/>
  <c r="D38" i="37"/>
  <c r="A39" i="37"/>
  <c r="BY82" i="37"/>
  <c r="BX82" i="37" s="1"/>
  <c r="BZ82" i="37" s="1"/>
  <c r="B85" i="37"/>
  <c r="B86" i="37" s="1"/>
  <c r="B87" i="37" s="1"/>
  <c r="B88" i="37" s="1"/>
  <c r="B89" i="37" s="1"/>
  <c r="B90" i="37" s="1"/>
  <c r="B91" i="37" s="1"/>
  <c r="B92" i="37" s="1"/>
  <c r="B93" i="37" s="1"/>
  <c r="B94" i="37" s="1"/>
  <c r="B95" i="37" s="1"/>
  <c r="B96" i="37" s="1"/>
  <c r="B97" i="37" s="1"/>
  <c r="B98" i="37" s="1"/>
  <c r="B99" i="37" s="1"/>
  <c r="B100" i="37" s="1"/>
  <c r="B101" i="37" s="1"/>
  <c r="B102" i="37" s="1"/>
  <c r="B103" i="37" s="1"/>
  <c r="B104" i="37" s="1"/>
  <c r="B105" i="37" s="1"/>
  <c r="B106" i="37" s="1"/>
  <c r="B107" i="37" s="1"/>
  <c r="B108" i="37" s="1"/>
  <c r="B109" i="37" s="1"/>
  <c r="B110" i="37" s="1"/>
  <c r="B111" i="37" s="1"/>
  <c r="B112" i="37" s="1"/>
  <c r="B113" i="37" s="1"/>
  <c r="B114" i="37" s="1"/>
  <c r="B115" i="37" s="1"/>
  <c r="B116" i="37" s="1"/>
  <c r="B117" i="37" s="1"/>
  <c r="B118" i="37" s="1"/>
  <c r="B119" i="37" s="1"/>
  <c r="B120" i="37" s="1"/>
  <c r="B121" i="37" s="1"/>
  <c r="B122" i="37" s="1"/>
  <c r="B123" i="37" s="1"/>
  <c r="B124" i="37" s="1"/>
  <c r="B125" i="37" s="1"/>
  <c r="B126" i="37" s="1"/>
  <c r="B127" i="37" s="1"/>
  <c r="B128" i="37" s="1"/>
  <c r="B129" i="37" s="1"/>
  <c r="B130" i="37" s="1"/>
  <c r="B131" i="37" s="1"/>
  <c r="B132" i="37" s="1"/>
  <c r="B133" i="37" s="1"/>
  <c r="B134" i="37" s="1"/>
  <c r="B135" i="37" s="1"/>
  <c r="B136" i="37" s="1"/>
  <c r="B137" i="37" s="1"/>
  <c r="B138" i="37" s="1"/>
  <c r="B139" i="37" s="1"/>
  <c r="B140" i="37" s="1"/>
  <c r="B141" i="37" s="1"/>
  <c r="B142" i="37" s="1"/>
  <c r="B143" i="37" s="1"/>
  <c r="B144" i="37" s="1"/>
  <c r="BT21" i="37"/>
  <c r="M41" i="38" l="1"/>
  <c r="M41" i="39" s="1"/>
  <c r="N66" i="38"/>
  <c r="GG153" i="35"/>
  <c r="GG184" i="35"/>
  <c r="H32" i="37"/>
  <c r="T26" i="37" s="1"/>
  <c r="F32" i="37"/>
  <c r="D39" i="37"/>
  <c r="A40" i="37"/>
  <c r="BY83" i="37"/>
  <c r="BX83" i="37" s="1"/>
  <c r="BZ83" i="37" s="1"/>
  <c r="GG155" i="35" l="1"/>
  <c r="GG186" i="35"/>
  <c r="G32" i="37"/>
  <c r="T25" i="37" s="1"/>
  <c r="T27" i="37" s="1"/>
  <c r="I32" i="37"/>
  <c r="C33" i="37" s="1"/>
  <c r="D40" i="37"/>
  <c r="A41" i="37"/>
  <c r="BY84" i="37"/>
  <c r="BX84" i="37" s="1"/>
  <c r="BZ84" i="37" s="1"/>
  <c r="GG157" i="35" l="1"/>
  <c r="GG188" i="35"/>
  <c r="F33" i="37"/>
  <c r="H33" i="37"/>
  <c r="D41" i="37"/>
  <c r="A42" i="37"/>
  <c r="GG159" i="35" l="1"/>
  <c r="GG190" i="35"/>
  <c r="G33" i="37"/>
  <c r="U26" i="37"/>
  <c r="CJ32" i="37"/>
  <c r="D42" i="37"/>
  <c r="A43" i="37"/>
  <c r="GG161" i="35" l="1"/>
  <c r="GG192" i="35"/>
  <c r="U25" i="37"/>
  <c r="U27" i="37" s="1"/>
  <c r="I33" i="37"/>
  <c r="C34" i="37" s="1"/>
  <c r="D43" i="37"/>
  <c r="A44" i="37"/>
  <c r="GG163" i="35" l="1"/>
  <c r="GG194" i="35"/>
  <c r="H34" i="37"/>
  <c r="V26" i="37" s="1"/>
  <c r="F34" i="37"/>
  <c r="D44" i="37"/>
  <c r="A45" i="37"/>
  <c r="GG165" i="35" l="1"/>
  <c r="GG196" i="35"/>
  <c r="G34" i="37"/>
  <c r="D45" i="37"/>
  <c r="A46" i="37"/>
  <c r="GG167" i="35" l="1"/>
  <c r="GG198" i="35"/>
  <c r="V25" i="37"/>
  <c r="V27" i="37" s="1"/>
  <c r="I34" i="37"/>
  <c r="C35" i="37" s="1"/>
  <c r="D46" i="37"/>
  <c r="A47" i="37"/>
  <c r="GG169" i="35" l="1"/>
  <c r="GG200" i="35"/>
  <c r="F35" i="37"/>
  <c r="H35" i="37"/>
  <c r="W26" i="37" s="1"/>
  <c r="D47" i="37"/>
  <c r="A48" i="37"/>
  <c r="GG171" i="35" l="1"/>
  <c r="GG202" i="35"/>
  <c r="G35" i="37"/>
  <c r="W25" i="37" s="1"/>
  <c r="W27" i="37" s="1"/>
  <c r="D48" i="37"/>
  <c r="A49" i="37"/>
  <c r="GG173" i="35" l="1"/>
  <c r="GG204" i="35"/>
  <c r="I35" i="37"/>
  <c r="C36" i="37" s="1"/>
  <c r="F36" i="37" s="1"/>
  <c r="H36" i="37"/>
  <c r="X26" i="37" s="1"/>
  <c r="D49" i="37"/>
  <c r="A50" i="37"/>
  <c r="GG175" i="35" l="1"/>
  <c r="GG206" i="35"/>
  <c r="G36" i="37"/>
  <c r="X25" i="37" s="1"/>
  <c r="X27" i="37" s="1"/>
  <c r="D50" i="37"/>
  <c r="A51" i="37"/>
  <c r="GG177" i="35" l="1"/>
  <c r="GG208" i="35"/>
  <c r="I36" i="37"/>
  <c r="C37" i="37" s="1"/>
  <c r="F37" i="37" s="1"/>
  <c r="D51" i="37"/>
  <c r="A52" i="37"/>
  <c r="GG179" i="35" l="1"/>
  <c r="GG210" i="35"/>
  <c r="H37" i="37"/>
  <c r="Y26" i="37" s="1"/>
  <c r="G37" i="37"/>
  <c r="Y25" i="37" s="1"/>
  <c r="D52" i="37"/>
  <c r="A53" i="37"/>
  <c r="GG181" i="35" l="1"/>
  <c r="GG212" i="35"/>
  <c r="Y27" i="37"/>
  <c r="I37" i="37"/>
  <c r="C38" i="37" s="1"/>
  <c r="F38" i="37" s="1"/>
  <c r="D53" i="37"/>
  <c r="A54" i="37"/>
  <c r="GG183" i="35" l="1"/>
  <c r="GG214" i="35"/>
  <c r="H38" i="37"/>
  <c r="Z26" i="37" s="1"/>
  <c r="D54" i="37"/>
  <c r="A55" i="37"/>
  <c r="GG185" i="35" l="1"/>
  <c r="GG218" i="35"/>
  <c r="GG216" i="35"/>
  <c r="G38" i="37"/>
  <c r="Z25" i="37" s="1"/>
  <c r="Z27" i="37" s="1"/>
  <c r="D55" i="37"/>
  <c r="A56" i="37"/>
  <c r="GG187" i="35" l="1"/>
  <c r="I38" i="37"/>
  <c r="C39" i="37" s="1"/>
  <c r="F39" i="37" s="1"/>
  <c r="D56" i="37"/>
  <c r="A57" i="37"/>
  <c r="GG189" i="35" l="1"/>
  <c r="H39" i="37"/>
  <c r="AA26" i="37" s="1"/>
  <c r="G39" i="37"/>
  <c r="D57" i="37"/>
  <c r="A58" i="37"/>
  <c r="GG191" i="35" l="1"/>
  <c r="AA25" i="37"/>
  <c r="AA27" i="37" s="1"/>
  <c r="I39" i="37"/>
  <c r="C40" i="37" s="1"/>
  <c r="D58" i="37"/>
  <c r="A59" i="37"/>
  <c r="GG193" i="35" l="1"/>
  <c r="H40" i="37"/>
  <c r="AB26" i="37" s="1"/>
  <c r="F40" i="37"/>
  <c r="G40" i="37" s="1"/>
  <c r="AB25" i="37" s="1"/>
  <c r="D59" i="37"/>
  <c r="A60" i="37"/>
  <c r="GG195" i="35" l="1"/>
  <c r="AB27" i="37"/>
  <c r="I40" i="37"/>
  <c r="C41" i="37" s="1"/>
  <c r="D60" i="37"/>
  <c r="A61" i="37"/>
  <c r="GG197" i="35" l="1"/>
  <c r="H41" i="37"/>
  <c r="AC26" i="37" s="1"/>
  <c r="F41" i="37"/>
  <c r="G41" i="37" s="1"/>
  <c r="AC25" i="37" s="1"/>
  <c r="D61" i="37"/>
  <c r="A62" i="37"/>
  <c r="GG199" i="35" l="1"/>
  <c r="AC27" i="37"/>
  <c r="I41" i="37"/>
  <c r="C42" i="37" s="1"/>
  <c r="F42" i="37" s="1"/>
  <c r="D62" i="37"/>
  <c r="A63" i="37"/>
  <c r="GG201" i="35" l="1"/>
  <c r="H42" i="37"/>
  <c r="AD26" i="37" s="1"/>
  <c r="D63" i="37"/>
  <c r="A64" i="37"/>
  <c r="GG203" i="35" l="1"/>
  <c r="G42" i="37"/>
  <c r="D64" i="37"/>
  <c r="A65" i="37"/>
  <c r="GG205" i="35" l="1"/>
  <c r="AD25" i="37"/>
  <c r="AD27" i="37" s="1"/>
  <c r="I42" i="37"/>
  <c r="C43" i="37" s="1"/>
  <c r="D65" i="37"/>
  <c r="A66" i="37"/>
  <c r="GG207" i="35" l="1"/>
  <c r="F43" i="37"/>
  <c r="G43" i="37" s="1"/>
  <c r="AE25" i="37" s="1"/>
  <c r="H43" i="37"/>
  <c r="AE26" i="37" s="1"/>
  <c r="I43" i="37"/>
  <c r="C44" i="37" s="1"/>
  <c r="D66" i="37"/>
  <c r="A67" i="37"/>
  <c r="GG209" i="35" l="1"/>
  <c r="H44" i="37"/>
  <c r="AF26" i="37" s="1"/>
  <c r="F44" i="37"/>
  <c r="G44" i="37" s="1"/>
  <c r="AF25" i="37" s="1"/>
  <c r="AF27" i="37" s="1"/>
  <c r="AE27" i="37"/>
  <c r="D67" i="37"/>
  <c r="A68" i="37"/>
  <c r="GG211" i="35" l="1"/>
  <c r="I44" i="37"/>
  <c r="C45" i="37" s="1"/>
  <c r="A69" i="37"/>
  <c r="D68" i="37"/>
  <c r="GG213" i="35" l="1"/>
  <c r="F45" i="37"/>
  <c r="G45" i="37" s="1"/>
  <c r="AG25" i="37" s="1"/>
  <c r="H45" i="37"/>
  <c r="AG26" i="37" s="1"/>
  <c r="I45" i="37"/>
  <c r="C46" i="37" s="1"/>
  <c r="A70" i="37"/>
  <c r="D69" i="37"/>
  <c r="GG215" i="35" l="1"/>
  <c r="AG27" i="37"/>
  <c r="H46" i="37"/>
  <c r="AH26" i="37" s="1"/>
  <c r="F46" i="37"/>
  <c r="G46" i="37" s="1"/>
  <c r="AH25" i="37" s="1"/>
  <c r="AH27" i="37" s="1"/>
  <c r="A71" i="37"/>
  <c r="D70" i="37"/>
  <c r="GG219" i="35" l="1"/>
  <c r="GG217" i="35"/>
  <c r="I46" i="37"/>
  <c r="C47" i="37" s="1"/>
  <c r="A72" i="37"/>
  <c r="D71" i="37"/>
  <c r="H47" i="37" l="1"/>
  <c r="AI26" i="37" s="1"/>
  <c r="F47" i="37"/>
  <c r="D72" i="37"/>
  <c r="A73" i="37"/>
  <c r="G47" i="37" l="1"/>
  <c r="A74" i="37"/>
  <c r="D73" i="37"/>
  <c r="AI25" i="37" l="1"/>
  <c r="AI27" i="37" s="1"/>
  <c r="I47" i="37"/>
  <c r="C48" i="37" s="1"/>
  <c r="A75" i="37"/>
  <c r="D74" i="37"/>
  <c r="H48" i="37" l="1"/>
  <c r="AJ26" i="37" s="1"/>
  <c r="F48" i="37"/>
  <c r="G48" i="37" s="1"/>
  <c r="AJ25" i="37" s="1"/>
  <c r="A76" i="37"/>
  <c r="D75" i="37"/>
  <c r="AJ27" i="37" l="1"/>
  <c r="I48" i="37"/>
  <c r="C49" i="37" s="1"/>
  <c r="H49" i="37" s="1"/>
  <c r="AK26" i="37" s="1"/>
  <c r="D76" i="37"/>
  <c r="A77" i="37"/>
  <c r="F49" i="37" l="1"/>
  <c r="G49" i="37" s="1"/>
  <c r="AK25" i="37" s="1"/>
  <c r="AK27" i="37" s="1"/>
  <c r="D77" i="37"/>
  <c r="A78" i="37"/>
  <c r="I49" i="37" l="1"/>
  <c r="C50" i="37" s="1"/>
  <c r="D78" i="37"/>
  <c r="A79" i="37"/>
  <c r="H50" i="37" l="1"/>
  <c r="AL26" i="37" s="1"/>
  <c r="F50" i="37"/>
  <c r="A80" i="37"/>
  <c r="D79" i="37"/>
  <c r="G50" i="37" l="1"/>
  <c r="AL25" i="37" s="1"/>
  <c r="AL27" i="37" s="1"/>
  <c r="I50" i="37"/>
  <c r="C51" i="37" s="1"/>
  <c r="D80" i="37"/>
  <c r="A81" i="37"/>
  <c r="H51" i="37" l="1"/>
  <c r="AM26" i="37" s="1"/>
  <c r="F51" i="37"/>
  <c r="D81" i="37"/>
  <c r="A82" i="37"/>
  <c r="G51" i="37" l="1"/>
  <c r="AM25" i="37" s="1"/>
  <c r="AM27" i="37" s="1"/>
  <c r="I51" i="37"/>
  <c r="C52" i="37" s="1"/>
  <c r="D82" i="37"/>
  <c r="A83" i="37"/>
  <c r="H52" i="37" l="1"/>
  <c r="AN26" i="37" s="1"/>
  <c r="F52" i="37"/>
  <c r="G52" i="37" s="1"/>
  <c r="AN25" i="37" s="1"/>
  <c r="A84" i="37"/>
  <c r="D83" i="37"/>
  <c r="AN27" i="37" l="1"/>
  <c r="I52" i="37"/>
  <c r="C53" i="37" s="1"/>
  <c r="F53" i="37" s="1"/>
  <c r="D84" i="37"/>
  <c r="A85" i="37"/>
  <c r="H53" i="37" l="1"/>
  <c r="AO26" i="37" s="1"/>
  <c r="A86" i="37"/>
  <c r="D85" i="37"/>
  <c r="G53" i="37" l="1"/>
  <c r="D86" i="37"/>
  <c r="A87" i="37"/>
  <c r="AO25" i="37" l="1"/>
  <c r="AO27" i="37" s="1"/>
  <c r="I53" i="37"/>
  <c r="C54" i="37" s="1"/>
  <c r="A88" i="37"/>
  <c r="D87" i="37"/>
  <c r="H54" i="37" l="1"/>
  <c r="AP26" i="37" s="1"/>
  <c r="F54" i="37"/>
  <c r="G54" i="37" s="1"/>
  <c r="AP25" i="37" s="1"/>
  <c r="D88" i="37"/>
  <c r="A89" i="37"/>
  <c r="AP27" i="37" l="1"/>
  <c r="I54" i="37"/>
  <c r="C55" i="37" s="1"/>
  <c r="F55" i="37" s="1"/>
  <c r="A90" i="37"/>
  <c r="D89" i="37"/>
  <c r="H55" i="37" l="1"/>
  <c r="AQ26" i="37" s="1"/>
  <c r="G55" i="37"/>
  <c r="D90" i="37"/>
  <c r="A91" i="37"/>
  <c r="AQ25" i="37" l="1"/>
  <c r="AQ27" i="37" s="1"/>
  <c r="I55" i="37"/>
  <c r="C56" i="37" s="1"/>
  <c r="D91" i="37"/>
  <c r="A92" i="37"/>
  <c r="H56" i="37" l="1"/>
  <c r="AR26" i="37" s="1"/>
  <c r="F56" i="37"/>
  <c r="G56" i="37" s="1"/>
  <c r="AR25" i="37" s="1"/>
  <c r="D92" i="37"/>
  <c r="A93" i="37"/>
  <c r="I56" i="37" l="1"/>
  <c r="C57" i="37" s="1"/>
  <c r="AR27" i="37"/>
  <c r="D93" i="37"/>
  <c r="A94" i="37"/>
  <c r="H57" i="37" l="1"/>
  <c r="AS26" i="37" s="1"/>
  <c r="F57" i="37"/>
  <c r="G57" i="37" s="1"/>
  <c r="AS25" i="37" s="1"/>
  <c r="A95" i="37"/>
  <c r="D94" i="37"/>
  <c r="AS27" i="37" l="1"/>
  <c r="I57" i="37"/>
  <c r="C58" i="37" s="1"/>
  <c r="A96" i="37"/>
  <c r="D95" i="37"/>
  <c r="F58" i="37" l="1"/>
  <c r="H58" i="37"/>
  <c r="AT26" i="37" s="1"/>
  <c r="A97" i="37"/>
  <c r="D96" i="37"/>
  <c r="G58" i="37" l="1"/>
  <c r="AT25" i="37" s="1"/>
  <c r="AT27" i="37" s="1"/>
  <c r="I58" i="37"/>
  <c r="C59" i="37" s="1"/>
  <c r="D97" i="37"/>
  <c r="A98" i="37"/>
  <c r="H59" i="37" l="1"/>
  <c r="AU26" i="37" s="1"/>
  <c r="F59" i="37"/>
  <c r="G59" i="37" s="1"/>
  <c r="AU25" i="37" s="1"/>
  <c r="A99" i="37"/>
  <c r="D98" i="37"/>
  <c r="AU27" i="37" l="1"/>
  <c r="I59" i="37"/>
  <c r="C60" i="37" s="1"/>
  <c r="H60" i="37" s="1"/>
  <c r="AV26" i="37" s="1"/>
  <c r="A100" i="37"/>
  <c r="D99" i="37"/>
  <c r="F60" i="37" l="1"/>
  <c r="G60" i="37" s="1"/>
  <c r="AV25" i="37" s="1"/>
  <c r="AV27" i="37" s="1"/>
  <c r="A101" i="37"/>
  <c r="D100" i="37"/>
  <c r="I60" i="37" l="1"/>
  <c r="C61" i="37" s="1"/>
  <c r="F61" i="37" s="1"/>
  <c r="A102" i="37"/>
  <c r="D101" i="37"/>
  <c r="H61" i="37" l="1"/>
  <c r="AW26" i="37" s="1"/>
  <c r="G61" i="37"/>
  <c r="AW25" i="37" s="1"/>
  <c r="I61" i="37"/>
  <c r="C62" i="37" s="1"/>
  <c r="D102" i="37"/>
  <c r="A103" i="37"/>
  <c r="AW27" i="37" l="1"/>
  <c r="F62" i="37"/>
  <c r="H62" i="37"/>
  <c r="AX26" i="37" s="1"/>
  <c r="A104" i="37"/>
  <c r="D103" i="37"/>
  <c r="G62" i="37" l="1"/>
  <c r="A105" i="37"/>
  <c r="D104" i="37"/>
  <c r="AX25" i="37" l="1"/>
  <c r="AX27" i="37" s="1"/>
  <c r="I62" i="37"/>
  <c r="C63" i="37" s="1"/>
  <c r="A106" i="37"/>
  <c r="D105" i="37"/>
  <c r="F63" i="37" l="1"/>
  <c r="H63" i="37"/>
  <c r="AY26" i="37" s="1"/>
  <c r="D106" i="37"/>
  <c r="A107" i="37"/>
  <c r="G63" i="37" l="1"/>
  <c r="D107" i="37"/>
  <c r="A108" i="37"/>
  <c r="AY25" i="37" l="1"/>
  <c r="AY27" i="37" s="1"/>
  <c r="I63" i="37"/>
  <c r="C64" i="37" s="1"/>
  <c r="D108" i="37"/>
  <c r="A109" i="37"/>
  <c r="F64" i="37" l="1"/>
  <c r="H64" i="37"/>
  <c r="AZ26" i="37" s="1"/>
  <c r="A110" i="37"/>
  <c r="D109" i="37"/>
  <c r="G64" i="37" l="1"/>
  <c r="A111" i="37"/>
  <c r="D110" i="37"/>
  <c r="AZ25" i="37" l="1"/>
  <c r="AZ27" i="37" s="1"/>
  <c r="I64" i="37"/>
  <c r="C65" i="37" s="1"/>
  <c r="D111" i="37"/>
  <c r="A112" i="37"/>
  <c r="F65" i="37" l="1"/>
  <c r="H65" i="37"/>
  <c r="BA26" i="37" s="1"/>
  <c r="D112" i="37"/>
  <c r="A113" i="37"/>
  <c r="G65" i="37" l="1"/>
  <c r="A114" i="37"/>
  <c r="D113" i="37"/>
  <c r="BA25" i="37" l="1"/>
  <c r="BA27" i="37" s="1"/>
  <c r="I65" i="37"/>
  <c r="C66" i="37" s="1"/>
  <c r="A115" i="37"/>
  <c r="D114" i="37"/>
  <c r="F66" i="37" l="1"/>
  <c r="H66" i="37"/>
  <c r="BB26" i="37" s="1"/>
  <c r="A116" i="37"/>
  <c r="D115" i="37"/>
  <c r="G66" i="37" l="1"/>
  <c r="A117" i="37"/>
  <c r="D116" i="37"/>
  <c r="BB25" i="37" l="1"/>
  <c r="BB27" i="37" s="1"/>
  <c r="I66" i="37"/>
  <c r="C67" i="37" s="1"/>
  <c r="D117" i="37"/>
  <c r="A118" i="37"/>
  <c r="H67" i="37" l="1"/>
  <c r="BC26" i="37" s="1"/>
  <c r="F67" i="37"/>
  <c r="D118" i="37"/>
  <c r="A119" i="37"/>
  <c r="G67" i="37" l="1"/>
  <c r="D119" i="37"/>
  <c r="A120" i="37"/>
  <c r="BC25" i="37" l="1"/>
  <c r="BC27" i="37" s="1"/>
  <c r="I67" i="37"/>
  <c r="C68" i="37" s="1"/>
  <c r="D120" i="37"/>
  <c r="A121" i="37"/>
  <c r="F68" i="37" l="1"/>
  <c r="H68" i="37"/>
  <c r="BD26" i="37" s="1"/>
  <c r="D121" i="37"/>
  <c r="A122" i="37"/>
  <c r="G68" i="37" l="1"/>
  <c r="A123" i="37"/>
  <c r="D122" i="37"/>
  <c r="BD25" i="37" l="1"/>
  <c r="BD27" i="37" s="1"/>
  <c r="I68" i="37"/>
  <c r="C69" i="37" s="1"/>
  <c r="D123" i="37"/>
  <c r="A124" i="37"/>
  <c r="F69" i="37" l="1"/>
  <c r="H69" i="37"/>
  <c r="BE26" i="37" s="1"/>
  <c r="D124" i="37"/>
  <c r="A125" i="37"/>
  <c r="G69" i="37" l="1"/>
  <c r="A126" i="37"/>
  <c r="D125" i="37"/>
  <c r="BE25" i="37" l="1"/>
  <c r="BE27" i="37" s="1"/>
  <c r="I69" i="37"/>
  <c r="C70" i="37" s="1"/>
  <c r="D126" i="37"/>
  <c r="A127" i="37"/>
  <c r="H70" i="37" l="1"/>
  <c r="BF26" i="37" s="1"/>
  <c r="F70" i="37"/>
  <c r="G70" i="37" s="1"/>
  <c r="A128" i="37"/>
  <c r="D127" i="37"/>
  <c r="BF25" i="37" l="1"/>
  <c r="BF27" i="37" s="1"/>
  <c r="I70" i="37"/>
  <c r="C71" i="37" s="1"/>
  <c r="D128" i="37"/>
  <c r="A129" i="37"/>
  <c r="F71" i="37" l="1"/>
  <c r="H71" i="37"/>
  <c r="BG26" i="37" s="1"/>
  <c r="D129" i="37"/>
  <c r="A130" i="37"/>
  <c r="G71" i="37" l="1"/>
  <c r="A131" i="37"/>
  <c r="D130" i="37"/>
  <c r="BG25" i="37" l="1"/>
  <c r="BG27" i="37" s="1"/>
  <c r="I71" i="37"/>
  <c r="C72" i="37" s="1"/>
  <c r="D131" i="37"/>
  <c r="A132" i="37"/>
  <c r="F72" i="37" l="1"/>
  <c r="H72" i="37"/>
  <c r="BH26" i="37" s="1"/>
  <c r="D132" i="37"/>
  <c r="A133" i="37"/>
  <c r="G72" i="37" l="1"/>
  <c r="D133" i="37"/>
  <c r="A134" i="37"/>
  <c r="BH25" i="37" l="1"/>
  <c r="BH27" i="37" s="1"/>
  <c r="I72" i="37"/>
  <c r="C73" i="37" s="1"/>
  <c r="A135" i="37"/>
  <c r="D134" i="37"/>
  <c r="F73" i="37" l="1"/>
  <c r="H73" i="37"/>
  <c r="BI26" i="37" s="1"/>
  <c r="D135" i="37"/>
  <c r="A136" i="37"/>
  <c r="G73" i="37" l="1"/>
  <c r="D136" i="37"/>
  <c r="A137" i="37"/>
  <c r="BI25" i="37" l="1"/>
  <c r="BI27" i="37" s="1"/>
  <c r="I73" i="37"/>
  <c r="C74" i="37" s="1"/>
  <c r="A138" i="37"/>
  <c r="D137" i="37"/>
  <c r="H74" i="37" l="1"/>
  <c r="BJ26" i="37" s="1"/>
  <c r="F74" i="37"/>
  <c r="G74" i="37" s="1"/>
  <c r="BJ25" i="37" s="1"/>
  <c r="D138" i="37"/>
  <c r="A139" i="37"/>
  <c r="BJ27" i="37" l="1"/>
  <c r="I74" i="37"/>
  <c r="C75" i="37" s="1"/>
  <c r="D139" i="37"/>
  <c r="A140" i="37"/>
  <c r="F75" i="37" l="1"/>
  <c r="H75" i="37"/>
  <c r="BK26" i="37" s="1"/>
  <c r="A141" i="37"/>
  <c r="D140" i="37"/>
  <c r="G75" i="37" l="1"/>
  <c r="A142" i="37"/>
  <c r="D141" i="37"/>
  <c r="BK25" i="37" l="1"/>
  <c r="BK27" i="37" s="1"/>
  <c r="I75" i="37"/>
  <c r="C76" i="37" s="1"/>
  <c r="D142" i="37"/>
  <c r="A143" i="37"/>
  <c r="F76" i="37" l="1"/>
  <c r="H76" i="37"/>
  <c r="BL26" i="37" s="1"/>
  <c r="A144" i="37"/>
  <c r="D143" i="37"/>
  <c r="G76" i="37" l="1"/>
  <c r="D144" i="37"/>
  <c r="A145" i="37"/>
  <c r="BL25" i="37" l="1"/>
  <c r="BL27" i="37" s="1"/>
  <c r="I76" i="37"/>
  <c r="C77" i="37" s="1"/>
  <c r="A146" i="37"/>
  <c r="D145" i="37"/>
  <c r="F77" i="37" l="1"/>
  <c r="H77" i="37"/>
  <c r="BM26" i="37" s="1"/>
  <c r="B146" i="37"/>
  <c r="D146" i="37"/>
  <c r="A147" i="37"/>
  <c r="G77" i="37" l="1"/>
  <c r="B147" i="37"/>
  <c r="A148" i="37"/>
  <c r="D147" i="37"/>
  <c r="BM25" i="37" l="1"/>
  <c r="BM27" i="37" s="1"/>
  <c r="I77" i="37"/>
  <c r="C78" i="37" s="1"/>
  <c r="D148" i="37"/>
  <c r="B148" i="37"/>
  <c r="A149" i="37"/>
  <c r="H78" i="37" l="1"/>
  <c r="BN26" i="37" s="1"/>
  <c r="F78" i="37"/>
  <c r="G78" i="37" s="1"/>
  <c r="BN25" i="37" s="1"/>
  <c r="BN27" i="37" s="1"/>
  <c r="B149" i="37"/>
  <c r="D149" i="37"/>
  <c r="A150" i="37"/>
  <c r="I78" i="37" l="1"/>
  <c r="C79" i="37" s="1"/>
  <c r="A151" i="37"/>
  <c r="B150" i="37"/>
  <c r="D150" i="37"/>
  <c r="H79" i="37" l="1"/>
  <c r="BO26" i="37" s="1"/>
  <c r="F79" i="37"/>
  <c r="D151" i="37"/>
  <c r="A152" i="37"/>
  <c r="B151" i="37"/>
  <c r="G79" i="37" l="1"/>
  <c r="BO25" i="37" s="1"/>
  <c r="BO27" i="37" s="1"/>
  <c r="D152" i="37"/>
  <c r="B152" i="37"/>
  <c r="A153" i="37"/>
  <c r="I79" i="37" l="1"/>
  <c r="C80" i="37" s="1"/>
  <c r="F80" i="37" s="1"/>
  <c r="H80" i="37"/>
  <c r="BP26" i="37" s="1"/>
  <c r="B153" i="37"/>
  <c r="D153" i="37"/>
  <c r="A154" i="37"/>
  <c r="G80" i="37" l="1"/>
  <c r="B154" i="37"/>
  <c r="D154" i="37"/>
  <c r="A155" i="37"/>
  <c r="BP25" i="37" l="1"/>
  <c r="BP27" i="37" s="1"/>
  <c r="I80" i="37"/>
  <c r="C81" i="37" s="1"/>
  <c r="D155" i="37"/>
  <c r="A156" i="37"/>
  <c r="B155" i="37"/>
  <c r="H81" i="37" l="1"/>
  <c r="BQ26" i="37" s="1"/>
  <c r="F81" i="37"/>
  <c r="G81" i="37" s="1"/>
  <c r="BQ25" i="37" s="1"/>
  <c r="A157" i="37"/>
  <c r="B156" i="37"/>
  <c r="D156" i="37"/>
  <c r="BQ27" i="37" l="1"/>
  <c r="I81" i="37"/>
  <c r="C82" i="37" s="1"/>
  <c r="A158" i="37"/>
  <c r="D157" i="37"/>
  <c r="B157" i="37"/>
  <c r="F82" i="37" l="1"/>
  <c r="H82" i="37"/>
  <c r="BR26" i="37" s="1"/>
  <c r="D158" i="37"/>
  <c r="A159" i="37"/>
  <c r="B158" i="37"/>
  <c r="G82" i="37" l="1"/>
  <c r="A160" i="37"/>
  <c r="B159" i="37"/>
  <c r="D159" i="37"/>
  <c r="BR25" i="37" l="1"/>
  <c r="BR27" i="37" s="1"/>
  <c r="I82" i="37"/>
  <c r="C83" i="37" s="1"/>
  <c r="B160" i="37"/>
  <c r="D160" i="37"/>
  <c r="A161" i="37"/>
  <c r="F83" i="37" l="1"/>
  <c r="H83" i="37"/>
  <c r="BS26" i="37" s="1"/>
  <c r="D161" i="37"/>
  <c r="A162" i="37"/>
  <c r="B161" i="37"/>
  <c r="G83" i="37" l="1"/>
  <c r="D162" i="37"/>
  <c r="B162" i="37"/>
  <c r="A163" i="37"/>
  <c r="BS25" i="37" l="1"/>
  <c r="BS27" i="37" s="1"/>
  <c r="I83" i="37"/>
  <c r="C84" i="37" s="1"/>
  <c r="D163" i="37"/>
  <c r="B163" i="37"/>
  <c r="A164" i="37"/>
  <c r="F84" i="37" l="1"/>
  <c r="H84" i="37"/>
  <c r="BT26" i="37" s="1"/>
  <c r="B164" i="37"/>
  <c r="D164" i="37"/>
  <c r="A165" i="37"/>
  <c r="G84" i="37" l="1"/>
  <c r="G87" i="37"/>
  <c r="L36" i="37"/>
  <c r="B165" i="37"/>
  <c r="D165" i="37"/>
  <c r="A166" i="37"/>
  <c r="BT25" i="37" l="1"/>
  <c r="BT27" i="37" s="1"/>
  <c r="I84" i="37"/>
  <c r="C85" i="37" s="1"/>
  <c r="D166" i="37"/>
  <c r="B166" i="37"/>
  <c r="A167" i="37"/>
  <c r="F85" i="37" l="1"/>
  <c r="H85" i="37"/>
  <c r="A168" i="37"/>
  <c r="B167" i="37"/>
  <c r="D167" i="37"/>
  <c r="G85" i="37" l="1"/>
  <c r="I85" i="37" s="1"/>
  <c r="C86" i="37" s="1"/>
  <c r="D168" i="37"/>
  <c r="A169" i="37"/>
  <c r="B168" i="37"/>
  <c r="F86" i="37" l="1"/>
  <c r="H86" i="37"/>
  <c r="B169" i="37"/>
  <c r="A170" i="37"/>
  <c r="D169" i="37"/>
  <c r="G86" i="37" l="1"/>
  <c r="I86" i="37" s="1"/>
  <c r="C87" i="37" s="1"/>
  <c r="B170" i="37"/>
  <c r="D170" i="37"/>
  <c r="A171" i="37"/>
  <c r="H87" i="37" l="1"/>
  <c r="I87" i="37"/>
  <c r="C88" i="37" s="1"/>
  <c r="F87" i="37"/>
  <c r="B171" i="37"/>
  <c r="D171" i="37"/>
  <c r="A172" i="37"/>
  <c r="H88" i="37" l="1"/>
  <c r="F88" i="37"/>
  <c r="G88" i="37" s="1"/>
  <c r="I88" i="37" s="1"/>
  <c r="C89" i="37" s="1"/>
  <c r="B172" i="37"/>
  <c r="D172" i="37"/>
  <c r="A173" i="37"/>
  <c r="H89" i="37" l="1"/>
  <c r="F89" i="37"/>
  <c r="B173" i="37"/>
  <c r="D173" i="37"/>
  <c r="A174" i="37"/>
  <c r="G89" i="37" l="1"/>
  <c r="I89" i="37" s="1"/>
  <c r="C90" i="37" s="1"/>
  <c r="H90" i="37" s="1"/>
  <c r="B174" i="37"/>
  <c r="D174" i="37"/>
  <c r="A175" i="37"/>
  <c r="F90" i="37" l="1"/>
  <c r="G90" i="37" s="1"/>
  <c r="I90" i="37" s="1"/>
  <c r="C91" i="37" s="1"/>
  <c r="F91" i="37" s="1"/>
  <c r="D175" i="37"/>
  <c r="B175" i="37"/>
  <c r="A176" i="37"/>
  <c r="H91" i="37" l="1"/>
  <c r="G91" i="37" s="1"/>
  <c r="I91" i="37" s="1"/>
  <c r="C92" i="37" s="1"/>
  <c r="B176" i="37"/>
  <c r="D176" i="37"/>
  <c r="A177" i="37"/>
  <c r="F92" i="37" l="1"/>
  <c r="H92" i="37"/>
  <c r="B177" i="37"/>
  <c r="D177" i="37"/>
  <c r="A178" i="37"/>
  <c r="G92" i="37" l="1"/>
  <c r="I92" i="37" s="1"/>
  <c r="C93" i="37" s="1"/>
  <c r="B178" i="37"/>
  <c r="A179" i="37"/>
  <c r="D178" i="37"/>
  <c r="F93" i="37" l="1"/>
  <c r="H93" i="37"/>
  <c r="A180" i="37"/>
  <c r="B179" i="37"/>
  <c r="D179" i="37"/>
  <c r="G93" i="37" l="1"/>
  <c r="I93" i="37" s="1"/>
  <c r="C94" i="37" s="1"/>
  <c r="A181" i="37"/>
  <c r="B180" i="37"/>
  <c r="D180" i="37"/>
  <c r="H94" i="37" l="1"/>
  <c r="F94" i="37"/>
  <c r="A182" i="37"/>
  <c r="B181" i="37"/>
  <c r="D181" i="37"/>
  <c r="G94" i="37" l="1"/>
  <c r="I94" i="37" s="1"/>
  <c r="C95" i="37" s="1"/>
  <c r="H95" i="37" s="1"/>
  <c r="A183" i="37"/>
  <c r="B182" i="37"/>
  <c r="D182" i="37"/>
  <c r="F95" i="37" l="1"/>
  <c r="G95" i="37" s="1"/>
  <c r="I95" i="37" s="1"/>
  <c r="C96" i="37" s="1"/>
  <c r="D183" i="37"/>
  <c r="B183" i="37"/>
  <c r="A184" i="37"/>
  <c r="F96" i="37" l="1"/>
  <c r="H96" i="37"/>
  <c r="D184" i="37"/>
  <c r="B184" i="37"/>
  <c r="A185" i="37"/>
  <c r="G96" i="37" l="1"/>
  <c r="I96" i="37" s="1"/>
  <c r="C97" i="37" s="1"/>
  <c r="B185" i="37"/>
  <c r="A186" i="37"/>
  <c r="D185" i="37"/>
  <c r="F97" i="37" l="1"/>
  <c r="H97" i="37"/>
  <c r="A187" i="37"/>
  <c r="B186" i="37"/>
  <c r="D186" i="37"/>
  <c r="G97" i="37" l="1"/>
  <c r="I97" i="37" s="1"/>
  <c r="C98" i="37" s="1"/>
  <c r="H98" i="37" s="1"/>
  <c r="D187" i="37"/>
  <c r="A188" i="37"/>
  <c r="B187" i="37"/>
  <c r="F98" i="37" l="1"/>
  <c r="G98" i="37" s="1"/>
  <c r="I98" i="37" s="1"/>
  <c r="C99" i="37" s="1"/>
  <c r="F99" i="37" s="1"/>
  <c r="B188" i="37"/>
  <c r="D188" i="37"/>
  <c r="A189" i="37"/>
  <c r="H99" i="37" l="1"/>
  <c r="G99" i="37" s="1"/>
  <c r="I99" i="37" s="1"/>
  <c r="C100" i="37" s="1"/>
  <c r="F100" i="37" s="1"/>
  <c r="D189" i="37"/>
  <c r="A190" i="37"/>
  <c r="B189" i="37"/>
  <c r="H100" i="37" l="1"/>
  <c r="G100" i="37"/>
  <c r="I100" i="37" s="1"/>
  <c r="C101" i="37" s="1"/>
  <c r="A191" i="37"/>
  <c r="D190" i="37"/>
  <c r="B190" i="37"/>
  <c r="H101" i="37" l="1"/>
  <c r="F101" i="37"/>
  <c r="G101" i="37" s="1"/>
  <c r="I101" i="37" s="1"/>
  <c r="C102" i="37" s="1"/>
  <c r="B191" i="37"/>
  <c r="D191" i="37"/>
  <c r="A192" i="37"/>
  <c r="F102" i="37" l="1"/>
  <c r="H102" i="37"/>
  <c r="A193" i="37"/>
  <c r="B192" i="37"/>
  <c r="D192" i="37"/>
  <c r="G102" i="37" l="1"/>
  <c r="I102" i="37" s="1"/>
  <c r="C103" i="37" s="1"/>
  <c r="B193" i="37"/>
  <c r="A194" i="37"/>
  <c r="D193" i="37"/>
  <c r="F103" i="37" l="1"/>
  <c r="H103" i="37"/>
  <c r="A195" i="37"/>
  <c r="D194" i="37"/>
  <c r="B194" i="37"/>
  <c r="G103" i="37" l="1"/>
  <c r="I103" i="37" s="1"/>
  <c r="C104" i="37" s="1"/>
  <c r="A196" i="37"/>
  <c r="D195" i="37"/>
  <c r="B195" i="37"/>
  <c r="H104" i="37" l="1"/>
  <c r="F104" i="37"/>
  <c r="B196" i="37"/>
  <c r="D196" i="37"/>
  <c r="A197" i="37"/>
  <c r="G104" i="37" l="1"/>
  <c r="I104" i="37" s="1"/>
  <c r="C105" i="37" s="1"/>
  <c r="H105" i="37" s="1"/>
  <c r="A198" i="37"/>
  <c r="B197" i="37"/>
  <c r="D197" i="37"/>
  <c r="F105" i="37" l="1"/>
  <c r="G105" i="37" s="1"/>
  <c r="I105" i="37" s="1"/>
  <c r="C106" i="37" s="1"/>
  <c r="H106" i="37" s="1"/>
  <c r="A199" i="37"/>
  <c r="D198" i="37"/>
  <c r="B198" i="37"/>
  <c r="F106" i="37" l="1"/>
  <c r="G106" i="37" s="1"/>
  <c r="I106" i="37" s="1"/>
  <c r="C107" i="37" s="1"/>
  <c r="F107" i="37" s="1"/>
  <c r="B199" i="37"/>
  <c r="D199" i="37"/>
  <c r="A200" i="37"/>
  <c r="H107" i="37" l="1"/>
  <c r="G107" i="37" s="1"/>
  <c r="I107" i="37" s="1"/>
  <c r="C108" i="37" s="1"/>
  <c r="F108" i="37" s="1"/>
  <c r="B200" i="37"/>
  <c r="D200" i="37"/>
  <c r="A201" i="37"/>
  <c r="H108" i="37" l="1"/>
  <c r="G108" i="37" s="1"/>
  <c r="I108" i="37" s="1"/>
  <c r="C109" i="37" s="1"/>
  <c r="D201" i="37"/>
  <c r="B201" i="37"/>
  <c r="A202" i="37"/>
  <c r="H109" i="37" l="1"/>
  <c r="F109" i="37"/>
  <c r="G109" i="37" s="1"/>
  <c r="I109" i="37" s="1"/>
  <c r="C110" i="37" s="1"/>
  <c r="F110" i="37" s="1"/>
  <c r="D202" i="37"/>
  <c r="B202" i="37"/>
  <c r="A203" i="37"/>
  <c r="H110" i="37" l="1"/>
  <c r="G110" i="37" s="1"/>
  <c r="I110" i="37" s="1"/>
  <c r="C111" i="37" s="1"/>
  <c r="D203" i="37"/>
  <c r="B203" i="37"/>
  <c r="A204" i="37"/>
  <c r="F111" i="37" l="1"/>
  <c r="H111" i="37"/>
  <c r="D204" i="37"/>
  <c r="B204" i="37"/>
  <c r="A205" i="37"/>
  <c r="G111" i="37" l="1"/>
  <c r="I111" i="37" s="1"/>
  <c r="C112" i="37" s="1"/>
  <c r="F112" i="37" s="1"/>
  <c r="B205" i="37"/>
  <c r="A206" i="37"/>
  <c r="D205" i="37"/>
  <c r="H112" i="37" l="1"/>
  <c r="G112" i="37" s="1"/>
  <c r="I112" i="37" s="1"/>
  <c r="C113" i="37" s="1"/>
  <c r="A207" i="37"/>
  <c r="B206" i="37"/>
  <c r="D206" i="37"/>
  <c r="H113" i="37" l="1"/>
  <c r="F113" i="37"/>
  <c r="G113" i="37" s="1"/>
  <c r="I113" i="37" s="1"/>
  <c r="C114" i="37" s="1"/>
  <c r="F114" i="37" s="1"/>
  <c r="D207" i="37"/>
  <c r="A208" i="37"/>
  <c r="B207" i="37"/>
  <c r="H114" i="37" l="1"/>
  <c r="G114" i="37" s="1"/>
  <c r="I114" i="37" s="1"/>
  <c r="C115" i="37" s="1"/>
  <c r="A209" i="37"/>
  <c r="B208" i="37"/>
  <c r="D208" i="37"/>
  <c r="H115" i="37" l="1"/>
  <c r="F115" i="37"/>
  <c r="G115" i="37" s="1"/>
  <c r="I115" i="37" s="1"/>
  <c r="C116" i="37" s="1"/>
  <c r="B209" i="37"/>
  <c r="D209" i="37"/>
  <c r="A210" i="37"/>
  <c r="F116" i="37" l="1"/>
  <c r="H116" i="37"/>
  <c r="D210" i="37"/>
  <c r="A211" i="37"/>
  <c r="B210" i="37"/>
  <c r="G116" i="37" l="1"/>
  <c r="I116" i="37" s="1"/>
  <c r="C117" i="37" s="1"/>
  <c r="H117" i="37" s="1"/>
  <c r="B211" i="37"/>
  <c r="D211" i="37"/>
  <c r="A212" i="37"/>
  <c r="F117" i="37" l="1"/>
  <c r="G117" i="37" s="1"/>
  <c r="I117" i="37" s="1"/>
  <c r="C118" i="37" s="1"/>
  <c r="A213" i="37"/>
  <c r="D212" i="37"/>
  <c r="B212" i="37"/>
  <c r="F118" i="37" l="1"/>
  <c r="H118" i="37"/>
  <c r="B213" i="37"/>
  <c r="A214" i="37"/>
  <c r="D213" i="37"/>
  <c r="G118" i="37" l="1"/>
  <c r="I118" i="37" s="1"/>
  <c r="C119" i="37" s="1"/>
  <c r="F119" i="37" s="1"/>
  <c r="A215" i="37"/>
  <c r="B214" i="37"/>
  <c r="D214" i="37"/>
  <c r="H119" i="37" l="1"/>
  <c r="G119" i="37" s="1"/>
  <c r="I119" i="37" s="1"/>
  <c r="C120" i="37" s="1"/>
  <c r="A216" i="37"/>
  <c r="B215" i="37"/>
  <c r="D215" i="37"/>
  <c r="H120" i="37" l="1"/>
  <c r="F120" i="37"/>
  <c r="D216" i="37"/>
  <c r="A217" i="37"/>
  <c r="B216" i="37"/>
  <c r="G120" i="37" l="1"/>
  <c r="I120" i="37" s="1"/>
  <c r="C121" i="37" s="1"/>
  <c r="F121" i="37" s="1"/>
  <c r="B217" i="37"/>
  <c r="D217" i="37"/>
  <c r="A218" i="37"/>
  <c r="H121" i="37" l="1"/>
  <c r="G121" i="37" s="1"/>
  <c r="I121" i="37" s="1"/>
  <c r="C122" i="37" s="1"/>
  <c r="D218" i="37"/>
  <c r="B218" i="37"/>
  <c r="A219" i="37"/>
  <c r="H122" i="37" l="1"/>
  <c r="F122" i="37"/>
  <c r="G122" i="37" s="1"/>
  <c r="I122" i="37" s="1"/>
  <c r="C123" i="37" s="1"/>
  <c r="D219" i="37"/>
  <c r="A220" i="37"/>
  <c r="B219" i="37"/>
  <c r="F123" i="37" l="1"/>
  <c r="H123" i="37"/>
  <c r="B220" i="37"/>
  <c r="D220" i="37"/>
  <c r="A221" i="37"/>
  <c r="G123" i="37" l="1"/>
  <c r="I123" i="37" s="1"/>
  <c r="C124" i="37" s="1"/>
  <c r="F124" i="37" s="1"/>
  <c r="B221" i="37"/>
  <c r="D221" i="37"/>
  <c r="A222" i="37"/>
  <c r="H124" i="37" l="1"/>
  <c r="G124" i="37" s="1"/>
  <c r="I124" i="37" s="1"/>
  <c r="C125" i="37" s="1"/>
  <c r="B222" i="37"/>
  <c r="D222" i="37"/>
  <c r="A223" i="37"/>
  <c r="F125" i="37" l="1"/>
  <c r="H125" i="37"/>
  <c r="A224" i="37"/>
  <c r="D223" i="37"/>
  <c r="B223" i="37"/>
  <c r="G125" i="37" l="1"/>
  <c r="I125" i="37" s="1"/>
  <c r="C126" i="37" s="1"/>
  <c r="A225" i="37"/>
  <c r="B224" i="37"/>
  <c r="D224" i="37"/>
  <c r="H126" i="37" l="1"/>
  <c r="F126" i="37"/>
  <c r="G126" i="37" s="1"/>
  <c r="I126" i="37" s="1"/>
  <c r="C127" i="37" s="1"/>
  <c r="A226" i="37"/>
  <c r="B225" i="37"/>
  <c r="D225" i="37"/>
  <c r="H127" i="37" l="1"/>
  <c r="F127" i="37"/>
  <c r="G127" i="37" s="1"/>
  <c r="I127" i="37" s="1"/>
  <c r="C128" i="37" s="1"/>
  <c r="D226" i="37"/>
  <c r="A227" i="37"/>
  <c r="B226" i="37"/>
  <c r="F128" i="37" l="1"/>
  <c r="H128" i="37"/>
  <c r="B227" i="37"/>
  <c r="D227" i="37"/>
  <c r="A228" i="37"/>
  <c r="G128" i="37" l="1"/>
  <c r="I128" i="37" s="1"/>
  <c r="C129" i="37" s="1"/>
  <c r="A229" i="37"/>
  <c r="B228" i="37"/>
  <c r="D228" i="37"/>
  <c r="F129" i="37" l="1"/>
  <c r="H129" i="37"/>
  <c r="A230" i="37"/>
  <c r="D229" i="37"/>
  <c r="B229" i="37"/>
  <c r="G129" i="37" l="1"/>
  <c r="I129" i="37" s="1"/>
  <c r="C130" i="37" s="1"/>
  <c r="B230" i="37"/>
  <c r="D230" i="37"/>
  <c r="A231" i="37"/>
  <c r="H130" i="37" l="1"/>
  <c r="F130" i="37"/>
  <c r="G130" i="37" s="1"/>
  <c r="I130" i="37" s="1"/>
  <c r="C131" i="37" s="1"/>
  <c r="B231" i="37"/>
  <c r="D231" i="37"/>
  <c r="A232" i="37"/>
  <c r="F131" i="37" l="1"/>
  <c r="H131" i="37"/>
  <c r="B232" i="37"/>
  <c r="D232" i="37"/>
  <c r="A233" i="37"/>
  <c r="G131" i="37" l="1"/>
  <c r="I131" i="37" s="1"/>
  <c r="C132" i="37" s="1"/>
  <c r="H132" i="37" s="1"/>
  <c r="A234" i="37"/>
  <c r="B233" i="37"/>
  <c r="D233" i="37"/>
  <c r="F132" i="37" l="1"/>
  <c r="G132" i="37"/>
  <c r="I132" i="37" s="1"/>
  <c r="C133" i="37" s="1"/>
  <c r="B234" i="37"/>
  <c r="D234" i="37"/>
  <c r="A235" i="37"/>
  <c r="H133" i="37" l="1"/>
  <c r="F133" i="37"/>
  <c r="G133" i="37" s="1"/>
  <c r="I133" i="37" s="1"/>
  <c r="C134" i="37" s="1"/>
  <c r="D235" i="37"/>
  <c r="B235" i="37"/>
  <c r="A236" i="37"/>
  <c r="F134" i="37" l="1"/>
  <c r="H134" i="37"/>
  <c r="A237" i="37"/>
  <c r="D236" i="37"/>
  <c r="B236" i="37"/>
  <c r="G134" i="37" l="1"/>
  <c r="I134" i="37" s="1"/>
  <c r="C135" i="37" s="1"/>
  <c r="F135" i="37" s="1"/>
  <c r="B237" i="37"/>
  <c r="D237" i="37"/>
  <c r="A238" i="37"/>
  <c r="H135" i="37" l="1"/>
  <c r="G135" i="37" s="1"/>
  <c r="I135" i="37" s="1"/>
  <c r="C136" i="37" s="1"/>
  <c r="A239" i="37"/>
  <c r="D238" i="37"/>
  <c r="B238" i="37"/>
  <c r="F136" i="37" l="1"/>
  <c r="H136" i="37"/>
  <c r="B239" i="37"/>
  <c r="A240" i="37"/>
  <c r="D239" i="37"/>
  <c r="G136" i="37" l="1"/>
  <c r="I136" i="37" s="1"/>
  <c r="C137" i="37" s="1"/>
  <c r="B240" i="37"/>
  <c r="A241" i="37"/>
  <c r="D240" i="37"/>
  <c r="H137" i="37" l="1"/>
  <c r="F137" i="37"/>
  <c r="G137" i="37" s="1"/>
  <c r="I137" i="37" s="1"/>
  <c r="C138" i="37" s="1"/>
  <c r="B241" i="37"/>
  <c r="D241" i="37"/>
  <c r="A242" i="37"/>
  <c r="F138" i="37" l="1"/>
  <c r="H138" i="37"/>
  <c r="B242" i="37"/>
  <c r="D242" i="37"/>
  <c r="A243" i="37"/>
  <c r="G138" i="37" l="1"/>
  <c r="I138" i="37" s="1"/>
  <c r="C139" i="37" s="1"/>
  <c r="H139" i="37" s="1"/>
  <c r="A244" i="37"/>
  <c r="B243" i="37"/>
  <c r="D243" i="37"/>
  <c r="F139" i="37" l="1"/>
  <c r="G139" i="37" s="1"/>
  <c r="I139" i="37" s="1"/>
  <c r="C140" i="37" s="1"/>
  <c r="D244" i="37"/>
  <c r="A245" i="37"/>
  <c r="B244" i="37"/>
  <c r="F140" i="37" l="1"/>
  <c r="H140" i="37"/>
  <c r="A246" i="37"/>
  <c r="B245" i="37"/>
  <c r="D245" i="37"/>
  <c r="G140" i="37" l="1"/>
  <c r="I140" i="37" s="1"/>
  <c r="C141" i="37" s="1"/>
  <c r="A247" i="37"/>
  <c r="B246" i="37"/>
  <c r="D246" i="37"/>
  <c r="H141" i="37" l="1"/>
  <c r="F141" i="37"/>
  <c r="G141" i="37" s="1"/>
  <c r="I141" i="37" s="1"/>
  <c r="C142" i="37" s="1"/>
  <c r="D247" i="37"/>
  <c r="A248" i="37"/>
  <c r="B247" i="37"/>
  <c r="H142" i="37" l="1"/>
  <c r="F142" i="37"/>
  <c r="A249" i="37"/>
  <c r="B248" i="37"/>
  <c r="D248" i="37"/>
  <c r="G142" i="37" l="1"/>
  <c r="I142" i="37" s="1"/>
  <c r="C143" i="37" s="1"/>
  <c r="A250" i="37"/>
  <c r="D249" i="37"/>
  <c r="B249" i="37"/>
  <c r="F143" i="37" l="1"/>
  <c r="H143" i="37"/>
  <c r="B250" i="37"/>
  <c r="D250" i="37"/>
  <c r="A251" i="37"/>
  <c r="G143" i="37" l="1"/>
  <c r="I143" i="37" s="1"/>
  <c r="C144" i="37" s="1"/>
  <c r="B251" i="37"/>
  <c r="D251" i="37"/>
  <c r="A252" i="37"/>
  <c r="F144" i="37" l="1"/>
  <c r="I144" i="37"/>
  <c r="C145" i="37" s="1"/>
  <c r="H144" i="37"/>
  <c r="G144" i="37" s="1"/>
  <c r="A253" i="37"/>
  <c r="D252" i="37"/>
  <c r="B252" i="37"/>
  <c r="I145" i="37" l="1"/>
  <c r="C146" i="37" s="1"/>
  <c r="F145" i="37"/>
  <c r="H145" i="37"/>
  <c r="A254" i="37"/>
  <c r="B253" i="37"/>
  <c r="D253" i="37"/>
  <c r="G145" i="37" l="1"/>
  <c r="H146" i="37"/>
  <c r="E146" i="37"/>
  <c r="A255" i="37"/>
  <c r="B254" i="37"/>
  <c r="D254" i="37"/>
  <c r="I146" i="37" l="1"/>
  <c r="C147" i="37" s="1"/>
  <c r="F146" i="37"/>
  <c r="G146" i="37" s="1"/>
  <c r="A256" i="37"/>
  <c r="B255" i="37"/>
  <c r="D255" i="37"/>
  <c r="H147" i="37" l="1"/>
  <c r="E147" i="37"/>
  <c r="A257" i="37"/>
  <c r="B256" i="37"/>
  <c r="D256" i="37"/>
  <c r="F147" i="37" l="1"/>
  <c r="G147" i="37" s="1"/>
  <c r="I147" i="37"/>
  <c r="C148" i="37" s="1"/>
  <c r="B257" i="37"/>
  <c r="D257" i="37"/>
  <c r="A258" i="37"/>
  <c r="H148" i="37" l="1"/>
  <c r="E148" i="37"/>
  <c r="D258" i="37"/>
  <c r="B258" i="37"/>
  <c r="A259" i="37"/>
  <c r="I148" i="37" l="1"/>
  <c r="C149" i="37" s="1"/>
  <c r="F148" i="37"/>
  <c r="G148" i="37" s="1"/>
  <c r="B259" i="37"/>
  <c r="D259" i="37"/>
  <c r="A260" i="37"/>
  <c r="E149" i="37" l="1"/>
  <c r="H149" i="37"/>
  <c r="D260" i="37"/>
  <c r="A261" i="37"/>
  <c r="B260" i="37"/>
  <c r="F149" i="37" l="1"/>
  <c r="G149" i="37" s="1"/>
  <c r="I149" i="37"/>
  <c r="C150" i="37" s="1"/>
  <c r="A262" i="37"/>
  <c r="B261" i="37"/>
  <c r="D261" i="37"/>
  <c r="H150" i="37" l="1"/>
  <c r="E150" i="37"/>
  <c r="B262" i="37"/>
  <c r="D262" i="37"/>
  <c r="A263" i="37"/>
  <c r="I150" i="37" l="1"/>
  <c r="C151" i="37" s="1"/>
  <c r="F150" i="37"/>
  <c r="G150" i="37" s="1"/>
  <c r="B263" i="37"/>
  <c r="D263" i="37"/>
  <c r="A264" i="37"/>
  <c r="H151" i="37" l="1"/>
  <c r="E151" i="37"/>
  <c r="B264" i="37"/>
  <c r="D264" i="37"/>
  <c r="A265" i="37"/>
  <c r="I151" i="37" l="1"/>
  <c r="C152" i="37" s="1"/>
  <c r="F151" i="37"/>
  <c r="G151" i="37" s="1"/>
  <c r="D265" i="37"/>
  <c r="B265" i="37"/>
  <c r="A266" i="37"/>
  <c r="H152" i="37" l="1"/>
  <c r="E152" i="37"/>
  <c r="B266" i="37"/>
  <c r="A267" i="37"/>
  <c r="D266" i="37"/>
  <c r="F152" i="37" l="1"/>
  <c r="G152" i="37" s="1"/>
  <c r="I152" i="37"/>
  <c r="C153" i="37" s="1"/>
  <c r="B267" i="37"/>
  <c r="D267" i="37"/>
  <c r="A268" i="37"/>
  <c r="E153" i="37" l="1"/>
  <c r="H153" i="37"/>
  <c r="A269" i="37"/>
  <c r="D268" i="37"/>
  <c r="B268" i="37"/>
  <c r="I153" i="37" l="1"/>
  <c r="C154" i="37" s="1"/>
  <c r="F153" i="37"/>
  <c r="G153" i="37" s="1"/>
  <c r="A270" i="37"/>
  <c r="B269" i="37"/>
  <c r="D269" i="37"/>
  <c r="E154" i="37" l="1"/>
  <c r="H154" i="37"/>
  <c r="B270" i="37"/>
  <c r="D270" i="37"/>
  <c r="A271" i="37"/>
  <c r="I154" i="37" l="1"/>
  <c r="C155" i="37" s="1"/>
  <c r="F154" i="37"/>
  <c r="G154" i="37" s="1"/>
  <c r="B271" i="37"/>
  <c r="D271" i="37"/>
  <c r="A272" i="37"/>
  <c r="E155" i="37" l="1"/>
  <c r="H155" i="37"/>
  <c r="D272" i="37"/>
  <c r="B272" i="37"/>
  <c r="A273" i="37"/>
  <c r="F155" i="37" l="1"/>
  <c r="G155" i="37" s="1"/>
  <c r="I155" i="37"/>
  <c r="C156" i="37" s="1"/>
  <c r="B273" i="37"/>
  <c r="D273" i="37"/>
  <c r="A274" i="37"/>
  <c r="H156" i="37" l="1"/>
  <c r="E156" i="37"/>
  <c r="A275" i="37"/>
  <c r="B274" i="37"/>
  <c r="D274" i="37"/>
  <c r="F156" i="37" l="1"/>
  <c r="G156" i="37" s="1"/>
  <c r="I156" i="37"/>
  <c r="C157" i="37" s="1"/>
  <c r="A276" i="37"/>
  <c r="B275" i="37"/>
  <c r="D275" i="37"/>
  <c r="H157" i="37" l="1"/>
  <c r="E157" i="37"/>
  <c r="B276" i="37"/>
  <c r="D276" i="37"/>
  <c r="A277" i="37"/>
  <c r="I157" i="37" l="1"/>
  <c r="C158" i="37" s="1"/>
  <c r="F157" i="37"/>
  <c r="G157" i="37" s="1"/>
  <c r="A278" i="37"/>
  <c r="D277" i="37"/>
  <c r="B277" i="37"/>
  <c r="E158" i="37" l="1"/>
  <c r="H158" i="37"/>
  <c r="A279" i="37"/>
  <c r="B278" i="37"/>
  <c r="D278" i="37"/>
  <c r="I158" i="37" l="1"/>
  <c r="C159" i="37" s="1"/>
  <c r="F158" i="37"/>
  <c r="G158" i="37" s="1"/>
  <c r="B279" i="37"/>
  <c r="D279" i="37"/>
  <c r="A280" i="37"/>
  <c r="E159" i="37" l="1"/>
  <c r="H159" i="37"/>
  <c r="D280" i="37"/>
  <c r="A281" i="37"/>
  <c r="B280" i="37"/>
  <c r="I159" i="37" l="1"/>
  <c r="C160" i="37" s="1"/>
  <c r="F159" i="37"/>
  <c r="G159" i="37" s="1"/>
  <c r="A282" i="37"/>
  <c r="D281" i="37"/>
  <c r="B281" i="37"/>
  <c r="H160" i="37" l="1"/>
  <c r="E160" i="37"/>
  <c r="A283" i="37"/>
  <c r="B282" i="37"/>
  <c r="D282" i="37"/>
  <c r="F160" i="37" l="1"/>
  <c r="G160" i="37" s="1"/>
  <c r="I160" i="37"/>
  <c r="C161" i="37" s="1"/>
  <c r="A284" i="37"/>
  <c r="B283" i="37"/>
  <c r="D283" i="37"/>
  <c r="E161" i="37" l="1"/>
  <c r="H161" i="37"/>
  <c r="A285" i="37"/>
  <c r="B284" i="37"/>
  <c r="D284" i="37"/>
  <c r="I161" i="37" l="1"/>
  <c r="C162" i="37" s="1"/>
  <c r="F161" i="37"/>
  <c r="G161" i="37" s="1"/>
  <c r="A286" i="37"/>
  <c r="B285" i="37"/>
  <c r="D285" i="37"/>
  <c r="H162" i="37" l="1"/>
  <c r="E162" i="37"/>
  <c r="B286" i="37"/>
  <c r="A287" i="37"/>
  <c r="D286" i="37"/>
  <c r="F162" i="37" l="1"/>
  <c r="G162" i="37" s="1"/>
  <c r="I162" i="37"/>
  <c r="C163" i="37" s="1"/>
  <c r="D287" i="37"/>
  <c r="B287" i="37"/>
  <c r="A288" i="37"/>
  <c r="E163" i="37" l="1"/>
  <c r="H163" i="37"/>
  <c r="B288" i="37"/>
  <c r="D288" i="37"/>
  <c r="A289" i="37"/>
  <c r="F163" i="37" l="1"/>
  <c r="G163" i="37" s="1"/>
  <c r="I163" i="37"/>
  <c r="C164" i="37" s="1"/>
  <c r="A290" i="37"/>
  <c r="B289" i="37"/>
  <c r="D289" i="37"/>
  <c r="E164" i="37" l="1"/>
  <c r="H164" i="37"/>
  <c r="B290" i="37"/>
  <c r="A291" i="37"/>
  <c r="D290" i="37"/>
  <c r="F164" i="37" l="1"/>
  <c r="G164" i="37" s="1"/>
  <c r="I164" i="37"/>
  <c r="C165" i="37" s="1"/>
  <c r="B291" i="37"/>
  <c r="D291" i="37"/>
  <c r="A292" i="37"/>
  <c r="E165" i="37" l="1"/>
  <c r="H165" i="37"/>
  <c r="B292" i="37"/>
  <c r="D292" i="37"/>
  <c r="A293" i="37"/>
  <c r="F165" i="37" l="1"/>
  <c r="G165" i="37" s="1"/>
  <c r="I165" i="37"/>
  <c r="C166" i="37" s="1"/>
  <c r="A294" i="37"/>
  <c r="B293" i="37"/>
  <c r="D293" i="37"/>
  <c r="H166" i="37" l="1"/>
  <c r="E166" i="37"/>
  <c r="B294" i="37"/>
  <c r="A295" i="37"/>
  <c r="D294" i="37"/>
  <c r="F166" i="37" l="1"/>
  <c r="G166" i="37" s="1"/>
  <c r="I166" i="37"/>
  <c r="C167" i="37" s="1"/>
  <c r="B295" i="37"/>
  <c r="D295" i="37"/>
  <c r="A296" i="37"/>
  <c r="H167" i="37" l="1"/>
  <c r="E167" i="37"/>
  <c r="B296" i="37"/>
  <c r="A297" i="37"/>
  <c r="D296" i="37"/>
  <c r="I167" i="37" l="1"/>
  <c r="C168" i="37" s="1"/>
  <c r="F167" i="37"/>
  <c r="G167" i="37" s="1"/>
  <c r="A298" i="37"/>
  <c r="B297" i="37"/>
  <c r="D297" i="37"/>
  <c r="E168" i="37" l="1"/>
  <c r="H168" i="37"/>
  <c r="A299" i="37"/>
  <c r="B298" i="37"/>
  <c r="D298" i="37"/>
  <c r="I168" i="37" l="1"/>
  <c r="C169" i="37" s="1"/>
  <c r="F168" i="37"/>
  <c r="G168" i="37" s="1"/>
  <c r="A300" i="37"/>
  <c r="B299" i="37"/>
  <c r="D299" i="37"/>
  <c r="H169" i="37" l="1"/>
  <c r="E169" i="37"/>
  <c r="A301" i="37"/>
  <c r="D300" i="37"/>
  <c r="B300" i="37"/>
  <c r="F169" i="37" l="1"/>
  <c r="G169" i="37" s="1"/>
  <c r="I169" i="37"/>
  <c r="C170" i="37" s="1"/>
  <c r="A302" i="37"/>
  <c r="B301" i="37"/>
  <c r="D301" i="37"/>
  <c r="E170" i="37" l="1"/>
  <c r="H170" i="37"/>
  <c r="A303" i="37"/>
  <c r="B302" i="37"/>
  <c r="D302" i="37"/>
  <c r="I170" i="37" l="1"/>
  <c r="C171" i="37" s="1"/>
  <c r="F170" i="37"/>
  <c r="G170" i="37" s="1"/>
  <c r="B303" i="37"/>
  <c r="D303" i="37"/>
  <c r="A304" i="37"/>
  <c r="H171" i="37" l="1"/>
  <c r="E171" i="37"/>
  <c r="B304" i="37"/>
  <c r="D304" i="37"/>
  <c r="A305" i="37"/>
  <c r="F171" i="37" l="1"/>
  <c r="G171" i="37" s="1"/>
  <c r="I171" i="37"/>
  <c r="C172" i="37" s="1"/>
  <c r="A306" i="37"/>
  <c r="B305" i="37"/>
  <c r="D305" i="37"/>
  <c r="H172" i="37" l="1"/>
  <c r="E172" i="37"/>
  <c r="A307" i="37"/>
  <c r="B306" i="37"/>
  <c r="D306" i="37"/>
  <c r="F172" i="37" l="1"/>
  <c r="G172" i="37" s="1"/>
  <c r="I172" i="37"/>
  <c r="C173" i="37" s="1"/>
  <c r="A308" i="37"/>
  <c r="D307" i="37"/>
  <c r="B307" i="37"/>
  <c r="H173" i="37" l="1"/>
  <c r="E173" i="37"/>
  <c r="A309" i="37"/>
  <c r="B308" i="37"/>
  <c r="D308" i="37"/>
  <c r="I173" i="37" l="1"/>
  <c r="C174" i="37" s="1"/>
  <c r="F173" i="37"/>
  <c r="G173" i="37" s="1"/>
  <c r="B309" i="37"/>
  <c r="A310" i="37"/>
  <c r="D309" i="37"/>
  <c r="E174" i="37" l="1"/>
  <c r="H174" i="37"/>
  <c r="B310" i="37"/>
  <c r="D310" i="37"/>
  <c r="A311" i="37"/>
  <c r="I174" i="37" l="1"/>
  <c r="C175" i="37" s="1"/>
  <c r="F174" i="37"/>
  <c r="G174" i="37" s="1"/>
  <c r="B311" i="37"/>
  <c r="D311" i="37"/>
  <c r="A312" i="37"/>
  <c r="E175" i="37" l="1"/>
  <c r="H175" i="37"/>
  <c r="B312" i="37"/>
  <c r="A313" i="37"/>
  <c r="D312" i="37"/>
  <c r="F175" i="37" l="1"/>
  <c r="G175" i="37" s="1"/>
  <c r="I175" i="37"/>
  <c r="C176" i="37" s="1"/>
  <c r="A314" i="37"/>
  <c r="B313" i="37"/>
  <c r="D313" i="37"/>
  <c r="H176" i="37" l="1"/>
  <c r="E176" i="37"/>
  <c r="D314" i="37"/>
  <c r="A315" i="37"/>
  <c r="B314" i="37"/>
  <c r="F176" i="37" l="1"/>
  <c r="G176" i="37" s="1"/>
  <c r="I176" i="37"/>
  <c r="C177" i="37" s="1"/>
  <c r="B315" i="37"/>
  <c r="D315" i="37"/>
  <c r="A316" i="37"/>
  <c r="H177" i="37" l="1"/>
  <c r="E177" i="37"/>
  <c r="A317" i="37"/>
  <c r="B316" i="37"/>
  <c r="D316" i="37"/>
  <c r="F177" i="37" l="1"/>
  <c r="G177" i="37" s="1"/>
  <c r="I177" i="37"/>
  <c r="C178" i="37" s="1"/>
  <c r="A318" i="37"/>
  <c r="B317" i="37"/>
  <c r="D317" i="37"/>
  <c r="E178" i="37" l="1"/>
  <c r="H178" i="37"/>
  <c r="B318" i="37"/>
  <c r="D318" i="37"/>
  <c r="A319" i="37"/>
  <c r="I178" i="37" l="1"/>
  <c r="C179" i="37" s="1"/>
  <c r="F178" i="37"/>
  <c r="G178" i="37" s="1"/>
  <c r="B319" i="37"/>
  <c r="A320" i="37"/>
  <c r="D319" i="37"/>
  <c r="H179" i="37" l="1"/>
  <c r="E179" i="37"/>
  <c r="A321" i="37"/>
  <c r="B320" i="37"/>
  <c r="D320" i="37"/>
  <c r="F179" i="37" l="1"/>
  <c r="G179" i="37" s="1"/>
  <c r="I179" i="37"/>
  <c r="C180" i="37" s="1"/>
  <c r="B321" i="37"/>
  <c r="A322" i="37"/>
  <c r="D321" i="37"/>
  <c r="E180" i="37" l="1"/>
  <c r="H180" i="37"/>
  <c r="A323" i="37"/>
  <c r="B322" i="37"/>
  <c r="D322" i="37"/>
  <c r="F180" i="37" l="1"/>
  <c r="G180" i="37" s="1"/>
  <c r="I180" i="37"/>
  <c r="C181" i="37" s="1"/>
  <c r="B323" i="37"/>
  <c r="D323" i="37"/>
  <c r="A324" i="37"/>
  <c r="H181" i="37" l="1"/>
  <c r="E181" i="37"/>
  <c r="A325" i="37"/>
  <c r="B324" i="37"/>
  <c r="D324" i="37"/>
  <c r="I181" i="37" l="1"/>
  <c r="C182" i="37" s="1"/>
  <c r="F181" i="37"/>
  <c r="G181" i="37" s="1"/>
  <c r="A326" i="37"/>
  <c r="D325" i="37"/>
  <c r="B325" i="37"/>
  <c r="E182" i="37" l="1"/>
  <c r="H182" i="37"/>
  <c r="B326" i="37"/>
  <c r="A327" i="37"/>
  <c r="D326" i="37"/>
  <c r="I182" i="37" l="1"/>
  <c r="C183" i="37" s="1"/>
  <c r="F182" i="37"/>
  <c r="G182" i="37" s="1"/>
  <c r="B327" i="37"/>
  <c r="D327" i="37"/>
  <c r="A328" i="37"/>
  <c r="E183" i="37" l="1"/>
  <c r="H183" i="37"/>
  <c r="B328" i="37"/>
  <c r="A329" i="37"/>
  <c r="D328" i="37"/>
  <c r="F183" i="37" l="1"/>
  <c r="G183" i="37" s="1"/>
  <c r="I183" i="37"/>
  <c r="C184" i="37" s="1"/>
  <c r="A330" i="37"/>
  <c r="B329" i="37"/>
  <c r="D329" i="37"/>
  <c r="E184" i="37" l="1"/>
  <c r="H184" i="37"/>
  <c r="A331" i="37"/>
  <c r="B330" i="37"/>
  <c r="D330" i="37"/>
  <c r="I184" i="37" l="1"/>
  <c r="C185" i="37" s="1"/>
  <c r="F184" i="37"/>
  <c r="G184" i="37" s="1"/>
  <c r="D331" i="37"/>
  <c r="B331" i="37"/>
  <c r="A332" i="37"/>
  <c r="E185" i="37" l="1"/>
  <c r="H185" i="37"/>
  <c r="A333" i="37"/>
  <c r="B332" i="37"/>
  <c r="D332" i="37"/>
  <c r="I185" i="37" l="1"/>
  <c r="C186" i="37" s="1"/>
  <c r="F185" i="37"/>
  <c r="G185" i="37" s="1"/>
  <c r="B333" i="37"/>
  <c r="A334" i="37"/>
  <c r="D333" i="37"/>
  <c r="H186" i="37" l="1"/>
  <c r="E186" i="37"/>
  <c r="B334" i="37"/>
  <c r="D334" i="37"/>
  <c r="A335" i="37"/>
  <c r="F186" i="37" l="1"/>
  <c r="G186" i="37" s="1"/>
  <c r="I186" i="37"/>
  <c r="C187" i="37" s="1"/>
  <c r="B335" i="37"/>
  <c r="D335" i="37"/>
  <c r="A336" i="37"/>
  <c r="E187" i="37" l="1"/>
  <c r="H187" i="37"/>
  <c r="B336" i="37"/>
  <c r="D336" i="37"/>
  <c r="A337" i="37"/>
  <c r="F187" i="37" l="1"/>
  <c r="G187" i="37" s="1"/>
  <c r="I187" i="37"/>
  <c r="C188" i="37" s="1"/>
  <c r="A338" i="37"/>
  <c r="B337" i="37"/>
  <c r="D337" i="37"/>
  <c r="E188" i="37" l="1"/>
  <c r="H188" i="37"/>
  <c r="B338" i="37"/>
  <c r="A339" i="37"/>
  <c r="D338" i="37"/>
  <c r="F188" i="37" l="1"/>
  <c r="G188" i="37" s="1"/>
  <c r="I188" i="37"/>
  <c r="C189" i="37" s="1"/>
  <c r="B339" i="37"/>
  <c r="D339" i="37"/>
  <c r="A340" i="37"/>
  <c r="H189" i="37" l="1"/>
  <c r="E189" i="37"/>
  <c r="B340" i="37"/>
  <c r="A341" i="37"/>
  <c r="D340" i="37"/>
  <c r="I189" i="37" l="1"/>
  <c r="C190" i="37" s="1"/>
  <c r="F189" i="37"/>
  <c r="G189" i="37" s="1"/>
  <c r="A342" i="37"/>
  <c r="B341" i="37"/>
  <c r="D341" i="37"/>
  <c r="E190" i="37" l="1"/>
  <c r="H190" i="37"/>
  <c r="B342" i="37"/>
  <c r="D342" i="37"/>
  <c r="A343" i="37"/>
  <c r="I190" i="37" l="1"/>
  <c r="C191" i="37" s="1"/>
  <c r="F190" i="37"/>
  <c r="G190" i="37" s="1"/>
  <c r="B343" i="37"/>
  <c r="D343" i="37"/>
  <c r="A344" i="37"/>
  <c r="H191" i="37" l="1"/>
  <c r="E191" i="37"/>
  <c r="A345" i="37"/>
  <c r="B344" i="37"/>
  <c r="D344" i="37"/>
  <c r="I191" i="37" l="1"/>
  <c r="C192" i="37" s="1"/>
  <c r="F191" i="37"/>
  <c r="G191" i="37" s="1"/>
  <c r="B345" i="37"/>
  <c r="A346" i="37"/>
  <c r="D345" i="37"/>
  <c r="E192" i="37" l="1"/>
  <c r="H192" i="37"/>
  <c r="A347" i="37"/>
  <c r="D346" i="37"/>
  <c r="B346" i="37"/>
  <c r="I192" i="37" l="1"/>
  <c r="C193" i="37" s="1"/>
  <c r="F192" i="37"/>
  <c r="G192" i="37" s="1"/>
  <c r="B347" i="37"/>
  <c r="A348" i="37"/>
  <c r="D347" i="37"/>
  <c r="E193" i="37" l="1"/>
  <c r="H193" i="37"/>
  <c r="B348" i="37"/>
  <c r="A349" i="37"/>
  <c r="D348" i="37"/>
  <c r="I193" i="37" l="1"/>
  <c r="C194" i="37" s="1"/>
  <c r="F193" i="37"/>
  <c r="G193" i="37" s="1"/>
  <c r="A350" i="37"/>
  <c r="B349" i="37"/>
  <c r="D349" i="37"/>
  <c r="H194" i="37" l="1"/>
  <c r="E194" i="37"/>
  <c r="B350" i="37"/>
  <c r="D350" i="37"/>
  <c r="A351" i="37"/>
  <c r="I194" i="37" l="1"/>
  <c r="C195" i="37" s="1"/>
  <c r="F194" i="37"/>
  <c r="G194" i="37" s="1"/>
  <c r="B351" i="37"/>
  <c r="D351" i="37"/>
  <c r="A352" i="37"/>
  <c r="E195" i="37" l="1"/>
  <c r="H195" i="37"/>
  <c r="B352" i="37"/>
  <c r="A353" i="37"/>
  <c r="D352" i="37"/>
  <c r="F195" i="37" l="1"/>
  <c r="G195" i="37" s="1"/>
  <c r="I195" i="37"/>
  <c r="C196" i="37" s="1"/>
  <c r="A354" i="37"/>
  <c r="B353" i="37"/>
  <c r="D353" i="37"/>
  <c r="H196" i="37" l="1"/>
  <c r="E196" i="37"/>
  <c r="A355" i="37"/>
  <c r="B354" i="37"/>
  <c r="D354" i="37"/>
  <c r="F196" i="37" l="1"/>
  <c r="G196" i="37" s="1"/>
  <c r="I196" i="37"/>
  <c r="C197" i="37" s="1"/>
  <c r="B355" i="37"/>
  <c r="D355" i="37"/>
  <c r="A356" i="37"/>
  <c r="E197" i="37" l="1"/>
  <c r="H197" i="37"/>
  <c r="A357" i="37"/>
  <c r="D356" i="37"/>
  <c r="B356" i="37"/>
  <c r="F197" i="37" l="1"/>
  <c r="G197" i="37" s="1"/>
  <c r="I197" i="37"/>
  <c r="C198" i="37" s="1"/>
  <c r="B357" i="37"/>
  <c r="A358" i="37"/>
  <c r="D357" i="37"/>
  <c r="H198" i="37" l="1"/>
  <c r="E198" i="37"/>
  <c r="B358" i="37"/>
  <c r="D358" i="37"/>
  <c r="A359" i="37"/>
  <c r="F198" i="37" l="1"/>
  <c r="G198" i="37" s="1"/>
  <c r="I198" i="37"/>
  <c r="C199" i="37" s="1"/>
  <c r="B359" i="37"/>
  <c r="D359" i="37"/>
  <c r="A360" i="37"/>
  <c r="H199" i="37" l="1"/>
  <c r="E199" i="37"/>
  <c r="A361" i="37"/>
  <c r="D360" i="37"/>
  <c r="B360" i="37"/>
  <c r="F199" i="37" l="1"/>
  <c r="G199" i="37" s="1"/>
  <c r="I199" i="37"/>
  <c r="C200" i="37" s="1"/>
  <c r="B361" i="37"/>
  <c r="A362" i="37"/>
  <c r="D361" i="37"/>
  <c r="H200" i="37" l="1"/>
  <c r="E200" i="37"/>
  <c r="B362" i="37"/>
  <c r="D362" i="37"/>
  <c r="A363" i="37"/>
  <c r="F200" i="37" l="1"/>
  <c r="G200" i="37" s="1"/>
  <c r="I200" i="37"/>
  <c r="C201" i="37" s="1"/>
  <c r="B363" i="37"/>
  <c r="A364" i="37"/>
  <c r="D363" i="37"/>
  <c r="E201" i="37" l="1"/>
  <c r="H201" i="37"/>
  <c r="A365" i="37"/>
  <c r="B364" i="37"/>
  <c r="D364" i="37"/>
  <c r="F201" i="37" l="1"/>
  <c r="G201" i="37" s="1"/>
  <c r="I201" i="37"/>
  <c r="C202" i="37" s="1"/>
  <c r="B365" i="37"/>
  <c r="A366" i="37"/>
  <c r="D365" i="37"/>
  <c r="H202" i="37" l="1"/>
  <c r="E202" i="37"/>
  <c r="B366" i="37"/>
  <c r="D366" i="37"/>
  <c r="A367" i="37"/>
  <c r="F202" i="37" l="1"/>
  <c r="G202" i="37" s="1"/>
  <c r="I202" i="37"/>
  <c r="C203" i="37" s="1"/>
  <c r="B367" i="37"/>
  <c r="D367" i="37"/>
  <c r="A368" i="37"/>
  <c r="H203" i="37" l="1"/>
  <c r="E203" i="37"/>
  <c r="A369" i="37"/>
  <c r="D368" i="37"/>
  <c r="B368" i="37"/>
  <c r="I203" i="37" l="1"/>
  <c r="C204" i="37" s="1"/>
  <c r="F203" i="37"/>
  <c r="G203" i="37" s="1"/>
  <c r="A370" i="37"/>
  <c r="B369" i="37"/>
  <c r="D369" i="37"/>
  <c r="H204" i="37" l="1"/>
  <c r="E204" i="37"/>
  <c r="A371" i="37"/>
  <c r="B370" i="37"/>
  <c r="D370" i="37"/>
  <c r="I204" i="37" l="1"/>
  <c r="C205" i="37" s="1"/>
  <c r="F204" i="37"/>
  <c r="G204" i="37" s="1"/>
  <c r="B371" i="37"/>
  <c r="D371" i="37"/>
  <c r="A372" i="37"/>
  <c r="H205" i="37" l="1"/>
  <c r="E205" i="37"/>
  <c r="A373" i="37"/>
  <c r="B372" i="37"/>
  <c r="D372" i="37"/>
  <c r="F205" i="37" l="1"/>
  <c r="G205" i="37" s="1"/>
  <c r="I205" i="37"/>
  <c r="C206" i="37" s="1"/>
  <c r="B373" i="37"/>
  <c r="A374" i="37"/>
  <c r="D373" i="37"/>
  <c r="E206" i="37" l="1"/>
  <c r="H206" i="37"/>
  <c r="D374" i="37"/>
  <c r="B374" i="37"/>
  <c r="A375" i="37"/>
  <c r="I206" i="37" l="1"/>
  <c r="C207" i="37" s="1"/>
  <c r="F206" i="37"/>
  <c r="G206" i="37" s="1"/>
  <c r="B375" i="37"/>
  <c r="D375" i="37"/>
  <c r="A376" i="37"/>
  <c r="E207" i="37" l="1"/>
  <c r="H207" i="37"/>
  <c r="A377" i="37"/>
  <c r="B376" i="37"/>
  <c r="D376" i="37"/>
  <c r="F207" i="37" l="1"/>
  <c r="G207" i="37" s="1"/>
  <c r="I207" i="37"/>
  <c r="C208" i="37" s="1"/>
  <c r="B377" i="37"/>
  <c r="D377" i="37"/>
  <c r="A378" i="37"/>
  <c r="E208" i="37" l="1"/>
  <c r="H208" i="37"/>
  <c r="A379" i="37"/>
  <c r="B378" i="37"/>
  <c r="D378" i="37"/>
  <c r="I208" i="37" l="1"/>
  <c r="C209" i="37" s="1"/>
  <c r="F208" i="37"/>
  <c r="G208" i="37" s="1"/>
  <c r="B379" i="37"/>
  <c r="D379" i="37"/>
  <c r="A380" i="37"/>
  <c r="E209" i="37" l="1"/>
  <c r="H209" i="37"/>
  <c r="B380" i="37"/>
  <c r="A381" i="37"/>
  <c r="D380" i="37"/>
  <c r="F209" i="37" l="1"/>
  <c r="G209" i="37" s="1"/>
  <c r="I209" i="37"/>
  <c r="C210" i="37" s="1"/>
  <c r="A382" i="37"/>
  <c r="B381" i="37"/>
  <c r="D381" i="37"/>
  <c r="E210" i="37" l="1"/>
  <c r="H210" i="37"/>
  <c r="B382" i="37"/>
  <c r="A383" i="37"/>
  <c r="D382" i="37"/>
  <c r="I210" i="37" l="1"/>
  <c r="C211" i="37" s="1"/>
  <c r="F210" i="37"/>
  <c r="G210" i="37" s="1"/>
  <c r="D383" i="37"/>
  <c r="A384" i="37"/>
  <c r="B383" i="37"/>
  <c r="H211" i="37" l="1"/>
  <c r="E211" i="37"/>
  <c r="B384" i="37"/>
  <c r="D384" i="37"/>
  <c r="I211" i="37" l="1"/>
  <c r="C212" i="37" s="1"/>
  <c r="F211" i="37"/>
  <c r="G211" i="37" s="1"/>
  <c r="H212" i="37" l="1"/>
  <c r="E212" i="37"/>
  <c r="F212" i="37" l="1"/>
  <c r="G212" i="37" s="1"/>
  <c r="I212" i="37"/>
  <c r="C213" i="37" s="1"/>
  <c r="E213" i="37" l="1"/>
  <c r="H213" i="37"/>
  <c r="F213" i="37" l="1"/>
  <c r="G213" i="37" s="1"/>
  <c r="I213" i="37"/>
  <c r="C214" i="37" s="1"/>
  <c r="H214" i="37" l="1"/>
  <c r="E214" i="37"/>
  <c r="I214" i="37" l="1"/>
  <c r="C215" i="37" s="1"/>
  <c r="F214" i="37"/>
  <c r="G214" i="37" s="1"/>
  <c r="H215" i="37" l="1"/>
  <c r="E215" i="37"/>
  <c r="I215" i="37" l="1"/>
  <c r="C216" i="37" s="1"/>
  <c r="F215" i="37"/>
  <c r="G215" i="37" s="1"/>
  <c r="E216" i="37" l="1"/>
  <c r="H216" i="37"/>
  <c r="I216" i="37" l="1"/>
  <c r="C217" i="37" s="1"/>
  <c r="F216" i="37"/>
  <c r="G216" i="37" s="1"/>
  <c r="H217" i="37" l="1"/>
  <c r="E217" i="37"/>
  <c r="F217" i="37" l="1"/>
  <c r="G217" i="37" s="1"/>
  <c r="I217" i="37"/>
  <c r="C218" i="37" s="1"/>
  <c r="H218" i="37" l="1"/>
  <c r="E218" i="37"/>
  <c r="I218" i="37" l="1"/>
  <c r="C219" i="37" s="1"/>
  <c r="F218" i="37"/>
  <c r="G218" i="37" s="1"/>
  <c r="H219" i="37" l="1"/>
  <c r="E219" i="37"/>
  <c r="I219" i="37" l="1"/>
  <c r="C220" i="37" s="1"/>
  <c r="F219" i="37"/>
  <c r="G219" i="37" s="1"/>
  <c r="E220" i="37" l="1"/>
  <c r="H220" i="37"/>
  <c r="F220" i="37" l="1"/>
  <c r="G220" i="37" s="1"/>
  <c r="I220" i="37"/>
  <c r="C221" i="37" s="1"/>
  <c r="E221" i="37" l="1"/>
  <c r="H221" i="37"/>
  <c r="I221" i="37" l="1"/>
  <c r="C222" i="37" s="1"/>
  <c r="F221" i="37"/>
  <c r="G221" i="37" s="1"/>
  <c r="H222" i="37" l="1"/>
  <c r="E222" i="37"/>
  <c r="I222" i="37" l="1"/>
  <c r="C223" i="37" s="1"/>
  <c r="F222" i="37"/>
  <c r="G222" i="37" s="1"/>
  <c r="E223" i="37" l="1"/>
  <c r="H223" i="37"/>
  <c r="I223" i="37" l="1"/>
  <c r="C224" i="37" s="1"/>
  <c r="F223" i="37"/>
  <c r="G223" i="37" s="1"/>
  <c r="H224" i="37" l="1"/>
  <c r="E224" i="37"/>
  <c r="I224" i="37" l="1"/>
  <c r="C225" i="37" s="1"/>
  <c r="F224" i="37"/>
  <c r="G224" i="37" s="1"/>
  <c r="H225" i="37" l="1"/>
  <c r="E225" i="37"/>
  <c r="I225" i="37" l="1"/>
  <c r="C226" i="37" s="1"/>
  <c r="F225" i="37"/>
  <c r="G225" i="37" s="1"/>
  <c r="H226" i="37" l="1"/>
  <c r="E226" i="37"/>
  <c r="F226" i="37" l="1"/>
  <c r="G226" i="37" s="1"/>
  <c r="I226" i="37"/>
  <c r="C227" i="37" s="1"/>
  <c r="H227" i="37" l="1"/>
  <c r="E227" i="37"/>
  <c r="F227" i="37" l="1"/>
  <c r="G227" i="37" s="1"/>
  <c r="I227" i="37"/>
  <c r="C228" i="37" s="1"/>
  <c r="E228" i="37" l="1"/>
  <c r="H228" i="37"/>
  <c r="F228" i="37" l="1"/>
  <c r="G228" i="37" s="1"/>
  <c r="I228" i="37"/>
  <c r="C229" i="37" s="1"/>
  <c r="H229" i="37" l="1"/>
  <c r="E229" i="37"/>
  <c r="F229" i="37" l="1"/>
  <c r="G229" i="37" s="1"/>
  <c r="I229" i="37"/>
  <c r="C230" i="37" s="1"/>
  <c r="E230" i="37" l="1"/>
  <c r="H230" i="37"/>
  <c r="F230" i="37" l="1"/>
  <c r="G230" i="37" s="1"/>
  <c r="I230" i="37"/>
  <c r="C231" i="37" s="1"/>
  <c r="E231" i="37" l="1"/>
  <c r="H231" i="37"/>
  <c r="I231" i="37" l="1"/>
  <c r="C232" i="37" s="1"/>
  <c r="F231" i="37"/>
  <c r="G231" i="37" s="1"/>
  <c r="E232" i="37" l="1"/>
  <c r="H232" i="37"/>
  <c r="F232" i="37" l="1"/>
  <c r="G232" i="37" s="1"/>
  <c r="I232" i="37"/>
  <c r="C233" i="37" s="1"/>
  <c r="H233" i="37" l="1"/>
  <c r="E233" i="37"/>
  <c r="I233" i="37" l="1"/>
  <c r="C234" i="37" s="1"/>
  <c r="F233" i="37"/>
  <c r="G233" i="37" s="1"/>
  <c r="E234" i="37" l="1"/>
  <c r="H234" i="37"/>
  <c r="F234" i="37" l="1"/>
  <c r="G234" i="37" s="1"/>
  <c r="I234" i="37"/>
  <c r="C235" i="37" s="1"/>
  <c r="E235" i="37" l="1"/>
  <c r="H235" i="37"/>
  <c r="I235" i="37" l="1"/>
  <c r="C236" i="37" s="1"/>
  <c r="F235" i="37"/>
  <c r="G235" i="37" s="1"/>
  <c r="H236" i="37" l="1"/>
  <c r="E236" i="37"/>
  <c r="I236" i="37" l="1"/>
  <c r="C237" i="37" s="1"/>
  <c r="F236" i="37"/>
  <c r="G236" i="37" s="1"/>
  <c r="E237" i="37" l="1"/>
  <c r="H237" i="37"/>
  <c r="F237" i="37" l="1"/>
  <c r="G237" i="37" s="1"/>
  <c r="I237" i="37"/>
  <c r="C238" i="37" s="1"/>
  <c r="E238" i="37" l="1"/>
  <c r="H238" i="37"/>
  <c r="I238" i="37" l="1"/>
  <c r="C239" i="37" s="1"/>
  <c r="F238" i="37"/>
  <c r="G238" i="37" s="1"/>
  <c r="H239" i="37" l="1"/>
  <c r="E239" i="37"/>
  <c r="I239" i="37" l="1"/>
  <c r="C240" i="37" s="1"/>
  <c r="F239" i="37"/>
  <c r="G239" i="37" s="1"/>
  <c r="H240" i="37" l="1"/>
  <c r="E240" i="37"/>
  <c r="F240" i="37" l="1"/>
  <c r="G240" i="37" s="1"/>
  <c r="I240" i="37"/>
  <c r="C241" i="37" s="1"/>
  <c r="H241" i="37" l="1"/>
  <c r="E241" i="37"/>
  <c r="F241" i="37" l="1"/>
  <c r="G241" i="37" s="1"/>
  <c r="I241" i="37"/>
  <c r="C242" i="37" s="1"/>
  <c r="H242" i="37" l="1"/>
  <c r="E242" i="37"/>
  <c r="F242" i="37" l="1"/>
  <c r="G242" i="37" s="1"/>
  <c r="I242" i="37"/>
  <c r="C243" i="37" s="1"/>
  <c r="H243" i="37" l="1"/>
  <c r="E243" i="37"/>
  <c r="F243" i="37" l="1"/>
  <c r="G243" i="37" s="1"/>
  <c r="I243" i="37"/>
  <c r="C244" i="37" s="1"/>
  <c r="E244" i="37" l="1"/>
  <c r="H244" i="37"/>
  <c r="I244" i="37" l="1"/>
  <c r="C245" i="37" s="1"/>
  <c r="F244" i="37"/>
  <c r="G244" i="37" s="1"/>
  <c r="H245" i="37" l="1"/>
  <c r="E245" i="37"/>
  <c r="F245" i="37" l="1"/>
  <c r="G245" i="37" s="1"/>
  <c r="I245" i="37"/>
  <c r="C246" i="37" s="1"/>
  <c r="E246" i="37" l="1"/>
  <c r="H246" i="37"/>
  <c r="F246" i="37" l="1"/>
  <c r="G246" i="37" s="1"/>
  <c r="I246" i="37"/>
  <c r="C247" i="37" s="1"/>
  <c r="E247" i="37" l="1"/>
  <c r="H247" i="37"/>
  <c r="F247" i="37" l="1"/>
  <c r="G247" i="37" s="1"/>
  <c r="I247" i="37"/>
  <c r="C248" i="37" s="1"/>
  <c r="E248" i="37" l="1"/>
  <c r="H248" i="37"/>
  <c r="I248" i="37" l="1"/>
  <c r="C249" i="37" s="1"/>
  <c r="F248" i="37"/>
  <c r="G248" i="37" s="1"/>
  <c r="H249" i="37" l="1"/>
  <c r="E249" i="37"/>
  <c r="F249" i="37" l="1"/>
  <c r="G249" i="37" s="1"/>
  <c r="I249" i="37"/>
  <c r="C250" i="37" s="1"/>
  <c r="H250" i="37" l="1"/>
  <c r="E250" i="37"/>
  <c r="F250" i="37" l="1"/>
  <c r="G250" i="37" s="1"/>
  <c r="I250" i="37"/>
  <c r="C251" i="37" s="1"/>
  <c r="H251" i="37" l="1"/>
  <c r="E251" i="37"/>
  <c r="F251" i="37" l="1"/>
  <c r="G251" i="37" s="1"/>
  <c r="I251" i="37"/>
  <c r="C252" i="37" s="1"/>
  <c r="H252" i="37" l="1"/>
  <c r="E252" i="37"/>
  <c r="F252" i="37" l="1"/>
  <c r="G252" i="37" s="1"/>
  <c r="I252" i="37"/>
  <c r="C253" i="37" s="1"/>
  <c r="H253" i="37" l="1"/>
  <c r="E253" i="37"/>
  <c r="I253" i="37" l="1"/>
  <c r="C254" i="37" s="1"/>
  <c r="F253" i="37"/>
  <c r="G253" i="37" s="1"/>
  <c r="H254" i="37" l="1"/>
  <c r="E254" i="37"/>
  <c r="F254" i="37" l="1"/>
  <c r="G254" i="37" s="1"/>
  <c r="I254" i="37"/>
  <c r="C255" i="37" s="1"/>
  <c r="H255" i="37" l="1"/>
  <c r="E255" i="37"/>
  <c r="I255" i="37" l="1"/>
  <c r="C256" i="37" s="1"/>
  <c r="F255" i="37"/>
  <c r="G255" i="37" s="1"/>
  <c r="E256" i="37" l="1"/>
  <c r="H256" i="37"/>
  <c r="I256" i="37" l="1"/>
  <c r="C257" i="37" s="1"/>
  <c r="F256" i="37"/>
  <c r="G256" i="37" s="1"/>
  <c r="E257" i="37" l="1"/>
  <c r="H257" i="37"/>
  <c r="I257" i="37" l="1"/>
  <c r="C258" i="37" s="1"/>
  <c r="F257" i="37"/>
  <c r="G257" i="37" s="1"/>
  <c r="E258" i="37" l="1"/>
  <c r="H258" i="37"/>
  <c r="F258" i="37" l="1"/>
  <c r="G258" i="37" s="1"/>
  <c r="I258" i="37"/>
  <c r="C259" i="37" s="1"/>
  <c r="H259" i="37" l="1"/>
  <c r="E259" i="37"/>
  <c r="I259" i="37" l="1"/>
  <c r="C260" i="37" s="1"/>
  <c r="F259" i="37"/>
  <c r="G259" i="37" s="1"/>
  <c r="H260" i="37" l="1"/>
  <c r="E260" i="37"/>
  <c r="I260" i="37" l="1"/>
  <c r="C261" i="37" s="1"/>
  <c r="F260" i="37"/>
  <c r="G260" i="37" s="1"/>
  <c r="H261" i="37" l="1"/>
  <c r="E261" i="37"/>
  <c r="F261" i="37" l="1"/>
  <c r="G261" i="37" s="1"/>
  <c r="I261" i="37"/>
  <c r="C262" i="37" s="1"/>
  <c r="E262" i="37" l="1"/>
  <c r="H262" i="37"/>
  <c r="F262" i="37" l="1"/>
  <c r="G262" i="37" s="1"/>
  <c r="I262" i="37"/>
  <c r="C263" i="37" s="1"/>
  <c r="E263" i="37" l="1"/>
  <c r="H263" i="37"/>
  <c r="F263" i="37" l="1"/>
  <c r="G263" i="37" s="1"/>
  <c r="I263" i="37"/>
  <c r="C264" i="37" s="1"/>
  <c r="H264" i="37" l="1"/>
  <c r="E264" i="37"/>
  <c r="I264" i="37" l="1"/>
  <c r="C265" i="37" s="1"/>
  <c r="F264" i="37"/>
  <c r="G264" i="37" s="1"/>
  <c r="E265" i="37" l="1"/>
  <c r="H265" i="37"/>
  <c r="F265" i="37" l="1"/>
  <c r="G265" i="37" s="1"/>
  <c r="I265" i="37"/>
  <c r="C266" i="37" s="1"/>
  <c r="H266" i="37" l="1"/>
  <c r="E266" i="37"/>
  <c r="F266" i="37" l="1"/>
  <c r="G266" i="37" s="1"/>
  <c r="I266" i="37"/>
  <c r="C267" i="37" s="1"/>
  <c r="E267" i="37" l="1"/>
  <c r="H267" i="37"/>
  <c r="F267" i="37" l="1"/>
  <c r="G267" i="37" s="1"/>
  <c r="I267" i="37"/>
  <c r="C268" i="37" s="1"/>
  <c r="H268" i="37" l="1"/>
  <c r="E268" i="37"/>
  <c r="I268" i="37" l="1"/>
  <c r="C269" i="37" s="1"/>
  <c r="F268" i="37"/>
  <c r="G268" i="37" s="1"/>
  <c r="H269" i="37" l="1"/>
  <c r="E269" i="37"/>
  <c r="F269" i="37" l="1"/>
  <c r="G269" i="37" s="1"/>
  <c r="I269" i="37"/>
  <c r="C270" i="37" s="1"/>
  <c r="H270" i="37" l="1"/>
  <c r="E270" i="37"/>
  <c r="I270" i="37" l="1"/>
  <c r="C271" i="37" s="1"/>
  <c r="F270" i="37"/>
  <c r="G270" i="37" s="1"/>
  <c r="E271" i="37" l="1"/>
  <c r="H271" i="37"/>
  <c r="F271" i="37" l="1"/>
  <c r="G271" i="37" s="1"/>
  <c r="I271" i="37"/>
  <c r="C272" i="37" s="1"/>
  <c r="H272" i="37" l="1"/>
  <c r="E272" i="37"/>
  <c r="F272" i="37" l="1"/>
  <c r="G272" i="37" s="1"/>
  <c r="I272" i="37"/>
  <c r="C273" i="37" s="1"/>
  <c r="E273" i="37" l="1"/>
  <c r="H273" i="37"/>
  <c r="F273" i="37" l="1"/>
  <c r="G273" i="37" s="1"/>
  <c r="I273" i="37"/>
  <c r="C274" i="37" s="1"/>
  <c r="H274" i="37" l="1"/>
  <c r="E274" i="37"/>
  <c r="I274" i="37" l="1"/>
  <c r="C275" i="37" s="1"/>
  <c r="F274" i="37"/>
  <c r="G274" i="37" s="1"/>
  <c r="E275" i="37" l="1"/>
  <c r="H275" i="37"/>
  <c r="F275" i="37" l="1"/>
  <c r="G275" i="37" s="1"/>
  <c r="I275" i="37"/>
  <c r="C276" i="37" s="1"/>
  <c r="E276" i="37" l="1"/>
  <c r="H276" i="37"/>
  <c r="F276" i="37" l="1"/>
  <c r="G276" i="37" s="1"/>
  <c r="I276" i="37"/>
  <c r="C277" i="37" s="1"/>
  <c r="H277" i="37" l="1"/>
  <c r="E277" i="37"/>
  <c r="F277" i="37" l="1"/>
  <c r="G277" i="37" s="1"/>
  <c r="I277" i="37"/>
  <c r="C278" i="37" s="1"/>
  <c r="E278" i="37" l="1"/>
  <c r="H278" i="37"/>
  <c r="F278" i="37" l="1"/>
  <c r="G278" i="37" s="1"/>
  <c r="I278" i="37"/>
  <c r="C279" i="37" s="1"/>
  <c r="H279" i="37" l="1"/>
  <c r="E279" i="37"/>
  <c r="I279" i="37" l="1"/>
  <c r="C280" i="37" s="1"/>
  <c r="F279" i="37"/>
  <c r="G279" i="37" s="1"/>
  <c r="E280" i="37" l="1"/>
  <c r="H280" i="37"/>
  <c r="I280" i="37" l="1"/>
  <c r="C281" i="37" s="1"/>
  <c r="F280" i="37"/>
  <c r="G280" i="37" s="1"/>
  <c r="E281" i="37" l="1"/>
  <c r="H281" i="37"/>
  <c r="I281" i="37" l="1"/>
  <c r="C282" i="37" s="1"/>
  <c r="F281" i="37"/>
  <c r="G281" i="37" s="1"/>
  <c r="H282" i="37" l="1"/>
  <c r="E282" i="37"/>
  <c r="I282" i="37" l="1"/>
  <c r="C283" i="37" s="1"/>
  <c r="F282" i="37"/>
  <c r="G282" i="37" s="1"/>
  <c r="H283" i="37" l="1"/>
  <c r="E283" i="37"/>
  <c r="I283" i="37" l="1"/>
  <c r="C284" i="37" s="1"/>
  <c r="F283" i="37"/>
  <c r="G283" i="37" s="1"/>
  <c r="H284" i="37" l="1"/>
  <c r="E284" i="37"/>
  <c r="I284" i="37" l="1"/>
  <c r="C285" i="37" s="1"/>
  <c r="F284" i="37"/>
  <c r="G284" i="37" s="1"/>
  <c r="H285" i="37" l="1"/>
  <c r="E285" i="37"/>
  <c r="F285" i="37" l="1"/>
  <c r="G285" i="37" s="1"/>
  <c r="I285" i="37"/>
  <c r="C286" i="37" s="1"/>
  <c r="H286" i="37" l="1"/>
  <c r="E286" i="37"/>
  <c r="I286" i="37" l="1"/>
  <c r="C287" i="37" s="1"/>
  <c r="F286" i="37"/>
  <c r="G286" i="37" s="1"/>
  <c r="H287" i="37" l="1"/>
  <c r="E287" i="37"/>
  <c r="I287" i="37" l="1"/>
  <c r="C288" i="37" s="1"/>
  <c r="F287" i="37"/>
  <c r="G287" i="37" s="1"/>
  <c r="E288" i="37" l="1"/>
  <c r="H288" i="37"/>
  <c r="F288" i="37" l="1"/>
  <c r="G288" i="37" s="1"/>
  <c r="I288" i="37"/>
  <c r="C289" i="37" s="1"/>
  <c r="E289" i="37" l="1"/>
  <c r="H289" i="37"/>
  <c r="I289" i="37" l="1"/>
  <c r="C290" i="37" s="1"/>
  <c r="F289" i="37"/>
  <c r="G289" i="37" s="1"/>
  <c r="E290" i="37" l="1"/>
  <c r="H290" i="37"/>
  <c r="F290" i="37" l="1"/>
  <c r="G290" i="37" s="1"/>
  <c r="I290" i="37"/>
  <c r="C291" i="37" s="1"/>
  <c r="E291" i="37" l="1"/>
  <c r="H291" i="37"/>
  <c r="I291" i="37" l="1"/>
  <c r="C292" i="37" s="1"/>
  <c r="F291" i="37"/>
  <c r="G291" i="37" s="1"/>
  <c r="G292" i="37" s="1"/>
  <c r="H292" i="37" l="1"/>
  <c r="E292" i="37"/>
  <c r="F292" i="37" l="1"/>
  <c r="I292" i="37"/>
  <c r="C293" i="37" s="1"/>
  <c r="H293" i="37" l="1"/>
  <c r="E293" i="37"/>
  <c r="F293" i="37" l="1"/>
  <c r="G293" i="37" s="1"/>
  <c r="I293" i="37"/>
  <c r="C294" i="37" s="1"/>
  <c r="E294" i="37" l="1"/>
  <c r="H294" i="37"/>
  <c r="F294" i="37" l="1"/>
  <c r="G294" i="37" s="1"/>
  <c r="I294" i="37"/>
  <c r="C295" i="37" s="1"/>
  <c r="E295" i="37" l="1"/>
  <c r="H295" i="37"/>
  <c r="I295" i="37" l="1"/>
  <c r="C296" i="37" s="1"/>
  <c r="F295" i="37"/>
  <c r="G295" i="37" s="1"/>
  <c r="H296" i="37" l="1"/>
  <c r="E296" i="37"/>
  <c r="I296" i="37" l="1"/>
  <c r="C297" i="37" s="1"/>
  <c r="F296" i="37"/>
  <c r="G296" i="37" s="1"/>
  <c r="H297" i="37" l="1"/>
  <c r="E297" i="37"/>
  <c r="I297" i="37" l="1"/>
  <c r="C298" i="37" s="1"/>
  <c r="F297" i="37"/>
  <c r="G297" i="37" s="1"/>
  <c r="E298" i="37" l="1"/>
  <c r="H298" i="37"/>
  <c r="F298" i="37" l="1"/>
  <c r="G298" i="37" s="1"/>
  <c r="I298" i="37"/>
  <c r="C299" i="37" s="1"/>
  <c r="H299" i="37" l="1"/>
  <c r="E299" i="37"/>
  <c r="F299" i="37" l="1"/>
  <c r="G299" i="37" s="1"/>
  <c r="I299" i="37"/>
  <c r="C300" i="37" s="1"/>
  <c r="E300" i="37" l="1"/>
  <c r="H300" i="37"/>
  <c r="F300" i="37" l="1"/>
  <c r="G300" i="37" s="1"/>
  <c r="I300" i="37"/>
  <c r="C301" i="37" s="1"/>
  <c r="H301" i="37" l="1"/>
  <c r="E301" i="37"/>
  <c r="F301" i="37" l="1"/>
  <c r="G301" i="37" s="1"/>
  <c r="I301" i="37"/>
  <c r="C302" i="37" s="1"/>
  <c r="H302" i="37" l="1"/>
  <c r="E302" i="37"/>
  <c r="I302" i="37" l="1"/>
  <c r="C303" i="37" s="1"/>
  <c r="F302" i="37"/>
  <c r="G302" i="37" s="1"/>
  <c r="H303" i="37" l="1"/>
  <c r="E303" i="37"/>
  <c r="F303" i="37" l="1"/>
  <c r="G303" i="37" s="1"/>
  <c r="I303" i="37"/>
  <c r="C304" i="37" s="1"/>
  <c r="H304" i="37" l="1"/>
  <c r="E304" i="37"/>
  <c r="I304" i="37" l="1"/>
  <c r="C305" i="37" s="1"/>
  <c r="F304" i="37"/>
  <c r="G304" i="37" s="1"/>
  <c r="E305" i="37" l="1"/>
  <c r="H305" i="37"/>
  <c r="F305" i="37" l="1"/>
  <c r="G305" i="37" s="1"/>
  <c r="I305" i="37"/>
  <c r="C306" i="37" s="1"/>
  <c r="H306" i="37" l="1"/>
  <c r="E306" i="37"/>
  <c r="F306" i="37" l="1"/>
  <c r="G306" i="37" s="1"/>
  <c r="I306" i="37"/>
  <c r="C307" i="37" s="1"/>
  <c r="E307" i="37" l="1"/>
  <c r="H307" i="37"/>
  <c r="I307" i="37" l="1"/>
  <c r="C308" i="37" s="1"/>
  <c r="F307" i="37"/>
  <c r="G307" i="37" s="1"/>
  <c r="H308" i="37" l="1"/>
  <c r="E308" i="37"/>
  <c r="I308" i="37" l="1"/>
  <c r="C309" i="37" s="1"/>
  <c r="F308" i="37"/>
  <c r="G308" i="37" s="1"/>
  <c r="E309" i="37" l="1"/>
  <c r="H309" i="37"/>
  <c r="I309" i="37" l="1"/>
  <c r="C310" i="37" s="1"/>
  <c r="F309" i="37"/>
  <c r="G309" i="37" s="1"/>
  <c r="E310" i="37" l="1"/>
  <c r="H310" i="37"/>
  <c r="F310" i="37" l="1"/>
  <c r="G310" i="37" s="1"/>
  <c r="I310" i="37"/>
  <c r="C311" i="37" s="1"/>
  <c r="E311" i="37" l="1"/>
  <c r="H311" i="37"/>
  <c r="I311" i="37" l="1"/>
  <c r="C312" i="37" s="1"/>
  <c r="F311" i="37"/>
  <c r="G311" i="37" s="1"/>
  <c r="E312" i="37" l="1"/>
  <c r="H312" i="37"/>
  <c r="F312" i="37" l="1"/>
  <c r="G312" i="37" s="1"/>
  <c r="I312" i="37"/>
  <c r="C313" i="37" s="1"/>
  <c r="H313" i="37" l="1"/>
  <c r="E313" i="37"/>
  <c r="I313" i="37" l="1"/>
  <c r="C314" i="37" s="1"/>
  <c r="F313" i="37"/>
  <c r="G313" i="37" s="1"/>
  <c r="E314" i="37" l="1"/>
  <c r="H314" i="37"/>
  <c r="I314" i="37" l="1"/>
  <c r="C315" i="37" s="1"/>
  <c r="F314" i="37"/>
  <c r="G314" i="37" s="1"/>
  <c r="H315" i="37" l="1"/>
  <c r="E315" i="37"/>
  <c r="I315" i="37" l="1"/>
  <c r="C316" i="37" s="1"/>
  <c r="F315" i="37"/>
  <c r="G315" i="37" s="1"/>
  <c r="E316" i="37" l="1"/>
  <c r="H316" i="37"/>
  <c r="F316" i="37" l="1"/>
  <c r="G316" i="37" s="1"/>
  <c r="I316" i="37"/>
  <c r="C317" i="37" s="1"/>
  <c r="H317" i="37" l="1"/>
  <c r="E317" i="37"/>
  <c r="I317" i="37" l="1"/>
  <c r="C318" i="37" s="1"/>
  <c r="F317" i="37"/>
  <c r="G317" i="37" s="1"/>
  <c r="E318" i="37" l="1"/>
  <c r="H318" i="37"/>
  <c r="F318" i="37" l="1"/>
  <c r="G318" i="37" s="1"/>
  <c r="I318" i="37"/>
  <c r="C319" i="37" s="1"/>
  <c r="H319" i="37" l="1"/>
  <c r="E319" i="37"/>
  <c r="I319" i="37" l="1"/>
  <c r="C320" i="37" s="1"/>
  <c r="F319" i="37"/>
  <c r="G319" i="37" s="1"/>
  <c r="H320" i="37" l="1"/>
  <c r="E320" i="37"/>
  <c r="I320" i="37" l="1"/>
  <c r="C321" i="37" s="1"/>
  <c r="F320" i="37"/>
  <c r="G320" i="37" s="1"/>
  <c r="H321" i="37" l="1"/>
  <c r="E321" i="37"/>
  <c r="I321" i="37" l="1"/>
  <c r="C322" i="37" s="1"/>
  <c r="F321" i="37"/>
  <c r="G321" i="37" s="1"/>
  <c r="H322" i="37" l="1"/>
  <c r="E322" i="37"/>
  <c r="I322" i="37" l="1"/>
  <c r="C323" i="37" s="1"/>
  <c r="F322" i="37"/>
  <c r="G322" i="37" s="1"/>
  <c r="H323" i="37" l="1"/>
  <c r="E323" i="37"/>
  <c r="I323" i="37" l="1"/>
  <c r="C324" i="37" s="1"/>
  <c r="F323" i="37"/>
  <c r="G323" i="37" s="1"/>
  <c r="H324" i="37" l="1"/>
  <c r="E324" i="37"/>
  <c r="I324" i="37" l="1"/>
  <c r="C325" i="37" s="1"/>
  <c r="F324" i="37"/>
  <c r="G324" i="37" s="1"/>
  <c r="E325" i="37" l="1"/>
  <c r="H325" i="37"/>
  <c r="F325" i="37" l="1"/>
  <c r="G325" i="37" s="1"/>
  <c r="I325" i="37"/>
  <c r="C326" i="37" s="1"/>
  <c r="H326" i="37" l="1"/>
  <c r="E326" i="37"/>
  <c r="F326" i="37" l="1"/>
  <c r="G326" i="37" s="1"/>
  <c r="I326" i="37"/>
  <c r="C327" i="37" s="1"/>
  <c r="E327" i="37" l="1"/>
  <c r="H327" i="37"/>
  <c r="I327" i="37" l="1"/>
  <c r="C328" i="37" s="1"/>
  <c r="F327" i="37"/>
  <c r="G327" i="37" s="1"/>
  <c r="E328" i="37" l="1"/>
  <c r="H328" i="37"/>
  <c r="F328" i="37" l="1"/>
  <c r="G328" i="37" s="1"/>
  <c r="I328" i="37"/>
  <c r="C329" i="37" s="1"/>
  <c r="E329" i="37" l="1"/>
  <c r="H329" i="37"/>
  <c r="I329" i="37" l="1"/>
  <c r="C330" i="37" s="1"/>
  <c r="F329" i="37"/>
  <c r="G329" i="37" s="1"/>
  <c r="H330" i="37" l="1"/>
  <c r="E330" i="37"/>
  <c r="F330" i="37" l="1"/>
  <c r="G330" i="37" s="1"/>
  <c r="I330" i="37"/>
  <c r="C331" i="37" s="1"/>
  <c r="H331" i="37" l="1"/>
  <c r="E331" i="37"/>
  <c r="F331" i="37" l="1"/>
  <c r="G331" i="37" s="1"/>
  <c r="I331" i="37"/>
  <c r="C332" i="37" s="1"/>
  <c r="E332" i="37" l="1"/>
  <c r="H332" i="37"/>
  <c r="I332" i="37" l="1"/>
  <c r="C333" i="37" s="1"/>
  <c r="F332" i="37"/>
  <c r="G332" i="37" s="1"/>
  <c r="H333" i="37" l="1"/>
  <c r="E333" i="37"/>
  <c r="I333" i="37" l="1"/>
  <c r="C334" i="37" s="1"/>
  <c r="F333" i="37"/>
  <c r="G333" i="37" s="1"/>
  <c r="E334" i="37" l="1"/>
  <c r="H334" i="37"/>
  <c r="I334" i="37" l="1"/>
  <c r="C335" i="37" s="1"/>
  <c r="F334" i="37"/>
  <c r="G334" i="37" s="1"/>
  <c r="E335" i="37" l="1"/>
  <c r="H335" i="37"/>
  <c r="I335" i="37" l="1"/>
  <c r="C336" i="37" s="1"/>
  <c r="F335" i="37"/>
  <c r="G335" i="37" s="1"/>
  <c r="E336" i="37" l="1"/>
  <c r="H336" i="37"/>
  <c r="F336" i="37" l="1"/>
  <c r="G336" i="37" s="1"/>
  <c r="I336" i="37"/>
  <c r="C337" i="37" s="1"/>
  <c r="E337" i="37" l="1"/>
  <c r="H337" i="37"/>
  <c r="F337" i="37" l="1"/>
  <c r="G337" i="37" s="1"/>
  <c r="I337" i="37"/>
  <c r="C338" i="37" s="1"/>
  <c r="H338" i="37" l="1"/>
  <c r="E338" i="37"/>
  <c r="F338" i="37" l="1"/>
  <c r="G338" i="37" s="1"/>
  <c r="I338" i="37"/>
  <c r="C339" i="37" s="1"/>
  <c r="H339" i="37" l="1"/>
  <c r="E339" i="37"/>
  <c r="F339" i="37" l="1"/>
  <c r="G339" i="37" s="1"/>
  <c r="I339" i="37"/>
  <c r="C340" i="37" s="1"/>
  <c r="E340" i="37" l="1"/>
  <c r="H340" i="37"/>
  <c r="I340" i="37" l="1"/>
  <c r="C341" i="37" s="1"/>
  <c r="F340" i="37"/>
  <c r="G340" i="37" s="1"/>
  <c r="E341" i="37" l="1"/>
  <c r="H341" i="37"/>
  <c r="F341" i="37" l="1"/>
  <c r="G341" i="37" s="1"/>
  <c r="I341" i="37"/>
  <c r="C342" i="37" s="1"/>
  <c r="H342" i="37" l="1"/>
  <c r="E342" i="37"/>
  <c r="F342" i="37" l="1"/>
  <c r="G342" i="37" s="1"/>
  <c r="I342" i="37"/>
  <c r="C343" i="37" s="1"/>
  <c r="H343" i="37" l="1"/>
  <c r="E343" i="37"/>
  <c r="I343" i="37" l="1"/>
  <c r="C344" i="37" s="1"/>
  <c r="F343" i="37"/>
  <c r="G343" i="37" s="1"/>
  <c r="H344" i="37" l="1"/>
  <c r="E344" i="37"/>
  <c r="F344" i="37" l="1"/>
  <c r="G344" i="37" s="1"/>
  <c r="I344" i="37"/>
  <c r="C345" i="37" s="1"/>
  <c r="H345" i="37" l="1"/>
  <c r="E345" i="37"/>
  <c r="F345" i="37" l="1"/>
  <c r="G345" i="37" s="1"/>
  <c r="I345" i="37"/>
  <c r="C346" i="37" s="1"/>
  <c r="H346" i="37" l="1"/>
  <c r="E346" i="37"/>
  <c r="F346" i="37" l="1"/>
  <c r="G346" i="37" s="1"/>
  <c r="I346" i="37"/>
  <c r="C347" i="37" s="1"/>
  <c r="E347" i="37" l="1"/>
  <c r="H347" i="37"/>
  <c r="F347" i="37" l="1"/>
  <c r="G347" i="37" s="1"/>
  <c r="I347" i="37"/>
  <c r="C348" i="37" s="1"/>
  <c r="E348" i="37" l="1"/>
  <c r="H348" i="37"/>
  <c r="I348" i="37" l="1"/>
  <c r="C349" i="37" s="1"/>
  <c r="F348" i="37"/>
  <c r="G348" i="37" s="1"/>
  <c r="E349" i="37" l="1"/>
  <c r="H349" i="37"/>
  <c r="F349" i="37" l="1"/>
  <c r="G349" i="37" s="1"/>
  <c r="I349" i="37"/>
  <c r="C350" i="37" s="1"/>
  <c r="E350" i="37" l="1"/>
  <c r="H350" i="37"/>
  <c r="I350" i="37" l="1"/>
  <c r="C351" i="37" s="1"/>
  <c r="F350" i="37"/>
  <c r="G350" i="37" s="1"/>
  <c r="H351" i="37" l="1"/>
  <c r="E351" i="37"/>
  <c r="I351" i="37" l="1"/>
  <c r="C352" i="37" s="1"/>
  <c r="F351" i="37"/>
  <c r="G351" i="37" s="1"/>
  <c r="E352" i="37" l="1"/>
  <c r="H352" i="37"/>
  <c r="F352" i="37" l="1"/>
  <c r="G352" i="37" s="1"/>
  <c r="I352" i="37"/>
  <c r="C353" i="37" s="1"/>
  <c r="E353" i="37" l="1"/>
  <c r="H353" i="37"/>
  <c r="F353" i="37" l="1"/>
  <c r="G353" i="37" s="1"/>
  <c r="I353" i="37"/>
  <c r="C354" i="37" s="1"/>
  <c r="E354" i="37" l="1"/>
  <c r="H354" i="37"/>
  <c r="I354" i="37" l="1"/>
  <c r="C355" i="37" s="1"/>
  <c r="F354" i="37"/>
  <c r="G354" i="37" s="1"/>
  <c r="E355" i="37" l="1"/>
  <c r="H355" i="37"/>
  <c r="I355" i="37" l="1"/>
  <c r="C356" i="37" s="1"/>
  <c r="F355" i="37"/>
  <c r="G355" i="37" s="1"/>
  <c r="H356" i="37" l="1"/>
  <c r="E356" i="37"/>
  <c r="F356" i="37" l="1"/>
  <c r="G356" i="37" s="1"/>
  <c r="I356" i="37"/>
  <c r="C357" i="37" s="1"/>
  <c r="E357" i="37" l="1"/>
  <c r="H357" i="37"/>
  <c r="I357" i="37" l="1"/>
  <c r="C358" i="37" s="1"/>
  <c r="F357" i="37"/>
  <c r="G357" i="37" s="1"/>
  <c r="E358" i="37" l="1"/>
  <c r="H358" i="37"/>
  <c r="F358" i="37" l="1"/>
  <c r="G358" i="37" s="1"/>
  <c r="I358" i="37"/>
  <c r="C359" i="37" s="1"/>
  <c r="E359" i="37" l="1"/>
  <c r="H359" i="37"/>
  <c r="F359" i="37" l="1"/>
  <c r="G359" i="37" s="1"/>
  <c r="I359" i="37"/>
  <c r="C360" i="37" s="1"/>
  <c r="E360" i="37" l="1"/>
  <c r="H360" i="37"/>
  <c r="F360" i="37" l="1"/>
  <c r="G360" i="37" s="1"/>
  <c r="I360" i="37"/>
  <c r="C361" i="37" s="1"/>
  <c r="E361" i="37" l="1"/>
  <c r="H361" i="37"/>
  <c r="F361" i="37" l="1"/>
  <c r="G361" i="37" s="1"/>
  <c r="I361" i="37"/>
  <c r="C362" i="37" s="1"/>
  <c r="H362" i="37" l="1"/>
  <c r="E362" i="37"/>
  <c r="I362" i="37" l="1"/>
  <c r="C363" i="37" s="1"/>
  <c r="F362" i="37"/>
  <c r="G362" i="37" s="1"/>
  <c r="H363" i="37" l="1"/>
  <c r="E363" i="37"/>
  <c r="I363" i="37" l="1"/>
  <c r="C364" i="37" s="1"/>
  <c r="F363" i="37"/>
  <c r="G363" i="37" s="1"/>
  <c r="E364" i="37" l="1"/>
  <c r="H364" i="37"/>
  <c r="I364" i="37" l="1"/>
  <c r="C365" i="37" s="1"/>
  <c r="F364" i="37"/>
  <c r="G364" i="37" s="1"/>
  <c r="E365" i="37" l="1"/>
  <c r="H365" i="37"/>
  <c r="F365" i="37" l="1"/>
  <c r="G365" i="37" s="1"/>
  <c r="I365" i="37"/>
  <c r="C366" i="37" s="1"/>
  <c r="E366" i="37" l="1"/>
  <c r="H366" i="37"/>
  <c r="F366" i="37" l="1"/>
  <c r="G366" i="37" s="1"/>
  <c r="I366" i="37"/>
  <c r="C367" i="37" s="1"/>
  <c r="E367" i="37" l="1"/>
  <c r="H367" i="37"/>
  <c r="F367" i="37" l="1"/>
  <c r="G367" i="37" s="1"/>
  <c r="I367" i="37"/>
  <c r="C368" i="37" s="1"/>
  <c r="H368" i="37" l="1"/>
  <c r="E368" i="37"/>
  <c r="I368" i="37" l="1"/>
  <c r="C369" i="37" s="1"/>
  <c r="F368" i="37"/>
  <c r="G368" i="37" s="1"/>
  <c r="E369" i="37" l="1"/>
  <c r="H369" i="37"/>
  <c r="I369" i="37" l="1"/>
  <c r="C370" i="37" s="1"/>
  <c r="F369" i="37"/>
  <c r="G369" i="37" s="1"/>
  <c r="H370" i="37" l="1"/>
  <c r="E370" i="37"/>
  <c r="F370" i="37" l="1"/>
  <c r="G370" i="37" s="1"/>
  <c r="I370" i="37"/>
  <c r="C371" i="37" s="1"/>
  <c r="E371" i="37" l="1"/>
  <c r="H371" i="37"/>
  <c r="I371" i="37" l="1"/>
  <c r="C372" i="37" s="1"/>
  <c r="F371" i="37"/>
  <c r="G371" i="37" s="1"/>
  <c r="H372" i="37" l="1"/>
  <c r="E372" i="37"/>
  <c r="F372" i="37" l="1"/>
  <c r="G372" i="37" s="1"/>
  <c r="I372" i="37"/>
  <c r="C373" i="37" s="1"/>
  <c r="H373" i="37" l="1"/>
  <c r="E373" i="37"/>
  <c r="I373" i="37" l="1"/>
  <c r="C374" i="37" s="1"/>
  <c r="F373" i="37"/>
  <c r="G373" i="37" s="1"/>
  <c r="E374" i="37" l="1"/>
  <c r="H374" i="37"/>
  <c r="F374" i="37" l="1"/>
  <c r="G374" i="37" s="1"/>
  <c r="I374" i="37"/>
  <c r="C375" i="37" s="1"/>
  <c r="H375" i="37" l="1"/>
  <c r="E375" i="37"/>
  <c r="I375" i="37" l="1"/>
  <c r="C376" i="37" s="1"/>
  <c r="F375" i="37"/>
  <c r="G375" i="37" s="1"/>
  <c r="H376" i="37" l="1"/>
  <c r="E376" i="37"/>
  <c r="I376" i="37" l="1"/>
  <c r="C377" i="37" s="1"/>
  <c r="F376" i="37"/>
  <c r="G376" i="37" s="1"/>
  <c r="H377" i="37" l="1"/>
  <c r="E377" i="37"/>
  <c r="I377" i="37" l="1"/>
  <c r="C378" i="37" s="1"/>
  <c r="F377" i="37"/>
  <c r="G377" i="37" s="1"/>
  <c r="H378" i="37" l="1"/>
  <c r="E378" i="37"/>
  <c r="I378" i="37" l="1"/>
  <c r="C379" i="37" s="1"/>
  <c r="F378" i="37"/>
  <c r="G378" i="37" s="1"/>
  <c r="H379" i="37" l="1"/>
  <c r="E379" i="37"/>
  <c r="F379" i="37" l="1"/>
  <c r="G379" i="37" s="1"/>
  <c r="I379" i="37"/>
  <c r="C380" i="37" s="1"/>
  <c r="H380" i="37" l="1"/>
  <c r="E380" i="37"/>
  <c r="F380" i="37" l="1"/>
  <c r="G380" i="37" s="1"/>
  <c r="I380" i="37"/>
  <c r="C381" i="37" s="1"/>
  <c r="E381" i="37" l="1"/>
  <c r="H381" i="37"/>
  <c r="I381" i="37" l="1"/>
  <c r="C382" i="37" s="1"/>
  <c r="F381" i="37"/>
  <c r="G381" i="37" s="1"/>
  <c r="E382" i="37" l="1"/>
  <c r="H382" i="37"/>
  <c r="F382" i="37" l="1"/>
  <c r="G382" i="37" s="1"/>
  <c r="I382" i="37"/>
  <c r="C383" i="37" s="1"/>
  <c r="H383" i="37" l="1"/>
  <c r="E383" i="37"/>
  <c r="I383" i="37" l="1"/>
  <c r="C384" i="37" s="1"/>
  <c r="F383" i="37"/>
  <c r="G383" i="37" s="1"/>
  <c r="H384" i="37" l="1"/>
  <c r="H18" i="37" s="1"/>
  <c r="E384" i="37"/>
  <c r="I384" i="37" l="1"/>
  <c r="H16" i="37" s="1"/>
  <c r="F384" i="37"/>
  <c r="G384" i="37" s="1"/>
  <c r="F53"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Shiela Oaman</author>
  </authors>
  <commentList>
    <comment ref="G9" authorId="0" shapeId="0" xr:uid="{00000000-0006-0000-0100-000001000000}">
      <text>
        <r>
          <rPr>
            <b/>
            <sz val="9"/>
            <color indexed="81"/>
            <rFont val="Tahoma"/>
            <family val="2"/>
          </rPr>
          <t>Shiela Oaman:</t>
        </r>
        <r>
          <rPr>
            <sz val="9"/>
            <color indexed="81"/>
            <rFont val="Tahoma"/>
            <family val="2"/>
          </rPr>
          <t xml:space="preserve">
INHS (Long Term)
INHS (EOB)
LOAN DIFF.</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Acer</author>
    <author>Wee Comm Developers</author>
  </authors>
  <commentList>
    <comment ref="W5" authorId="0" shapeId="0" xr:uid="{00000000-0006-0000-0200-000001000000}">
      <text>
        <r>
          <rPr>
            <b/>
            <sz val="9"/>
            <color indexed="81"/>
            <rFont val="Tahoma"/>
            <family val="2"/>
          </rPr>
          <t>Adjusted from 27 to 24 months (January 2022)
Adjustment:
May 19,2022
21 months to 24 months</t>
        </r>
      </text>
    </comment>
    <comment ref="Z5" authorId="0" shapeId="0" xr:uid="{00000000-0006-0000-0200-000002000000}">
      <text>
        <r>
          <rPr>
            <b/>
            <sz val="9"/>
            <color indexed="81"/>
            <rFont val="Tahoma"/>
            <family val="2"/>
          </rPr>
          <t>20 yrs @7%</t>
        </r>
      </text>
    </comment>
    <comment ref="AA5" authorId="0" shapeId="0" xr:uid="{00000000-0006-0000-0200-000003000000}">
      <text>
        <r>
          <rPr>
            <b/>
            <sz val="9"/>
            <color indexed="81"/>
            <rFont val="Tahoma"/>
            <family val="2"/>
          </rPr>
          <t>based on 15 yrs at 7% interest rate</t>
        </r>
      </text>
    </comment>
    <comment ref="AB5" authorId="0" shapeId="0" xr:uid="{00000000-0006-0000-0200-000004000000}">
      <text>
        <r>
          <rPr>
            <b/>
            <sz val="9"/>
            <color indexed="81"/>
            <rFont val="Tahoma"/>
            <family val="2"/>
          </rPr>
          <t>based on 10 yrs</t>
        </r>
      </text>
    </comment>
    <comment ref="AC5" authorId="0" shapeId="0" xr:uid="{00000000-0006-0000-0200-000005000000}">
      <text>
        <r>
          <rPr>
            <b/>
            <sz val="9"/>
            <color indexed="81"/>
            <rFont val="Tahoma"/>
            <family val="2"/>
          </rPr>
          <t xml:space="preserve">based on 5 yrs
</t>
        </r>
      </text>
    </comment>
    <comment ref="F6" authorId="1" shapeId="0" xr:uid="{00000000-0006-0000-0200-000006000000}">
      <text>
        <r>
          <rPr>
            <b/>
            <sz val="9"/>
            <color indexed="81"/>
            <rFont val="Tahoma"/>
            <family val="2"/>
          </rPr>
          <t>Wee Comm Developers:</t>
        </r>
        <r>
          <rPr>
            <sz val="9"/>
            <color indexed="81"/>
            <rFont val="Tahoma"/>
            <family val="2"/>
          </rPr>
          <t xml:space="preserve">
Please check and update; these are for vloook up testing only</t>
        </r>
      </text>
    </comment>
    <comment ref="L6" authorId="0" shapeId="0" xr:uid="{00000000-0006-0000-0200-000007000000}">
      <text>
        <r>
          <rPr>
            <b/>
            <sz val="9"/>
            <color indexed="81"/>
            <rFont val="Tahoma"/>
            <family val="2"/>
          </rPr>
          <t xml:space="preserve">Applicable May 23,2022
</t>
        </r>
        <r>
          <rPr>
            <sz val="9"/>
            <color indexed="81"/>
            <rFont val="Tahoma"/>
            <family val="2"/>
          </rPr>
          <t>2M+HIC Amount+Smart home &amp; recovery+increase) X 3% price increase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Acer</author>
    <author>HP</author>
  </authors>
  <commentList>
    <comment ref="EG3" authorId="0" shapeId="0" xr:uid="{00000000-0006-0000-0300-000001000000}">
      <text>
        <r>
          <rPr>
            <b/>
            <sz val="9"/>
            <color indexed="81"/>
            <rFont val="Tahoma"/>
            <family val="2"/>
          </rPr>
          <t>Aug. 2023-added 3 mos.</t>
        </r>
      </text>
    </comment>
    <comment ref="AI5" authorId="0" shapeId="0" xr:uid="{00000000-0006-0000-0300-000002000000}">
      <text>
        <r>
          <rPr>
            <b/>
            <sz val="9"/>
            <color indexed="81"/>
            <rFont val="Tahoma"/>
            <family val="2"/>
          </rPr>
          <t>*Applied 7.5% increase last Jan. 1,2023
*Feb. 2023 Pricelist-adjusted to 5% increase+additional 2.75% in LMF</t>
        </r>
      </text>
    </comment>
    <comment ref="CJ5" authorId="0" shapeId="0" xr:uid="{00000000-0006-0000-0300-000003000000}">
      <text>
        <r>
          <rPr>
            <b/>
            <sz val="9"/>
            <color indexed="81"/>
            <rFont val="Tahoma"/>
            <family val="2"/>
          </rPr>
          <t>*Feb. 2023-added additional 2.75% in LMF</t>
        </r>
      </text>
    </comment>
    <comment ref="CM5" authorId="0" shapeId="0" xr:uid="{00000000-0006-0000-0300-000004000000}">
      <text>
        <r>
          <rPr>
            <b/>
            <sz val="9"/>
            <color indexed="81"/>
            <rFont val="Tahoma"/>
            <family val="2"/>
          </rPr>
          <t>50 units only lower levels)</t>
        </r>
      </text>
    </comment>
    <comment ref="FN6" authorId="0" shapeId="0" xr:uid="{00000000-0006-0000-0300-000005000000}">
      <text>
        <r>
          <rPr>
            <b/>
            <sz val="9"/>
            <color indexed="81"/>
            <rFont val="Tahoma"/>
            <family val="2"/>
          </rPr>
          <t>RS date: May 2023</t>
        </r>
      </text>
    </comment>
    <comment ref="FP6" authorId="0" shapeId="0" xr:uid="{00000000-0006-0000-0300-000006000000}">
      <text>
        <r>
          <rPr>
            <b/>
            <sz val="9"/>
            <color indexed="81"/>
            <rFont val="Tahoma"/>
            <family val="2"/>
          </rPr>
          <t>Revised</t>
        </r>
      </text>
    </comment>
    <comment ref="A223" authorId="1" shapeId="0" xr:uid="{00000000-0006-0000-0300-000007000000}">
      <text>
        <r>
          <rPr>
            <b/>
            <sz val="9"/>
            <color indexed="81"/>
            <rFont val="Tahoma"/>
            <family val="2"/>
          </rPr>
          <t>HP:</t>
        </r>
        <r>
          <rPr>
            <sz val="9"/>
            <color indexed="81"/>
            <rFont val="Tahoma"/>
            <family val="2"/>
          </rPr>
          <t xml:space="preserve">
variance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Wee Comm Developers</author>
  </authors>
  <commentList>
    <comment ref="B6" authorId="0" shapeId="0" xr:uid="{00000000-0006-0000-0400-000001000000}">
      <text>
        <r>
          <rPr>
            <b/>
            <sz val="9"/>
            <color indexed="81"/>
            <rFont val="Tahoma"/>
            <family val="2"/>
          </rPr>
          <t>Wee Comm Developers:</t>
        </r>
        <r>
          <rPr>
            <sz val="9"/>
            <color indexed="81"/>
            <rFont val="Tahoma"/>
            <family val="2"/>
          </rPr>
          <t xml:space="preserve">
Please update; these status are for vloook up testing only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0800-000001000000}">
      <text>
        <r>
          <rPr>
            <b/>
            <sz val="9"/>
            <color indexed="81"/>
            <rFont val="Tahoma"/>
            <family val="2"/>
          </rPr>
          <t>link lumpsum to payment schedule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0900-000001000000}">
      <text>
        <r>
          <rPr>
            <b/>
            <sz val="9"/>
            <color indexed="81"/>
            <rFont val="Tahoma"/>
            <family val="2"/>
          </rPr>
          <t>link lumpsum to payment schedule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1800-000001000000}">
      <text>
        <r>
          <rPr>
            <b/>
            <sz val="9"/>
            <color indexed="81"/>
            <rFont val="Tahoma"/>
            <family val="2"/>
          </rPr>
          <t>link lumpsum to payment schedule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7" authorId="0" shapeId="0" xr:uid="{00000000-0006-0000-1A00-000001000000}">
      <text>
        <r>
          <rPr>
            <b/>
            <sz val="9"/>
            <color indexed="81"/>
            <rFont val="Tahoma"/>
            <family val="2"/>
          </rPr>
          <t>link lumpsum to payment schedule</t>
        </r>
      </text>
    </comment>
  </commentList>
</comments>
</file>

<file path=xl/sharedStrings.xml><?xml version="1.0" encoding="utf-8"?>
<sst xmlns="http://schemas.openxmlformats.org/spreadsheetml/2006/main" count="7600" uniqueCount="1011">
  <si>
    <t>*Internal applied to Equity term plus 2 months buffer</t>
  </si>
  <si>
    <t>Aug. 2023</t>
  </si>
  <si>
    <t>Current term</t>
  </si>
  <si>
    <t>New Term</t>
  </si>
  <si>
    <t>B1</t>
  </si>
  <si>
    <t>B2</t>
  </si>
  <si>
    <t>B3</t>
  </si>
  <si>
    <t>NEW</t>
  </si>
  <si>
    <t>as of Sept. 28,2023</t>
  </si>
  <si>
    <t>ANNEX "A"</t>
  </si>
  <si>
    <t>ILOILO SOUTHPRIME DEVELOPERS INC.</t>
  </si>
  <si>
    <t>Date and Time Printed:</t>
  </si>
  <si>
    <t>Buyer's Name:</t>
  </si>
  <si>
    <t>Project Name:</t>
  </si>
  <si>
    <t>EMERALD ESTATES</t>
  </si>
  <si>
    <t>Unit No.:</t>
  </si>
  <si>
    <t>BLOCK LOT</t>
  </si>
  <si>
    <t>Financing:</t>
  </si>
  <si>
    <t>Payment Schedule</t>
  </si>
  <si>
    <t>Outstanding Balance Summary</t>
  </si>
  <si>
    <t>Loan Amount</t>
  </si>
  <si>
    <t>Scheduled Payment</t>
  </si>
  <si>
    <t>Annual Interest Rate</t>
  </si>
  <si>
    <t>Scheduled Number of Payments</t>
  </si>
  <si>
    <t>Loan Period in Years</t>
  </si>
  <si>
    <t>Actual Number of Payments</t>
  </si>
  <si>
    <t>Number of Payments Per Year</t>
  </si>
  <si>
    <t>Total Early Payments</t>
  </si>
  <si>
    <t>Start Date of Loan</t>
  </si>
  <si>
    <t>Total Interest</t>
  </si>
  <si>
    <t>PROJECTION</t>
  </si>
  <si>
    <t>Optional Extra Payments</t>
  </si>
  <si>
    <t>LINK GOING TO LD OR INHS MASTERLIST</t>
  </si>
  <si>
    <t>MONTH</t>
  </si>
  <si>
    <t>amount</t>
  </si>
  <si>
    <t>prin cipal</t>
  </si>
  <si>
    <t>interest</t>
  </si>
  <si>
    <t>balance</t>
  </si>
  <si>
    <t>PmtNo.</t>
  </si>
  <si>
    <t>Payment Date</t>
  </si>
  <si>
    <t>Beginning Balance</t>
  </si>
  <si>
    <t>Extra Payment</t>
  </si>
  <si>
    <t>Total Payment</t>
  </si>
  <si>
    <t>Principal</t>
  </si>
  <si>
    <t>Interest</t>
  </si>
  <si>
    <t>Ending Balance</t>
  </si>
  <si>
    <t>Paid/Credited</t>
  </si>
  <si>
    <t>TRANCHES</t>
  </si>
  <si>
    <t>TOTAL</t>
  </si>
  <si>
    <t>Total Interest for 9 months</t>
  </si>
  <si>
    <t>TOTAL AMOUNT</t>
  </si>
  <si>
    <t>The Southprime Flats</t>
  </si>
  <si>
    <t>linked to computation - pls update as needed</t>
  </si>
  <si>
    <t>Mandurriao, Iloilo</t>
  </si>
  <si>
    <t>VAT Threshold</t>
  </si>
  <si>
    <t>Building 2 Pricelist (Ver.01)</t>
  </si>
  <si>
    <t>Part of LMF</t>
  </si>
  <si>
    <t>July 2022</t>
  </si>
  <si>
    <t>HIDE</t>
  </si>
  <si>
    <t>NOT INCLUDED</t>
  </si>
  <si>
    <t>7% @ 15 years</t>
  </si>
  <si>
    <t>Level</t>
  </si>
  <si>
    <t>Tagging</t>
  </si>
  <si>
    <t>Description</t>
  </si>
  <si>
    <t>Unit</t>
  </si>
  <si>
    <t>Area (sqm)</t>
  </si>
  <si>
    <t>Unit Type</t>
  </si>
  <si>
    <t>Selling Price</t>
  </si>
  <si>
    <t>HIC AMOUNT</t>
  </si>
  <si>
    <t>HIC VAT</t>
  </si>
  <si>
    <t>Smart home cost + recovery</t>
  </si>
  <si>
    <t>(+) Price Increase</t>
  </si>
  <si>
    <t>New Selling Price</t>
  </si>
  <si>
    <t>(+)Smart Home Cost</t>
  </si>
  <si>
    <t>(+)Recovery Program</t>
  </si>
  <si>
    <t>LMF</t>
  </si>
  <si>
    <t>BF</t>
  </si>
  <si>
    <t>Total Contract Price</t>
  </si>
  <si>
    <t>Equity Rate</t>
  </si>
  <si>
    <t>Equity</t>
  </si>
  <si>
    <t>Reservation Fee</t>
  </si>
  <si>
    <t>Net Equity</t>
  </si>
  <si>
    <t>Equity Term (Months)</t>
  </si>
  <si>
    <t>Monthly Equity</t>
  </si>
  <si>
    <t>Loanable Amount</t>
  </si>
  <si>
    <t>Monthly Amort.           20 years @ 7%</t>
  </si>
  <si>
    <t>Monthly Amort.           15 years @ 7%</t>
  </si>
  <si>
    <t>Monthly Amort.           10 years @ 7%</t>
  </si>
  <si>
    <t>Monthly Amort.           5 years @ 7%</t>
  </si>
  <si>
    <t>Step-Up Computation</t>
  </si>
  <si>
    <t>STATUS</t>
  </si>
  <si>
    <t>FROM AREA TAB</t>
  </si>
  <si>
    <t>UPPER GROUND</t>
  </si>
  <si>
    <t>Inner</t>
  </si>
  <si>
    <t>1A</t>
  </si>
  <si>
    <t>Studio Unit</t>
  </si>
  <si>
    <t>UNSOLD</t>
  </si>
  <si>
    <t>UNIT A</t>
  </si>
  <si>
    <t>1B</t>
  </si>
  <si>
    <t>Months Covered</t>
  </si>
  <si>
    <t>Months</t>
  </si>
  <si>
    <t>%</t>
  </si>
  <si>
    <t>Total</t>
  </si>
  <si>
    <t>Monthly</t>
  </si>
  <si>
    <t>UNIT B</t>
  </si>
  <si>
    <t>1C</t>
  </si>
  <si>
    <t>Step Up 1</t>
  </si>
  <si>
    <t>1st to 7th Month</t>
  </si>
  <si>
    <t>UNIT C</t>
  </si>
  <si>
    <t>1D</t>
  </si>
  <si>
    <t>Step Up 2</t>
  </si>
  <si>
    <t>8th to 14th Month</t>
  </si>
  <si>
    <t>UNIT D</t>
  </si>
  <si>
    <t>1E</t>
  </si>
  <si>
    <t>Step Up 3</t>
  </si>
  <si>
    <t>15th to 22nd Month</t>
  </si>
  <si>
    <t>UNIT E</t>
  </si>
  <si>
    <t>Corner</t>
  </si>
  <si>
    <t>1F</t>
  </si>
  <si>
    <t>UNIT F</t>
  </si>
  <si>
    <t>1G</t>
  </si>
  <si>
    <t>UNIT G</t>
  </si>
  <si>
    <t>1H</t>
  </si>
  <si>
    <t>UNIT H</t>
  </si>
  <si>
    <t>1I</t>
  </si>
  <si>
    <t>UNIT I</t>
  </si>
  <si>
    <t>1J</t>
  </si>
  <si>
    <t>UNIT J</t>
  </si>
  <si>
    <t>1K</t>
  </si>
  <si>
    <t>UNIT K</t>
  </si>
  <si>
    <t>1L</t>
  </si>
  <si>
    <t>UNIT L</t>
  </si>
  <si>
    <t>1M</t>
  </si>
  <si>
    <t>UNIT M</t>
  </si>
  <si>
    <t>1N</t>
  </si>
  <si>
    <t>UNIT N</t>
  </si>
  <si>
    <t>1O</t>
  </si>
  <si>
    <t>Edit every month</t>
  </si>
  <si>
    <t>UNIT O</t>
  </si>
  <si>
    <t>1P</t>
  </si>
  <si>
    <t>N/A</t>
  </si>
  <si>
    <t>less: Lumpsum Payment (24th month)</t>
  </si>
  <si>
    <t>UNIT P</t>
  </si>
  <si>
    <t>1Q</t>
  </si>
  <si>
    <t>UNIT Q</t>
  </si>
  <si>
    <t>2nd FLOOR</t>
  </si>
  <si>
    <t>2A</t>
  </si>
  <si>
    <t>Step Up:</t>
  </si>
  <si>
    <t>10% Equity Step-up</t>
  </si>
  <si>
    <t>SOLD</t>
  </si>
  <si>
    <t>2B</t>
  </si>
  <si>
    <t>Step Up w/ 2.5%:</t>
  </si>
  <si>
    <t>10% Equity Step-up, 2.50% Lumpsum</t>
  </si>
  <si>
    <t>2C</t>
  </si>
  <si>
    <t>w/ 2.5% Lumpsum:</t>
  </si>
  <si>
    <t>10% Equity spread, 2.50% Lumpsum</t>
  </si>
  <si>
    <t>2D</t>
  </si>
  <si>
    <t>2E</t>
  </si>
  <si>
    <t>2F</t>
  </si>
  <si>
    <t>2G</t>
  </si>
  <si>
    <t>SPECIAL STEP-UP TERM</t>
  </si>
  <si>
    <t>2H</t>
  </si>
  <si>
    <t>2I</t>
  </si>
  <si>
    <t>2J</t>
  </si>
  <si>
    <t>2K</t>
  </si>
  <si>
    <t>2L</t>
  </si>
  <si>
    <t>Lumpsum payment of the 7th, 14th, &amp; 22nd month</t>
  </si>
  <si>
    <t>2M</t>
  </si>
  <si>
    <t>2N</t>
  </si>
  <si>
    <t>2O</t>
  </si>
  <si>
    <t>2P</t>
  </si>
  <si>
    <t>2Q</t>
  </si>
  <si>
    <t>2R</t>
  </si>
  <si>
    <t>UNIT R</t>
  </si>
  <si>
    <t>3rd FLOOR</t>
  </si>
  <si>
    <t>3A</t>
  </si>
  <si>
    <t>3B</t>
  </si>
  <si>
    <t>3C</t>
  </si>
  <si>
    <t>3D</t>
  </si>
  <si>
    <t>3E</t>
  </si>
  <si>
    <t>3F</t>
  </si>
  <si>
    <t>3G</t>
  </si>
  <si>
    <t>3H</t>
  </si>
  <si>
    <t>3I</t>
  </si>
  <si>
    <t>3J</t>
  </si>
  <si>
    <t>3K</t>
  </si>
  <si>
    <t>3L</t>
  </si>
  <si>
    <t>3M</t>
  </si>
  <si>
    <t>3N</t>
  </si>
  <si>
    <t>3O</t>
  </si>
  <si>
    <t>3P</t>
  </si>
  <si>
    <t>3Q</t>
  </si>
  <si>
    <t>3R</t>
  </si>
  <si>
    <t>4th FLOOR</t>
  </si>
  <si>
    <t>4A</t>
  </si>
  <si>
    <t>4B</t>
  </si>
  <si>
    <t>4C</t>
  </si>
  <si>
    <t>4D</t>
  </si>
  <si>
    <t>4E</t>
  </si>
  <si>
    <t>4F</t>
  </si>
  <si>
    <t>4G</t>
  </si>
  <si>
    <t>4H</t>
  </si>
  <si>
    <t>4I</t>
  </si>
  <si>
    <t>4J</t>
  </si>
  <si>
    <t>4K</t>
  </si>
  <si>
    <t>4L</t>
  </si>
  <si>
    <t>4M</t>
  </si>
  <si>
    <t>4N</t>
  </si>
  <si>
    <t>4O</t>
  </si>
  <si>
    <t>4P</t>
  </si>
  <si>
    <t>4Q</t>
  </si>
  <si>
    <t>4R</t>
  </si>
  <si>
    <t>5th FLOOR</t>
  </si>
  <si>
    <t>5A</t>
  </si>
  <si>
    <t>5B</t>
  </si>
  <si>
    <t>5C</t>
  </si>
  <si>
    <t>5D</t>
  </si>
  <si>
    <t>5E</t>
  </si>
  <si>
    <t>5F</t>
  </si>
  <si>
    <t>5G</t>
  </si>
  <si>
    <t>5H</t>
  </si>
  <si>
    <t>5I</t>
  </si>
  <si>
    <t>5J</t>
  </si>
  <si>
    <t>5K</t>
  </si>
  <si>
    <t>5L</t>
  </si>
  <si>
    <t>5M</t>
  </si>
  <si>
    <t>5N</t>
  </si>
  <si>
    <t>5O</t>
  </si>
  <si>
    <t>5P</t>
  </si>
  <si>
    <t>5Q</t>
  </si>
  <si>
    <t>5R</t>
  </si>
  <si>
    <t>6th FLOOR</t>
  </si>
  <si>
    <t>6A</t>
  </si>
  <si>
    <t>6B</t>
  </si>
  <si>
    <t>6C</t>
  </si>
  <si>
    <t>6D</t>
  </si>
  <si>
    <t>6E</t>
  </si>
  <si>
    <t>6F</t>
  </si>
  <si>
    <t>6G</t>
  </si>
  <si>
    <t>6H</t>
  </si>
  <si>
    <t>6I</t>
  </si>
  <si>
    <t>6J</t>
  </si>
  <si>
    <t>6K</t>
  </si>
  <si>
    <t>6L</t>
  </si>
  <si>
    <t>6M</t>
  </si>
  <si>
    <t>6N</t>
  </si>
  <si>
    <t>6O</t>
  </si>
  <si>
    <t>6P</t>
  </si>
  <si>
    <t>6Q</t>
  </si>
  <si>
    <t>6R</t>
  </si>
  <si>
    <t>7th FLOOR</t>
  </si>
  <si>
    <t>7A</t>
  </si>
  <si>
    <t>7B</t>
  </si>
  <si>
    <t>7C</t>
  </si>
  <si>
    <t>7D</t>
  </si>
  <si>
    <t>7E</t>
  </si>
  <si>
    <t>7F</t>
  </si>
  <si>
    <t>7G</t>
  </si>
  <si>
    <t>7H</t>
  </si>
  <si>
    <t>7I</t>
  </si>
  <si>
    <t>7J</t>
  </si>
  <si>
    <t>7K</t>
  </si>
  <si>
    <t>7L</t>
  </si>
  <si>
    <t>7M</t>
  </si>
  <si>
    <t>7N</t>
  </si>
  <si>
    <t>7O</t>
  </si>
  <si>
    <t>7P</t>
  </si>
  <si>
    <t>7Q</t>
  </si>
  <si>
    <t>7R</t>
  </si>
  <si>
    <t>8th FLOOR</t>
  </si>
  <si>
    <t>8A</t>
  </si>
  <si>
    <t>8B</t>
  </si>
  <si>
    <t>8C</t>
  </si>
  <si>
    <t>8D</t>
  </si>
  <si>
    <t>8E</t>
  </si>
  <si>
    <t>8F</t>
  </si>
  <si>
    <t>8G</t>
  </si>
  <si>
    <t>8H</t>
  </si>
  <si>
    <t>8I</t>
  </si>
  <si>
    <t>8J</t>
  </si>
  <si>
    <t>8K</t>
  </si>
  <si>
    <t>8L</t>
  </si>
  <si>
    <t>8M</t>
  </si>
  <si>
    <t>8N</t>
  </si>
  <si>
    <t>8O</t>
  </si>
  <si>
    <t>8P</t>
  </si>
  <si>
    <t>8Q</t>
  </si>
  <si>
    <t>8R</t>
  </si>
  <si>
    <t>9th FLOOR</t>
  </si>
  <si>
    <t>9A</t>
  </si>
  <si>
    <t>9B</t>
  </si>
  <si>
    <t>9C</t>
  </si>
  <si>
    <t>9D</t>
  </si>
  <si>
    <t>9E</t>
  </si>
  <si>
    <t>9F</t>
  </si>
  <si>
    <t>9G</t>
  </si>
  <si>
    <t>9H</t>
  </si>
  <si>
    <t>9I</t>
  </si>
  <si>
    <t>9J</t>
  </si>
  <si>
    <t>9K</t>
  </si>
  <si>
    <t>9L</t>
  </si>
  <si>
    <t>9M</t>
  </si>
  <si>
    <t>9N</t>
  </si>
  <si>
    <t>9O</t>
  </si>
  <si>
    <t>9P</t>
  </si>
  <si>
    <t>9Q</t>
  </si>
  <si>
    <t>*</t>
  </si>
  <si>
    <t>9R</t>
  </si>
  <si>
    <t>10th FLOOR</t>
  </si>
  <si>
    <t>10A</t>
  </si>
  <si>
    <t>10th Floor</t>
  </si>
  <si>
    <t>10B</t>
  </si>
  <si>
    <t>10C</t>
  </si>
  <si>
    <t>10D</t>
  </si>
  <si>
    <t>10E</t>
  </si>
  <si>
    <t>10F</t>
  </si>
  <si>
    <t>10G</t>
  </si>
  <si>
    <t>10H</t>
  </si>
  <si>
    <t>10I</t>
  </si>
  <si>
    <t>10J</t>
  </si>
  <si>
    <t>10K</t>
  </si>
  <si>
    <t>10L</t>
  </si>
  <si>
    <t>10M</t>
  </si>
  <si>
    <t>10N</t>
  </si>
  <si>
    <t>10O</t>
  </si>
  <si>
    <t>10P</t>
  </si>
  <si>
    <t>HOLD</t>
  </si>
  <si>
    <t>FOR OPEN</t>
  </si>
  <si>
    <t>OLD</t>
  </si>
  <si>
    <t>NEW.</t>
  </si>
  <si>
    <t>ORIGINAL</t>
  </si>
  <si>
    <t>SIMULATION</t>
  </si>
  <si>
    <t>Lower GF will Ground Floor (Parking Space)</t>
  </si>
  <si>
    <t>INNER UNITS</t>
  </si>
  <si>
    <t>2ND</t>
  </si>
  <si>
    <t>12TH</t>
  </si>
  <si>
    <t>VAT THRESHOLD</t>
  </si>
  <si>
    <t>Top up Incentive</t>
  </si>
  <si>
    <t>(Linked to Computation - pls update value if needed)</t>
  </si>
  <si>
    <t>FOR AUG. 2023</t>
  </si>
  <si>
    <t>10% Equity w/ 2.5% lumpsum</t>
  </si>
  <si>
    <t>Upper GF will be New 2nd Floor</t>
  </si>
  <si>
    <t>LOWER FLOORS</t>
  </si>
  <si>
    <t>3RD</t>
  </si>
  <si>
    <t>North</t>
  </si>
  <si>
    <t>10TH</t>
  </si>
  <si>
    <t>Doc Incentive</t>
  </si>
  <si>
    <t>VAT threshold</t>
  </si>
  <si>
    <t>East</t>
  </si>
  <si>
    <t>mark up for comm</t>
  </si>
  <si>
    <t>BOI THRESHOLD</t>
  </si>
  <si>
    <t>Past Incentive</t>
  </si>
  <si>
    <t>Interest Rate</t>
  </si>
  <si>
    <t>IN HOUSE LOAN MONTHLY AMORT @80% TCP BALANCE</t>
  </si>
  <si>
    <t>Based on Construction</t>
  </si>
  <si>
    <t>etc</t>
  </si>
  <si>
    <t>CTS BARE</t>
  </si>
  <si>
    <t>( = ) TOTAL ADDITIVES</t>
  </si>
  <si>
    <t>SHOULD BE</t>
  </si>
  <si>
    <t>OLD PRICE</t>
  </si>
  <si>
    <t>END OF CONSTRUCTION</t>
  </si>
  <si>
    <t>SHOULD BE EQUITY IN PRICELIST</t>
  </si>
  <si>
    <t>WITH ADDITIVES</t>
  </si>
  <si>
    <t>NO DISCOUNT APPLICATION</t>
  </si>
  <si>
    <t>CNC</t>
  </si>
  <si>
    <t>Inventory Count</t>
  </si>
  <si>
    <t>SALE STATUS</t>
  </si>
  <si>
    <t>Inventory Count/Floor</t>
  </si>
  <si>
    <t>Physical Floor</t>
  </si>
  <si>
    <t>Floor Presentation</t>
  </si>
  <si>
    <t>Unit ID</t>
  </si>
  <si>
    <t>Unit Code</t>
  </si>
  <si>
    <t>Orientation</t>
  </si>
  <si>
    <t>View</t>
  </si>
  <si>
    <t>Classification</t>
  </si>
  <si>
    <t>Typical Selling Price/Sqm.</t>
  </si>
  <si>
    <t>Total Typical Selling Prie</t>
  </si>
  <si>
    <t>Smart Home</t>
  </si>
  <si>
    <t>RECOVERY PROGRAM</t>
  </si>
  <si>
    <t>( + ) LOFTED</t>
  </si>
  <si>
    <t>( + ) NEAR AMENITIES</t>
  </si>
  <si>
    <t>( + ) PREMIUM 8TH FLOOR</t>
  </si>
  <si>
    <t>( + ) EAST VIEW</t>
  </si>
  <si>
    <t>( + ) CORNER</t>
  </si>
  <si>
    <t>( + ) END UNIT</t>
  </si>
  <si>
    <t>( + ) FACING AMENITIES</t>
  </si>
  <si>
    <t>( + ) LEVEL ADDITIVES (@5th Floor)</t>
  </si>
  <si>
    <t>LMF INCREASE</t>
  </si>
  <si>
    <t>NEW SELLING PRICEL</t>
  </si>
  <si>
    <t>1ST INCREASE</t>
  </si>
  <si>
    <t>2ND INCREASE</t>
  </si>
  <si>
    <t>3RD INCREASE</t>
  </si>
  <si>
    <t>4TH INCREASE</t>
  </si>
  <si>
    <t>NEW SELLING PRICE</t>
  </si>
  <si>
    <t>INCREASE</t>
  </si>
  <si>
    <t xml:space="preserve">RECOVERY AMOUNT </t>
  </si>
  <si>
    <t>COMM RECOVERY</t>
  </si>
  <si>
    <t>PRICE INCREASE_OCT. 1,2023</t>
  </si>
  <si>
    <t>CTS BARE/DOAS</t>
  </si>
  <si>
    <t>HIC/SQM</t>
  </si>
  <si>
    <t>HIC</t>
  </si>
  <si>
    <t>( = ) TOTAL HIC</t>
  </si>
  <si>
    <t>Price Increase (July 2024)</t>
  </si>
  <si>
    <t>INCIDENTAL RECOVERY 
(OCT 2024)</t>
  </si>
  <si>
    <t>NEW SELLING PRICE (Oct. 2024)</t>
  </si>
  <si>
    <t>Price Increase 
(Oct 16,2024)</t>
  </si>
  <si>
    <t>INCIDENTAL RECOVERY 
(OCT 16, 2024)</t>
  </si>
  <si>
    <t>INCENTIVE RECOVERY OCT 16 2024</t>
  </si>
  <si>
    <t>INCIDENTAL RECOVERY (OCT. 29,2024)</t>
  </si>
  <si>
    <t>NEW SELLING PRICE (NOV 2024)</t>
  </si>
  <si>
    <t>INCIDENTAL RECOVERY 
(DEC 2024)</t>
  </si>
  <si>
    <t>NEW SELLING PRICE
(DEC 2024)</t>
  </si>
  <si>
    <t>INCIDENTAL RECOVERY 
(JAN 2025)</t>
  </si>
  <si>
    <t>NEW SELLING PRICE
(JAN 2025)</t>
  </si>
  <si>
    <t>INCIDENTAL RECOVERY 
(FEB 2025)</t>
  </si>
  <si>
    <t>NEW SELLING PRICE
(FEB 2025)</t>
  </si>
  <si>
    <t>INCIDENTAL RECOVERY 
(MAR 2025)</t>
  </si>
  <si>
    <t>NEW SELLING PRICE
(MAR 2025)</t>
  </si>
  <si>
    <t>INCIDENTAL RECOVERY 
(APR 2025)</t>
  </si>
  <si>
    <t>NEW SELLING PRICE
(APR 2025)</t>
  </si>
  <si>
    <t>INCIDENTAL RECOVERY 
(MAY 2025)</t>
  </si>
  <si>
    <t>NEW SELLING PRICE
(MAY 2025)</t>
  </si>
  <si>
    <t>INCIDENTAL RECOVERY 
(JUNE 2025)</t>
  </si>
  <si>
    <t>NEW SELLING PRICE
(JUNE 2025)</t>
  </si>
  <si>
    <t>INCIDENTAL RECOVERY 
(JULY 2025)</t>
  </si>
  <si>
    <t>NEW SELLING PRICE
(JULY 2025)</t>
  </si>
  <si>
    <t>INCIDENTAL RECOVERIES 
(August 2025)</t>
  </si>
  <si>
    <t xml:space="preserve">Top-up Incentive + Documentrary Incentive - Past Cash Incentive
</t>
  </si>
  <si>
    <t>New Selling Price
(Aug 2025)</t>
  </si>
  <si>
    <t>INCIDENTAL RECOVERY 
(SEP 2025)</t>
  </si>
  <si>
    <t>NEW SELLING PRICE
(SEP 2025)</t>
  </si>
  <si>
    <t>12% VAT</t>
  </si>
  <si>
    <t>Balance %</t>
  </si>
  <si>
    <t>Monthly Amort. 20 years @ 7% fixed 3 yrs only</t>
  </si>
  <si>
    <t>Monthly Amort. 15 years @ 7% fixed 3 yrs only</t>
  </si>
  <si>
    <t>Monthly Amort. 10 years @ 7% fixed 3 yrs only</t>
  </si>
  <si>
    <t>Monthly Amort. 5 years @ 7% fixed 3 yrs only</t>
  </si>
  <si>
    <t>IN HOUSE MONTHLY AMORT 1YR. @12%</t>
  </si>
  <si>
    <t>IN HOUSE MONTHLY AMORT 3YRS. @16%</t>
  </si>
  <si>
    <t>IN HOUSE MONTHLY AMORT 5YRS. @18%</t>
  </si>
  <si>
    <t>IN HOUSE MONTHLY AMORT 10YRS. @20%</t>
  </si>
  <si>
    <t>HIC% (OLD)</t>
  </si>
  <si>
    <t>HIC % (NEW)</t>
  </si>
  <si>
    <t>TURN OVER DATE</t>
  </si>
  <si>
    <t>REMAINING EQUITY</t>
  </si>
  <si>
    <t>( + ) 2 MONTHS FOR PMD TURN OVER TO BUYER</t>
  </si>
  <si>
    <t>MAXIMIZE EQUITY DP MONTHS</t>
  </si>
  <si>
    <t>BOI STATUS</t>
  </si>
  <si>
    <t>DOCS STATUS</t>
  </si>
  <si>
    <t>HIC / SQM.             (INCLUSIVE OF VAT)</t>
  </si>
  <si>
    <t>TOTAL HIC AMOUNT</t>
  </si>
  <si>
    <t>HIC PERCENTAGE</t>
  </si>
  <si>
    <t>CURRENT PRICE STUDY</t>
  </si>
  <si>
    <t>ORIGINAL NSP</t>
  </si>
  <si>
    <t>VARIANCE</t>
  </si>
  <si>
    <t>NSP/SQM                (CURRENT SP)</t>
  </si>
  <si>
    <t>NEW PLAN</t>
  </si>
  <si>
    <t>CLIENTS NAME</t>
  </si>
  <si>
    <t>REMARKS</t>
  </si>
  <si>
    <t>SALES STATUS</t>
  </si>
  <si>
    <t>MASTERLIST</t>
  </si>
  <si>
    <t>CHECKING</t>
  </si>
  <si>
    <t xml:space="preserve">CURRENT </t>
  </si>
  <si>
    <t>UPDATED</t>
  </si>
  <si>
    <t>Equity %</t>
  </si>
  <si>
    <t>@ 33 MONTHS TERM</t>
  </si>
  <si>
    <t>@ 32 MONTHS TERM</t>
  </si>
  <si>
    <t>Required Equity</t>
  </si>
  <si>
    <t>10% Equity</t>
  </si>
  <si>
    <t>2.5% Lumpsum</t>
  </si>
  <si>
    <t>VARIANCE ON MONTHLY EQUITY</t>
  </si>
  <si>
    <t>Floor</t>
  </si>
  <si>
    <t>Takeout / Client Move In</t>
  </si>
  <si>
    <t>Equity Term</t>
  </si>
  <si>
    <t>2nd Floor</t>
  </si>
  <si>
    <t>A</t>
  </si>
  <si>
    <t>Studio</t>
  </si>
  <si>
    <t>End</t>
  </si>
  <si>
    <t>0</t>
  </si>
  <si>
    <t>NON-BOI</t>
  </si>
  <si>
    <t>CTS BARE WITH HIC</t>
  </si>
  <si>
    <t>MA. PATRICIA ADELYN F. GALIDO</t>
  </si>
  <si>
    <t>AS IS</t>
  </si>
  <si>
    <t>NON BOI- BIR THRESHOLD(CTS FITTED)</t>
  </si>
  <si>
    <t>NON-BOI -BIR THRESHOLD (CTS FITTED)</t>
  </si>
  <si>
    <t>TERM</t>
  </si>
  <si>
    <t>END EQUITY</t>
  </si>
  <si>
    <t>TERM (w/ additional buffer)</t>
  </si>
  <si>
    <t>For the month of</t>
  </si>
  <si>
    <t>B</t>
  </si>
  <si>
    <t>BOI</t>
  </si>
  <si>
    <t>JONATHAN ALINSUBAO</t>
  </si>
  <si>
    <t>Updated Schedule as of October 2024</t>
  </si>
  <si>
    <t>C</t>
  </si>
  <si>
    <t>ANTHONY DUMAGPI</t>
  </si>
  <si>
    <t>3rd Floor</t>
  </si>
  <si>
    <t>D</t>
  </si>
  <si>
    <t>JUVEN COLONIA</t>
  </si>
  <si>
    <t>4th Floor</t>
  </si>
  <si>
    <t>E</t>
  </si>
  <si>
    <t>South</t>
  </si>
  <si>
    <t>GRACE G. GAYOSO</t>
  </si>
  <si>
    <t>5th Floor</t>
  </si>
  <si>
    <t>F</t>
  </si>
  <si>
    <t>RICHARD P. GENTUYA</t>
  </si>
  <si>
    <t>6th Floor</t>
  </si>
  <si>
    <t>G</t>
  </si>
  <si>
    <t>7th Floor</t>
  </si>
  <si>
    <t>H</t>
  </si>
  <si>
    <t>MEA ROSE B. BABAR</t>
  </si>
  <si>
    <t>Nov. 1-14,2023</t>
  </si>
  <si>
    <t>8th Floor</t>
  </si>
  <si>
    <t>I</t>
  </si>
  <si>
    <t>JOSEPH F. FORMARAN</t>
  </si>
  <si>
    <t>Nov. 15-30,2023</t>
  </si>
  <si>
    <t>9th Floor</t>
  </si>
  <si>
    <t>J</t>
  </si>
  <si>
    <t>K</t>
  </si>
  <si>
    <t>MAUGRI GRACE KRISTI LALUMA</t>
  </si>
  <si>
    <t>11th Floor</t>
  </si>
  <si>
    <t>L</t>
  </si>
  <si>
    <t>EDWIN SEAN ESTRADA</t>
  </si>
  <si>
    <t>FROM 2P TO 2L</t>
  </si>
  <si>
    <t>Step-up</t>
  </si>
  <si>
    <t>12th Floor</t>
  </si>
  <si>
    <t>M</t>
  </si>
  <si>
    <t>RAYAN FRITZ BABE</t>
  </si>
  <si>
    <t>12.5% Equity Step-up, 2.50% Lumpsum</t>
  </si>
  <si>
    <t>14th Floor</t>
  </si>
  <si>
    <t>N</t>
  </si>
  <si>
    <t>MARIA TERESA ESTRADA</t>
  </si>
  <si>
    <t>FROM 2Q TO 2N</t>
  </si>
  <si>
    <t>12.5% Equity spread, 2.50% Lumpsum</t>
  </si>
  <si>
    <t>O</t>
  </si>
  <si>
    <t>JIM JASON S. CAPALIHAN</t>
  </si>
  <si>
    <t>RICK STEPHEN RIEGO</t>
  </si>
  <si>
    <t>SUSANITA DELA PEÑA</t>
  </si>
  <si>
    <t>ARIEL GERADA</t>
  </si>
  <si>
    <t>based on updated sched (IOM) July 2026+2 months PMD</t>
  </si>
  <si>
    <t>NANCY CLIMACOSA</t>
  </si>
  <si>
    <t>MARIA CAROLINA DUNAYER</t>
  </si>
  <si>
    <t>Lumpsum payment of the 12th and 24th</t>
  </si>
  <si>
    <t>ZEIL JOHN TUPAS</t>
  </si>
  <si>
    <t>(Tech-May 2026+2 months PMD) from sir Toff</t>
  </si>
  <si>
    <t>KENDRICK CALLAO</t>
  </si>
  <si>
    <t>April 1-9,2025</t>
  </si>
  <si>
    <t>revised sched-sir Charles (April 10,2025)</t>
  </si>
  <si>
    <t>CHRIS ARTHEMIUS DEVARAS</t>
  </si>
  <si>
    <t>MA. JESSEBER HUALDE</t>
  </si>
  <si>
    <t>revised IOM Construction Sched</t>
  </si>
  <si>
    <t>P</t>
  </si>
  <si>
    <t>ANNIE ROSE SUYO</t>
  </si>
  <si>
    <t>R</t>
  </si>
  <si>
    <t>OJAY T. GONZALES</t>
  </si>
  <si>
    <t>TRICIA JENOSA</t>
  </si>
  <si>
    <t>JHOANA MACARIZA</t>
  </si>
  <si>
    <t>FLORENCE CELISIO</t>
  </si>
  <si>
    <t>PERLY FRESNIDO MEDRANO</t>
  </si>
  <si>
    <t>ANTHONY APOLINARIO</t>
  </si>
  <si>
    <t>JINKY COPE</t>
  </si>
  <si>
    <t>NICKA OVERIO</t>
  </si>
  <si>
    <t>PRINCESS MAY A. MORADILLA</t>
  </si>
  <si>
    <t>OFELIA CELESTE J. SALVANI</t>
  </si>
  <si>
    <t>MELBA DE GUZMAN</t>
  </si>
  <si>
    <t>HANS CHRISTIAN SAMPAGA</t>
  </si>
  <si>
    <t>MARJOLEN LABUYO</t>
  </si>
  <si>
    <t>REY D. ANACITA</t>
  </si>
  <si>
    <t>SHIENNAH JOSEFINA ONG</t>
  </si>
  <si>
    <t>AILEEN T. GONZAGA</t>
  </si>
  <si>
    <t>MADELEN PADILLA</t>
  </si>
  <si>
    <t>MARY JANINE LIM DENATE</t>
  </si>
  <si>
    <t>CHA VEE M. CAGUIMBAY</t>
  </si>
  <si>
    <t>SHIRLEY MIRASOL</t>
  </si>
  <si>
    <t>CHRISTIAN REX HILADO</t>
  </si>
  <si>
    <t>JOHN ALLAN JALLORINA</t>
  </si>
  <si>
    <t>CHESTER EVIDENTE</t>
  </si>
  <si>
    <t>CECILLE EVIDENTE</t>
  </si>
  <si>
    <t>MA. SABRINA JOCO</t>
  </si>
  <si>
    <t>BRINSLEY JOHN BAYLON</t>
  </si>
  <si>
    <t>MERCY MC CLAY</t>
  </si>
  <si>
    <t>ROMELO MEDIANA</t>
  </si>
  <si>
    <t>MARIVIC S. DELA TORRE</t>
  </si>
  <si>
    <t>JIMMY SUALA</t>
  </si>
  <si>
    <t>ARVIN CAIGOY</t>
  </si>
  <si>
    <t>JOEY SUSTIGUER</t>
  </si>
  <si>
    <t>FAITH C. CAIGOY</t>
  </si>
  <si>
    <t>LAURA CASTILLO</t>
  </si>
  <si>
    <t>NON BOI-BIR THRESHOLD (CTS W/ HIC)</t>
  </si>
  <si>
    <t>DIANNE HOPE T. WEST</t>
  </si>
  <si>
    <t>GEMMA G. BINDOLO</t>
  </si>
  <si>
    <t>NANETH MATEO</t>
  </si>
  <si>
    <t>ANJANETTE BEDAÑO</t>
  </si>
  <si>
    <t>HAO Z. CHEAH</t>
  </si>
  <si>
    <t>MARY LANCE GARCIA</t>
  </si>
  <si>
    <t>ELEANOR R. TRAIFALGAR</t>
  </si>
  <si>
    <t>ALBERT S. TORRECHANTE</t>
  </si>
  <si>
    <t>KENNETH GERSABALINO</t>
  </si>
  <si>
    <t>EDEL QUINN SOMUTIA</t>
  </si>
  <si>
    <t>FE ANAVIE L. VIESCA</t>
  </si>
  <si>
    <t>AGNES CASPILLO</t>
  </si>
  <si>
    <t>FAITH N. FAILANGA</t>
  </si>
  <si>
    <t>SHAINA MARINI FLORES</t>
  </si>
  <si>
    <t>NICOLE CYAN MANSILLA</t>
  </si>
  <si>
    <t>MA. LOURDES ESLABRA</t>
  </si>
  <si>
    <t>ALLEAH D. MACHON</t>
  </si>
  <si>
    <t>SOFIA MARIE OPAO</t>
  </si>
  <si>
    <t>MARLO NOBOG PANGANIBAN</t>
  </si>
  <si>
    <t>LERRY PUEYO</t>
  </si>
  <si>
    <t>MA. ELAINE ROSE COCHING</t>
  </si>
  <si>
    <t>IVECA CALE IGNACIO</t>
  </si>
  <si>
    <t>MERIAN GRACE PAGDATO</t>
  </si>
  <si>
    <t>NON-BOI -BIR THRESHOLD (W/ HIC)</t>
  </si>
  <si>
    <t>PRINCESS MAE PAGDATO</t>
  </si>
  <si>
    <t>CHARLMARIE GUIRJEN</t>
  </si>
  <si>
    <t>JAY J. DEMANDANTE / MAJA B. DEMANDANTE</t>
  </si>
  <si>
    <t>RONIELYN PORRAS</t>
  </si>
  <si>
    <t>MARY JEAN TE</t>
  </si>
  <si>
    <t>IMELDA TUNGUIA</t>
  </si>
  <si>
    <t>JOHANA HOPE MAGHOPOY</t>
  </si>
  <si>
    <t>SHERALYN G. BATICADOS</t>
  </si>
  <si>
    <t>PETE FAYTAREN</t>
  </si>
  <si>
    <t>FEBREN ORIBE</t>
  </si>
  <si>
    <t>ESMERALDA HEALTH &amp; BEAUTY ENTERPRISES OPC</t>
  </si>
  <si>
    <t>AUBREY ESMERALDA ALBIS</t>
  </si>
  <si>
    <t>PUTLI JAHALLIA FUERTE</t>
  </si>
  <si>
    <t>MA. LOVELYN PEARL L. PUEYO</t>
  </si>
  <si>
    <t>MICHELLE NEMIADA</t>
  </si>
  <si>
    <t>JESSA SUBANG</t>
  </si>
  <si>
    <t>LOUELLA MAE DARROCA</t>
  </si>
  <si>
    <t>DONNA GRACE MERCINE</t>
  </si>
  <si>
    <t>CHRISTINE JOY CRISOSTO</t>
  </si>
  <si>
    <t>RITCHIE NOEL SERIOSA</t>
  </si>
  <si>
    <t>RUPERO RANDO III</t>
  </si>
  <si>
    <t>REINA MARIE P. CELIZ</t>
  </si>
  <si>
    <t>LEMWEL LUTERO</t>
  </si>
  <si>
    <t>JOSEFA INA CIPRIANE THORNTON</t>
  </si>
  <si>
    <t>MARY ANN SANSON</t>
  </si>
  <si>
    <t>JAMES V. GUINTIBANO</t>
  </si>
  <si>
    <t>AVELINO PINUELA JR</t>
  </si>
  <si>
    <t>ROSALVE MAGALLANES</t>
  </si>
  <si>
    <t>RONEE BRIAN DARROCA</t>
  </si>
  <si>
    <t>MARK PAUL VENTOZA</t>
  </si>
  <si>
    <t>CARLO A. PLANCO</t>
  </si>
  <si>
    <t>LEMUEL LAGDAMEN</t>
  </si>
  <si>
    <t>10Q</t>
  </si>
  <si>
    <t>10R</t>
  </si>
  <si>
    <t>11A</t>
  </si>
  <si>
    <t>11B</t>
  </si>
  <si>
    <t>11C</t>
  </si>
  <si>
    <t>11D</t>
  </si>
  <si>
    <t>11E</t>
  </si>
  <si>
    <t>11F</t>
  </si>
  <si>
    <t>11G</t>
  </si>
  <si>
    <t>11H</t>
  </si>
  <si>
    <t>11I</t>
  </si>
  <si>
    <t>11J</t>
  </si>
  <si>
    <t>11K</t>
  </si>
  <si>
    <t>11L</t>
  </si>
  <si>
    <t>11M</t>
  </si>
  <si>
    <t>11N</t>
  </si>
  <si>
    <t>11O</t>
  </si>
  <si>
    <t>11P</t>
  </si>
  <si>
    <t>11Q</t>
  </si>
  <si>
    <t>Q</t>
  </si>
  <si>
    <t>11R</t>
  </si>
  <si>
    <t>12A</t>
  </si>
  <si>
    <t>12B</t>
  </si>
  <si>
    <t>12C</t>
  </si>
  <si>
    <t>12D</t>
  </si>
  <si>
    <t>12E</t>
  </si>
  <si>
    <t>12F</t>
  </si>
  <si>
    <t>12G</t>
  </si>
  <si>
    <t>12H</t>
  </si>
  <si>
    <t>12I</t>
  </si>
  <si>
    <t>12J</t>
  </si>
  <si>
    <t>12K</t>
  </si>
  <si>
    <t>12L</t>
  </si>
  <si>
    <t>12M</t>
  </si>
  <si>
    <t>12N</t>
  </si>
  <si>
    <t>12O</t>
  </si>
  <si>
    <t>12P</t>
  </si>
  <si>
    <t>12Q</t>
  </si>
  <si>
    <t>12R</t>
  </si>
  <si>
    <t>13th Floor</t>
  </si>
  <si>
    <t>14A</t>
  </si>
  <si>
    <t>14B</t>
  </si>
  <si>
    <t>14C</t>
  </si>
  <si>
    <t>14D</t>
  </si>
  <si>
    <t>14E</t>
  </si>
  <si>
    <t>14F</t>
  </si>
  <si>
    <t>14G</t>
  </si>
  <si>
    <t>14H</t>
  </si>
  <si>
    <t>14I</t>
  </si>
  <si>
    <t>14J</t>
  </si>
  <si>
    <t>14K</t>
  </si>
  <si>
    <t>14L</t>
  </si>
  <si>
    <t>14M</t>
  </si>
  <si>
    <t>14N</t>
  </si>
  <si>
    <t>14O</t>
  </si>
  <si>
    <t>14P</t>
  </si>
  <si>
    <t>14Q</t>
  </si>
  <si>
    <t>14R</t>
  </si>
  <si>
    <t>AVERAGE</t>
  </si>
  <si>
    <t>HOLD-CRV</t>
  </si>
  <si>
    <t>HOLD AO</t>
  </si>
  <si>
    <t>NET NSP</t>
  </si>
  <si>
    <t>FOR EVALUATION</t>
  </si>
  <si>
    <t>NSP</t>
  </si>
  <si>
    <t>AVERAGE ON NET INCENTORY</t>
  </si>
  <si>
    <t>DATE</t>
  </si>
  <si>
    <t>UNIT ID</t>
  </si>
  <si>
    <t>DESCRIPTION</t>
  </si>
  <si>
    <t>AMOUNT</t>
  </si>
  <si>
    <t>AMOUNT WITH MARGIN</t>
  </si>
  <si>
    <t>29 unsold</t>
  </si>
  <si>
    <t>per unit</t>
  </si>
  <si>
    <t>Price diff - transfer of unit</t>
  </si>
  <si>
    <t>Refund Exposure</t>
  </si>
  <si>
    <t>none</t>
  </si>
  <si>
    <t>NONE</t>
  </si>
  <si>
    <t>Refund</t>
  </si>
  <si>
    <t>Change Orders from Adrian (Paid)</t>
  </si>
  <si>
    <t>Remaining Inv</t>
  </si>
  <si>
    <t>TOTAL FOR RECOVERY</t>
  </si>
  <si>
    <t>Building 2 Pricelist</t>
  </si>
  <si>
    <t>September 2025</t>
  </si>
  <si>
    <t>&lt;Hide&gt;</t>
  </si>
  <si>
    <t>IN HOUSE LOAN MONTHLY AMORT @ 80% TCP BALANCE</t>
  </si>
  <si>
    <t>CODE</t>
  </si>
  <si>
    <t>(+) Legal &amp; Miscs. Fees</t>
  </si>
  <si>
    <t>IN HOUSE MONTLY AMORT  1 YR. @ 12%</t>
  </si>
  <si>
    <t>IN HOUSE MONTLY AMORT 3 YRS. @ 16%</t>
  </si>
  <si>
    <t>IN HOUSE MONTLY AMORT 5 YRS. @ 18%</t>
  </si>
  <si>
    <t>IN HOUSE MONTLY AMORT 10 YRS. @ 20%</t>
  </si>
  <si>
    <t>TCP</t>
  </si>
  <si>
    <t>EQUITY %</t>
  </si>
  <si>
    <t>RF</t>
  </si>
  <si>
    <t>MONTHLY EQUITY</t>
  </si>
  <si>
    <t>LOANABLE</t>
  </si>
  <si>
    <t>MONTHLY AMORT</t>
  </si>
  <si>
    <t>PROJECT NAME</t>
  </si>
  <si>
    <t>:</t>
  </si>
  <si>
    <t>Developer Name</t>
  </si>
  <si>
    <t>Iloilo Southprime Developers Inc.</t>
  </si>
  <si>
    <t>Dev Address</t>
  </si>
  <si>
    <t>Avancena St Brgy. Avancena Molo Iloilo City</t>
  </si>
  <si>
    <t>Proj Address</t>
  </si>
  <si>
    <t>Abeto Street, Brgy. Abeto-Mirasol, Mandurriao, Iloilo City</t>
  </si>
  <si>
    <t>BUILDING</t>
  </si>
  <si>
    <t>LEVEL/FLOOR NO.</t>
  </si>
  <si>
    <t>APPLICABLE PROMOS AND DISCOUNTS</t>
  </si>
  <si>
    <t>DISCOUNT ON TSP</t>
  </si>
  <si>
    <t xml:space="preserve">UNIT NO. </t>
  </si>
  <si>
    <t>CIRCULAR NO.</t>
  </si>
  <si>
    <t xml:space="preserve">DESCRIPTION </t>
  </si>
  <si>
    <t xml:space="preserve">DISCOUNT AMOUNT </t>
  </si>
  <si>
    <t>DATE OF RESERVATION</t>
  </si>
  <si>
    <t xml:space="preserve"> </t>
  </si>
  <si>
    <t>RESERVATION FEE</t>
  </si>
  <si>
    <t>DISCOUNT ON EQUITY</t>
  </si>
  <si>
    <r>
      <rPr>
        <b/>
        <sz val="14"/>
        <color rgb="FFFF0000"/>
        <rFont val="Cambria"/>
        <family val="1"/>
      </rPr>
      <t>REQUIRED</t>
    </r>
    <r>
      <rPr>
        <b/>
        <sz val="14"/>
        <color theme="0"/>
        <rFont val="Cambria"/>
        <family val="1"/>
      </rPr>
      <t xml:space="preserve"> EQUITY DOWNPAYMENT (%)</t>
    </r>
  </si>
  <si>
    <t>NAME OF BUYER</t>
  </si>
  <si>
    <t>AGENT/SELLER</t>
  </si>
  <si>
    <t>OTHER PROMO</t>
  </si>
  <si>
    <t>BUYER'S COMPLETE ADDRESS</t>
  </si>
  <si>
    <t>PROMO INCLUSION</t>
  </si>
  <si>
    <t>STEP UP TERMS</t>
  </si>
  <si>
    <t>UNIT #</t>
  </si>
  <si>
    <t>EQUITY TERM</t>
  </si>
  <si>
    <t>#</t>
  </si>
  <si>
    <t>No. of Months</t>
  </si>
  <si>
    <t>Percentage</t>
  </si>
  <si>
    <t>Tranche 1</t>
  </si>
  <si>
    <t>Tranche 2</t>
  </si>
  <si>
    <t>Tranche 3</t>
  </si>
  <si>
    <t>BROKER/AGENT’S NAME</t>
  </si>
  <si>
    <t>POSITION</t>
  </si>
  <si>
    <t>NAME</t>
  </si>
  <si>
    <t>PRC #/HLURB #</t>
  </si>
  <si>
    <t>Brokerage/Realty</t>
  </si>
  <si>
    <t>Broker Head/AVP</t>
  </si>
  <si>
    <t>Sales Manager</t>
  </si>
  <si>
    <t xml:space="preserve">Sales Agent/Property Consultant </t>
  </si>
  <si>
    <t>DATE :</t>
  </si>
  <si>
    <t xml:space="preserve">PAGE: </t>
  </si>
  <si>
    <t>1 of 2</t>
  </si>
  <si>
    <t>PAGE:</t>
  </si>
  <si>
    <t>2 of 2</t>
  </si>
  <si>
    <t>PAYMENT SCHEDULE</t>
  </si>
  <si>
    <t>CLIENT'S NAME</t>
  </si>
  <si>
    <t>UNIT NUMBER</t>
  </si>
  <si>
    <t>TOWER</t>
  </si>
  <si>
    <t>UNIT TYPE</t>
  </si>
  <si>
    <t>LIVEABLE AREA</t>
  </si>
  <si>
    <t>SQM.</t>
  </si>
  <si>
    <t>BALCONY AREA</t>
  </si>
  <si>
    <t>GROSS AREA</t>
  </si>
  <si>
    <t>TOTAL SELLING PRICE</t>
  </si>
  <si>
    <t>PARTICULARS</t>
  </si>
  <si>
    <t>Less: Promo Discount on TSP</t>
  </si>
  <si>
    <t>NET SELLING PRICE</t>
  </si>
  <si>
    <t>Reservation Date</t>
  </si>
  <si>
    <t>1ST EQUITY PAYMENT</t>
  </si>
  <si>
    <t>Add: VAT</t>
  </si>
  <si>
    <t>2nd EQUITY PAYMENT</t>
  </si>
  <si>
    <t>31st of the month</t>
  </si>
  <si>
    <t>Add: Legal &amp; Misc. Fees</t>
  </si>
  <si>
    <t>3rd EQUITY PAYMENT</t>
  </si>
  <si>
    <t>4th EQUITY PAYMENT</t>
  </si>
  <si>
    <t>equity</t>
  </si>
  <si>
    <t>TOTAL CONTRACT PRICE</t>
  </si>
  <si>
    <t>5th EQUITY PAYMENT</t>
  </si>
  <si>
    <t>6th EQUITY PAYMENT</t>
  </si>
  <si>
    <t>Equity down Payment</t>
  </si>
  <si>
    <t>7th EQUITY PAYMENT</t>
  </si>
  <si>
    <t>less: Reservation Fee</t>
  </si>
  <si>
    <t>8th EQUITY PAYMENT</t>
  </si>
  <si>
    <t>Net Equity Payment</t>
  </si>
  <si>
    <t>9th EQUITY PAYMENT</t>
  </si>
  <si>
    <t>10th EQUITY PAYMENT</t>
  </si>
  <si>
    <t>TERMS (STEP UP)</t>
  </si>
  <si>
    <t xml:space="preserve">Monthly Equity </t>
  </si>
  <si>
    <t>11th EQUITY PAYMENT</t>
  </si>
  <si>
    <t>12th EQUITY PAYMENT</t>
  </si>
  <si>
    <t>13th EQUITY PAYMENT</t>
  </si>
  <si>
    <t>14th EQUITY PAYMENT</t>
  </si>
  <si>
    <t>15th EQUITY PAYMENT</t>
  </si>
  <si>
    <t>FULL BALANCE (TCP)</t>
  </si>
  <si>
    <t>16th EQUITY PAYMENT</t>
  </si>
  <si>
    <t>17th EQUITY PAYMENT</t>
  </si>
  <si>
    <t>Estimated Monthly Amortization</t>
  </si>
  <si>
    <t>18th EQUITY PAYMENT</t>
  </si>
  <si>
    <t>19th EQUITY PAYMENT</t>
  </si>
  <si>
    <t>Term</t>
  </si>
  <si>
    <t>Factor Rate</t>
  </si>
  <si>
    <t>Amount</t>
  </si>
  <si>
    <t>Income requirement</t>
  </si>
  <si>
    <t>20th EQUITY PAYMENT</t>
  </si>
  <si>
    <t>21st EQUITY PAYMENT</t>
  </si>
  <si>
    <t>22nd EQUITY PAYMENT</t>
  </si>
  <si>
    <t>23rd EQUITY PAYMENT</t>
  </si>
  <si>
    <t>24th EQUITY PAYMENT</t>
  </si>
  <si>
    <t>25th EQUITY PAYMENT</t>
  </si>
  <si>
    <t>26th EQUITY PAYMENT</t>
  </si>
  <si>
    <t>A. Prices are subject to change without prior notice.</t>
  </si>
  <si>
    <t>27th EQUITY PAYMENT</t>
  </si>
  <si>
    <t>B. Bank Fees rates may vary per bank.</t>
  </si>
  <si>
    <t>28th EQUITY PAYMENT</t>
  </si>
  <si>
    <t>29th EQUITY PAYMENT</t>
  </si>
  <si>
    <t>In House Estimated Monthly Amortization</t>
  </si>
  <si>
    <t>30th EQUITY PAYMENT</t>
  </si>
  <si>
    <t>31st EQUITY PAYMENT</t>
  </si>
  <si>
    <t>80% TCP Balance</t>
  </si>
  <si>
    <t>32nd EQUITY PAYMENT</t>
  </si>
  <si>
    <t>33rd EQUITY PAYMENT</t>
  </si>
  <si>
    <t>Income Requirement</t>
  </si>
  <si>
    <t>34th EQUITY PAYMENT</t>
  </si>
  <si>
    <t>35th EQUITY PAYMENT</t>
  </si>
  <si>
    <t>36th EQUITY PAYMENT</t>
  </si>
  <si>
    <t>37th EQUITY PAYMENT</t>
  </si>
  <si>
    <t>38th EQUITY PAYMENT</t>
  </si>
  <si>
    <t>Required 20% downpayment of the TCP.</t>
  </si>
  <si>
    <t>39th EQUITY PAYMENT</t>
  </si>
  <si>
    <t>40th EQUITY PAYMENT</t>
  </si>
  <si>
    <t>APPLICABLE PROMO/DISCOUNTS</t>
  </si>
  <si>
    <t>41st EQUITY PAYMENT</t>
  </si>
  <si>
    <t>BALANCE</t>
  </si>
  <si>
    <t>42nd EQUITY PAYMENT</t>
  </si>
  <si>
    <t>DISCOUNT  / PROMO INCLUSION</t>
  </si>
  <si>
    <t>Prepared by:</t>
  </si>
  <si>
    <t>Conformed:</t>
  </si>
  <si>
    <t>Date:</t>
  </si>
  <si>
    <t>**Combined Units</t>
  </si>
  <si>
    <t>I/We</t>
  </si>
  <si>
    <t>of legal age, a resident of</t>
  </si>
  <si>
    <t xml:space="preserve">, and having the capacity </t>
  </si>
  <si>
    <t>and qualification to own and possess real estate properties in the Philippines, hereby manifest my/our intention to purchase the herein below described property.</t>
  </si>
  <si>
    <t xml:space="preserve">I/We hereby acknowledges that </t>
  </si>
  <si>
    <t xml:space="preserve">(hereinafter known as the “Developer/Company”) </t>
  </si>
  <si>
    <t xml:space="preserve">a corporation duly organized and existing by virtue and under the laws of the Republic of the Philippines, with office at </t>
  </si>
  <si>
    <t xml:space="preserve">is the owner and Developer of a </t>
  </si>
  <si>
    <t>CONDOMINIUM PROJECT known as</t>
  </si>
  <si>
    <t>(the “Project”), to be established and constructed along</t>
  </si>
  <si>
    <t xml:space="preserve">The Property subject to my/our reservation is a </t>
  </si>
  <si>
    <t>unit and is particularly described as follows:</t>
  </si>
  <si>
    <t xml:space="preserve">Project Name: </t>
  </si>
  <si>
    <t>Type:</t>
  </si>
  <si>
    <t xml:space="preserve">Residential Condominium                        </t>
  </si>
  <si>
    <t>Townhouse</t>
  </si>
  <si>
    <t>Parking Slot</t>
  </si>
  <si>
    <t xml:space="preserve">House and Lot    </t>
  </si>
  <si>
    <t>Commercial / Office</t>
  </si>
  <si>
    <t xml:space="preserve">Lot only </t>
  </si>
  <si>
    <t xml:space="preserve">Condominium </t>
  </si>
  <si>
    <t>Parking</t>
  </si>
  <si>
    <t>House &amp; Lot / Townhouse</t>
  </si>
  <si>
    <t>Tower</t>
  </si>
  <si>
    <t>Phase</t>
  </si>
  <si>
    <t>Floor No.</t>
  </si>
  <si>
    <t>Unit Reference</t>
  </si>
  <si>
    <t>Block No.</t>
  </si>
  <si>
    <t>Unit No.</t>
  </si>
  <si>
    <t>Slot No.</t>
  </si>
  <si>
    <t>Lot No.</t>
  </si>
  <si>
    <t>Size (sqm)</t>
  </si>
  <si>
    <t>Floor Area</t>
  </si>
  <si>
    <t>Lot/Floor Area</t>
  </si>
  <si>
    <t>Type of Business</t>
  </si>
  <si>
    <t>Unit Model</t>
  </si>
  <si>
    <t>Parking Model</t>
  </si>
  <si>
    <t>House Model</t>
  </si>
  <si>
    <t>Total Selling Price</t>
  </si>
  <si>
    <t xml:space="preserve">          Less: Discounts</t>
  </si>
  <si>
    <t>Net Selling Price</t>
  </si>
  <si>
    <t xml:space="preserve">           Add: Legal &amp; Miscellaneous Fees</t>
  </si>
  <si>
    <t xml:space="preserve">           Add: VAT</t>
  </si>
  <si>
    <t>BALANCE PAYMENT SCHEME:</t>
  </si>
  <si>
    <t>Cash</t>
  </si>
  <si>
    <t>Bank Financing</t>
  </si>
  <si>
    <t>Deferred</t>
  </si>
  <si>
    <t>TERMS AND CONDITIONS</t>
  </si>
  <si>
    <t>1.</t>
  </si>
  <si>
    <t xml:space="preserve">As proof of my interest to purchase the Property, I hereby tender the sum of PESOS: </t>
  </si>
  <si>
    <r>
      <t>(</t>
    </r>
    <r>
      <rPr>
        <b/>
        <sz val="7.5"/>
        <color theme="1"/>
        <rFont val="Calibri"/>
        <family val="2"/>
      </rPr>
      <t>₱</t>
    </r>
  </si>
  <si>
    <t>)</t>
  </si>
  <si>
    <t>In connection with my reservation and purchase of the Property, I/we would like the purchase to be registered as follows:</t>
  </si>
  <si>
    <r>
      <t>Solely in my name</t>
    </r>
    <r>
      <rPr>
        <sz val="7.5"/>
        <color theme="1"/>
        <rFont val="Century Gothic"/>
        <family val="2"/>
      </rPr>
      <t xml:space="preserve">                                     </t>
    </r>
  </si>
  <si>
    <r>
      <t>In our names</t>
    </r>
    <r>
      <rPr>
        <sz val="7.5"/>
        <color theme="1"/>
        <rFont val="Century Gothic"/>
        <family val="2"/>
      </rPr>
      <t xml:space="preserve">                                                 </t>
    </r>
  </si>
  <si>
    <t>In the name of</t>
  </si>
  <si>
    <t xml:space="preserve">Individual </t>
  </si>
  <si>
    <t xml:space="preserve">Spouses </t>
  </si>
  <si>
    <t xml:space="preserve">A Corporation </t>
  </si>
  <si>
    <t xml:space="preserve">Married to </t>
  </si>
  <si>
    <t xml:space="preserve">Co-Owner </t>
  </si>
  <si>
    <t xml:space="preserve">A Person </t>
  </si>
  <si>
    <t xml:space="preserve">Trust Account </t>
  </si>
  <si>
    <t>BROKER / AGENT'S NAME</t>
  </si>
  <si>
    <t xml:space="preserve">NAME </t>
  </si>
  <si>
    <t>DATA PRIVACY CONSENT</t>
  </si>
  <si>
    <t xml:space="preserve">Buyer's signature over printed name &amp; Date signed </t>
  </si>
  <si>
    <t>Confirmed / Accepted:</t>
  </si>
  <si>
    <t>Lumpsum</t>
  </si>
  <si>
    <t>LUMPSUM</t>
  </si>
  <si>
    <t>PAGE</t>
  </si>
  <si>
    <t xml:space="preserve">PAGE </t>
  </si>
  <si>
    <t>1st EQUITY PAYMENT</t>
  </si>
  <si>
    <t>Net  Equity Payment</t>
  </si>
  <si>
    <t xml:space="preserve"> Monthly Equity</t>
  </si>
  <si>
    <t xml:space="preserve">CIRCULAR NO. </t>
  </si>
  <si>
    <t>43rd EQUITY PAYMENT</t>
  </si>
  <si>
    <t>44th EQUITY PAYMENT</t>
  </si>
  <si>
    <t>45th EQUITY PAYMENT</t>
  </si>
  <si>
    <t>46th EQUITY PAYMENT</t>
  </si>
  <si>
    <t>Date</t>
  </si>
  <si>
    <t>**Combined Units:</t>
  </si>
  <si>
    <t>STANDARD PACKAGE COMPUTATION</t>
  </si>
  <si>
    <t>Fixed for three (3) years</t>
  </si>
  <si>
    <t>Sample Computation for Interest rate is at 7% fixed for three (3) years only</t>
  </si>
  <si>
    <t>SPOT EQUITY_7 DAYS</t>
  </si>
  <si>
    <t>less: Spot Equity Discount</t>
  </si>
  <si>
    <t>SPOT EQUITY PAYMENT</t>
  </si>
  <si>
    <t>Spot Equity down Payment</t>
  </si>
  <si>
    <t>Net Spot Equity Payment</t>
  </si>
  <si>
    <t>**Combined unit:</t>
  </si>
  <si>
    <t>SPOT EQUITY_30 DAYS</t>
  </si>
  <si>
    <t>less: Spot equity discount</t>
  </si>
  <si>
    <t>Spot Equity Payment</t>
  </si>
  <si>
    <t xml:space="preserve">Prepared by: </t>
  </si>
  <si>
    <t>DATE:</t>
  </si>
  <si>
    <t xml:space="preserve"> DATE : </t>
  </si>
  <si>
    <t>SPOT CASH_30 DAYS</t>
  </si>
  <si>
    <t>Less: Discount on TSP</t>
  </si>
  <si>
    <t>SPOT CASH PAYMENT</t>
  </si>
  <si>
    <t>Less: Reservation Fee</t>
  </si>
  <si>
    <t>NET SPOT CASH PAYMENT</t>
  </si>
  <si>
    <t>SPOT CASH_60 DAYS</t>
  </si>
  <si>
    <t>1ST SPOT CASH PAYMENT</t>
  </si>
  <si>
    <t>2ND SPOT CASH PAYMENT</t>
  </si>
  <si>
    <t>SPOT CASH PAYMENT AFTER 30 DAYS</t>
  </si>
  <si>
    <t>SPOT CASH PAYMENT AFTER 60 DAYS</t>
  </si>
  <si>
    <t>DEFERRED PAYMENT</t>
  </si>
  <si>
    <t>Montly Equity</t>
  </si>
  <si>
    <t>SPECIAL PACKAGE COMPUTATION: 10% Spread plus 5% Lumpsum</t>
  </si>
  <si>
    <t xml:space="preserve">Less: Lumpsum Payment </t>
  </si>
  <si>
    <t>12th EQUITY AND 1ST LUMPSUM</t>
  </si>
  <si>
    <t>24th EQUITY AND 2ND LUMPSUM</t>
  </si>
  <si>
    <t>1 of 3</t>
  </si>
  <si>
    <t>2 of 3</t>
  </si>
  <si>
    <t>3 of 3</t>
  </si>
  <si>
    <t>SPECIAL PACKAGE COMPUTATION: 10% Step-up plus 5% lumpsum</t>
  </si>
  <si>
    <t>SPECIAL PACKAGE APPROVAL</t>
  </si>
  <si>
    <r>
      <t xml:space="preserve">SIGNATURE OVER PRINTED NAME </t>
    </r>
    <r>
      <rPr>
        <b/>
        <i/>
        <sz val="10"/>
        <color theme="1"/>
        <rFont val="Century Gothic"/>
        <family val="2"/>
      </rPr>
      <t>(Please indicate date signed)</t>
    </r>
  </si>
  <si>
    <t>Recommended by:</t>
  </si>
  <si>
    <t>Remarks:</t>
  </si>
  <si>
    <t>Approved</t>
  </si>
  <si>
    <t>Disapproved</t>
  </si>
  <si>
    <t>C&amp;C Head</t>
  </si>
  <si>
    <t>Approved by:</t>
  </si>
  <si>
    <t xml:space="preserve">less: Lumpsum Payment </t>
  </si>
  <si>
    <t>Project Director</t>
  </si>
  <si>
    <t>1st to 11th month</t>
  </si>
  <si>
    <t>12th to 23rd month</t>
  </si>
  <si>
    <t>24th month to 35rd month</t>
  </si>
  <si>
    <t>COO/CEO</t>
  </si>
  <si>
    <t>11th EQUITY AND 1ST LUMPSUM</t>
  </si>
  <si>
    <t>Lumpsum payment of the 6th, 12th, &amp; 18th month</t>
  </si>
  <si>
    <t>22nd EQUITY AND 2ND LUMPSUM</t>
  </si>
  <si>
    <t>Fixed for five (5) years</t>
  </si>
  <si>
    <t>Sample Computation for Interest rate is at 8% fixed for five (5) years only</t>
  </si>
  <si>
    <t>33rd EQUITY AND 3RD LUMPSUM</t>
  </si>
  <si>
    <t>SPECIAL PACKAGE COMPUTATION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</si>
</sst>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6">
    <numFmt numFmtId="44" formatCode="_(&quot;$&quot;* #,##0.00_);_(&quot;$&quot;* \(#,##0.00\);_(&quot;$&quot;* &quot;-&quot;??_);_(@_)"/>
    <numFmt numFmtId="43" formatCode="_(* #,##0.00_);_(* \(#,##0.00\);_(* &quot;-&quot;??_);_(@_)"/>
    <numFmt numFmtId="164" formatCode="&quot;₱&quot;#,##0.00;\-&quot;₱&quot;#,##0.00"/>
    <numFmt numFmtId="165" formatCode="&quot;₱&quot;#,##0.00;[Red]\-&quot;₱&quot;#,##0.00"/>
    <numFmt numFmtId="166" formatCode="_-&quot;₱&quot;* #,##0.00_-;\-&quot;₱&quot;* #,##0.00_-;_-&quot;₱&quot;* &quot;-&quot;??_-;_-@_-"/>
    <numFmt numFmtId="167" formatCode="_-* #,##0.00_-;\-* #,##0.00_-;_-* &quot;-&quot;??_-;_-@_-"/>
    <numFmt numFmtId="168" formatCode="_(* #,##0_);_(* \(#,##0\);_(* &quot;-&quot;??_);_(@_)"/>
    <numFmt numFmtId="169" formatCode="[$-409]mmmm\ d\,\ yyyy;@"/>
    <numFmt numFmtId="170" formatCode="0.00_ "/>
    <numFmt numFmtId="171" formatCode="[$Php-3409]#,##0.00"/>
    <numFmt numFmtId="172" formatCode="[$-409]d\-mmm\-yy;@"/>
    <numFmt numFmtId="173" formatCode="0.0%"/>
    <numFmt numFmtId="174" formatCode="_([$₱-3409]* #,##0.00_);_([$₱-3409]* \(#,##0.00\);_([$₱-3409]* &quot;-&quot;??_);_(@_)"/>
    <numFmt numFmtId="175" formatCode="&quot;$&quot;#,##0.00"/>
    <numFmt numFmtId="176" formatCode="#,##0.00000000"/>
    <numFmt numFmtId="177" formatCode="_(* #,##0.00_);_(* \(#,##0.00\);_(* &quot;-&quot;??.0_);_(@_)"/>
    <numFmt numFmtId="178" formatCode="#,##0.00;#,##0.00"/>
    <numFmt numFmtId="179" formatCode="mm/dd/yy;@"/>
    <numFmt numFmtId="180" formatCode="&quot;₱&quot;#,##0.00"/>
    <numFmt numFmtId="181" formatCode="#,##0.00000000_);\(#,##0.00000000\)"/>
    <numFmt numFmtId="182" formatCode="[$₱-3409]#,##0.00;[Red][$₱-3409]#,##0.00"/>
    <numFmt numFmtId="183" formatCode="#,##0.00_ ;\-#,##0.00\ "/>
    <numFmt numFmtId="184" formatCode="[$-409]dd\-mmm\-yy;@"/>
    <numFmt numFmtId="185" formatCode="_-* #,##0.00_-;\-* #,##0.00_-;_-* &quot;-&quot;??_-;_-@"/>
    <numFmt numFmtId="186" formatCode="_-* #,##0.0000000_-;\-* #,##0.0000000_-;_-* &quot;-&quot;??_-;_-@"/>
    <numFmt numFmtId="187" formatCode="_(* #,##0.0000000000_);_(* \(#,##0.0000000000\);_(* &quot;-&quot;??_);_(@_)"/>
    <numFmt numFmtId="188" formatCode="0.00000000"/>
    <numFmt numFmtId="189" formatCode="[$-3409]dd\-mmm\-yy;@"/>
    <numFmt numFmtId="190" formatCode="[$₱-464]#,##0.00"/>
    <numFmt numFmtId="191" formatCode="0.00?%_)"/>
    <numFmt numFmtId="192" formatCode="0_)"/>
    <numFmt numFmtId="193" formatCode="[$-3409]mmmm\ dd\,\ yyyy;@"/>
    <numFmt numFmtId="194" formatCode="_-[$₱-3409]* #,##0.00_-;\-[$₱-3409]* #,##0.00_-;_-[$₱-3409]* &quot;-&quot;??_-;_-@_-"/>
    <numFmt numFmtId="195" formatCode="m/d/yyyy;@"/>
    <numFmt numFmtId="196" formatCode="#,##0.000000000_ ;\-#,##0.000000000\ "/>
    <numFmt numFmtId="197" formatCode="[$-409]mmm\-yy;@"/>
  </numFmts>
  <fonts count="131">
    <font>
      <sz val="11"/>
      <color theme="1"/>
      <name val="Calibri"/>
      <family val="2"/>
      <scheme val="minor"/>
    </font>
    <font>
      <b/>
      <sz val="11"/>
      <color theme="1"/>
      <name val="Calibri"/>
      <family val="2"/>
      <scheme val="minor"/>
    </font>
    <font>
      <sz val="11"/>
      <name val="Calibri"/>
      <family val="2"/>
      <scheme val="minor"/>
    </font>
    <font>
      <sz val="11"/>
      <color theme="1"/>
      <name val="Calibri"/>
      <family val="2"/>
      <scheme val="minor"/>
    </font>
    <font>
      <sz val="11"/>
      <color theme="0"/>
      <name val="Calibri"/>
      <family val="2"/>
      <scheme val="minor"/>
    </font>
    <font>
      <b/>
      <sz val="9"/>
      <color theme="0"/>
      <name val="Century Gothic"/>
      <family val="2"/>
    </font>
    <font>
      <sz val="9"/>
      <color theme="1"/>
      <name val="Century Gothic"/>
      <family val="2"/>
    </font>
    <font>
      <sz val="10"/>
      <color theme="1"/>
      <name val="Calibri"/>
      <family val="2"/>
      <scheme val="minor"/>
    </font>
    <font>
      <b/>
      <sz val="10"/>
      <color theme="0"/>
      <name val="Century Gothic"/>
      <family val="2"/>
    </font>
    <font>
      <b/>
      <sz val="12"/>
      <color theme="0"/>
      <name val="Century Gothic"/>
      <family val="2"/>
    </font>
    <font>
      <b/>
      <sz val="10"/>
      <color theme="1"/>
      <name val="Calibri"/>
      <family val="2"/>
      <scheme val="minor"/>
    </font>
    <font>
      <sz val="9"/>
      <color theme="0"/>
      <name val="Century Gothic"/>
      <family val="2"/>
    </font>
    <font>
      <sz val="10"/>
      <color theme="1"/>
      <name val="Century Gothic"/>
      <family val="2"/>
    </font>
    <font>
      <sz val="11"/>
      <color theme="1"/>
      <name val="Arial"/>
      <family val="2"/>
    </font>
    <font>
      <b/>
      <sz val="10"/>
      <color theme="1"/>
      <name val="Century Gothic"/>
      <family val="2"/>
    </font>
    <font>
      <b/>
      <sz val="9"/>
      <color theme="1"/>
      <name val="Century Gothic"/>
      <family val="2"/>
    </font>
    <font>
      <sz val="10"/>
      <color theme="0"/>
      <name val="Calibri"/>
      <family val="2"/>
      <scheme val="minor"/>
    </font>
    <font>
      <sz val="10"/>
      <name val="Century Gothic"/>
      <family val="2"/>
    </font>
    <font>
      <b/>
      <sz val="9"/>
      <name val="Century Gothic"/>
      <family val="2"/>
    </font>
    <font>
      <sz val="9"/>
      <name val="Century Gothic"/>
      <family val="2"/>
    </font>
    <font>
      <sz val="10"/>
      <color theme="0"/>
      <name val="Century Gothic"/>
      <family val="2"/>
    </font>
    <font>
      <sz val="11"/>
      <color rgb="FF000000"/>
      <name val="Calibri"/>
      <family val="2"/>
    </font>
    <font>
      <sz val="10"/>
      <name val="Calibri"/>
      <family val="2"/>
      <scheme val="minor"/>
    </font>
    <font>
      <i/>
      <sz val="8"/>
      <color theme="1"/>
      <name val="Century Gothic"/>
      <family val="2"/>
    </font>
    <font>
      <sz val="8"/>
      <name val="Century Gothic"/>
      <family val="2"/>
    </font>
    <font>
      <sz val="8"/>
      <color theme="1"/>
      <name val="Century Gothic"/>
      <family val="2"/>
    </font>
    <font>
      <i/>
      <sz val="8"/>
      <name val="Century Gothic"/>
      <family val="2"/>
    </font>
    <font>
      <sz val="10"/>
      <name val="Arial"/>
      <family val="2"/>
    </font>
    <font>
      <sz val="8"/>
      <name val="Calibri"/>
      <family val="2"/>
      <scheme val="minor"/>
    </font>
    <font>
      <sz val="10"/>
      <color rgb="FFFF0000"/>
      <name val="Calibri"/>
      <family val="2"/>
      <scheme val="minor"/>
    </font>
    <font>
      <b/>
      <i/>
      <sz val="9"/>
      <color rgb="FFFF0000"/>
      <name val="Century Gothic"/>
      <family val="2"/>
    </font>
    <font>
      <sz val="11"/>
      <color theme="1"/>
      <name val="Century Gothic"/>
      <family val="2"/>
    </font>
    <font>
      <b/>
      <sz val="10"/>
      <name val="Century Gothic"/>
      <family val="2"/>
    </font>
    <font>
      <b/>
      <u/>
      <sz val="12"/>
      <name val="Century Gothic"/>
      <family val="2"/>
    </font>
    <font>
      <sz val="12"/>
      <name val="Century Gothic"/>
      <family val="2"/>
    </font>
    <font>
      <sz val="10"/>
      <color rgb="FFFF0000"/>
      <name val="Century Gothic"/>
      <family val="2"/>
    </font>
    <font>
      <b/>
      <sz val="11"/>
      <color theme="0"/>
      <name val="Century Gothic"/>
      <family val="2"/>
    </font>
    <font>
      <b/>
      <sz val="11"/>
      <color theme="1"/>
      <name val="Century Gothic"/>
      <family val="2"/>
    </font>
    <font>
      <sz val="11"/>
      <color theme="0"/>
      <name val="Century Gothic"/>
      <family val="2"/>
    </font>
    <font>
      <i/>
      <sz val="10"/>
      <color theme="1"/>
      <name val="Century Gothic"/>
      <family val="2"/>
    </font>
    <font>
      <i/>
      <sz val="9"/>
      <color theme="1"/>
      <name val="Century Gothic"/>
      <family val="2"/>
    </font>
    <font>
      <b/>
      <i/>
      <sz val="10"/>
      <color rgb="FFFF0000"/>
      <name val="Century Gothic"/>
      <family val="2"/>
    </font>
    <font>
      <b/>
      <u/>
      <sz val="11"/>
      <name val="Century Gothic"/>
      <family val="2"/>
    </font>
    <font>
      <sz val="11"/>
      <name val="Century Gothic"/>
      <family val="2"/>
    </font>
    <font>
      <sz val="11"/>
      <color rgb="FFFF0000"/>
      <name val="Century Gothic"/>
      <family val="2"/>
    </font>
    <font>
      <sz val="14"/>
      <name val="Cambria"/>
      <family val="1"/>
    </font>
    <font>
      <b/>
      <sz val="14"/>
      <name val="Cambria"/>
      <family val="1"/>
    </font>
    <font>
      <i/>
      <sz val="9"/>
      <name val="Century Gothic"/>
      <family val="2"/>
    </font>
    <font>
      <b/>
      <sz val="14"/>
      <color theme="0"/>
      <name val="Cambria"/>
      <family val="1"/>
    </font>
    <font>
      <sz val="11"/>
      <color rgb="FFFF0000"/>
      <name val="Calibri"/>
      <family val="2"/>
      <scheme val="minor"/>
    </font>
    <font>
      <sz val="10"/>
      <color rgb="FFFF0000"/>
      <name val="Arial"/>
      <family val="2"/>
    </font>
    <font>
      <b/>
      <sz val="10"/>
      <color rgb="FFFF0000"/>
      <name val="Calibri"/>
      <family val="2"/>
      <scheme val="minor"/>
    </font>
    <font>
      <sz val="8"/>
      <color theme="0"/>
      <name val="Century Gothic"/>
      <family val="2"/>
    </font>
    <font>
      <i/>
      <sz val="8"/>
      <color rgb="FFFF0000"/>
      <name val="Century Gothic"/>
      <family val="2"/>
    </font>
    <font>
      <sz val="7.5"/>
      <color theme="1"/>
      <name val="Century Gothic"/>
      <family val="2"/>
    </font>
    <font>
      <b/>
      <sz val="7.5"/>
      <color theme="1"/>
      <name val="Century Gothic"/>
      <family val="2"/>
    </font>
    <font>
      <b/>
      <sz val="8"/>
      <color theme="0"/>
      <name val="Century Gothic"/>
      <family val="2"/>
    </font>
    <font>
      <b/>
      <sz val="1"/>
      <color theme="0"/>
      <name val="Century Gothic"/>
      <family val="2"/>
    </font>
    <font>
      <sz val="9"/>
      <name val="Calibri"/>
      <family val="2"/>
      <scheme val="minor"/>
    </font>
    <font>
      <sz val="9"/>
      <color theme="1"/>
      <name val="Calibri"/>
      <family val="2"/>
      <scheme val="minor"/>
    </font>
    <font>
      <sz val="9"/>
      <color rgb="FFFF0000"/>
      <name val="Calibri"/>
      <family val="2"/>
      <scheme val="minor"/>
    </font>
    <font>
      <sz val="9"/>
      <color theme="1"/>
      <name val="Arial"/>
      <family val="2"/>
    </font>
    <font>
      <sz val="9"/>
      <name val="Arial"/>
      <family val="2"/>
    </font>
    <font>
      <b/>
      <u/>
      <sz val="9"/>
      <name val="Century Gothic"/>
      <family val="2"/>
    </font>
    <font>
      <b/>
      <sz val="9"/>
      <color theme="1"/>
      <name val="Calibri"/>
      <family val="2"/>
      <scheme val="minor"/>
    </font>
    <font>
      <b/>
      <sz val="7.5"/>
      <color theme="1"/>
      <name val="Calibri"/>
      <family val="2"/>
    </font>
    <font>
      <b/>
      <sz val="16"/>
      <color theme="0"/>
      <name val="Cambria"/>
      <family val="1"/>
    </font>
    <font>
      <sz val="11"/>
      <name val="Arial"/>
      <family val="2"/>
    </font>
    <font>
      <b/>
      <sz val="7.5"/>
      <name val="Century Gothic"/>
      <family val="2"/>
    </font>
    <font>
      <i/>
      <sz val="10"/>
      <name val="Century Gothic"/>
      <family val="2"/>
    </font>
    <font>
      <b/>
      <sz val="10"/>
      <color rgb="FFFF0000"/>
      <name val="Century Gothic"/>
      <family val="2"/>
    </font>
    <font>
      <sz val="10"/>
      <color rgb="FF000000"/>
      <name val="Century Gothic"/>
      <family val="2"/>
    </font>
    <font>
      <sz val="14"/>
      <color theme="0"/>
      <name val="Cambria"/>
      <family val="1"/>
    </font>
    <font>
      <b/>
      <sz val="14"/>
      <color rgb="FFFF0000"/>
      <name val="Cambria"/>
      <family val="1"/>
    </font>
    <font>
      <b/>
      <u/>
      <sz val="11"/>
      <color theme="1"/>
      <name val="Century Gothic"/>
      <family val="2"/>
    </font>
    <font>
      <b/>
      <sz val="26"/>
      <name val="Century Gothic"/>
      <family val="2"/>
    </font>
    <font>
      <b/>
      <sz val="15"/>
      <color theme="0"/>
      <name val="Century Gothic"/>
      <family val="2"/>
    </font>
    <font>
      <sz val="15"/>
      <name val="Century Gothic"/>
      <family val="2"/>
    </font>
    <font>
      <b/>
      <sz val="16"/>
      <name val="Cambria"/>
      <family val="1"/>
    </font>
    <font>
      <b/>
      <sz val="10"/>
      <color theme="1"/>
      <name val="Calibri"/>
      <family val="2"/>
    </font>
    <font>
      <sz val="11"/>
      <color theme="1"/>
      <name val="Calibri"/>
      <family val="2"/>
    </font>
    <font>
      <b/>
      <sz val="8"/>
      <color theme="0"/>
      <name val="Calibri"/>
      <family val="2"/>
    </font>
    <font>
      <sz val="11"/>
      <color theme="0"/>
      <name val="Arial"/>
      <family val="2"/>
    </font>
    <font>
      <sz val="8"/>
      <color theme="0"/>
      <name val="Calibri"/>
      <family val="2"/>
    </font>
    <font>
      <b/>
      <sz val="11"/>
      <color theme="1"/>
      <name val="Calibri"/>
      <family val="2"/>
    </font>
    <font>
      <sz val="11"/>
      <name val="Calibri"/>
      <family val="2"/>
    </font>
    <font>
      <sz val="9"/>
      <color indexed="81"/>
      <name val="Tahoma"/>
      <family val="2"/>
    </font>
    <font>
      <b/>
      <sz val="9"/>
      <color indexed="81"/>
      <name val="Tahoma"/>
      <family val="2"/>
    </font>
    <font>
      <sz val="8"/>
      <color theme="1"/>
      <name val="Calibri"/>
      <family val="2"/>
    </font>
    <font>
      <sz val="8"/>
      <color theme="1"/>
      <name val="Calibri"/>
      <family val="2"/>
      <scheme val="minor"/>
    </font>
    <font>
      <sz val="15"/>
      <color theme="1"/>
      <name val="Century Gothic"/>
      <family val="2"/>
    </font>
    <font>
      <sz val="14"/>
      <color theme="1"/>
      <name val="Cambria"/>
      <family val="1"/>
    </font>
    <font>
      <sz val="14"/>
      <color rgb="FF000000"/>
      <name val="Cambria"/>
      <family val="1"/>
    </font>
    <font>
      <sz val="10"/>
      <name val="Calibri"/>
      <family val="2"/>
    </font>
    <font>
      <b/>
      <sz val="10"/>
      <name val="Calibri"/>
      <family val="2"/>
    </font>
    <font>
      <i/>
      <sz val="11"/>
      <color theme="1"/>
      <name val="Calibri"/>
      <family val="2"/>
    </font>
    <font>
      <sz val="11"/>
      <color theme="0"/>
      <name val="Calibri"/>
      <family val="2"/>
    </font>
    <font>
      <b/>
      <i/>
      <sz val="11"/>
      <color rgb="FFFF0000"/>
      <name val="Calibri"/>
      <family val="2"/>
      <scheme val="minor"/>
    </font>
    <font>
      <i/>
      <sz val="10"/>
      <color rgb="FFFF0000"/>
      <name val="Century Gothic"/>
      <family val="2"/>
    </font>
    <font>
      <b/>
      <u/>
      <sz val="10"/>
      <name val="Century Gothic"/>
      <family val="2"/>
    </font>
    <font>
      <b/>
      <u/>
      <sz val="12"/>
      <name val="Calibri"/>
      <family val="2"/>
      <scheme val="minor"/>
    </font>
    <font>
      <sz val="12"/>
      <name val="Calibri"/>
      <family val="2"/>
      <scheme val="minor"/>
    </font>
    <font>
      <sz val="12"/>
      <color rgb="FFFF0000"/>
      <name val="Calibri"/>
      <family val="2"/>
      <scheme val="minor"/>
    </font>
    <font>
      <sz val="12"/>
      <color theme="1"/>
      <name val="Century Gothic"/>
      <family val="2"/>
    </font>
    <font>
      <b/>
      <sz val="12"/>
      <color theme="1"/>
      <name val="Century Gothic"/>
      <family val="2"/>
    </font>
    <font>
      <b/>
      <i/>
      <sz val="10"/>
      <color theme="1"/>
      <name val="Century Gothic"/>
      <family val="2"/>
    </font>
    <font>
      <sz val="10"/>
      <color theme="1"/>
      <name val="Arial"/>
      <family val="2"/>
    </font>
    <font>
      <b/>
      <sz val="11"/>
      <color rgb="FFFF0000"/>
      <name val="Calibri"/>
      <family val="2"/>
    </font>
    <font>
      <b/>
      <sz val="11"/>
      <name val="Calibri"/>
      <family val="2"/>
    </font>
    <font>
      <sz val="11"/>
      <color rgb="FFFF0000"/>
      <name val="Calibri"/>
      <family val="2"/>
    </font>
    <font>
      <sz val="10"/>
      <color rgb="FFFF0000"/>
      <name val="Calibri"/>
      <family val="2"/>
    </font>
    <font>
      <b/>
      <sz val="8"/>
      <color rgb="FFFF0000"/>
      <name val="Calibri"/>
      <family val="2"/>
      <scheme val="minor"/>
    </font>
    <font>
      <sz val="8"/>
      <color rgb="FFFF0000"/>
      <name val="Calibri"/>
      <family val="2"/>
    </font>
    <font>
      <b/>
      <sz val="8"/>
      <color rgb="FFFF0000"/>
      <name val="Calibri"/>
      <family val="2"/>
    </font>
    <font>
      <b/>
      <sz val="9"/>
      <color rgb="FFFF0000"/>
      <name val="Calibri"/>
      <family val="2"/>
    </font>
    <font>
      <sz val="9"/>
      <color theme="0"/>
      <name val="Calibri"/>
      <family val="2"/>
      <scheme val="minor"/>
    </font>
    <font>
      <b/>
      <sz val="9"/>
      <color theme="1"/>
      <name val="Calibri"/>
      <family val="2"/>
    </font>
    <font>
      <b/>
      <sz val="11"/>
      <name val="Century Gothic"/>
      <family val="2"/>
    </font>
    <font>
      <b/>
      <sz val="10"/>
      <color rgb="FFFF0000"/>
      <name val="Calibri"/>
      <family val="2"/>
    </font>
    <font>
      <b/>
      <sz val="10"/>
      <name val="Calibri"/>
      <family val="2"/>
      <scheme val="minor"/>
    </font>
    <font>
      <b/>
      <sz val="10"/>
      <color theme="0"/>
      <name val="Calibri"/>
      <family val="2"/>
    </font>
    <font>
      <sz val="10"/>
      <color theme="1"/>
      <name val="Calibri"/>
      <family val="2"/>
    </font>
    <font>
      <b/>
      <sz val="10"/>
      <color theme="0"/>
      <name val="Calibri"/>
      <family val="2"/>
      <scheme val="minor"/>
    </font>
    <font>
      <b/>
      <sz val="18"/>
      <name val="Arial"/>
      <family val="2"/>
    </font>
    <font>
      <b/>
      <sz val="10"/>
      <name val="Arial"/>
      <family val="2"/>
    </font>
    <font>
      <b/>
      <sz val="14"/>
      <color theme="0"/>
      <name val="Arial"/>
      <family val="2"/>
    </font>
    <font>
      <b/>
      <sz val="11"/>
      <name val="Arial"/>
      <family val="2"/>
    </font>
    <font>
      <b/>
      <sz val="9"/>
      <name val="Arial"/>
      <family val="2"/>
    </font>
    <font>
      <sz val="10"/>
      <color theme="0"/>
      <name val="Arial"/>
      <family val="2"/>
    </font>
    <font>
      <b/>
      <sz val="10"/>
      <color rgb="FFFF0000"/>
      <name val="Arial"/>
      <family val="2"/>
    </font>
    <font>
      <u/>
      <sz val="10"/>
      <color theme="10"/>
      <name val="Arial"/>
      <family val="2"/>
    </font>
  </fonts>
  <fills count="2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7" tint="0.79998168889431442"/>
        <bgColor rgb="FFFFC000"/>
      </patternFill>
    </fill>
    <fill>
      <patternFill patternType="solid">
        <fgColor theme="0"/>
        <bgColor indexed="51"/>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008000"/>
        <bgColor indexed="64"/>
      </patternFill>
    </fill>
    <fill>
      <patternFill patternType="solid">
        <fgColor rgb="FF92D050"/>
        <bgColor indexed="64"/>
      </patternFill>
    </fill>
    <fill>
      <patternFill patternType="solid">
        <fgColor rgb="FF33CC33"/>
        <bgColor indexed="64"/>
      </patternFill>
    </fill>
    <fill>
      <patternFill patternType="solid">
        <fgColor rgb="FF006600"/>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rgb="FFFFC000"/>
        <bgColor indexed="64"/>
      </patternFill>
    </fill>
    <fill>
      <patternFill patternType="solid">
        <fgColor theme="5" tint="0.39997558519241921"/>
        <bgColor indexed="64"/>
      </patternFill>
    </fill>
    <fill>
      <patternFill patternType="solid">
        <fgColor indexed="9"/>
        <bgColor indexed="64"/>
      </patternFill>
    </fill>
    <fill>
      <patternFill patternType="solid">
        <fgColor theme="0" tint="-0.49998474074526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4" tint="0.59999389629810485"/>
        <bgColor indexed="64"/>
      </patternFill>
    </fill>
  </fills>
  <borders count="144">
    <border>
      <left/>
      <right/>
      <top/>
      <bottom/>
      <diagonal/>
    </border>
    <border>
      <left style="thin">
        <color auto="1"/>
      </left>
      <right style="thin">
        <color auto="1"/>
      </right>
      <top style="thin">
        <color auto="1"/>
      </top>
      <bottom style="thin">
        <color auto="1"/>
      </bottom>
      <diagonal/>
    </border>
    <border>
      <left/>
      <right style="thin">
        <color theme="2" tint="-0.499984740745262"/>
      </right>
      <top/>
      <bottom/>
      <diagonal/>
    </border>
    <border>
      <left/>
      <right/>
      <top/>
      <bottom style="thin">
        <color theme="0"/>
      </bottom>
      <diagonal/>
    </border>
    <border>
      <left/>
      <right/>
      <top/>
      <bottom style="medium">
        <color theme="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style="thin">
        <color theme="0"/>
      </top>
      <bottom style="thin">
        <color theme="0"/>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0"/>
      </right>
      <top style="thin">
        <color theme="1" tint="0.34998626667073579"/>
      </top>
      <bottom style="thin">
        <color theme="1" tint="0.34998626667073579"/>
      </bottom>
      <diagonal/>
    </border>
    <border>
      <left style="thin">
        <color theme="0"/>
      </left>
      <right style="thin">
        <color theme="0"/>
      </right>
      <top style="thin">
        <color theme="1" tint="0.34998626667073579"/>
      </top>
      <bottom style="thin">
        <color theme="1" tint="0.34998626667073579"/>
      </bottom>
      <diagonal/>
    </border>
    <border>
      <left style="thin">
        <color theme="0"/>
      </left>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right/>
      <top/>
      <bottom style="thin">
        <color theme="1" tint="0.34998626667073579"/>
      </bottom>
      <diagonal/>
    </border>
    <border>
      <left style="thin">
        <color auto="1"/>
      </left>
      <right/>
      <top style="thin">
        <color auto="1"/>
      </top>
      <bottom/>
      <diagonal/>
    </border>
    <border>
      <left/>
      <right style="thin">
        <color theme="0"/>
      </right>
      <top style="thin">
        <color theme="1" tint="0.34998626667073579"/>
      </top>
      <bottom style="thin">
        <color theme="1" tint="0.34998626667073579"/>
      </bottom>
      <diagonal/>
    </border>
    <border>
      <left/>
      <right style="thin">
        <color theme="1" tint="0.34998626667073579"/>
      </right>
      <top/>
      <bottom/>
      <diagonal/>
    </border>
    <border>
      <left/>
      <right style="thin">
        <color theme="0"/>
      </right>
      <top/>
      <bottom/>
      <diagonal/>
    </border>
    <border>
      <left/>
      <right style="thin">
        <color auto="1"/>
      </right>
      <top style="thin">
        <color auto="1"/>
      </top>
      <bottom style="thin">
        <color auto="1"/>
      </bottom>
      <diagonal/>
    </border>
    <border>
      <left/>
      <right/>
      <top style="thin">
        <color theme="1" tint="0.34998626667073579"/>
      </top>
      <bottom style="thin">
        <color auto="1"/>
      </bottom>
      <diagonal/>
    </border>
    <border>
      <left style="thin">
        <color theme="1" tint="0.34998626667073579"/>
      </left>
      <right/>
      <top/>
      <bottom/>
      <diagonal/>
    </border>
    <border>
      <left style="thin">
        <color theme="1" tint="0.34998626667073579"/>
      </left>
      <right/>
      <top style="thin">
        <color auto="1"/>
      </top>
      <bottom style="thin">
        <color auto="1"/>
      </bottom>
      <diagonal/>
    </border>
    <border>
      <left/>
      <right/>
      <top style="thin">
        <color auto="1"/>
      </top>
      <bottom style="thin">
        <color theme="1" tint="0.34998626667073579"/>
      </bottom>
      <diagonal/>
    </border>
    <border>
      <left style="thin">
        <color auto="1"/>
      </left>
      <right/>
      <top/>
      <bottom/>
      <diagonal/>
    </border>
    <border>
      <left/>
      <right style="thin">
        <color theme="0"/>
      </right>
      <top style="thin">
        <color auto="1"/>
      </top>
      <bottom style="thin">
        <color auto="1"/>
      </bottom>
      <diagonal/>
    </border>
    <border>
      <left/>
      <right/>
      <top style="thin">
        <color theme="1" tint="0.34998626667073579"/>
      </top>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right style="thin">
        <color theme="1" tint="0.34998626667073579"/>
      </right>
      <top style="thin">
        <color theme="0"/>
      </top>
      <bottom style="thin">
        <color theme="0"/>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auto="1"/>
      </top>
      <bottom style="thin">
        <color theme="1" tint="0.34998626667073579"/>
      </bottom>
      <diagonal/>
    </border>
    <border>
      <left style="thin">
        <color theme="1" tint="0.34998626667073579"/>
      </left>
      <right/>
      <top/>
      <bottom style="thin">
        <color auto="1"/>
      </bottom>
      <diagonal/>
    </border>
    <border>
      <left/>
      <right style="thin">
        <color theme="0"/>
      </right>
      <top/>
      <bottom style="thin">
        <color auto="1"/>
      </bottom>
      <diagonal/>
    </border>
    <border>
      <left style="thin">
        <color theme="1" tint="0.34998626667073579"/>
      </left>
      <right style="thin">
        <color theme="1" tint="0.34998626667073579"/>
      </right>
      <top/>
      <bottom style="thin">
        <color theme="1" tint="0.34998626667073579"/>
      </bottom>
      <diagonal/>
    </border>
    <border>
      <left style="thin">
        <color auto="1"/>
      </left>
      <right/>
      <top/>
      <bottom style="thin">
        <color auto="1"/>
      </bottom>
      <diagonal/>
    </border>
    <border>
      <left/>
      <right style="thin">
        <color auto="1"/>
      </right>
      <top style="thin">
        <color auto="1"/>
      </top>
      <bottom/>
      <diagonal/>
    </border>
    <border>
      <left/>
      <right style="thin">
        <color theme="0"/>
      </right>
      <top style="thin">
        <color theme="1" tint="0.34998626667073579"/>
      </top>
      <bottom/>
      <diagonal/>
    </border>
    <border>
      <left style="thin">
        <color theme="0"/>
      </left>
      <right/>
      <top style="thin">
        <color theme="1" tint="0.34998626667073579"/>
      </top>
      <bottom style="thin">
        <color theme="1" tint="0.34998626667073579"/>
      </bottom>
      <diagonal/>
    </border>
    <border>
      <left style="thin">
        <color theme="1" tint="0.34998626667073579"/>
      </left>
      <right style="thin">
        <color theme="1" tint="0.34998626667073579"/>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style="hair">
        <color auto="1"/>
      </right>
      <top/>
      <bottom/>
      <diagonal/>
    </border>
    <border>
      <left style="thin">
        <color theme="0"/>
      </left>
      <right style="thin">
        <color theme="0"/>
      </right>
      <top/>
      <bottom/>
      <diagonal/>
    </border>
    <border>
      <left/>
      <right/>
      <top style="thin">
        <color theme="0"/>
      </top>
      <bottom/>
      <diagonal/>
    </border>
    <border>
      <left style="thin">
        <color auto="1"/>
      </left>
      <right style="thin">
        <color theme="1" tint="0.34998626667073579"/>
      </right>
      <top style="thin">
        <color theme="1" tint="0.34998626667073579"/>
      </top>
      <bottom style="thin">
        <color theme="1" tint="0.34998626667073579"/>
      </bottom>
      <diagonal/>
    </border>
    <border>
      <left style="hair">
        <color theme="1" tint="0.34998626667073579"/>
      </left>
      <right/>
      <top style="hair">
        <color theme="1" tint="0.34998626667073579"/>
      </top>
      <bottom/>
      <diagonal/>
    </border>
    <border>
      <left/>
      <right/>
      <top style="hair">
        <color theme="1" tint="0.34998626667073579"/>
      </top>
      <bottom/>
      <diagonal/>
    </border>
    <border>
      <left/>
      <right style="hair">
        <color theme="1" tint="0.34998626667073579"/>
      </right>
      <top style="hair">
        <color theme="1" tint="0.34998626667073579"/>
      </top>
      <bottom/>
      <diagonal/>
    </border>
    <border>
      <left style="hair">
        <color theme="1" tint="0.34998626667073579"/>
      </left>
      <right/>
      <top/>
      <bottom style="hair">
        <color theme="1" tint="0.34998626667073579"/>
      </bottom>
      <diagonal/>
    </border>
    <border>
      <left/>
      <right/>
      <top/>
      <bottom style="hair">
        <color theme="1" tint="0.34998626667073579"/>
      </bottom>
      <diagonal/>
    </border>
    <border>
      <left/>
      <right style="hair">
        <color theme="1" tint="0.34998626667073579"/>
      </right>
      <top/>
      <bottom style="hair">
        <color theme="1" tint="0.34998626667073579"/>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theme="2" tint="-0.499984740745262"/>
      </right>
      <top style="thin">
        <color theme="1" tint="0.34998626667073579"/>
      </top>
      <bottom/>
      <diagonal/>
    </border>
    <border>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theme="0"/>
      </right>
      <top style="thin">
        <color theme="0"/>
      </top>
      <bottom style="thin">
        <color theme="0"/>
      </bottom>
      <diagonal/>
    </border>
    <border>
      <left style="thin">
        <color indexed="64"/>
      </left>
      <right style="thin">
        <color theme="1" tint="0.34998626667073579"/>
      </right>
      <top style="thin">
        <color indexed="64"/>
      </top>
      <bottom style="thin">
        <color theme="1" tint="0.34998626667073579"/>
      </bottom>
      <diagonal/>
    </border>
    <border>
      <left/>
      <right style="thin">
        <color indexed="64"/>
      </right>
      <top style="thin">
        <color indexed="64"/>
      </top>
      <bottom style="thin">
        <color theme="1" tint="0.34998626667073579"/>
      </bottom>
      <diagonal/>
    </border>
    <border>
      <left style="thin">
        <color indexed="64"/>
      </left>
      <right style="thin">
        <color theme="1" tint="0.34998626667073579"/>
      </right>
      <top style="thin">
        <color theme="1" tint="0.34998626667073579"/>
      </top>
      <bottom style="thin">
        <color indexed="64"/>
      </bottom>
      <diagonal/>
    </border>
    <border>
      <left style="thin">
        <color indexed="64"/>
      </left>
      <right style="thin">
        <color theme="1" tint="0.34998626667073579"/>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indexed="64"/>
      </top>
      <bottom style="thin">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top/>
      <bottom style="thin">
        <color theme="1"/>
      </bottom>
      <diagonal/>
    </border>
    <border>
      <left/>
      <right/>
      <top style="thin">
        <color theme="1" tint="0.249977111117893"/>
      </top>
      <bottom style="thin">
        <color indexed="64"/>
      </bottom>
      <diagonal/>
    </border>
    <border>
      <left style="thin">
        <color theme="0"/>
      </left>
      <right style="thin">
        <color theme="0"/>
      </right>
      <top style="thin">
        <color theme="0"/>
      </top>
      <bottom/>
      <diagonal/>
    </border>
    <border>
      <left/>
      <right/>
      <top/>
      <bottom style="thin">
        <color theme="5" tint="-0.499984740745262"/>
      </bottom>
      <diagonal/>
    </border>
    <border>
      <left/>
      <right/>
      <top style="thin">
        <color theme="5" tint="-0.499984740745262"/>
      </top>
      <bottom style="thin">
        <color theme="5" tint="-0.499984740745262"/>
      </bottom>
      <diagonal/>
    </border>
    <border>
      <left style="thin">
        <color theme="1" tint="4.9989318521683403E-2"/>
      </left>
      <right style="thin">
        <color theme="1" tint="4.9989318521683403E-2"/>
      </right>
      <top style="thin">
        <color theme="1" tint="4.9989318521683403E-2"/>
      </top>
      <bottom style="thin">
        <color theme="1" tint="4.9989318521683403E-2"/>
      </bottom>
      <diagonal/>
    </border>
    <border>
      <left style="thin">
        <color rgb="FF006600"/>
      </left>
      <right style="thin">
        <color rgb="FF006600"/>
      </right>
      <top style="thin">
        <color rgb="FF006600"/>
      </top>
      <bottom style="thin">
        <color rgb="FF006600"/>
      </bottom>
      <diagonal/>
    </border>
    <border>
      <left style="medium">
        <color rgb="FF006600"/>
      </left>
      <right style="thin">
        <color rgb="FF006600"/>
      </right>
      <top style="medium">
        <color rgb="FF006600"/>
      </top>
      <bottom style="thin">
        <color rgb="FF006600"/>
      </bottom>
      <diagonal/>
    </border>
    <border>
      <left style="thin">
        <color rgb="FF006600"/>
      </left>
      <right style="thin">
        <color rgb="FF006600"/>
      </right>
      <top style="medium">
        <color rgb="FF006600"/>
      </top>
      <bottom style="thin">
        <color rgb="FF006600"/>
      </bottom>
      <diagonal/>
    </border>
    <border>
      <left style="thin">
        <color rgb="FF006600"/>
      </left>
      <right style="medium">
        <color rgb="FF006600"/>
      </right>
      <top style="medium">
        <color rgb="FF006600"/>
      </top>
      <bottom style="thin">
        <color rgb="FF006600"/>
      </bottom>
      <diagonal/>
    </border>
    <border>
      <left style="medium">
        <color rgb="FF006600"/>
      </left>
      <right style="thin">
        <color rgb="FF006600"/>
      </right>
      <top style="thin">
        <color rgb="FF006600"/>
      </top>
      <bottom style="thin">
        <color rgb="FF006600"/>
      </bottom>
      <diagonal/>
    </border>
    <border>
      <left style="thin">
        <color rgb="FF006600"/>
      </left>
      <right style="medium">
        <color rgb="FF006600"/>
      </right>
      <top style="thin">
        <color rgb="FF006600"/>
      </top>
      <bottom style="thin">
        <color rgb="FF006600"/>
      </bottom>
      <diagonal/>
    </border>
    <border>
      <left style="medium">
        <color rgb="FF006600"/>
      </left>
      <right style="thin">
        <color rgb="FF006600"/>
      </right>
      <top style="thin">
        <color rgb="FF006600"/>
      </top>
      <bottom style="medium">
        <color rgb="FF006600"/>
      </bottom>
      <diagonal/>
    </border>
    <border>
      <left style="thin">
        <color rgb="FF006600"/>
      </left>
      <right style="thin">
        <color rgb="FF006600"/>
      </right>
      <top style="thin">
        <color rgb="FF006600"/>
      </top>
      <bottom style="medium">
        <color rgb="FF006600"/>
      </bottom>
      <diagonal/>
    </border>
    <border>
      <left style="thin">
        <color rgb="FF006600"/>
      </left>
      <right style="medium">
        <color rgb="FF006600"/>
      </right>
      <top style="thin">
        <color rgb="FF006600"/>
      </top>
      <bottom style="medium">
        <color rgb="FF006600"/>
      </bottom>
      <diagonal/>
    </border>
    <border>
      <left style="dotted">
        <color indexed="64"/>
      </left>
      <right style="dotted">
        <color indexed="64"/>
      </right>
      <top style="dotted">
        <color indexed="64"/>
      </top>
      <bottom style="dotted">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thin">
        <color auto="1"/>
      </left>
      <right/>
      <top style="thin">
        <color theme="1" tint="0.34998626667073579"/>
      </top>
      <bottom style="thin">
        <color theme="1" tint="0.34998626667073579"/>
      </bottom>
      <diagonal/>
    </border>
    <border>
      <left style="medium">
        <color indexed="64"/>
      </left>
      <right style="thin">
        <color auto="1"/>
      </right>
      <top style="medium">
        <color indexed="64"/>
      </top>
      <bottom style="medium">
        <color indexed="64"/>
      </bottom>
      <diagonal/>
    </border>
    <border>
      <left style="thin">
        <color rgb="FF000000"/>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right/>
      <top style="thin">
        <color auto="1"/>
      </top>
      <bottom style="medium">
        <color indexed="64"/>
      </bottom>
      <diagonal/>
    </border>
    <border>
      <left/>
      <right/>
      <top/>
      <bottom style="medium">
        <color rgb="FFFF0000"/>
      </bottom>
      <diagonal/>
    </border>
    <border>
      <left/>
      <right/>
      <top/>
      <bottom style="hair">
        <color indexed="16"/>
      </bottom>
      <diagonal/>
    </border>
    <border>
      <left/>
      <right/>
      <top style="medium">
        <color rgb="FFFF0000"/>
      </top>
      <bottom style="hair">
        <color indexed="16"/>
      </bottom>
      <diagonal/>
    </border>
    <border>
      <left style="hair">
        <color indexed="16"/>
      </left>
      <right/>
      <top/>
      <bottom/>
      <diagonal/>
    </border>
    <border>
      <left style="hair">
        <color indexed="16"/>
      </left>
      <right/>
      <top/>
      <bottom style="hair">
        <color indexed="16"/>
      </bottom>
      <diagonal/>
    </border>
    <border>
      <left/>
      <right/>
      <top style="medium">
        <color rgb="FFFF0000"/>
      </top>
      <bottom/>
      <diagonal/>
    </border>
    <border>
      <left style="thin">
        <color theme="1" tint="0.34998626667073579"/>
      </left>
      <right style="thin">
        <color theme="1" tint="0.34998626667073579"/>
      </right>
      <top style="thin">
        <color theme="1" tint="0.34998626667073579"/>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auto="1"/>
      </left>
      <right style="thin">
        <color auto="1"/>
      </right>
      <top style="thin">
        <color indexed="64"/>
      </top>
      <bottom style="double">
        <color indexed="64"/>
      </bottom>
      <diagonal/>
    </border>
    <border>
      <left/>
      <right/>
      <top style="thin">
        <color auto="1"/>
      </top>
      <bottom style="double">
        <color indexed="64"/>
      </bottom>
      <diagonal/>
    </border>
    <border>
      <left/>
      <right/>
      <top style="hair">
        <color indexed="16"/>
      </top>
      <bottom/>
      <diagonal/>
    </border>
    <border>
      <left style="hair">
        <color indexed="16"/>
      </left>
      <right/>
      <top style="hair">
        <color indexed="16"/>
      </top>
      <bottom style="hair">
        <color indexed="16"/>
      </bottom>
      <diagonal/>
    </border>
    <border>
      <left/>
      <right/>
      <top style="hair">
        <color indexed="16"/>
      </top>
      <bottom style="hair">
        <color indexed="16"/>
      </bottom>
      <diagonal/>
    </border>
    <border>
      <left/>
      <right style="hair">
        <color indexed="16"/>
      </right>
      <top style="hair">
        <color indexed="16"/>
      </top>
      <bottom style="hair">
        <color indexed="16"/>
      </bottom>
      <diagonal/>
    </border>
    <border>
      <left style="hair">
        <color indexed="16"/>
      </left>
      <right style="hair">
        <color indexed="16"/>
      </right>
      <top style="hair">
        <color indexed="16"/>
      </top>
      <bottom style="hair">
        <color indexed="16"/>
      </bottom>
      <diagonal/>
    </border>
    <border>
      <left/>
      <right/>
      <top style="hair">
        <color indexed="16"/>
      </top>
      <bottom style="medium">
        <color rgb="FFFF0000"/>
      </bottom>
      <diagonal/>
    </border>
    <border>
      <left style="hair">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s>
  <cellStyleXfs count="27">
    <xf numFmtId="0" fontId="0" fillId="0" borderId="0"/>
    <xf numFmtId="167" fontId="3" fillId="0" borderId="0" applyFont="0" applyFill="0" applyBorder="0" applyAlignment="0" applyProtection="0"/>
    <xf numFmtId="9" fontId="3" fillId="0" borderId="0" applyFont="0" applyFill="0" applyBorder="0" applyAlignment="0" applyProtection="0"/>
    <xf numFmtId="0" fontId="21" fillId="0" borderId="0"/>
    <xf numFmtId="43" fontId="27"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0" fontId="13" fillId="0" borderId="0"/>
    <xf numFmtId="167" fontId="3" fillId="0" borderId="0" applyFont="0" applyFill="0" applyBorder="0" applyAlignment="0" applyProtection="0"/>
    <xf numFmtId="167" fontId="3" fillId="0" borderId="0" applyFont="0" applyFill="0" applyBorder="0" applyAlignment="0" applyProtection="0"/>
    <xf numFmtId="0" fontId="27" fillId="0" borderId="0"/>
    <xf numFmtId="43" fontId="27" fillId="0" borderId="0" applyFont="0" applyFill="0" applyBorder="0" applyAlignment="0" applyProtection="0"/>
    <xf numFmtId="44" fontId="2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27" fillId="0" borderId="0" applyFont="0" applyFill="0" applyBorder="0" applyAlignment="0" applyProtection="0"/>
    <xf numFmtId="0" fontId="130" fillId="0" borderId="0" applyNumberFormat="0" applyFill="0" applyBorder="0" applyAlignment="0" applyProtection="0"/>
    <xf numFmtId="44" fontId="27" fillId="0" borderId="0" applyFont="0" applyFill="0" applyBorder="0" applyAlignment="0" applyProtection="0"/>
    <xf numFmtId="9" fontId="27"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167"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cellStyleXfs>
  <cellXfs count="1875">
    <xf numFmtId="0" fontId="0" fillId="0" borderId="0" xfId="0"/>
    <xf numFmtId="0" fontId="27" fillId="0" borderId="0" xfId="0" applyFont="1"/>
    <xf numFmtId="0" fontId="31" fillId="0" borderId="0" xfId="0" applyFont="1"/>
    <xf numFmtId="0" fontId="14" fillId="0" borderId="0" xfId="0" applyFont="1"/>
    <xf numFmtId="0" fontId="14" fillId="0" borderId="0" xfId="0" applyFont="1" applyAlignment="1" applyProtection="1">
      <alignment horizontal="center" vertical="center"/>
      <protection locked="0"/>
    </xf>
    <xf numFmtId="0" fontId="31" fillId="0" borderId="17" xfId="0" applyFont="1" applyBorder="1"/>
    <xf numFmtId="0" fontId="45" fillId="0" borderId="0" xfId="0" applyFont="1"/>
    <xf numFmtId="0" fontId="45" fillId="0" borderId="0" xfId="0" applyFont="1" applyAlignment="1">
      <alignment vertical="center"/>
    </xf>
    <xf numFmtId="0" fontId="46" fillId="0" borderId="0" xfId="0" applyFont="1" applyAlignment="1">
      <alignment vertical="center"/>
    </xf>
    <xf numFmtId="169" fontId="46" fillId="0" borderId="0" xfId="0" applyNumberFormat="1" applyFont="1" applyAlignment="1">
      <alignment vertical="center"/>
    </xf>
    <xf numFmtId="169" fontId="46" fillId="0" borderId="0" xfId="0" applyNumberFormat="1" applyFont="1" applyAlignment="1">
      <alignment horizontal="center" vertical="center"/>
    </xf>
    <xf numFmtId="169" fontId="46" fillId="0" borderId="50" xfId="0" applyNumberFormat="1" applyFont="1" applyBorder="1" applyAlignment="1">
      <alignment horizontal="center" vertical="center"/>
    </xf>
    <xf numFmtId="0" fontId="46" fillId="0" borderId="0" xfId="0" applyFont="1" applyAlignment="1">
      <alignment horizontal="right"/>
    </xf>
    <xf numFmtId="0" fontId="12" fillId="0" borderId="0" xfId="0" applyFont="1" applyAlignment="1" applyProtection="1">
      <alignment horizontal="center" vertical="center"/>
      <protection locked="0"/>
    </xf>
    <xf numFmtId="0" fontId="46" fillId="0" borderId="0" xfId="0" applyFont="1" applyAlignment="1">
      <alignment horizontal="center" vertical="center"/>
    </xf>
    <xf numFmtId="0" fontId="31" fillId="0" borderId="0" xfId="0" applyFont="1" applyProtection="1">
      <protection locked="0"/>
    </xf>
    <xf numFmtId="0" fontId="12" fillId="0" borderId="0" xfId="0" applyFont="1" applyAlignment="1" applyProtection="1">
      <alignment vertical="center"/>
      <protection locked="0"/>
    </xf>
    <xf numFmtId="0" fontId="17" fillId="0" borderId="0" xfId="0" applyFont="1" applyAlignment="1" applyProtection="1">
      <alignment vertical="center"/>
      <protection locked="0"/>
    </xf>
    <xf numFmtId="0" fontId="12" fillId="0" borderId="0" xfId="0" applyFont="1" applyProtection="1">
      <protection locked="0"/>
    </xf>
    <xf numFmtId="0" fontId="17" fillId="0" borderId="0" xfId="0" applyFont="1" applyProtection="1">
      <protection locked="0"/>
    </xf>
    <xf numFmtId="0" fontId="25" fillId="0" borderId="0" xfId="0" applyFont="1"/>
    <xf numFmtId="0" fontId="31" fillId="0" borderId="0" xfId="0" applyFont="1" applyAlignment="1" applyProtection="1">
      <alignment horizontal="center"/>
      <protection locked="0"/>
    </xf>
    <xf numFmtId="0" fontId="45" fillId="0" borderId="0" xfId="0" applyFont="1" applyAlignment="1">
      <alignment horizontal="center" vertical="center"/>
    </xf>
    <xf numFmtId="0" fontId="46" fillId="0" borderId="0" xfId="0" applyFont="1" applyAlignment="1">
      <alignment horizontal="center" vertical="center" wrapText="1"/>
    </xf>
    <xf numFmtId="0" fontId="6" fillId="0" borderId="0" xfId="0" applyFont="1"/>
    <xf numFmtId="0" fontId="6" fillId="0" borderId="17" xfId="0" applyFont="1" applyBorder="1"/>
    <xf numFmtId="0" fontId="6" fillId="0" borderId="0" xfId="0" applyFont="1" applyAlignment="1">
      <alignment horizontal="right"/>
    </xf>
    <xf numFmtId="0" fontId="6" fillId="0" borderId="18" xfId="0" applyFont="1" applyBorder="1"/>
    <xf numFmtId="0" fontId="15" fillId="0" borderId="15" xfId="0" applyFont="1" applyBorder="1"/>
    <xf numFmtId="0" fontId="15" fillId="0" borderId="18" xfId="0" applyFont="1" applyBorder="1"/>
    <xf numFmtId="0" fontId="15" fillId="0" borderId="20" xfId="0" applyFont="1" applyBorder="1"/>
    <xf numFmtId="0" fontId="15" fillId="0" borderId="65" xfId="0" applyFont="1" applyBorder="1"/>
    <xf numFmtId="0" fontId="31" fillId="0" borderId="65" xfId="0" applyFont="1" applyBorder="1"/>
    <xf numFmtId="0" fontId="25" fillId="0" borderId="65" xfId="0" applyFont="1" applyBorder="1"/>
    <xf numFmtId="0" fontId="31" fillId="0" borderId="41" xfId="0" applyFont="1" applyBorder="1"/>
    <xf numFmtId="0" fontId="25" fillId="0" borderId="17" xfId="0" applyFont="1" applyBorder="1"/>
    <xf numFmtId="0" fontId="31" fillId="0" borderId="66" xfId="0" applyFont="1" applyBorder="1"/>
    <xf numFmtId="0" fontId="25" fillId="0" borderId="29" xfId="0" applyFont="1" applyBorder="1"/>
    <xf numFmtId="0" fontId="25" fillId="0" borderId="67" xfId="0" applyFont="1" applyBorder="1"/>
    <xf numFmtId="0" fontId="52" fillId="5" borderId="29" xfId="0" applyFont="1" applyFill="1" applyBorder="1"/>
    <xf numFmtId="0" fontId="52" fillId="5" borderId="0" xfId="0" applyFont="1" applyFill="1"/>
    <xf numFmtId="0" fontId="52" fillId="5" borderId="15" xfId="0" applyFont="1" applyFill="1" applyBorder="1"/>
    <xf numFmtId="0" fontId="52" fillId="5" borderId="18" xfId="0" applyFont="1" applyFill="1" applyBorder="1"/>
    <xf numFmtId="0" fontId="52" fillId="5" borderId="24" xfId="0" applyFont="1" applyFill="1" applyBorder="1"/>
    <xf numFmtId="0" fontId="38" fillId="5" borderId="18" xfId="0" applyFont="1" applyFill="1" applyBorder="1"/>
    <xf numFmtId="0" fontId="38" fillId="5" borderId="24" xfId="0" applyFont="1" applyFill="1" applyBorder="1"/>
    <xf numFmtId="0" fontId="5" fillId="5" borderId="65" xfId="0" applyFont="1" applyFill="1" applyBorder="1" applyAlignment="1">
      <alignment horizontal="left"/>
    </xf>
    <xf numFmtId="0" fontId="31" fillId="5" borderId="65" xfId="0" applyFont="1" applyFill="1" applyBorder="1" applyAlignment="1">
      <alignment horizontal="left"/>
    </xf>
    <xf numFmtId="0" fontId="31" fillId="5" borderId="42" xfId="0" applyFont="1" applyFill="1" applyBorder="1" applyAlignment="1">
      <alignment horizontal="left"/>
    </xf>
    <xf numFmtId="0" fontId="25" fillId="0" borderId="0" xfId="0" applyFont="1" applyAlignment="1">
      <alignment wrapText="1"/>
    </xf>
    <xf numFmtId="0" fontId="38" fillId="5" borderId="42" xfId="0" applyFont="1" applyFill="1" applyBorder="1"/>
    <xf numFmtId="0" fontId="52" fillId="5" borderId="20" xfId="0" applyFont="1" applyFill="1" applyBorder="1"/>
    <xf numFmtId="0" fontId="52" fillId="5" borderId="65" xfId="0" applyFont="1" applyFill="1" applyBorder="1"/>
    <xf numFmtId="0" fontId="38" fillId="5" borderId="65" xfId="0" applyFont="1" applyFill="1" applyBorder="1"/>
    <xf numFmtId="0" fontId="44" fillId="0" borderId="0" xfId="0" applyFont="1"/>
    <xf numFmtId="0" fontId="31" fillId="0" borderId="0" xfId="0" applyFont="1" applyAlignment="1">
      <alignment vertical="center" wrapText="1"/>
    </xf>
    <xf numFmtId="0" fontId="6" fillId="0" borderId="0" xfId="0" applyFont="1" applyAlignment="1">
      <alignment horizontal="justify" vertical="center"/>
    </xf>
    <xf numFmtId="0" fontId="31" fillId="0" borderId="42" xfId="0" applyFont="1" applyBorder="1"/>
    <xf numFmtId="0" fontId="24" fillId="0" borderId="65" xfId="0" applyFont="1" applyBorder="1"/>
    <xf numFmtId="0" fontId="54" fillId="0" borderId="0" xfId="0" applyFont="1" applyAlignment="1">
      <alignment horizontal="right" vertical="top" wrapText="1"/>
    </xf>
    <xf numFmtId="0" fontId="6" fillId="0" borderId="24" xfId="0" applyFont="1" applyBorder="1"/>
    <xf numFmtId="0" fontId="54" fillId="0" borderId="0" xfId="0" applyFont="1"/>
    <xf numFmtId="0" fontId="54" fillId="0" borderId="20" xfId="0" applyFont="1" applyBorder="1" applyAlignment="1">
      <alignment wrapText="1"/>
    </xf>
    <xf numFmtId="0" fontId="55" fillId="0" borderId="65" xfId="0" applyFont="1" applyBorder="1" applyAlignment="1">
      <alignment vertical="center"/>
    </xf>
    <xf numFmtId="0" fontId="54" fillId="0" borderId="65" xfId="0" applyFont="1" applyBorder="1" applyAlignment="1">
      <alignment wrapText="1"/>
    </xf>
    <xf numFmtId="0" fontId="54" fillId="0" borderId="42" xfId="0" applyFont="1" applyBorder="1" applyAlignment="1">
      <alignment wrapText="1"/>
    </xf>
    <xf numFmtId="0" fontId="54" fillId="0" borderId="29" xfId="0" applyFont="1" applyBorder="1"/>
    <xf numFmtId="0" fontId="54" fillId="0" borderId="67" xfId="0" applyFont="1" applyBorder="1"/>
    <xf numFmtId="0" fontId="55" fillId="0" borderId="0" xfId="0" applyFont="1"/>
    <xf numFmtId="0" fontId="54" fillId="0" borderId="41" xfId="0" applyFont="1" applyBorder="1"/>
    <xf numFmtId="0" fontId="54" fillId="0" borderId="17" xfId="0" applyFont="1" applyBorder="1"/>
    <xf numFmtId="0" fontId="54" fillId="0" borderId="66" xfId="0" applyFont="1" applyBorder="1"/>
    <xf numFmtId="0" fontId="56" fillId="5" borderId="20" xfId="0" applyFont="1" applyFill="1" applyBorder="1" applyAlignment="1">
      <alignment horizontal="left"/>
    </xf>
    <xf numFmtId="0" fontId="25" fillId="0" borderId="41" xfId="0" applyFont="1" applyBorder="1"/>
    <xf numFmtId="0" fontId="25" fillId="0" borderId="66" xfId="0" applyFont="1" applyBorder="1"/>
    <xf numFmtId="0" fontId="54" fillId="0" borderId="0" xfId="0" quotePrefix="1" applyFont="1" applyAlignment="1">
      <alignment horizontal="center" vertical="top"/>
    </xf>
    <xf numFmtId="0" fontId="54" fillId="0" borderId="0" xfId="0" applyFont="1" applyAlignment="1">
      <alignment horizontal="left" vertical="center" wrapText="1"/>
    </xf>
    <xf numFmtId="0" fontId="54" fillId="0" borderId="0" xfId="0" quotePrefix="1" applyFont="1" applyAlignment="1">
      <alignment horizontal="right" vertical="center"/>
    </xf>
    <xf numFmtId="0" fontId="19" fillId="0" borderId="0" xfId="0" applyFont="1"/>
    <xf numFmtId="0" fontId="54" fillId="0" borderId="0" xfId="0" applyFont="1" applyAlignment="1">
      <alignment horizontal="center" vertical="top" wrapText="1"/>
    </xf>
    <xf numFmtId="183" fontId="54" fillId="0" borderId="0" xfId="1" applyNumberFormat="1" applyFont="1" applyBorder="1" applyAlignment="1">
      <alignment horizontal="center" vertical="top" wrapText="1"/>
    </xf>
    <xf numFmtId="0" fontId="55" fillId="0" borderId="0" xfId="0" applyFont="1" applyAlignment="1">
      <alignment horizontal="right" vertical="top" wrapText="1"/>
    </xf>
    <xf numFmtId="0" fontId="52" fillId="5" borderId="15" xfId="0" applyFont="1" applyFill="1" applyBorder="1" applyAlignment="1">
      <alignment horizontal="left"/>
    </xf>
    <xf numFmtId="0" fontId="52" fillId="5" borderId="24" xfId="0" applyFont="1" applyFill="1" applyBorder="1" applyAlignment="1">
      <alignment horizontal="left"/>
    </xf>
    <xf numFmtId="0" fontId="55" fillId="0" borderId="0" xfId="0" applyFont="1" applyAlignment="1">
      <alignment horizontal="center" vertical="top" wrapText="1"/>
    </xf>
    <xf numFmtId="0" fontId="31" fillId="0" borderId="0" xfId="0" applyFont="1" applyAlignment="1">
      <alignment horizontal="center"/>
    </xf>
    <xf numFmtId="0" fontId="8" fillId="5" borderId="0" xfId="0" applyFont="1" applyFill="1"/>
    <xf numFmtId="169" fontId="31" fillId="0" borderId="0" xfId="0" applyNumberFormat="1" applyFont="1"/>
    <xf numFmtId="0" fontId="8" fillId="5" borderId="0" xfId="0" applyFont="1" applyFill="1" applyAlignment="1">
      <alignment horizontal="center"/>
    </xf>
    <xf numFmtId="169" fontId="6" fillId="0" borderId="0" xfId="0" applyNumberFormat="1" applyFont="1"/>
    <xf numFmtId="0" fontId="17" fillId="0" borderId="0" xfId="0" applyFont="1"/>
    <xf numFmtId="0" fontId="17" fillId="0" borderId="0" xfId="0" applyFont="1" applyAlignment="1">
      <alignment horizontal="center"/>
    </xf>
    <xf numFmtId="0" fontId="17" fillId="0" borderId="0" xfId="0" applyFont="1" applyAlignment="1">
      <alignment vertical="center"/>
    </xf>
    <xf numFmtId="0" fontId="17" fillId="0" borderId="19" xfId="0" applyFont="1" applyBorder="1"/>
    <xf numFmtId="0" fontId="17" fillId="0" borderId="19" xfId="0" applyFont="1" applyBorder="1" applyAlignment="1">
      <alignment horizontal="center"/>
    </xf>
    <xf numFmtId="172" fontId="17" fillId="0" borderId="19" xfId="0" applyNumberFormat="1" applyFont="1" applyBorder="1" applyAlignment="1">
      <alignment horizontal="center"/>
    </xf>
    <xf numFmtId="0" fontId="17" fillId="0" borderId="0" xfId="0" applyFont="1" applyAlignment="1">
      <alignment horizontal="center" vertical="center"/>
    </xf>
    <xf numFmtId="167" fontId="17" fillId="0" borderId="0" xfId="1" applyFont="1" applyAlignment="1" applyProtection="1">
      <alignment vertical="center"/>
    </xf>
    <xf numFmtId="0" fontId="20" fillId="0" borderId="0" xfId="0" applyFont="1" applyAlignment="1">
      <alignment vertical="center"/>
    </xf>
    <xf numFmtId="172" fontId="35" fillId="0" borderId="0" xfId="1" applyNumberFormat="1" applyFont="1" applyAlignment="1" applyProtection="1">
      <alignment vertical="center"/>
    </xf>
    <xf numFmtId="167" fontId="35" fillId="0" borderId="0" xfId="1" applyFont="1" applyAlignment="1" applyProtection="1">
      <alignment vertical="center"/>
    </xf>
    <xf numFmtId="0" fontId="19" fillId="0" borderId="0" xfId="0" applyFont="1" applyAlignment="1">
      <alignment vertical="center"/>
    </xf>
    <xf numFmtId="0" fontId="11" fillId="5" borderId="0" xfId="0" applyFont="1" applyFill="1" applyAlignment="1">
      <alignment horizontal="left" vertical="center"/>
    </xf>
    <xf numFmtId="0" fontId="5" fillId="5" borderId="3" xfId="0" applyFont="1" applyFill="1" applyBorder="1" applyAlignment="1">
      <alignment vertical="center"/>
    </xf>
    <xf numFmtId="0" fontId="5" fillId="5" borderId="6" xfId="0" applyFont="1" applyFill="1" applyBorder="1" applyAlignment="1">
      <alignment vertical="center"/>
    </xf>
    <xf numFmtId="0" fontId="6" fillId="0" borderId="0" xfId="0" applyFont="1" applyAlignment="1">
      <alignment vertical="center"/>
    </xf>
    <xf numFmtId="0" fontId="15" fillId="0" borderId="0" xfId="0" applyFont="1" applyAlignment="1">
      <alignment vertical="center"/>
    </xf>
    <xf numFmtId="0" fontId="6" fillId="0" borderId="8" xfId="0" applyFont="1" applyBorder="1" applyAlignment="1">
      <alignment vertical="center"/>
    </xf>
    <xf numFmtId="0" fontId="11" fillId="5" borderId="6" xfId="0" applyFont="1" applyFill="1" applyBorder="1" applyAlignment="1">
      <alignment vertical="center"/>
    </xf>
    <xf numFmtId="0" fontId="6" fillId="0" borderId="9" xfId="0" applyFont="1" applyBorder="1" applyAlignment="1">
      <alignment vertical="center"/>
    </xf>
    <xf numFmtId="0" fontId="5" fillId="5" borderId="0" xfId="0" applyFont="1" applyFill="1" applyAlignment="1">
      <alignment vertical="center"/>
    </xf>
    <xf numFmtId="0" fontId="12" fillId="0" borderId="0" xfId="0" applyFont="1"/>
    <xf numFmtId="0" fontId="12" fillId="0" borderId="0" xfId="0" applyFont="1" applyAlignment="1">
      <alignment vertical="center"/>
    </xf>
    <xf numFmtId="172" fontId="12" fillId="0" borderId="0" xfId="1" applyNumberFormat="1" applyFont="1" applyAlignment="1" applyProtection="1">
      <alignment vertical="center"/>
    </xf>
    <xf numFmtId="0" fontId="14" fillId="0" borderId="0" xfId="0" applyFont="1" applyAlignment="1">
      <alignment vertical="center"/>
    </xf>
    <xf numFmtId="0" fontId="19" fillId="0" borderId="0" xfId="0" applyFont="1" applyAlignment="1">
      <alignment horizontal="left" vertical="center"/>
    </xf>
    <xf numFmtId="171" fontId="6" fillId="0" borderId="0" xfId="0" applyNumberFormat="1" applyFont="1" applyAlignment="1">
      <alignment horizontal="left" vertical="center"/>
    </xf>
    <xf numFmtId="0" fontId="11" fillId="5" borderId="3" xfId="0" applyFont="1" applyFill="1" applyBorder="1" applyAlignment="1">
      <alignment vertical="center"/>
    </xf>
    <xf numFmtId="172" fontId="6" fillId="0" borderId="1" xfId="1" applyNumberFormat="1" applyFont="1" applyBorder="1" applyAlignment="1" applyProtection="1">
      <alignment horizontal="center" vertical="center"/>
    </xf>
    <xf numFmtId="0" fontId="12" fillId="0" borderId="3" xfId="0" applyFont="1" applyBorder="1"/>
    <xf numFmtId="0" fontId="11" fillId="5" borderId="0" xfId="0" applyFont="1" applyFill="1" applyAlignment="1">
      <alignment vertical="center"/>
    </xf>
    <xf numFmtId="0" fontId="26" fillId="0" borderId="0" xfId="3" applyFont="1" applyAlignment="1">
      <alignment vertical="center"/>
    </xf>
    <xf numFmtId="0" fontId="8" fillId="5" borderId="0" xfId="0" applyFont="1" applyFill="1" applyAlignment="1">
      <alignment vertical="center"/>
    </xf>
    <xf numFmtId="0" fontId="36" fillId="5" borderId="0" xfId="0" applyFont="1" applyFill="1" applyAlignment="1">
      <alignment vertical="center"/>
    </xf>
    <xf numFmtId="0" fontId="31" fillId="0" borderId="0" xfId="0" applyFont="1" applyAlignment="1">
      <alignment vertical="center"/>
    </xf>
    <xf numFmtId="0" fontId="26" fillId="0" borderId="0" xfId="0" applyFont="1" applyAlignment="1">
      <alignment vertical="center"/>
    </xf>
    <xf numFmtId="0" fontId="12" fillId="0" borderId="17" xfId="0" applyFont="1" applyBorder="1" applyAlignment="1">
      <alignment vertical="center"/>
    </xf>
    <xf numFmtId="0" fontId="15" fillId="0" borderId="0" xfId="0" applyFont="1" applyAlignment="1">
      <alignment horizontal="center" vertical="center"/>
    </xf>
    <xf numFmtId="0" fontId="30" fillId="0" borderId="0" xfId="0" applyFont="1" applyAlignment="1">
      <alignment vertical="center"/>
    </xf>
    <xf numFmtId="0" fontId="6" fillId="0" borderId="17" xfId="0" applyFont="1" applyBorder="1" applyAlignment="1">
      <alignment vertical="center"/>
    </xf>
    <xf numFmtId="0" fontId="0" fillId="0" borderId="0" xfId="0" applyAlignment="1">
      <alignment horizontal="center"/>
    </xf>
    <xf numFmtId="167" fontId="0" fillId="0" borderId="0" xfId="1" applyFont="1" applyProtection="1"/>
    <xf numFmtId="0" fontId="49" fillId="0" borderId="0" xfId="0" applyFont="1"/>
    <xf numFmtId="169" fontId="12" fillId="0" borderId="0" xfId="0" applyNumberFormat="1" applyFont="1"/>
    <xf numFmtId="0" fontId="27" fillId="0" borderId="0" xfId="0" applyFont="1" applyAlignment="1">
      <alignment horizontal="center"/>
    </xf>
    <xf numFmtId="0" fontId="27" fillId="0" borderId="0" xfId="0" applyFont="1" applyAlignment="1">
      <alignment vertical="center"/>
    </xf>
    <xf numFmtId="0" fontId="27" fillId="0" borderId="0" xfId="0" applyFont="1" applyAlignment="1">
      <alignment horizontal="center" vertical="center"/>
    </xf>
    <xf numFmtId="0" fontId="50" fillId="0" borderId="0" xfId="0" applyFont="1"/>
    <xf numFmtId="0" fontId="22" fillId="0" borderId="0" xfId="0" applyFont="1"/>
    <xf numFmtId="0" fontId="29" fillId="0" borderId="0" xfId="0" applyFont="1"/>
    <xf numFmtId="0" fontId="22" fillId="0" borderId="0" xfId="0" applyFont="1" applyAlignment="1">
      <alignment vertical="center"/>
    </xf>
    <xf numFmtId="0" fontId="22" fillId="0" borderId="0" xfId="0" applyFont="1" applyAlignment="1">
      <alignment horizontal="center" vertical="center"/>
    </xf>
    <xf numFmtId="167" fontId="22" fillId="0" borderId="0" xfId="1" applyFont="1" applyAlignment="1" applyProtection="1">
      <alignment vertical="center"/>
    </xf>
    <xf numFmtId="0" fontId="16" fillId="0" borderId="0" xfId="0" applyFont="1" applyAlignment="1">
      <alignment vertical="center"/>
    </xf>
    <xf numFmtId="167" fontId="29" fillId="0" borderId="0" xfId="1" applyFont="1" applyAlignment="1" applyProtection="1">
      <alignment vertical="center"/>
    </xf>
    <xf numFmtId="0" fontId="11" fillId="5" borderId="3" xfId="0" applyFont="1" applyFill="1" applyBorder="1" applyAlignment="1">
      <alignment horizontal="left" vertical="center"/>
    </xf>
    <xf numFmtId="0" fontId="58" fillId="0" borderId="0" xfId="0" applyFont="1" applyAlignment="1">
      <alignment vertical="center"/>
    </xf>
    <xf numFmtId="0" fontId="58" fillId="0" borderId="0" xfId="0" applyFont="1"/>
    <xf numFmtId="0" fontId="60" fillId="0" borderId="0" xfId="0" applyFont="1"/>
    <xf numFmtId="0" fontId="59" fillId="0" borderId="0" xfId="0" applyFont="1" applyAlignment="1">
      <alignment vertical="center"/>
    </xf>
    <xf numFmtId="0" fontId="59" fillId="0" borderId="0" xfId="0" applyFont="1"/>
    <xf numFmtId="179" fontId="59" fillId="0" borderId="0" xfId="0" applyNumberFormat="1" applyFont="1"/>
    <xf numFmtId="0" fontId="7" fillId="0" borderId="0" xfId="0" applyFont="1" applyAlignment="1">
      <alignment vertical="center"/>
    </xf>
    <xf numFmtId="0" fontId="7" fillId="0" borderId="0" xfId="0" applyFont="1"/>
    <xf numFmtId="0" fontId="10" fillId="0" borderId="0" xfId="0" applyFont="1" applyAlignment="1">
      <alignment vertical="center"/>
    </xf>
    <xf numFmtId="0" fontId="10" fillId="0" borderId="0" xfId="0" applyFont="1"/>
    <xf numFmtId="0" fontId="51" fillId="0" borderId="0" xfId="0" applyFont="1"/>
    <xf numFmtId="0" fontId="22" fillId="0" borderId="0" xfId="0" applyFont="1" applyAlignment="1">
      <alignment horizontal="left" vertical="center"/>
    </xf>
    <xf numFmtId="0" fontId="7" fillId="0" borderId="0" xfId="0" applyFont="1" applyAlignment="1">
      <alignment horizontal="center" vertical="center"/>
    </xf>
    <xf numFmtId="180" fontId="7" fillId="0" borderId="0" xfId="0" applyNumberFormat="1" applyFont="1" applyAlignment="1">
      <alignment vertical="center"/>
    </xf>
    <xf numFmtId="0" fontId="20" fillId="5" borderId="0" xfId="0" applyFont="1" applyFill="1" applyAlignment="1">
      <alignment vertical="center"/>
    </xf>
    <xf numFmtId="0" fontId="20" fillId="0" borderId="0" xfId="0"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22" fillId="0" borderId="0" xfId="3" applyFont="1" applyAlignment="1">
      <alignment vertical="center"/>
    </xf>
    <xf numFmtId="0" fontId="8" fillId="5" borderId="0" xfId="0" applyFont="1" applyFill="1" applyAlignment="1">
      <alignment horizontal="left" vertical="center"/>
    </xf>
    <xf numFmtId="0" fontId="57" fillId="5" borderId="0" xfId="0" applyFont="1" applyFill="1" applyAlignment="1">
      <alignment horizontal="left" vertical="center"/>
    </xf>
    <xf numFmtId="0" fontId="37" fillId="0" borderId="0" xfId="0" applyFont="1" applyAlignment="1">
      <alignment horizontal="left" vertical="center"/>
    </xf>
    <xf numFmtId="180" fontId="4" fillId="0" borderId="0" xfId="0" applyNumberFormat="1" applyFont="1"/>
    <xf numFmtId="180" fontId="7" fillId="0" borderId="0" xfId="0" applyNumberFormat="1" applyFont="1"/>
    <xf numFmtId="0" fontId="12" fillId="0" borderId="0" xfId="0" applyFont="1" applyAlignment="1">
      <alignment horizontal="center"/>
    </xf>
    <xf numFmtId="167" fontId="15" fillId="0" borderId="0" xfId="1" applyFont="1" applyBorder="1" applyAlignment="1" applyProtection="1">
      <alignment vertical="center"/>
    </xf>
    <xf numFmtId="0" fontId="12" fillId="0" borderId="18" xfId="0" applyFont="1" applyBorder="1"/>
    <xf numFmtId="0" fontId="8" fillId="5" borderId="75" xfId="0" applyFont="1" applyFill="1" applyBorder="1" applyAlignment="1">
      <alignment horizontal="center" vertical="center"/>
    </xf>
    <xf numFmtId="169" fontId="14" fillId="0" borderId="0" xfId="0" applyNumberFormat="1" applyFont="1"/>
    <xf numFmtId="0" fontId="8" fillId="5" borderId="75" xfId="0" applyFont="1" applyFill="1" applyBorder="1"/>
    <xf numFmtId="0" fontId="8" fillId="5" borderId="0" xfId="0" applyFont="1" applyFill="1" applyAlignment="1">
      <alignment horizontal="center" vertical="center"/>
    </xf>
    <xf numFmtId="169" fontId="14" fillId="0" borderId="0" xfId="0" applyNumberFormat="1" applyFont="1" applyAlignment="1">
      <alignment vertical="center"/>
    </xf>
    <xf numFmtId="0" fontId="33" fillId="0" borderId="0" xfId="0" applyFont="1" applyAlignment="1">
      <alignment vertical="center"/>
    </xf>
    <xf numFmtId="0" fontId="33" fillId="0" borderId="0" xfId="0" applyFont="1" applyAlignment="1">
      <alignment horizontal="center" vertical="center"/>
    </xf>
    <xf numFmtId="0" fontId="34" fillId="0" borderId="0" xfId="0" applyFont="1" applyAlignment="1">
      <alignment vertical="center"/>
    </xf>
    <xf numFmtId="0" fontId="34" fillId="0" borderId="0" xfId="0" applyFont="1" applyAlignment="1">
      <alignment horizontal="center" vertical="center"/>
    </xf>
    <xf numFmtId="0" fontId="61" fillId="0" borderId="0" xfId="0" applyFont="1" applyAlignment="1">
      <alignment vertical="center"/>
    </xf>
    <xf numFmtId="0" fontId="61" fillId="0" borderId="0" xfId="0" applyFont="1"/>
    <xf numFmtId="170" fontId="61" fillId="0" borderId="0" xfId="0" applyNumberFormat="1" applyFont="1" applyAlignment="1">
      <alignment horizontal="center"/>
    </xf>
    <xf numFmtId="10" fontId="61" fillId="0" borderId="0" xfId="0" applyNumberFormat="1" applyFont="1" applyAlignment="1">
      <alignment horizontal="center"/>
    </xf>
    <xf numFmtId="49" fontId="61" fillId="0" borderId="0" xfId="0" applyNumberFormat="1" applyFont="1" applyAlignment="1">
      <alignment horizontal="center"/>
    </xf>
    <xf numFmtId="0" fontId="6" fillId="0" borderId="43" xfId="0" applyFont="1" applyBorder="1" applyAlignment="1">
      <alignment horizontal="center" vertical="center"/>
    </xf>
    <xf numFmtId="0" fontId="15" fillId="0" borderId="9" xfId="0" applyFont="1" applyBorder="1" applyAlignment="1">
      <alignment horizontal="center" vertical="center"/>
    </xf>
    <xf numFmtId="0" fontId="6" fillId="0" borderId="8" xfId="0" applyFont="1" applyBorder="1" applyAlignment="1">
      <alignment horizontal="right" vertical="center"/>
    </xf>
    <xf numFmtId="0" fontId="6" fillId="0" borderId="8" xfId="0" applyFont="1" applyBorder="1"/>
    <xf numFmtId="0" fontId="6" fillId="0" borderId="31" xfId="0" applyFont="1" applyBorder="1" applyAlignment="1">
      <alignment vertical="center"/>
    </xf>
    <xf numFmtId="0" fontId="6" fillId="0" borderId="43" xfId="0" applyFont="1" applyBorder="1" applyAlignment="1">
      <alignment vertical="center"/>
    </xf>
    <xf numFmtId="43" fontId="18" fillId="0" borderId="33" xfId="0" applyNumberFormat="1" applyFont="1" applyBorder="1" applyAlignment="1">
      <alignment horizontal="center" vertical="center"/>
    </xf>
    <xf numFmtId="0" fontId="6" fillId="0" borderId="0" xfId="0" applyFont="1" applyAlignment="1">
      <alignment horizontal="right" vertical="center"/>
    </xf>
    <xf numFmtId="0" fontId="6" fillId="0" borderId="33" xfId="0" applyFont="1" applyBorder="1" applyAlignment="1">
      <alignment vertical="center"/>
    </xf>
    <xf numFmtId="43" fontId="18" fillId="0" borderId="9" xfId="0" applyNumberFormat="1" applyFont="1" applyBorder="1" applyAlignment="1">
      <alignment horizontal="center" vertical="center"/>
    </xf>
    <xf numFmtId="0" fontId="12" fillId="0" borderId="0" xfId="0" applyFont="1" applyAlignment="1">
      <alignment horizontal="center" vertical="center"/>
    </xf>
    <xf numFmtId="0" fontId="12" fillId="0" borderId="53" xfId="0" applyFont="1" applyBorder="1" applyAlignment="1">
      <alignment vertical="center"/>
    </xf>
    <xf numFmtId="0" fontId="31" fillId="0" borderId="14" xfId="0" applyFont="1" applyBorder="1" applyAlignment="1">
      <alignment vertical="center"/>
    </xf>
    <xf numFmtId="167" fontId="31" fillId="0" borderId="0" xfId="1" applyFont="1" applyAlignment="1" applyProtection="1">
      <alignment vertical="center"/>
    </xf>
    <xf numFmtId="0" fontId="8" fillId="5" borderId="3" xfId="0" applyFont="1" applyFill="1" applyBorder="1" applyAlignment="1">
      <alignment horizontal="left" vertical="center"/>
    </xf>
    <xf numFmtId="0" fontId="36" fillId="5" borderId="3" xfId="0" applyFont="1" applyFill="1" applyBorder="1" applyAlignment="1">
      <alignment vertical="center"/>
    </xf>
    <xf numFmtId="0" fontId="14" fillId="0" borderId="0" xfId="0" applyFont="1" applyAlignment="1">
      <alignment horizontal="center" vertical="center"/>
    </xf>
    <xf numFmtId="0" fontId="14" fillId="0" borderId="9" xfId="0" applyFont="1" applyBorder="1" applyAlignment="1">
      <alignment vertical="center"/>
    </xf>
    <xf numFmtId="0" fontId="37" fillId="0" borderId="0" xfId="0" applyFont="1" applyAlignment="1">
      <alignment vertical="center"/>
    </xf>
    <xf numFmtId="0" fontId="20" fillId="5" borderId="6" xfId="0" applyFont="1" applyFill="1" applyBorder="1" applyAlignment="1">
      <alignment horizontal="left" vertical="center"/>
    </xf>
    <xf numFmtId="0" fontId="38" fillId="5" borderId="6" xfId="0" applyFont="1" applyFill="1" applyBorder="1" applyAlignment="1">
      <alignment vertical="center"/>
    </xf>
    <xf numFmtId="9" fontId="17" fillId="0" borderId="5" xfId="2" applyFont="1" applyBorder="1" applyAlignment="1" applyProtection="1">
      <alignment horizontal="center" vertical="center"/>
    </xf>
    <xf numFmtId="0" fontId="1" fillId="0" borderId="0" xfId="0" applyFont="1"/>
    <xf numFmtId="0" fontId="1" fillId="0" borderId="0" xfId="0" applyFont="1" applyAlignment="1">
      <alignment vertical="center"/>
    </xf>
    <xf numFmtId="9" fontId="32" fillId="0" borderId="5" xfId="2" applyFont="1" applyBorder="1" applyAlignment="1" applyProtection="1">
      <alignment horizontal="center" vertical="center"/>
    </xf>
    <xf numFmtId="0" fontId="17" fillId="0" borderId="0" xfId="0" applyFont="1" applyAlignment="1">
      <alignment horizontal="left" vertical="center"/>
    </xf>
    <xf numFmtId="0" fontId="31" fillId="0" borderId="3" xfId="0" applyFont="1" applyBorder="1" applyAlignment="1">
      <alignment vertical="center"/>
    </xf>
    <xf numFmtId="171" fontId="12" fillId="0" borderId="0" xfId="0" applyNumberFormat="1" applyFont="1" applyAlignment="1">
      <alignment horizontal="left" vertical="center"/>
    </xf>
    <xf numFmtId="0" fontId="20" fillId="5" borderId="6" xfId="0" applyFont="1" applyFill="1" applyBorder="1" applyAlignment="1">
      <alignment vertical="center"/>
    </xf>
    <xf numFmtId="173" fontId="12" fillId="0" borderId="5" xfId="0" applyNumberFormat="1" applyFont="1" applyBorder="1" applyAlignment="1">
      <alignment horizontal="center" vertical="center"/>
    </xf>
    <xf numFmtId="0" fontId="12" fillId="0" borderId="9" xfId="0" applyFont="1" applyBorder="1" applyAlignment="1">
      <alignment vertical="center"/>
    </xf>
    <xf numFmtId="0" fontId="20" fillId="5" borderId="54" xfId="0" applyFont="1" applyFill="1" applyBorder="1" applyAlignment="1">
      <alignment vertical="center"/>
    </xf>
    <xf numFmtId="0" fontId="38" fillId="5" borderId="54" xfId="0" applyFont="1" applyFill="1" applyBorder="1" applyAlignment="1">
      <alignment vertical="center"/>
    </xf>
    <xf numFmtId="173" fontId="12" fillId="0" borderId="7" xfId="0" applyNumberFormat="1" applyFont="1" applyBorder="1" applyAlignment="1">
      <alignment horizontal="center" vertical="center"/>
    </xf>
    <xf numFmtId="0" fontId="20" fillId="5" borderId="54" xfId="0" applyFont="1" applyFill="1" applyBorder="1" applyAlignment="1">
      <alignment horizontal="left" vertical="center"/>
    </xf>
    <xf numFmtId="0" fontId="17" fillId="0" borderId="54" xfId="0" applyFont="1" applyBorder="1" applyAlignment="1">
      <alignment horizontal="left" vertical="center"/>
    </xf>
    <xf numFmtId="0" fontId="31" fillId="0" borderId="54" xfId="0" applyFont="1" applyBorder="1" applyAlignment="1">
      <alignment vertical="center"/>
    </xf>
    <xf numFmtId="0" fontId="14" fillId="0" borderId="10" xfId="0" applyFont="1" applyBorder="1" applyAlignment="1">
      <alignment vertical="center"/>
    </xf>
    <xf numFmtId="9" fontId="14" fillId="0" borderId="7" xfId="0" applyNumberFormat="1" applyFont="1" applyBorder="1" applyAlignment="1">
      <alignment horizontal="center" vertical="center"/>
    </xf>
    <xf numFmtId="0" fontId="12" fillId="0" borderId="5" xfId="0" applyFont="1" applyBorder="1" applyAlignment="1">
      <alignment vertical="center"/>
    </xf>
    <xf numFmtId="0" fontId="14" fillId="0" borderId="5" xfId="0" applyFont="1" applyBorder="1" applyAlignment="1">
      <alignment vertical="center"/>
    </xf>
    <xf numFmtId="180" fontId="0" fillId="0" borderId="0" xfId="0" applyNumberFormat="1"/>
    <xf numFmtId="0" fontId="37" fillId="5" borderId="0" xfId="0" applyFont="1" applyFill="1" applyAlignment="1">
      <alignment vertical="center"/>
    </xf>
    <xf numFmtId="0" fontId="53" fillId="0" borderId="0" xfId="0" applyFont="1" applyAlignment="1">
      <alignment vertical="center"/>
    </xf>
    <xf numFmtId="0" fontId="37" fillId="0" borderId="0" xfId="0" applyFont="1" applyAlignment="1">
      <alignment horizontal="center" vertical="center"/>
    </xf>
    <xf numFmtId="167" fontId="37" fillId="0" borderId="0" xfId="1" applyFont="1" applyBorder="1" applyAlignment="1" applyProtection="1">
      <alignment vertical="center"/>
    </xf>
    <xf numFmtId="174" fontId="37" fillId="0" borderId="0" xfId="0" applyNumberFormat="1" applyFont="1" applyAlignment="1">
      <alignment horizontal="center" vertical="center"/>
    </xf>
    <xf numFmtId="0" fontId="31" fillId="0" borderId="0" xfId="0" applyFont="1" applyAlignment="1">
      <alignment horizontal="center" vertical="center"/>
    </xf>
    <xf numFmtId="0" fontId="41" fillId="0" borderId="0" xfId="0" applyFont="1" applyAlignment="1">
      <alignment vertical="center"/>
    </xf>
    <xf numFmtId="0" fontId="31" fillId="0" borderId="18" xfId="0" applyFont="1" applyBorder="1" applyAlignment="1">
      <alignment vertical="center"/>
    </xf>
    <xf numFmtId="0" fontId="31" fillId="0" borderId="17" xfId="0" applyFont="1" applyBorder="1" applyAlignment="1">
      <alignment vertical="center"/>
    </xf>
    <xf numFmtId="167" fontId="31" fillId="0" borderId="0" xfId="1" applyFont="1" applyProtection="1"/>
    <xf numFmtId="175" fontId="4" fillId="0" borderId="0" xfId="0" applyNumberFormat="1" applyFont="1"/>
    <xf numFmtId="167" fontId="2" fillId="0" borderId="0" xfId="1" applyFont="1" applyProtection="1"/>
    <xf numFmtId="169" fontId="6" fillId="0" borderId="75" xfId="0" applyNumberFormat="1" applyFont="1" applyBorder="1" applyAlignment="1">
      <alignment horizontal="center" vertical="center"/>
    </xf>
    <xf numFmtId="169" fontId="12" fillId="0" borderId="0" xfId="0" applyNumberFormat="1" applyFont="1" applyAlignment="1">
      <alignment vertical="center"/>
    </xf>
    <xf numFmtId="0" fontId="8" fillId="5" borderId="75" xfId="0" applyFont="1" applyFill="1" applyBorder="1" applyAlignment="1">
      <alignment vertical="center"/>
    </xf>
    <xf numFmtId="9" fontId="19" fillId="0" borderId="1" xfId="2" applyFont="1" applyBorder="1" applyAlignment="1" applyProtection="1">
      <alignment horizontal="center" vertical="center"/>
    </xf>
    <xf numFmtId="0" fontId="37" fillId="0" borderId="0" xfId="0" applyFont="1"/>
    <xf numFmtId="9" fontId="18" fillId="0" borderId="1" xfId="2" applyFont="1" applyBorder="1" applyAlignment="1" applyProtection="1">
      <alignment horizontal="center" vertical="center"/>
    </xf>
    <xf numFmtId="173" fontId="6" fillId="0" borderId="1" xfId="0" applyNumberFormat="1" applyFont="1" applyBorder="1" applyAlignment="1">
      <alignment horizontal="center" vertical="center"/>
    </xf>
    <xf numFmtId="0" fontId="15" fillId="0" borderId="1" xfId="0" applyFont="1" applyBorder="1" applyAlignment="1">
      <alignment horizontal="center" vertical="center"/>
    </xf>
    <xf numFmtId="0" fontId="5" fillId="5" borderId="6" xfId="0" applyFont="1" applyFill="1" applyBorder="1" applyAlignment="1">
      <alignment horizontal="left" vertical="center"/>
    </xf>
    <xf numFmtId="0" fontId="39" fillId="0" borderId="0" xfId="0" applyFont="1" applyAlignment="1">
      <alignment vertical="center"/>
    </xf>
    <xf numFmtId="0" fontId="7" fillId="0" borderId="0" xfId="0" applyFont="1" applyAlignment="1">
      <alignment horizontal="center"/>
    </xf>
    <xf numFmtId="0" fontId="14" fillId="5" borderId="0" xfId="0" applyFont="1" applyFill="1" applyAlignment="1">
      <alignment vertical="center"/>
    </xf>
    <xf numFmtId="180" fontId="14" fillId="0" borderId="0" xfId="0" applyNumberFormat="1" applyFont="1" applyAlignment="1">
      <alignment vertical="center"/>
    </xf>
    <xf numFmtId="171" fontId="15" fillId="0" borderId="0" xfId="0" applyNumberFormat="1" applyFont="1" applyAlignment="1">
      <alignment horizontal="center" vertical="center"/>
    </xf>
    <xf numFmtId="174" fontId="15" fillId="0" borderId="0" xfId="0" applyNumberFormat="1" applyFont="1" applyAlignment="1">
      <alignment horizontal="center" vertical="center"/>
    </xf>
    <xf numFmtId="167" fontId="6" fillId="0" borderId="0" xfId="1" applyFont="1" applyAlignment="1" applyProtection="1">
      <alignment vertical="center"/>
    </xf>
    <xf numFmtId="169" fontId="12" fillId="0" borderId="75" xfId="0" applyNumberFormat="1" applyFont="1" applyBorder="1" applyAlignment="1">
      <alignment horizontal="center" vertical="center"/>
    </xf>
    <xf numFmtId="0" fontId="8" fillId="5" borderId="76" xfId="0" applyFont="1" applyFill="1" applyBorder="1" applyAlignment="1">
      <alignment vertical="center"/>
    </xf>
    <xf numFmtId="0" fontId="19" fillId="0" borderId="0" xfId="0" applyFont="1" applyAlignment="1">
      <alignment horizontal="center" vertical="center"/>
    </xf>
    <xf numFmtId="0" fontId="62" fillId="0" borderId="0" xfId="0" applyFont="1"/>
    <xf numFmtId="0" fontId="63" fillId="0" borderId="0" xfId="0" applyFont="1" applyAlignment="1">
      <alignment vertical="center"/>
    </xf>
    <xf numFmtId="0" fontId="13" fillId="0" borderId="0" xfId="0" applyFont="1"/>
    <xf numFmtId="170" fontId="13" fillId="0" borderId="0" xfId="0" applyNumberFormat="1" applyFont="1" applyAlignment="1">
      <alignment horizontal="center"/>
    </xf>
    <xf numFmtId="10" fontId="13" fillId="0" borderId="0" xfId="0" applyNumberFormat="1" applyFont="1" applyAlignment="1">
      <alignment horizontal="center"/>
    </xf>
    <xf numFmtId="49" fontId="13" fillId="0" borderId="0" xfId="0" applyNumberFormat="1" applyFont="1" applyAlignment="1">
      <alignment horizontal="center"/>
    </xf>
    <xf numFmtId="171" fontId="32" fillId="0" borderId="1" xfId="0" applyNumberFormat="1" applyFont="1" applyBorder="1" applyAlignment="1">
      <alignment horizontal="center" vertical="center"/>
    </xf>
    <xf numFmtId="0" fontId="64" fillId="0" borderId="0" xfId="0" applyFont="1"/>
    <xf numFmtId="0" fontId="5" fillId="0" borderId="54" xfId="0" applyFont="1" applyBorder="1" applyAlignment="1">
      <alignment horizontal="left" vertical="center"/>
    </xf>
    <xf numFmtId="0" fontId="5" fillId="0" borderId="54" xfId="0" applyFont="1" applyBorder="1" applyAlignment="1">
      <alignment vertical="center"/>
    </xf>
    <xf numFmtId="171" fontId="18" fillId="0" borderId="0" xfId="0" applyNumberFormat="1" applyFont="1" applyAlignment="1">
      <alignment horizontal="left" vertical="center"/>
    </xf>
    <xf numFmtId="0" fontId="5" fillId="5" borderId="0" xfId="0" applyFont="1" applyFill="1" applyAlignment="1">
      <alignment horizontal="left" vertical="center"/>
    </xf>
    <xf numFmtId="0" fontId="18" fillId="0" borderId="0" xfId="0" applyFont="1" applyAlignment="1">
      <alignment vertical="center"/>
    </xf>
    <xf numFmtId="0" fontId="47" fillId="0" borderId="0" xfId="3" applyFont="1" applyAlignment="1">
      <alignment vertical="center"/>
    </xf>
    <xf numFmtId="0" fontId="59" fillId="0" borderId="0" xfId="0" applyFont="1" applyAlignment="1">
      <alignment horizontal="center"/>
    </xf>
    <xf numFmtId="0" fontId="15" fillId="5" borderId="0" xfId="0" applyFont="1" applyFill="1" applyAlignment="1">
      <alignment vertical="center"/>
    </xf>
    <xf numFmtId="167" fontId="14" fillId="0" borderId="0" xfId="1" applyFont="1" applyBorder="1" applyAlignment="1" applyProtection="1">
      <alignment vertical="center"/>
    </xf>
    <xf numFmtId="0" fontId="12" fillId="0" borderId="18" xfId="0" applyFont="1" applyBorder="1" applyAlignment="1">
      <alignment vertical="center"/>
    </xf>
    <xf numFmtId="0" fontId="12" fillId="0" borderId="0" xfId="0" applyFont="1" applyAlignment="1">
      <alignment horizontal="left" vertical="center"/>
    </xf>
    <xf numFmtId="167" fontId="12" fillId="0" borderId="0" xfId="1" applyFont="1" applyProtection="1"/>
    <xf numFmtId="172" fontId="11" fillId="0" borderId="16" xfId="1" applyNumberFormat="1" applyFont="1" applyBorder="1" applyAlignment="1" applyProtection="1">
      <alignment horizontal="center" vertical="center"/>
    </xf>
    <xf numFmtId="0" fontId="12" fillId="0" borderId="78" xfId="0" applyFont="1" applyBorder="1"/>
    <xf numFmtId="180" fontId="45" fillId="0" borderId="0" xfId="0" applyNumberFormat="1" applyFont="1"/>
    <xf numFmtId="0" fontId="47" fillId="0" borderId="0" xfId="0" applyFont="1" applyAlignment="1">
      <alignment vertical="center"/>
    </xf>
    <xf numFmtId="0" fontId="2" fillId="0" borderId="0" xfId="0" applyFont="1"/>
    <xf numFmtId="0" fontId="67" fillId="0" borderId="0" xfId="0" applyFont="1"/>
    <xf numFmtId="172" fontId="62" fillId="0" borderId="0" xfId="0" applyNumberFormat="1" applyFont="1" applyAlignment="1">
      <alignment horizontal="center"/>
    </xf>
    <xf numFmtId="172" fontId="19" fillId="0" borderId="0" xfId="1" applyNumberFormat="1" applyFont="1" applyBorder="1" applyAlignment="1" applyProtection="1">
      <alignment horizontal="center" vertical="center"/>
    </xf>
    <xf numFmtId="0" fontId="4" fillId="0" borderId="0" xfId="0" applyFont="1"/>
    <xf numFmtId="0" fontId="11" fillId="0" borderId="0" xfId="0" applyFont="1" applyAlignment="1">
      <alignment vertical="center"/>
    </xf>
    <xf numFmtId="0" fontId="32" fillId="0" borderId="0" xfId="0" applyFont="1" applyAlignment="1">
      <alignment vertical="center"/>
    </xf>
    <xf numFmtId="9" fontId="6" fillId="0" borderId="1" xfId="0" applyNumberFormat="1" applyFont="1" applyBorder="1" applyAlignment="1">
      <alignment horizontal="center" vertical="center"/>
    </xf>
    <xf numFmtId="171" fontId="19" fillId="0" borderId="0" xfId="0" applyNumberFormat="1" applyFont="1" applyAlignment="1">
      <alignment vertical="center"/>
    </xf>
    <xf numFmtId="167" fontId="37" fillId="0" borderId="0" xfId="1" applyFont="1" applyFill="1" applyBorder="1" applyAlignment="1" applyProtection="1">
      <alignment vertical="center"/>
    </xf>
    <xf numFmtId="0" fontId="6" fillId="0" borderId="1" xfId="0" applyFont="1" applyBorder="1" applyAlignment="1">
      <alignment horizontal="center" vertical="center"/>
    </xf>
    <xf numFmtId="0" fontId="11" fillId="5" borderId="6" xfId="0" applyFont="1" applyFill="1" applyBorder="1" applyAlignment="1">
      <alignment horizontal="left" vertical="center"/>
    </xf>
    <xf numFmtId="0" fontId="5" fillId="5" borderId="3" xfId="0" applyFont="1" applyFill="1" applyBorder="1" applyAlignment="1">
      <alignment horizontal="left" vertical="center"/>
    </xf>
    <xf numFmtId="0" fontId="6" fillId="0" borderId="0" xfId="0" applyFont="1" applyAlignment="1">
      <alignment horizontal="center" vertical="center"/>
    </xf>
    <xf numFmtId="0" fontId="12" fillId="0" borderId="18" xfId="0" applyFont="1" applyBorder="1" applyAlignment="1">
      <alignment horizontal="center"/>
    </xf>
    <xf numFmtId="0" fontId="6" fillId="0" borderId="22" xfId="0" applyFont="1" applyBorder="1" applyAlignment="1">
      <alignment horizontal="center" vertical="center"/>
    </xf>
    <xf numFmtId="0" fontId="6" fillId="0" borderId="18" xfId="0" applyFont="1" applyBorder="1" applyAlignment="1">
      <alignment vertical="center"/>
    </xf>
    <xf numFmtId="167" fontId="12" fillId="0" borderId="0" xfId="1" applyFont="1" applyAlignment="1" applyProtection="1">
      <alignment vertical="center"/>
    </xf>
    <xf numFmtId="0" fontId="12" fillId="0" borderId="3" xfId="0" applyFont="1" applyBorder="1" applyAlignment="1">
      <alignment vertical="center"/>
    </xf>
    <xf numFmtId="0" fontId="12" fillId="0" borderId="6" xfId="0" applyFont="1" applyBorder="1" applyAlignment="1">
      <alignment vertical="center"/>
    </xf>
    <xf numFmtId="0" fontId="12" fillId="0" borderId="12" xfId="0" applyFont="1" applyBorder="1" applyAlignment="1">
      <alignment vertical="center"/>
    </xf>
    <xf numFmtId="173" fontId="17" fillId="0" borderId="0" xfId="2" applyNumberFormat="1" applyFont="1" applyBorder="1" applyAlignment="1" applyProtection="1">
      <alignment horizontal="center" vertical="center"/>
    </xf>
    <xf numFmtId="176" fontId="17" fillId="7" borderId="0" xfId="3" applyNumberFormat="1" applyFont="1" applyFill="1" applyAlignment="1">
      <alignment horizontal="center" vertical="center"/>
    </xf>
    <xf numFmtId="167" fontId="12" fillId="0" borderId="0" xfId="1" applyFont="1" applyBorder="1" applyAlignment="1" applyProtection="1">
      <alignment vertical="center"/>
    </xf>
    <xf numFmtId="0" fontId="43" fillId="0" borderId="0" xfId="0" applyFont="1" applyAlignment="1">
      <alignment vertical="center"/>
    </xf>
    <xf numFmtId="0" fontId="8" fillId="0" borderId="0" xfId="0" applyFont="1" applyAlignment="1">
      <alignment vertical="center"/>
    </xf>
    <xf numFmtId="0" fontId="14" fillId="0" borderId="2" xfId="0" applyFont="1" applyBorder="1" applyAlignment="1">
      <alignment vertical="center"/>
    </xf>
    <xf numFmtId="43" fontId="14" fillId="0" borderId="0" xfId="0" applyNumberFormat="1" applyFont="1" applyAlignment="1">
      <alignment vertical="center"/>
    </xf>
    <xf numFmtId="0" fontId="14" fillId="0" borderId="0" xfId="0" applyFont="1" applyAlignment="1">
      <alignment horizontal="left" vertical="center"/>
    </xf>
    <xf numFmtId="0" fontId="8" fillId="0" borderId="0" xfId="0" applyFont="1" applyAlignment="1">
      <alignment horizontal="center" vertical="center"/>
    </xf>
    <xf numFmtId="17" fontId="17" fillId="0" borderId="0" xfId="0" applyNumberFormat="1" applyFont="1" applyAlignment="1">
      <alignment vertical="center"/>
    </xf>
    <xf numFmtId="43" fontId="20" fillId="0" borderId="0" xfId="0" applyNumberFormat="1" applyFont="1" applyAlignment="1">
      <alignment vertical="center"/>
    </xf>
    <xf numFmtId="0" fontId="32" fillId="0" borderId="0" xfId="0" applyFont="1" applyAlignment="1">
      <alignment horizontal="center" vertical="center"/>
    </xf>
    <xf numFmtId="17" fontId="17" fillId="0" borderId="0" xfId="0" applyNumberFormat="1" applyFont="1"/>
    <xf numFmtId="43" fontId="12" fillId="0" borderId="0" xfId="0" applyNumberFormat="1" applyFont="1"/>
    <xf numFmtId="43" fontId="20" fillId="0" borderId="0" xfId="0" applyNumberFormat="1" applyFont="1"/>
    <xf numFmtId="0" fontId="20" fillId="0" borderId="0" xfId="0" applyFont="1"/>
    <xf numFmtId="17" fontId="12" fillId="0" borderId="0" xfId="0" applyNumberFormat="1" applyFont="1"/>
    <xf numFmtId="0" fontId="20" fillId="0" borderId="0" xfId="0" applyFont="1" applyAlignment="1">
      <alignment horizontal="center"/>
    </xf>
    <xf numFmtId="0" fontId="54" fillId="0" borderId="29" xfId="0" applyFont="1" applyBorder="1" applyProtection="1">
      <protection locked="0"/>
    </xf>
    <xf numFmtId="0" fontId="54" fillId="0" borderId="0" xfId="0" applyFont="1" applyAlignment="1" applyProtection="1">
      <alignment horizontal="right"/>
      <protection locked="0"/>
    </xf>
    <xf numFmtId="0" fontId="54" fillId="0" borderId="0" xfId="0" applyFont="1" applyProtection="1">
      <protection locked="0"/>
    </xf>
    <xf numFmtId="169" fontId="12" fillId="0" borderId="75" xfId="0" applyNumberFormat="1" applyFont="1" applyBorder="1" applyAlignment="1" applyProtection="1">
      <alignment horizontal="center" vertical="center"/>
      <protection locked="0"/>
    </xf>
    <xf numFmtId="0" fontId="33" fillId="0" borderId="0" xfId="0" applyFont="1" applyAlignment="1" applyProtection="1">
      <alignment vertical="center"/>
      <protection locked="0"/>
    </xf>
    <xf numFmtId="0" fontId="42" fillId="0" borderId="0" xfId="0" applyFont="1" applyAlignment="1" applyProtection="1">
      <alignment horizontal="center" vertical="center"/>
      <protection locked="0"/>
    </xf>
    <xf numFmtId="0" fontId="43" fillId="0" borderId="0" xfId="0" applyFont="1" applyAlignment="1" applyProtection="1">
      <alignment vertical="center"/>
      <protection locked="0"/>
    </xf>
    <xf numFmtId="167" fontId="43" fillId="0" borderId="0" xfId="1" applyFont="1" applyProtection="1">
      <protection locked="0"/>
    </xf>
    <xf numFmtId="0" fontId="38" fillId="0" borderId="0" xfId="0" applyFont="1" applyProtection="1">
      <protection locked="0"/>
    </xf>
    <xf numFmtId="167" fontId="44" fillId="0" borderId="0" xfId="1" applyFont="1" applyProtection="1">
      <protection locked="0"/>
    </xf>
    <xf numFmtId="0" fontId="20" fillId="5" borderId="3" xfId="0" applyFont="1" applyFill="1" applyBorder="1" applyAlignment="1" applyProtection="1">
      <alignment horizontal="left" vertical="center"/>
      <protection locked="0"/>
    </xf>
    <xf numFmtId="0" fontId="20" fillId="5" borderId="3" xfId="0" applyFont="1" applyFill="1" applyBorder="1" applyAlignment="1" applyProtection="1">
      <alignment vertical="center"/>
      <protection locked="0"/>
    </xf>
    <xf numFmtId="0" fontId="20" fillId="5" borderId="6" xfId="0" applyFont="1" applyFill="1" applyBorder="1" applyAlignment="1" applyProtection="1">
      <alignment horizontal="left" vertical="center"/>
      <protection locked="0"/>
    </xf>
    <xf numFmtId="0" fontId="20" fillId="5" borderId="6" xfId="0" applyFont="1" applyFill="1" applyBorder="1" applyAlignment="1" applyProtection="1">
      <alignment vertical="center"/>
      <protection locked="0"/>
    </xf>
    <xf numFmtId="0" fontId="20" fillId="5" borderId="0" xfId="0" applyFont="1" applyFill="1" applyAlignment="1" applyProtection="1">
      <alignment horizontal="left" vertical="center"/>
      <protection locked="0"/>
    </xf>
    <xf numFmtId="0" fontId="20" fillId="5" borderId="0" xfId="0" applyFont="1" applyFill="1" applyAlignment="1" applyProtection="1">
      <alignment vertical="center"/>
      <protection locked="0"/>
    </xf>
    <xf numFmtId="167" fontId="31" fillId="0" borderId="0" xfId="1" applyFont="1" applyProtection="1">
      <protection locked="0"/>
    </xf>
    <xf numFmtId="0" fontId="14" fillId="0" borderId="0" xfId="0" applyFont="1" applyProtection="1">
      <protection locked="0"/>
    </xf>
    <xf numFmtId="0" fontId="8" fillId="5" borderId="7" xfId="0" applyFont="1" applyFill="1" applyBorder="1" applyAlignment="1" applyProtection="1">
      <alignment vertical="center"/>
      <protection locked="0"/>
    </xf>
    <xf numFmtId="0" fontId="8" fillId="5" borderId="8" xfId="0" applyFont="1" applyFill="1" applyBorder="1" applyAlignment="1" applyProtection="1">
      <alignment vertical="center"/>
      <protection locked="0"/>
    </xf>
    <xf numFmtId="180" fontId="31" fillId="0" borderId="0" xfId="0" applyNumberFormat="1" applyFont="1" applyProtection="1">
      <protection locked="0"/>
    </xf>
    <xf numFmtId="0" fontId="43" fillId="0" borderId="0" xfId="0" applyFont="1" applyAlignment="1">
      <alignment horizontal="center" vertical="center"/>
    </xf>
    <xf numFmtId="0" fontId="8" fillId="5" borderId="1" xfId="0" applyFont="1" applyFill="1" applyBorder="1" applyAlignment="1">
      <alignment horizontal="center" vertical="center"/>
    </xf>
    <xf numFmtId="43" fontId="12" fillId="0" borderId="0" xfId="0" applyNumberFormat="1" applyFont="1" applyAlignment="1">
      <alignment horizontal="center" vertical="center"/>
    </xf>
    <xf numFmtId="0" fontId="8" fillId="5" borderId="73" xfId="0" applyFont="1" applyFill="1" applyBorder="1" applyAlignment="1">
      <alignment horizontal="left" vertical="center"/>
    </xf>
    <xf numFmtId="171" fontId="17" fillId="0" borderId="21" xfId="0" applyNumberFormat="1" applyFont="1" applyBorder="1" applyAlignment="1">
      <alignment horizontal="left" vertical="center"/>
    </xf>
    <xf numFmtId="0" fontId="20" fillId="5" borderId="73" xfId="0" applyFont="1" applyFill="1" applyBorder="1" applyAlignment="1">
      <alignment horizontal="left" vertical="center"/>
    </xf>
    <xf numFmtId="0" fontId="8" fillId="0" borderId="0" xfId="0" applyFont="1" applyAlignment="1">
      <alignment horizontal="center"/>
    </xf>
    <xf numFmtId="180" fontId="8" fillId="0" borderId="0" xfId="0" applyNumberFormat="1" applyFont="1" applyAlignment="1">
      <alignment horizontal="center"/>
    </xf>
    <xf numFmtId="0" fontId="8" fillId="0" borderId="0" xfId="0" applyFont="1"/>
    <xf numFmtId="168" fontId="8" fillId="0" borderId="0" xfId="1" applyNumberFormat="1" applyFont="1" applyAlignment="1" applyProtection="1">
      <alignment horizontal="center"/>
    </xf>
    <xf numFmtId="9" fontId="8" fillId="0" borderId="0" xfId="0" applyNumberFormat="1" applyFont="1"/>
    <xf numFmtId="169" fontId="20" fillId="0" borderId="0" xfId="0" applyNumberFormat="1" applyFont="1"/>
    <xf numFmtId="0" fontId="12" fillId="4" borderId="0" xfId="0" applyFont="1" applyFill="1"/>
    <xf numFmtId="170" fontId="12" fillId="0" borderId="0" xfId="0" applyNumberFormat="1" applyFont="1" applyAlignment="1">
      <alignment horizontal="center"/>
    </xf>
    <xf numFmtId="10" fontId="12" fillId="0" borderId="0" xfId="0" applyNumberFormat="1" applyFont="1" applyAlignment="1">
      <alignment horizontal="center"/>
    </xf>
    <xf numFmtId="49" fontId="12" fillId="0" borderId="0" xfId="0" applyNumberFormat="1" applyFont="1" applyAlignment="1">
      <alignment horizontal="center"/>
    </xf>
    <xf numFmtId="169" fontId="12" fillId="0" borderId="75" xfId="0" applyNumberFormat="1" applyFont="1" applyBorder="1" applyAlignment="1">
      <alignment horizontal="center"/>
    </xf>
    <xf numFmtId="0" fontId="14" fillId="0" borderId="19" xfId="0" applyFont="1" applyBorder="1" applyAlignment="1">
      <alignment horizontal="center" vertical="center"/>
    </xf>
    <xf numFmtId="0" fontId="14" fillId="0" borderId="19" xfId="0" applyFont="1" applyBorder="1" applyAlignment="1">
      <alignment horizontal="center"/>
    </xf>
    <xf numFmtId="43" fontId="14" fillId="0" borderId="19" xfId="0" applyNumberFormat="1" applyFont="1" applyBorder="1"/>
    <xf numFmtId="0" fontId="12" fillId="0" borderId="19" xfId="0" applyFont="1" applyBorder="1"/>
    <xf numFmtId="0" fontId="20" fillId="5" borderId="3" xfId="0" applyFont="1" applyFill="1" applyBorder="1" applyAlignment="1">
      <alignment horizontal="left" vertical="center"/>
    </xf>
    <xf numFmtId="0" fontId="8" fillId="5" borderId="3" xfId="0" applyFont="1" applyFill="1" applyBorder="1" applyAlignment="1">
      <alignment vertical="center"/>
    </xf>
    <xf numFmtId="0" fontId="8" fillId="5" borderId="6" xfId="0" applyFont="1" applyFill="1" applyBorder="1" applyAlignment="1">
      <alignment vertical="center"/>
    </xf>
    <xf numFmtId="0" fontId="12" fillId="0" borderId="4" xfId="0" applyFont="1" applyBorder="1" applyAlignment="1">
      <alignment horizontal="center" vertical="center"/>
    </xf>
    <xf numFmtId="0" fontId="12" fillId="0" borderId="8" xfId="0" applyFont="1" applyBorder="1" applyAlignment="1">
      <alignment vertical="center"/>
    </xf>
    <xf numFmtId="0" fontId="20" fillId="5" borderId="3" xfId="0" applyFont="1" applyFill="1" applyBorder="1" applyAlignment="1">
      <alignment vertical="center"/>
    </xf>
    <xf numFmtId="0" fontId="14" fillId="0" borderId="0" xfId="1" applyNumberFormat="1" applyFont="1" applyAlignment="1" applyProtection="1">
      <alignment vertical="center"/>
    </xf>
    <xf numFmtId="0" fontId="14" fillId="0" borderId="0" xfId="1" applyNumberFormat="1" applyFont="1" applyBorder="1" applyAlignment="1" applyProtection="1">
      <alignment vertical="center"/>
    </xf>
    <xf numFmtId="0" fontId="14" fillId="0" borderId="0" xfId="1" applyNumberFormat="1" applyFont="1" applyBorder="1" applyAlignment="1" applyProtection="1">
      <alignment horizontal="right"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2" fillId="0" borderId="6" xfId="0" applyFont="1" applyBorder="1" applyAlignment="1">
      <alignment horizontal="center" vertical="center"/>
    </xf>
    <xf numFmtId="9" fontId="14" fillId="0" borderId="7" xfId="2" applyFont="1" applyBorder="1" applyAlignment="1" applyProtection="1">
      <alignment horizontal="center" vertical="center"/>
    </xf>
    <xf numFmtId="172" fontId="12" fillId="0" borderId="1" xfId="0" applyNumberFormat="1" applyFont="1" applyBorder="1" applyAlignment="1">
      <alignment horizontal="center" vertical="center"/>
    </xf>
    <xf numFmtId="0" fontId="12" fillId="0" borderId="1" xfId="0" applyFont="1" applyBorder="1" applyAlignment="1">
      <alignment vertical="center"/>
    </xf>
    <xf numFmtId="172" fontId="12" fillId="0" borderId="0" xfId="0" applyNumberFormat="1" applyFont="1"/>
    <xf numFmtId="171" fontId="14" fillId="0" borderId="0" xfId="0" applyNumberFormat="1" applyFont="1" applyAlignment="1">
      <alignment horizontal="left" vertical="center"/>
    </xf>
    <xf numFmtId="171" fontId="14" fillId="0" borderId="0" xfId="1" applyNumberFormat="1" applyFont="1" applyAlignment="1" applyProtection="1">
      <alignment vertical="center"/>
    </xf>
    <xf numFmtId="171" fontId="14" fillId="0" borderId="0" xfId="1" applyNumberFormat="1" applyFont="1" applyBorder="1" applyAlignment="1" applyProtection="1">
      <alignment vertical="center"/>
    </xf>
    <xf numFmtId="0" fontId="20" fillId="5" borderId="0" xfId="0" applyFont="1" applyFill="1" applyAlignment="1">
      <alignment horizontal="left" vertical="center"/>
    </xf>
    <xf numFmtId="0" fontId="14" fillId="0" borderId="5" xfId="0" applyFont="1" applyBorder="1" applyAlignment="1">
      <alignment horizontal="center" vertical="center"/>
    </xf>
    <xf numFmtId="171" fontId="14" fillId="0" borderId="0" xfId="0" applyNumberFormat="1" applyFont="1" applyAlignment="1">
      <alignment vertical="center"/>
    </xf>
    <xf numFmtId="173" fontId="14" fillId="0" borderId="5" xfId="2" applyNumberFormat="1" applyFont="1" applyBorder="1" applyAlignment="1" applyProtection="1">
      <alignment horizontal="center" vertical="center"/>
    </xf>
    <xf numFmtId="0" fontId="12" fillId="0" borderId="5" xfId="0" applyFont="1" applyBorder="1" applyAlignment="1">
      <alignment horizontal="center" vertical="center"/>
    </xf>
    <xf numFmtId="171" fontId="12" fillId="0" borderId="11" xfId="0" applyNumberFormat="1" applyFont="1" applyBorder="1" applyAlignment="1">
      <alignment horizontal="left" vertical="center"/>
    </xf>
    <xf numFmtId="171" fontId="12" fillId="0" borderId="44" xfId="0" applyNumberFormat="1" applyFont="1" applyBorder="1" applyAlignment="1">
      <alignment vertical="center"/>
    </xf>
    <xf numFmtId="171" fontId="12" fillId="0" borderId="9" xfId="0" applyNumberFormat="1" applyFont="1" applyBorder="1" applyAlignment="1">
      <alignment vertical="center"/>
    </xf>
    <xf numFmtId="3" fontId="32" fillId="0" borderId="5" xfId="1" applyNumberFormat="1" applyFont="1" applyBorder="1" applyAlignment="1" applyProtection="1">
      <alignment horizontal="center" vertical="center"/>
    </xf>
    <xf numFmtId="17" fontId="14" fillId="0" borderId="0" xfId="0" applyNumberFormat="1" applyFont="1" applyAlignment="1">
      <alignment horizontal="center" vertical="center"/>
    </xf>
    <xf numFmtId="167" fontId="14" fillId="0" borderId="0" xfId="1" applyFont="1" applyAlignment="1" applyProtection="1">
      <alignment vertical="center"/>
    </xf>
    <xf numFmtId="0" fontId="20" fillId="0" borderId="0" xfId="0" applyFont="1" applyAlignment="1">
      <alignment horizontal="left" vertical="center"/>
    </xf>
    <xf numFmtId="167" fontId="12" fillId="0" borderId="0" xfId="1" applyFont="1" applyAlignment="1" applyProtection="1">
      <alignment horizontal="left" vertical="center"/>
    </xf>
    <xf numFmtId="167" fontId="12" fillId="0" borderId="0" xfId="1" applyFont="1" applyAlignment="1" applyProtection="1">
      <alignment horizontal="right" vertical="center"/>
    </xf>
    <xf numFmtId="0" fontId="17" fillId="0" borderId="1" xfId="0" applyFont="1" applyBorder="1" applyAlignment="1">
      <alignment horizontal="center" vertical="center"/>
    </xf>
    <xf numFmtId="176" fontId="17" fillId="7" borderId="1" xfId="3" applyNumberFormat="1" applyFont="1" applyFill="1" applyBorder="1" applyAlignment="1">
      <alignment horizontal="center" vertical="center"/>
    </xf>
    <xf numFmtId="171" fontId="12" fillId="0" borderId="1" xfId="1" applyNumberFormat="1" applyFont="1" applyBorder="1" applyAlignment="1" applyProtection="1">
      <alignment horizontal="center" vertical="center"/>
    </xf>
    <xf numFmtId="43" fontId="12" fillId="6" borderId="13" xfId="0" applyNumberFormat="1" applyFont="1" applyFill="1" applyBorder="1"/>
    <xf numFmtId="0" fontId="17" fillId="0" borderId="0" xfId="3" applyFont="1" applyAlignment="1">
      <alignment vertical="center"/>
    </xf>
    <xf numFmtId="0" fontId="69" fillId="0" borderId="0" xfId="0" applyFont="1" applyAlignment="1">
      <alignment vertical="center"/>
    </xf>
    <xf numFmtId="172" fontId="14" fillId="9" borderId="1" xfId="0" applyNumberFormat="1" applyFont="1" applyFill="1" applyBorder="1" applyAlignment="1">
      <alignment horizontal="center" vertical="center"/>
    </xf>
    <xf numFmtId="172" fontId="14" fillId="0" borderId="0" xfId="0" applyNumberFormat="1" applyFont="1" applyAlignment="1">
      <alignment horizontal="center" vertical="center"/>
    </xf>
    <xf numFmtId="180" fontId="70" fillId="0" borderId="0" xfId="0" applyNumberFormat="1" applyFont="1" applyAlignment="1">
      <alignment vertical="center"/>
    </xf>
    <xf numFmtId="167" fontId="20" fillId="0" borderId="0" xfId="1" applyFont="1" applyAlignment="1" applyProtection="1">
      <alignment horizontal="center"/>
    </xf>
    <xf numFmtId="167" fontId="17" fillId="0" borderId="0" xfId="1" applyFont="1" applyProtection="1"/>
    <xf numFmtId="0" fontId="12" fillId="0" borderId="16" xfId="0" applyFont="1" applyBorder="1" applyAlignment="1">
      <alignment horizontal="center" vertical="center" wrapText="1"/>
    </xf>
    <xf numFmtId="0" fontId="12" fillId="0" borderId="16" xfId="0" applyFont="1" applyBorder="1" applyAlignment="1">
      <alignment horizontal="center"/>
    </xf>
    <xf numFmtId="0" fontId="12" fillId="0" borderId="1" xfId="0" applyFont="1" applyBorder="1" applyAlignment="1">
      <alignment horizontal="center"/>
    </xf>
    <xf numFmtId="170" fontId="12" fillId="0" borderId="16" xfId="0" applyNumberFormat="1" applyFont="1" applyBorder="1" applyAlignment="1">
      <alignment horizontal="right"/>
    </xf>
    <xf numFmtId="178" fontId="71" fillId="0" borderId="0" xfId="3" applyNumberFormat="1" applyFont="1" applyAlignment="1">
      <alignment vertical="top" wrapText="1"/>
    </xf>
    <xf numFmtId="43" fontId="17" fillId="0" borderId="16" xfId="4" applyFont="1" applyBorder="1" applyProtection="1"/>
    <xf numFmtId="167" fontId="12" fillId="0" borderId="16" xfId="1" applyFont="1" applyBorder="1" applyProtection="1"/>
    <xf numFmtId="177" fontId="12" fillId="0" borderId="16" xfId="1" applyNumberFormat="1" applyFont="1" applyBorder="1" applyProtection="1"/>
    <xf numFmtId="173" fontId="12" fillId="0" borderId="16" xfId="2" applyNumberFormat="1" applyFont="1" applyBorder="1" applyAlignment="1" applyProtection="1">
      <alignment horizontal="center"/>
    </xf>
    <xf numFmtId="167" fontId="12" fillId="0" borderId="1" xfId="1" applyFont="1" applyBorder="1" applyProtection="1"/>
    <xf numFmtId="167" fontId="12" fillId="0" borderId="20" xfId="1" applyFont="1" applyBorder="1" applyProtection="1"/>
    <xf numFmtId="10" fontId="12" fillId="0" borderId="20" xfId="2" applyNumberFormat="1" applyFont="1" applyBorder="1" applyAlignment="1" applyProtection="1">
      <alignment horizontal="center"/>
    </xf>
    <xf numFmtId="170" fontId="12" fillId="0" borderId="1" xfId="0" applyNumberFormat="1" applyFont="1" applyBorder="1" applyAlignment="1">
      <alignment horizontal="right"/>
    </xf>
    <xf numFmtId="178" fontId="17" fillId="0" borderId="13" xfId="0" applyNumberFormat="1" applyFont="1" applyBorder="1" applyAlignment="1">
      <alignment vertical="top" wrapText="1"/>
    </xf>
    <xf numFmtId="178" fontId="17" fillId="0" borderId="0" xfId="0" applyNumberFormat="1" applyFont="1" applyAlignment="1">
      <alignment vertical="top" wrapText="1"/>
    </xf>
    <xf numFmtId="177" fontId="12" fillId="0" borderId="1" xfId="1" applyNumberFormat="1" applyFont="1" applyBorder="1" applyProtection="1"/>
    <xf numFmtId="173" fontId="12" fillId="0" borderId="1" xfId="2" applyNumberFormat="1" applyFont="1" applyBorder="1" applyAlignment="1" applyProtection="1">
      <alignment horizontal="center"/>
    </xf>
    <xf numFmtId="167" fontId="12" fillId="0" borderId="15" xfId="1" applyFont="1" applyBorder="1" applyProtection="1"/>
    <xf numFmtId="10" fontId="12" fillId="0" borderId="15" xfId="2" applyNumberFormat="1" applyFont="1" applyBorder="1" applyAlignment="1" applyProtection="1">
      <alignment horizontal="center"/>
    </xf>
    <xf numFmtId="170" fontId="12" fillId="0" borderId="0" xfId="0" applyNumberFormat="1" applyFont="1" applyAlignment="1">
      <alignment horizontal="right"/>
    </xf>
    <xf numFmtId="0" fontId="12" fillId="3" borderId="0" xfId="0" applyFont="1" applyFill="1"/>
    <xf numFmtId="172" fontId="12" fillId="0" borderId="0" xfId="1" applyNumberFormat="1" applyFont="1" applyProtection="1"/>
    <xf numFmtId="172" fontId="20" fillId="0" borderId="16" xfId="1" applyNumberFormat="1" applyFont="1" applyBorder="1" applyAlignment="1" applyProtection="1">
      <alignment horizontal="center" vertical="center"/>
    </xf>
    <xf numFmtId="169" fontId="12" fillId="0" borderId="7" xfId="0" applyNumberFormat="1" applyFont="1" applyBorder="1" applyAlignment="1">
      <alignment horizontal="center"/>
    </xf>
    <xf numFmtId="172" fontId="12" fillId="0" borderId="0" xfId="0" applyNumberFormat="1" applyFont="1" applyAlignment="1">
      <alignment horizontal="center" vertical="center"/>
    </xf>
    <xf numFmtId="179" fontId="12" fillId="0" borderId="0" xfId="0" applyNumberFormat="1" applyFont="1"/>
    <xf numFmtId="172" fontId="12" fillId="0" borderId="22" xfId="0" applyNumberFormat="1" applyFont="1" applyBorder="1" applyAlignment="1">
      <alignment horizontal="center" vertical="center"/>
    </xf>
    <xf numFmtId="0" fontId="12" fillId="0" borderId="9" xfId="0" applyFont="1" applyBorder="1" applyAlignment="1">
      <alignment horizontal="center" vertical="center"/>
    </xf>
    <xf numFmtId="0" fontId="12" fillId="0" borderId="7" xfId="0" applyFont="1" applyBorder="1" applyAlignment="1">
      <alignment vertical="center"/>
    </xf>
    <xf numFmtId="172" fontId="12" fillId="0" borderId="1" xfId="1" applyNumberFormat="1" applyFont="1" applyBorder="1" applyAlignment="1" applyProtection="1">
      <alignment horizontal="center" vertical="center"/>
    </xf>
    <xf numFmtId="172" fontId="14" fillId="9" borderId="1" xfId="1" applyNumberFormat="1" applyFont="1" applyFill="1" applyBorder="1" applyAlignment="1" applyProtection="1">
      <alignment horizontal="center" vertical="center"/>
    </xf>
    <xf numFmtId="172" fontId="12" fillId="0" borderId="0" xfId="1" applyNumberFormat="1" applyFont="1" applyBorder="1" applyAlignment="1" applyProtection="1">
      <alignment horizontal="center" vertical="center"/>
    </xf>
    <xf numFmtId="171" fontId="12" fillId="0" borderId="0" xfId="0" applyNumberFormat="1" applyFont="1" applyAlignment="1">
      <alignment horizontal="center" vertical="center"/>
    </xf>
    <xf numFmtId="166" fontId="12" fillId="0" borderId="0" xfId="5" applyFont="1" applyAlignment="1" applyProtection="1">
      <alignment vertical="center"/>
    </xf>
    <xf numFmtId="9" fontId="12" fillId="0" borderId="0" xfId="0" applyNumberFormat="1" applyFont="1" applyAlignment="1">
      <alignment horizontal="center" vertical="center"/>
    </xf>
    <xf numFmtId="172" fontId="14" fillId="0" borderId="0" xfId="0" applyNumberFormat="1" applyFont="1" applyAlignment="1">
      <alignment vertical="center"/>
    </xf>
    <xf numFmtId="173" fontId="32" fillId="0" borderId="69" xfId="0" applyNumberFormat="1" applyFont="1" applyBorder="1" applyAlignment="1">
      <alignment horizontal="center" vertical="center"/>
    </xf>
    <xf numFmtId="0" fontId="17" fillId="0" borderId="55" xfId="0" applyFont="1" applyBorder="1" applyAlignment="1">
      <alignment vertical="center"/>
    </xf>
    <xf numFmtId="172" fontId="12" fillId="0" borderId="18" xfId="0" applyNumberFormat="1" applyFont="1" applyBorder="1" applyAlignment="1">
      <alignment horizontal="center" vertical="center"/>
    </xf>
    <xf numFmtId="171" fontId="32" fillId="0" borderId="71" xfId="0" applyNumberFormat="1" applyFont="1" applyBorder="1" applyAlignment="1">
      <alignment horizontal="left" vertical="center"/>
    </xf>
    <xf numFmtId="172" fontId="12" fillId="0" borderId="0" xfId="0" applyNumberFormat="1" applyFont="1" applyAlignment="1">
      <alignment vertical="center"/>
    </xf>
    <xf numFmtId="173" fontId="32" fillId="0" borderId="72" xfId="0" applyNumberFormat="1" applyFont="1" applyBorder="1" applyAlignment="1">
      <alignment horizontal="center" vertical="center"/>
    </xf>
    <xf numFmtId="180" fontId="20" fillId="0" borderId="0" xfId="0" applyNumberFormat="1" applyFont="1"/>
    <xf numFmtId="171" fontId="12" fillId="0" borderId="0" xfId="5" applyNumberFormat="1" applyFont="1" applyBorder="1" applyAlignment="1" applyProtection="1">
      <alignment horizontal="center" vertical="center"/>
    </xf>
    <xf numFmtId="173" fontId="12" fillId="0" borderId="1" xfId="0" applyNumberFormat="1" applyFont="1" applyBorder="1" applyAlignment="1">
      <alignment horizontal="center" vertical="center"/>
    </xf>
    <xf numFmtId="0" fontId="12" fillId="0" borderId="62" xfId="0" applyFont="1" applyBorder="1" applyAlignment="1">
      <alignment vertical="center"/>
    </xf>
    <xf numFmtId="0" fontId="12" fillId="0" borderId="63" xfId="0" applyFont="1" applyBorder="1" applyAlignment="1">
      <alignment horizontal="center" vertical="center"/>
    </xf>
    <xf numFmtId="0" fontId="12" fillId="0" borderId="63" xfId="0" applyFont="1" applyBorder="1" applyAlignment="1">
      <alignment vertical="center"/>
    </xf>
    <xf numFmtId="0" fontId="20" fillId="5" borderId="12" xfId="0" applyFont="1" applyFill="1" applyBorder="1" applyAlignment="1">
      <alignment horizontal="left" vertical="center"/>
    </xf>
    <xf numFmtId="0" fontId="8" fillId="5" borderId="34" xfId="0" applyFont="1" applyFill="1" applyBorder="1" applyAlignment="1">
      <alignment vertical="center"/>
    </xf>
    <xf numFmtId="0" fontId="12" fillId="0" borderId="8" xfId="0" applyFont="1" applyBorder="1" applyAlignment="1">
      <alignment horizontal="center" vertical="center"/>
    </xf>
    <xf numFmtId="171" fontId="12" fillId="0" borderId="23" xfId="0" applyNumberFormat="1" applyFont="1" applyBorder="1" applyAlignment="1">
      <alignment horizontal="left" vertical="center"/>
    </xf>
    <xf numFmtId="0" fontId="12" fillId="0" borderId="19" xfId="0" applyFont="1" applyBorder="1" applyAlignment="1">
      <alignment vertical="center"/>
    </xf>
    <xf numFmtId="173" fontId="14" fillId="0" borderId="5" xfId="0" applyNumberFormat="1" applyFont="1" applyBorder="1" applyAlignment="1">
      <alignment horizontal="center" vertical="center"/>
    </xf>
    <xf numFmtId="0" fontId="14" fillId="0" borderId="8" xfId="0" applyFont="1" applyBorder="1" applyAlignment="1">
      <alignment vertical="center"/>
    </xf>
    <xf numFmtId="0" fontId="12" fillId="0" borderId="40" xfId="0" applyFont="1" applyBorder="1" applyAlignment="1">
      <alignment horizontal="center" vertical="center"/>
    </xf>
    <xf numFmtId="0" fontId="14" fillId="0" borderId="40" xfId="0" applyFont="1" applyBorder="1" applyAlignment="1">
      <alignment horizontal="center" vertical="center"/>
    </xf>
    <xf numFmtId="173" fontId="14" fillId="0" borderId="7" xfId="0" applyNumberFormat="1" applyFont="1" applyBorder="1" applyAlignment="1">
      <alignment horizontal="center" vertical="center"/>
    </xf>
    <xf numFmtId="0" fontId="12" fillId="0" borderId="36" xfId="0" applyFont="1" applyBorder="1" applyAlignment="1">
      <alignment vertical="center"/>
    </xf>
    <xf numFmtId="172" fontId="12" fillId="0" borderId="0" xfId="1" applyNumberFormat="1" applyFont="1" applyFill="1" applyBorder="1" applyAlignment="1" applyProtection="1">
      <alignment horizontal="center" vertical="center"/>
    </xf>
    <xf numFmtId="172" fontId="14" fillId="0" borderId="0" xfId="1" applyNumberFormat="1" applyFont="1" applyFill="1" applyBorder="1" applyAlignment="1" applyProtection="1">
      <alignment horizontal="center" vertical="center"/>
    </xf>
    <xf numFmtId="171" fontId="14" fillId="0" borderId="0" xfId="0" applyNumberFormat="1" applyFont="1" applyAlignment="1">
      <alignment horizontal="center" vertical="center"/>
    </xf>
    <xf numFmtId="0" fontId="5" fillId="5" borderId="0" xfId="0" applyFont="1" applyFill="1" applyAlignment="1">
      <alignment horizontal="center"/>
    </xf>
    <xf numFmtId="0" fontId="5" fillId="5" borderId="75" xfId="0" applyFont="1" applyFill="1" applyBorder="1" applyAlignment="1">
      <alignment horizontal="center"/>
    </xf>
    <xf numFmtId="0" fontId="5" fillId="5" borderId="0" xfId="0" applyFont="1" applyFill="1"/>
    <xf numFmtId="0" fontId="0" fillId="0" borderId="1" xfId="0" applyBorder="1"/>
    <xf numFmtId="172" fontId="17" fillId="0" borderId="1" xfId="0" applyNumberFormat="1" applyFont="1" applyBorder="1" applyAlignment="1" applyProtection="1">
      <alignment horizontal="center" vertical="center"/>
      <protection locked="0"/>
    </xf>
    <xf numFmtId="0" fontId="39" fillId="0" borderId="0" xfId="0" applyFont="1"/>
    <xf numFmtId="167" fontId="4" fillId="0" borderId="0" xfId="1" applyFont="1" applyProtection="1"/>
    <xf numFmtId="184" fontId="12" fillId="0" borderId="75" xfId="0" applyNumberFormat="1" applyFont="1" applyBorder="1" applyAlignment="1">
      <alignment horizontal="center" vertical="center"/>
    </xf>
    <xf numFmtId="184" fontId="12" fillId="0" borderId="75" xfId="0" applyNumberFormat="1" applyFont="1" applyBorder="1" applyAlignment="1">
      <alignment horizontal="center"/>
    </xf>
    <xf numFmtId="184" fontId="6" fillId="0" borderId="75" xfId="0" applyNumberFormat="1" applyFont="1" applyBorder="1" applyAlignment="1">
      <alignment horizontal="center"/>
    </xf>
    <xf numFmtId="184" fontId="6" fillId="0" borderId="75" xfId="0" applyNumberFormat="1" applyFont="1" applyBorder="1" applyAlignment="1">
      <alignment horizontal="center" vertical="center"/>
    </xf>
    <xf numFmtId="0" fontId="72" fillId="0" borderId="0" xfId="0" applyFont="1"/>
    <xf numFmtId="0" fontId="20" fillId="5" borderId="12" xfId="0" applyFont="1" applyFill="1" applyBorder="1" applyAlignment="1">
      <alignment vertical="center"/>
    </xf>
    <xf numFmtId="0" fontId="20" fillId="5" borderId="68" xfId="0" applyFont="1" applyFill="1" applyBorder="1" applyAlignment="1">
      <alignment vertical="center"/>
    </xf>
    <xf numFmtId="10" fontId="14" fillId="0" borderId="5" xfId="2" applyNumberFormat="1" applyFont="1" applyBorder="1" applyAlignment="1" applyProtection="1">
      <alignment horizontal="center" vertical="center"/>
    </xf>
    <xf numFmtId="0" fontId="48" fillId="0" borderId="0" xfId="0" applyFont="1" applyAlignment="1">
      <alignment horizontal="center" vertical="center"/>
    </xf>
    <xf numFmtId="173" fontId="17" fillId="0" borderId="5" xfId="0" applyNumberFormat="1" applyFont="1" applyBorder="1" applyAlignment="1">
      <alignment horizontal="center" vertical="center"/>
    </xf>
    <xf numFmtId="184" fontId="17" fillId="0" borderId="0" xfId="0" applyNumberFormat="1" applyFont="1"/>
    <xf numFmtId="0" fontId="42" fillId="0" borderId="0" xfId="0" applyFont="1" applyAlignment="1">
      <alignment horizontal="center" vertical="center"/>
    </xf>
    <xf numFmtId="167" fontId="43" fillId="0" borderId="0" xfId="1" applyFont="1" applyProtection="1"/>
    <xf numFmtId="0" fontId="38" fillId="0" borderId="0" xfId="0" applyFont="1"/>
    <xf numFmtId="167" fontId="44" fillId="0" borderId="0" xfId="1" applyFont="1" applyProtection="1"/>
    <xf numFmtId="184" fontId="31" fillId="0" borderId="0" xfId="0" applyNumberFormat="1" applyFont="1"/>
    <xf numFmtId="0" fontId="43" fillId="0" borderId="0" xfId="0" applyFont="1"/>
    <xf numFmtId="184" fontId="6" fillId="0" borderId="1" xfId="0" applyNumberFormat="1" applyFont="1" applyBorder="1"/>
    <xf numFmtId="172" fontId="17" fillId="0" borderId="1" xfId="0" applyNumberFormat="1" applyFont="1" applyBorder="1" applyAlignment="1">
      <alignment horizontal="center" vertical="center"/>
    </xf>
    <xf numFmtId="180" fontId="31" fillId="0" borderId="0" xfId="0" applyNumberFormat="1" applyFont="1"/>
    <xf numFmtId="0" fontId="45" fillId="0" borderId="0" xfId="0" applyFont="1" applyAlignment="1" applyProtection="1">
      <alignment horizontal="center" vertical="center"/>
      <protection locked="0"/>
    </xf>
    <xf numFmtId="0" fontId="45" fillId="0" borderId="0" xfId="5" applyNumberFormat="1" applyFont="1" applyBorder="1" applyAlignment="1" applyProtection="1">
      <alignment horizontal="center" vertical="center" wrapText="1"/>
      <protection locked="0"/>
    </xf>
    <xf numFmtId="0" fontId="15" fillId="0" borderId="24" xfId="0" applyFont="1" applyBorder="1"/>
    <xf numFmtId="171" fontId="11" fillId="0" borderId="0" xfId="0" applyNumberFormat="1" applyFont="1" applyAlignment="1">
      <alignment horizontal="left" vertical="center"/>
    </xf>
    <xf numFmtId="0" fontId="79" fillId="0" borderId="0" xfId="0" applyFont="1"/>
    <xf numFmtId="0" fontId="80" fillId="0" borderId="0" xfId="0" applyFont="1" applyAlignment="1">
      <alignment horizontal="center"/>
    </xf>
    <xf numFmtId="185" fontId="81" fillId="0" borderId="0" xfId="0" applyNumberFormat="1" applyFont="1"/>
    <xf numFmtId="0" fontId="82" fillId="0" borderId="0" xfId="0" applyFont="1"/>
    <xf numFmtId="0" fontId="83" fillId="0" borderId="0" xfId="0" applyFont="1" applyAlignment="1">
      <alignment horizontal="center"/>
    </xf>
    <xf numFmtId="185" fontId="81" fillId="0" borderId="0" xfId="0" applyNumberFormat="1" applyFont="1" applyAlignment="1">
      <alignment horizontal="center"/>
    </xf>
    <xf numFmtId="186" fontId="83" fillId="0" borderId="0" xfId="0" applyNumberFormat="1" applyFont="1" applyAlignment="1">
      <alignment horizontal="center"/>
    </xf>
    <xf numFmtId="0" fontId="84" fillId="0" borderId="0" xfId="0" applyFont="1" applyAlignment="1">
      <alignment vertical="center"/>
    </xf>
    <xf numFmtId="0" fontId="84" fillId="0" borderId="96" xfId="0" applyFont="1" applyBorder="1"/>
    <xf numFmtId="185" fontId="84" fillId="0" borderId="97" xfId="0" applyNumberFormat="1" applyFont="1" applyBorder="1"/>
    <xf numFmtId="0" fontId="80" fillId="0" borderId="97" xfId="0" applyFont="1" applyBorder="1"/>
    <xf numFmtId="0" fontId="80" fillId="0" borderId="98" xfId="0" applyFont="1" applyBorder="1"/>
    <xf numFmtId="185" fontId="80" fillId="0" borderId="13" xfId="0" applyNumberFormat="1" applyFont="1" applyBorder="1"/>
    <xf numFmtId="9" fontId="80" fillId="0" borderId="13" xfId="0" applyNumberFormat="1" applyFont="1" applyBorder="1" applyAlignment="1">
      <alignment horizontal="center"/>
    </xf>
    <xf numFmtId="0" fontId="80" fillId="0" borderId="13" xfId="0" applyFont="1" applyBorder="1" applyAlignment="1">
      <alignment horizontal="center"/>
    </xf>
    <xf numFmtId="185" fontId="80" fillId="0" borderId="100" xfId="0" applyNumberFormat="1" applyFont="1" applyBorder="1"/>
    <xf numFmtId="0" fontId="80" fillId="0" borderId="99" xfId="0" applyFont="1" applyBorder="1"/>
    <xf numFmtId="0" fontId="84" fillId="0" borderId="13" xfId="0" applyFont="1" applyBorder="1" applyAlignment="1">
      <alignment horizontal="center"/>
    </xf>
    <xf numFmtId="0" fontId="84" fillId="0" borderId="100" xfId="0" applyFont="1" applyBorder="1" applyAlignment="1">
      <alignment horizontal="center"/>
    </xf>
    <xf numFmtId="0" fontId="84" fillId="0" borderId="101" xfId="0" applyFont="1" applyBorder="1"/>
    <xf numFmtId="0" fontId="84" fillId="0" borderId="102" xfId="0" applyFont="1" applyBorder="1" applyAlignment="1">
      <alignment horizontal="center"/>
    </xf>
    <xf numFmtId="9" fontId="84" fillId="0" borderId="102" xfId="0" applyNumberFormat="1" applyFont="1" applyBorder="1" applyAlignment="1">
      <alignment horizontal="center"/>
    </xf>
    <xf numFmtId="185" fontId="84" fillId="0" borderId="102" xfId="0" applyNumberFormat="1" applyFont="1" applyBorder="1"/>
    <xf numFmtId="0" fontId="84" fillId="0" borderId="103" xfId="0" applyFont="1" applyBorder="1"/>
    <xf numFmtId="0" fontId="80" fillId="0" borderId="104" xfId="0" applyFont="1" applyBorder="1"/>
    <xf numFmtId="0" fontId="80" fillId="0" borderId="0" xfId="0" applyFont="1"/>
    <xf numFmtId="0" fontId="80" fillId="0" borderId="105" xfId="0" applyFont="1" applyBorder="1"/>
    <xf numFmtId="0" fontId="80" fillId="0" borderId="106" xfId="0" applyFont="1" applyBorder="1"/>
    <xf numFmtId="0" fontId="80" fillId="0" borderId="107" xfId="0" applyFont="1" applyBorder="1"/>
    <xf numFmtId="0" fontId="80" fillId="0" borderId="108" xfId="0" applyFont="1" applyBorder="1"/>
    <xf numFmtId="0" fontId="1" fillId="3" borderId="0" xfId="0" applyFont="1" applyFill="1" applyAlignment="1">
      <alignment horizontal="center"/>
    </xf>
    <xf numFmtId="0" fontId="85" fillId="0" borderId="1" xfId="0" applyFont="1" applyBorder="1" applyAlignment="1">
      <alignment horizontal="center"/>
    </xf>
    <xf numFmtId="0" fontId="89" fillId="0" borderId="0" xfId="0" applyFont="1"/>
    <xf numFmtId="0" fontId="12" fillId="0" borderId="1" xfId="0" applyFont="1" applyBorder="1"/>
    <xf numFmtId="173" fontId="17" fillId="0" borderId="1" xfId="0" applyNumberFormat="1" applyFont="1" applyBorder="1" applyAlignment="1">
      <alignment horizontal="center" vertical="center"/>
    </xf>
    <xf numFmtId="0" fontId="14" fillId="0" borderId="1" xfId="0" applyFont="1" applyBorder="1"/>
    <xf numFmtId="167" fontId="25" fillId="0" borderId="17" xfId="1" applyFont="1" applyBorder="1" applyAlignment="1"/>
    <xf numFmtId="0" fontId="78" fillId="0" borderId="0" xfId="0" applyFont="1" applyAlignment="1">
      <alignment horizontal="center" vertical="center"/>
    </xf>
    <xf numFmtId="9" fontId="78" fillId="0" borderId="0" xfId="0" applyNumberFormat="1" applyFont="1" applyAlignment="1">
      <alignment horizontal="center" vertical="center"/>
    </xf>
    <xf numFmtId="0" fontId="91" fillId="3" borderId="0" xfId="0" applyFont="1" applyFill="1" applyAlignment="1">
      <alignment vertical="center"/>
    </xf>
    <xf numFmtId="0" fontId="92" fillId="3" borderId="0" xfId="0" applyFont="1" applyFill="1" applyAlignment="1">
      <alignment vertical="center"/>
    </xf>
    <xf numFmtId="173" fontId="12" fillId="0" borderId="5" xfId="2" applyNumberFormat="1" applyFont="1" applyBorder="1" applyAlignment="1" applyProtection="1">
      <alignment horizontal="center" vertical="center"/>
    </xf>
    <xf numFmtId="167" fontId="0" fillId="0" borderId="0" xfId="0" applyNumberFormat="1"/>
    <xf numFmtId="0" fontId="93" fillId="0" borderId="1" xfId="0" applyFont="1" applyBorder="1" applyAlignment="1">
      <alignment horizontal="center"/>
    </xf>
    <xf numFmtId="0" fontId="93" fillId="0" borderId="1" xfId="0" applyFont="1" applyBorder="1"/>
    <xf numFmtId="0" fontId="85" fillId="0" borderId="1" xfId="0" applyFont="1" applyBorder="1"/>
    <xf numFmtId="167" fontId="85" fillId="0" borderId="1" xfId="1" applyFont="1" applyBorder="1" applyAlignment="1"/>
    <xf numFmtId="167" fontId="85" fillId="0" borderId="1" xfId="0" applyNumberFormat="1" applyFont="1" applyBorder="1"/>
    <xf numFmtId="187" fontId="16" fillId="0" borderId="0" xfId="1" applyNumberFormat="1" applyFont="1" applyFill="1"/>
    <xf numFmtId="0" fontId="94" fillId="0" borderId="109" xfId="0" applyFont="1" applyBorder="1" applyAlignment="1">
      <alignment horizontal="center" vertical="center" wrapText="1"/>
    </xf>
    <xf numFmtId="0" fontId="94" fillId="0" borderId="110" xfId="0" applyFont="1" applyBorder="1" applyAlignment="1">
      <alignment horizontal="center" vertical="center" wrapText="1"/>
    </xf>
    <xf numFmtId="167" fontId="80" fillId="0" borderId="111" xfId="1" applyFont="1" applyBorder="1" applyAlignment="1"/>
    <xf numFmtId="167" fontId="80" fillId="0" borderId="0" xfId="1" applyFont="1" applyAlignment="1">
      <alignment horizontal="center"/>
    </xf>
    <xf numFmtId="180" fontId="20" fillId="0" borderId="0" xfId="0" applyNumberFormat="1" applyFont="1" applyAlignment="1">
      <alignment vertical="center"/>
    </xf>
    <xf numFmtId="0" fontId="84" fillId="0" borderId="97" xfId="0" applyFont="1" applyBorder="1"/>
    <xf numFmtId="0" fontId="80" fillId="0" borderId="112" xfId="0" applyFont="1" applyBorder="1"/>
    <xf numFmtId="0" fontId="84" fillId="0" borderId="113" xfId="0" applyFont="1" applyBorder="1"/>
    <xf numFmtId="0" fontId="80" fillId="3" borderId="112" xfId="0" applyFont="1" applyFill="1" applyBorder="1"/>
    <xf numFmtId="0" fontId="84" fillId="3" borderId="113" xfId="0" applyFont="1" applyFill="1" applyBorder="1"/>
    <xf numFmtId="0" fontId="95" fillId="3" borderId="112" xfId="0" applyFont="1" applyFill="1" applyBorder="1"/>
    <xf numFmtId="167" fontId="20" fillId="0" borderId="0" xfId="1" applyFont="1" applyAlignment="1" applyProtection="1">
      <alignment horizontal="center" vertical="center"/>
    </xf>
    <xf numFmtId="173" fontId="20" fillId="0" borderId="5" xfId="0" applyNumberFormat="1" applyFont="1" applyBorder="1" applyAlignment="1">
      <alignment horizontal="center" vertical="center"/>
    </xf>
    <xf numFmtId="0" fontId="11" fillId="0" borderId="0" xfId="0" quotePrefix="1" applyFont="1" applyAlignment="1">
      <alignment horizontal="center" vertical="center"/>
    </xf>
    <xf numFmtId="173" fontId="11" fillId="0" borderId="1" xfId="0" applyNumberFormat="1" applyFont="1" applyBorder="1" applyAlignment="1">
      <alignment horizontal="center" vertical="center"/>
    </xf>
    <xf numFmtId="0" fontId="7" fillId="0" borderId="1" xfId="0" applyFont="1" applyBorder="1"/>
    <xf numFmtId="0" fontId="10" fillId="0" borderId="1" xfId="0" applyFont="1" applyBorder="1"/>
    <xf numFmtId="0" fontId="14" fillId="0" borderId="8" xfId="0" applyFont="1" applyBorder="1" applyAlignment="1">
      <alignment horizontal="left" vertical="center"/>
    </xf>
    <xf numFmtId="0" fontId="14" fillId="0" borderId="9" xfId="0" applyFont="1" applyBorder="1" applyAlignment="1">
      <alignment horizontal="left" vertical="center"/>
    </xf>
    <xf numFmtId="0" fontId="96" fillId="0" borderId="0" xfId="0" applyFont="1" applyAlignment="1">
      <alignment horizontal="center"/>
    </xf>
    <xf numFmtId="167" fontId="83" fillId="0" borderId="0" xfId="1" applyFont="1" applyAlignment="1">
      <alignment horizontal="center"/>
    </xf>
    <xf numFmtId="167" fontId="11" fillId="0" borderId="0" xfId="1" applyFont="1" applyAlignment="1" applyProtection="1">
      <alignment horizontal="center" vertical="center"/>
    </xf>
    <xf numFmtId="0" fontId="97" fillId="0" borderId="0" xfId="0" applyFont="1"/>
    <xf numFmtId="0" fontId="0" fillId="3" borderId="29" xfId="0" applyFill="1" applyBorder="1"/>
    <xf numFmtId="0" fontId="0" fillId="3" borderId="0" xfId="0" applyFill="1"/>
    <xf numFmtId="0" fontId="6" fillId="0" borderId="24" xfId="0" applyFont="1" applyBorder="1" applyAlignment="1">
      <alignment vertical="center"/>
    </xf>
    <xf numFmtId="0" fontId="12" fillId="0" borderId="24" xfId="0" applyFont="1" applyBorder="1" applyAlignment="1">
      <alignment vertical="center"/>
    </xf>
    <xf numFmtId="167" fontId="35" fillId="0" borderId="0" xfId="1" applyFont="1" applyProtection="1"/>
    <xf numFmtId="184" fontId="12" fillId="0" borderId="0" xfId="0" applyNumberFormat="1" applyFont="1"/>
    <xf numFmtId="171" fontId="32" fillId="0" borderId="5" xfId="0" applyNumberFormat="1" applyFont="1" applyBorder="1" applyAlignment="1">
      <alignment vertical="center"/>
    </xf>
    <xf numFmtId="171" fontId="17" fillId="0" borderId="5" xfId="0" applyNumberFormat="1" applyFont="1" applyBorder="1" applyAlignment="1">
      <alignment vertical="center"/>
    </xf>
    <xf numFmtId="184" fontId="14" fillId="0" borderId="0" xfId="0" applyNumberFormat="1" applyFont="1"/>
    <xf numFmtId="0" fontId="32" fillId="0" borderId="0" xfId="0" applyFont="1"/>
    <xf numFmtId="171" fontId="32" fillId="0" borderId="26" xfId="0" applyNumberFormat="1" applyFont="1" applyBorder="1" applyAlignment="1">
      <alignment vertical="center"/>
    </xf>
    <xf numFmtId="184" fontId="12" fillId="0" borderId="1" xfId="0" applyNumberFormat="1" applyFont="1" applyBorder="1" applyAlignment="1">
      <alignment horizontal="center" vertical="center"/>
    </xf>
    <xf numFmtId="171" fontId="12" fillId="0" borderId="19" xfId="0" applyNumberFormat="1" applyFont="1" applyBorder="1" applyAlignment="1">
      <alignment horizontal="left" vertical="center"/>
    </xf>
    <xf numFmtId="184" fontId="14" fillId="0" borderId="1" xfId="0" applyNumberFormat="1" applyFont="1" applyBorder="1" applyAlignment="1">
      <alignment horizontal="center"/>
    </xf>
    <xf numFmtId="184" fontId="12" fillId="0" borderId="1" xfId="0" applyNumberFormat="1" applyFont="1" applyBorder="1" applyAlignment="1">
      <alignment horizontal="center"/>
    </xf>
    <xf numFmtId="173" fontId="12" fillId="0" borderId="45" xfId="0" applyNumberFormat="1" applyFont="1" applyBorder="1" applyAlignment="1">
      <alignment horizontal="center" vertical="center"/>
    </xf>
    <xf numFmtId="0" fontId="12" fillId="0" borderId="24" xfId="0" applyFont="1" applyBorder="1"/>
    <xf numFmtId="184" fontId="12" fillId="0" borderId="1" xfId="0" applyNumberFormat="1" applyFont="1" applyBorder="1"/>
    <xf numFmtId="0" fontId="12" fillId="0" borderId="11" xfId="0" applyFont="1" applyBorder="1" applyAlignment="1">
      <alignment horizontal="center" vertical="center"/>
    </xf>
    <xf numFmtId="171" fontId="12" fillId="0" borderId="44" xfId="0" applyNumberFormat="1" applyFont="1" applyBorder="1" applyAlignment="1">
      <alignment horizontal="left" vertical="center"/>
    </xf>
    <xf numFmtId="171" fontId="12" fillId="0" borderId="8" xfId="0" applyNumberFormat="1" applyFont="1" applyBorder="1" applyAlignment="1">
      <alignment horizontal="left" vertical="center"/>
    </xf>
    <xf numFmtId="0" fontId="14" fillId="0" borderId="26" xfId="0" applyFont="1" applyBorder="1"/>
    <xf numFmtId="173" fontId="14" fillId="0" borderId="82" xfId="0" applyNumberFormat="1" applyFont="1" applyBorder="1" applyAlignment="1">
      <alignment horizontal="center" vertical="center"/>
    </xf>
    <xf numFmtId="171" fontId="32" fillId="0" borderId="82" xfId="0" applyNumberFormat="1" applyFont="1" applyBorder="1" applyAlignment="1">
      <alignment horizontal="center" vertical="center"/>
    </xf>
    <xf numFmtId="9" fontId="12" fillId="0" borderId="82" xfId="0" applyNumberFormat="1" applyFont="1" applyBorder="1" applyAlignment="1">
      <alignment horizontal="center" vertical="center"/>
    </xf>
    <xf numFmtId="0" fontId="17" fillId="0" borderId="82" xfId="0" applyFont="1" applyBorder="1" applyAlignment="1">
      <alignment horizontal="center" vertical="center"/>
    </xf>
    <xf numFmtId="0" fontId="16" fillId="0" borderId="0" xfId="0" applyFont="1"/>
    <xf numFmtId="0" fontId="17" fillId="0" borderId="5" xfId="0" applyFont="1" applyBorder="1" applyAlignment="1">
      <alignment horizontal="center" vertical="center"/>
    </xf>
    <xf numFmtId="173" fontId="17" fillId="0" borderId="5" xfId="2" applyNumberFormat="1" applyFont="1" applyBorder="1" applyAlignment="1" applyProtection="1">
      <alignment horizontal="center" vertical="center"/>
    </xf>
    <xf numFmtId="171" fontId="12" fillId="0" borderId="5" xfId="1" applyNumberFormat="1" applyFont="1" applyBorder="1" applyAlignment="1" applyProtection="1">
      <alignment horizontal="center" vertical="center"/>
    </xf>
    <xf numFmtId="0" fontId="12" fillId="0" borderId="0" xfId="0" applyFont="1" applyAlignment="1">
      <alignment horizontal="right"/>
    </xf>
    <xf numFmtId="0" fontId="17" fillId="0" borderId="0" xfId="3" applyFont="1"/>
    <xf numFmtId="0" fontId="69" fillId="0" borderId="0" xfId="3" applyFont="1"/>
    <xf numFmtId="0" fontId="41" fillId="0" borderId="0" xfId="0" applyFont="1"/>
    <xf numFmtId="184" fontId="12" fillId="0" borderId="0" xfId="0" applyNumberFormat="1" applyFont="1" applyAlignment="1">
      <alignment horizontal="center"/>
    </xf>
    <xf numFmtId="0" fontId="98" fillId="0" borderId="0" xfId="0" applyFont="1" applyAlignment="1">
      <alignment vertical="center"/>
    </xf>
    <xf numFmtId="167" fontId="12" fillId="0" borderId="0" xfId="1" applyFont="1" applyBorder="1" applyAlignment="1" applyProtection="1"/>
    <xf numFmtId="0" fontId="12" fillId="0" borderId="17" xfId="0" applyFont="1" applyBorder="1"/>
    <xf numFmtId="169" fontId="12" fillId="0" borderId="0" xfId="0" applyNumberFormat="1" applyFont="1" applyAlignment="1">
      <alignment horizontal="center" vertical="center"/>
    </xf>
    <xf numFmtId="169" fontId="14" fillId="0" borderId="0" xfId="0" applyNumberFormat="1" applyFont="1" applyAlignment="1">
      <alignment horizontal="center" vertical="center"/>
    </xf>
    <xf numFmtId="0" fontId="99" fillId="0" borderId="0" xfId="0" applyFont="1" applyAlignment="1">
      <alignment vertical="center"/>
    </xf>
    <xf numFmtId="171" fontId="17" fillId="0" borderId="7" xfId="0" applyNumberFormat="1" applyFont="1" applyBorder="1" applyAlignment="1">
      <alignment horizontal="left" vertical="center"/>
    </xf>
    <xf numFmtId="171" fontId="17" fillId="0" borderId="8" xfId="0" applyNumberFormat="1" applyFont="1" applyBorder="1" applyAlignment="1">
      <alignment horizontal="left" vertical="center"/>
    </xf>
    <xf numFmtId="171" fontId="17" fillId="0" borderId="9" xfId="0" applyNumberFormat="1" applyFont="1" applyBorder="1" applyAlignment="1">
      <alignment horizontal="left" vertical="center"/>
    </xf>
    <xf numFmtId="10" fontId="12" fillId="0" borderId="5" xfId="0" applyNumberFormat="1" applyFont="1" applyBorder="1" applyAlignment="1" applyProtection="1">
      <alignment horizontal="center" vertical="center"/>
      <protection locked="0"/>
    </xf>
    <xf numFmtId="0" fontId="100" fillId="0" borderId="0" xfId="0" applyFont="1" applyAlignment="1">
      <alignment horizontal="center" vertical="center"/>
    </xf>
    <xf numFmtId="0" fontId="101" fillId="0" borderId="0" xfId="0" applyFont="1"/>
    <xf numFmtId="0" fontId="102" fillId="0" borderId="0" xfId="0" applyFont="1"/>
    <xf numFmtId="0" fontId="34" fillId="0" borderId="0" xfId="0" applyFont="1"/>
    <xf numFmtId="0" fontId="9" fillId="0" borderId="0" xfId="0" applyFont="1" applyAlignment="1">
      <alignment horizontal="center" vertical="center"/>
    </xf>
    <xf numFmtId="0" fontId="103" fillId="0" borderId="0" xfId="0" applyFont="1" applyAlignment="1">
      <alignment vertical="center"/>
    </xf>
    <xf numFmtId="0" fontId="104" fillId="0" borderId="0" xfId="0" applyFont="1" applyAlignment="1">
      <alignment horizontal="center" vertical="center"/>
    </xf>
    <xf numFmtId="0" fontId="103" fillId="0" borderId="0" xfId="0" applyFont="1"/>
    <xf numFmtId="0" fontId="103" fillId="4" borderId="0" xfId="0" applyFont="1" applyFill="1"/>
    <xf numFmtId="170" fontId="103" fillId="0" borderId="0" xfId="0" applyNumberFormat="1" applyFont="1" applyAlignment="1">
      <alignment horizontal="center"/>
    </xf>
    <xf numFmtId="10" fontId="103" fillId="0" borderId="0" xfId="0" applyNumberFormat="1" applyFont="1" applyAlignment="1">
      <alignment horizontal="center"/>
    </xf>
    <xf numFmtId="49" fontId="103" fillId="0" borderId="0" xfId="0" applyNumberFormat="1" applyFont="1" applyAlignment="1">
      <alignment horizontal="center"/>
    </xf>
    <xf numFmtId="0" fontId="20" fillId="5" borderId="6" xfId="0" applyFont="1" applyFill="1" applyBorder="1" applyAlignment="1" applyProtection="1">
      <alignment horizontal="right" vertical="center"/>
      <protection locked="0"/>
    </xf>
    <xf numFmtId="0" fontId="12" fillId="0" borderId="0" xfId="0" applyFont="1" applyAlignment="1" applyProtection="1">
      <alignment horizontal="center"/>
      <protection locked="0"/>
    </xf>
    <xf numFmtId="170" fontId="12" fillId="0" borderId="0" xfId="0" applyNumberFormat="1" applyFont="1" applyAlignment="1" applyProtection="1">
      <alignment horizontal="center"/>
      <protection locked="0"/>
    </xf>
    <xf numFmtId="10" fontId="12" fillId="0" borderId="0" xfId="0" applyNumberFormat="1" applyFont="1" applyAlignment="1" applyProtection="1">
      <alignment horizontal="center"/>
      <protection locked="0"/>
    </xf>
    <xf numFmtId="49" fontId="12" fillId="0" borderId="0" xfId="0" applyNumberFormat="1" applyFont="1" applyAlignment="1" applyProtection="1">
      <alignment horizontal="center"/>
      <protection locked="0"/>
    </xf>
    <xf numFmtId="0" fontId="12" fillId="0" borderId="62" xfId="0" applyFont="1" applyBorder="1" applyAlignment="1" applyProtection="1">
      <alignment vertical="center"/>
      <protection locked="0"/>
    </xf>
    <xf numFmtId="0" fontId="12" fillId="0" borderId="74" xfId="0" applyFont="1" applyBorder="1" applyAlignment="1" applyProtection="1">
      <alignment vertical="center"/>
      <protection locked="0"/>
    </xf>
    <xf numFmtId="0" fontId="12" fillId="0" borderId="63" xfId="0" applyFont="1" applyBorder="1" applyAlignment="1" applyProtection="1">
      <alignment vertical="center"/>
      <protection locked="0"/>
    </xf>
    <xf numFmtId="167" fontId="12" fillId="0" borderId="0" xfId="1" applyFont="1" applyProtection="1">
      <protection locked="0"/>
    </xf>
    <xf numFmtId="0" fontId="8" fillId="5" borderId="3" xfId="0" applyFont="1" applyFill="1" applyBorder="1" applyAlignment="1" applyProtection="1">
      <alignment horizontal="left" vertical="center"/>
      <protection locked="0"/>
    </xf>
    <xf numFmtId="0" fontId="8" fillId="5" borderId="3" xfId="0" applyFont="1" applyFill="1" applyBorder="1" applyAlignment="1" applyProtection="1">
      <alignment vertical="center"/>
      <protection locked="0"/>
    </xf>
    <xf numFmtId="171" fontId="32" fillId="0" borderId="5" xfId="0" applyNumberFormat="1" applyFont="1" applyBorder="1" applyAlignment="1" applyProtection="1">
      <alignment vertical="center"/>
      <protection locked="0"/>
    </xf>
    <xf numFmtId="0" fontId="8" fillId="5" borderId="8" xfId="0" applyFont="1" applyFill="1" applyBorder="1" applyProtection="1">
      <protection locked="0"/>
    </xf>
    <xf numFmtId="0" fontId="8" fillId="5" borderId="9" xfId="0" applyFont="1" applyFill="1" applyBorder="1" applyProtection="1">
      <protection locked="0"/>
    </xf>
    <xf numFmtId="171" fontId="17" fillId="0" borderId="5" xfId="0" applyNumberFormat="1" applyFont="1" applyBorder="1" applyAlignment="1" applyProtection="1">
      <alignment vertical="center"/>
      <protection locked="0"/>
    </xf>
    <xf numFmtId="172" fontId="12" fillId="0" borderId="1" xfId="0" applyNumberFormat="1"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0" fontId="12" fillId="0" borderId="24" xfId="0" applyFont="1" applyBorder="1" applyAlignment="1" applyProtection="1">
      <alignment horizontal="center" vertical="center"/>
      <protection locked="0"/>
    </xf>
    <xf numFmtId="0" fontId="12" fillId="0" borderId="32" xfId="0" applyFont="1" applyBorder="1" applyProtection="1">
      <protection locked="0"/>
    </xf>
    <xf numFmtId="0" fontId="12" fillId="0" borderId="31" xfId="0" applyFont="1" applyBorder="1" applyProtection="1">
      <protection locked="0"/>
    </xf>
    <xf numFmtId="0" fontId="12" fillId="0" borderId="33" xfId="0" applyFont="1" applyBorder="1" applyProtection="1">
      <protection locked="0"/>
    </xf>
    <xf numFmtId="0" fontId="8" fillId="5" borderId="0" xfId="0" applyFont="1" applyFill="1" applyAlignment="1" applyProtection="1">
      <alignment horizontal="left" vertical="center"/>
      <protection locked="0"/>
    </xf>
    <xf numFmtId="0" fontId="8" fillId="5" borderId="0" xfId="0" applyFont="1" applyFill="1" applyAlignment="1" applyProtection="1">
      <alignment vertical="center"/>
      <protection locked="0"/>
    </xf>
    <xf numFmtId="171" fontId="32" fillId="0" borderId="26" xfId="0" applyNumberFormat="1" applyFont="1" applyBorder="1" applyAlignment="1" applyProtection="1">
      <alignment vertical="center"/>
      <protection locked="0"/>
    </xf>
    <xf numFmtId="0" fontId="12" fillId="0" borderId="26" xfId="0" applyFont="1" applyBorder="1" applyProtection="1">
      <protection locked="0"/>
    </xf>
    <xf numFmtId="0" fontId="12" fillId="0" borderId="0" xfId="0" applyFont="1" applyAlignment="1" applyProtection="1">
      <alignment horizontal="left"/>
      <protection locked="0"/>
    </xf>
    <xf numFmtId="0" fontId="12" fillId="0" borderId="18" xfId="0" applyFont="1" applyBorder="1" applyProtection="1">
      <protection locked="0"/>
    </xf>
    <xf numFmtId="0" fontId="12" fillId="0" borderId="22" xfId="0" applyFont="1" applyBorder="1" applyProtection="1">
      <protection locked="0"/>
    </xf>
    <xf numFmtId="0" fontId="106" fillId="0" borderId="0" xfId="0" applyFont="1" applyProtection="1">
      <protection locked="0"/>
    </xf>
    <xf numFmtId="0" fontId="17" fillId="0" borderId="0" xfId="0" applyFont="1" applyAlignment="1" applyProtection="1">
      <alignment horizontal="left" vertical="center"/>
      <protection locked="0"/>
    </xf>
    <xf numFmtId="0" fontId="12" fillId="0" borderId="8" xfId="0" applyFont="1" applyBorder="1" applyAlignment="1" applyProtection="1">
      <alignment vertical="center"/>
      <protection locked="0"/>
    </xf>
    <xf numFmtId="171" fontId="12" fillId="0" borderId="19" xfId="0" applyNumberFormat="1" applyFont="1" applyBorder="1" applyAlignment="1" applyProtection="1">
      <alignment horizontal="left" vertical="center"/>
      <protection locked="0"/>
    </xf>
    <xf numFmtId="0" fontId="12" fillId="0" borderId="36" xfId="0" applyFont="1" applyBorder="1" applyAlignment="1" applyProtection="1">
      <alignment vertical="center"/>
      <protection locked="0"/>
    </xf>
    <xf numFmtId="0" fontId="14" fillId="0" borderId="18" xfId="0" applyFont="1" applyBorder="1" applyProtection="1">
      <protection locked="0"/>
    </xf>
    <xf numFmtId="173" fontId="12" fillId="0" borderId="5" xfId="0" applyNumberFormat="1" applyFont="1" applyBorder="1" applyAlignment="1" applyProtection="1">
      <alignment horizontal="center" vertical="center"/>
      <protection locked="0"/>
    </xf>
    <xf numFmtId="0" fontId="14" fillId="0" borderId="26" xfId="0" applyFont="1" applyBorder="1" applyProtection="1">
      <protection locked="0"/>
    </xf>
    <xf numFmtId="0" fontId="14" fillId="0" borderId="0" xfId="0" applyFont="1" applyAlignment="1" applyProtection="1">
      <alignment horizontal="center"/>
      <protection locked="0"/>
    </xf>
    <xf numFmtId="0" fontId="12" fillId="0" borderId="19" xfId="0" applyFont="1" applyBorder="1" applyProtection="1">
      <protection locked="0"/>
    </xf>
    <xf numFmtId="0" fontId="14" fillId="0" borderId="22" xfId="0" applyFont="1" applyBorder="1" applyProtection="1">
      <protection locked="0"/>
    </xf>
    <xf numFmtId="0" fontId="12" fillId="0" borderId="11" xfId="0" applyFont="1" applyBorder="1" applyAlignment="1" applyProtection="1">
      <alignment horizontal="center" vertical="center"/>
      <protection locked="0"/>
    </xf>
    <xf numFmtId="171" fontId="12" fillId="0" borderId="44" xfId="0" applyNumberFormat="1" applyFont="1" applyBorder="1" applyAlignment="1" applyProtection="1">
      <alignment horizontal="left" vertical="center"/>
      <protection locked="0"/>
    </xf>
    <xf numFmtId="171" fontId="12" fillId="0" borderId="8" xfId="0" applyNumberFormat="1" applyFont="1" applyBorder="1" applyAlignment="1" applyProtection="1">
      <alignment horizontal="left" vertical="center"/>
      <protection locked="0"/>
    </xf>
    <xf numFmtId="0" fontId="12" fillId="0" borderId="9" xfId="0" applyFont="1" applyBorder="1" applyAlignment="1" applyProtection="1">
      <alignment vertical="center"/>
      <protection locked="0"/>
    </xf>
    <xf numFmtId="0" fontId="8" fillId="5" borderId="7" xfId="0" applyFont="1" applyFill="1" applyBorder="1" applyAlignment="1" applyProtection="1">
      <alignment horizontal="left"/>
      <protection locked="0"/>
    </xf>
    <xf numFmtId="0" fontId="8" fillId="5" borderId="8" xfId="0" applyFont="1" applyFill="1" applyBorder="1" applyAlignment="1" applyProtection="1">
      <alignment horizontal="left"/>
      <protection locked="0"/>
    </xf>
    <xf numFmtId="0" fontId="8" fillId="5" borderId="8" xfId="0" applyFont="1" applyFill="1" applyBorder="1" applyAlignment="1" applyProtection="1">
      <alignment horizontal="center"/>
      <protection locked="0"/>
    </xf>
    <xf numFmtId="0" fontId="14" fillId="0" borderId="40" xfId="0" applyFont="1" applyBorder="1" applyAlignment="1" applyProtection="1">
      <alignment horizontal="center" vertical="center"/>
      <protection locked="0"/>
    </xf>
    <xf numFmtId="0" fontId="12" fillId="0" borderId="25" xfId="0" applyFont="1" applyBorder="1" applyProtection="1">
      <protection locked="0"/>
    </xf>
    <xf numFmtId="171" fontId="12" fillId="0" borderId="0" xfId="0" applyNumberFormat="1" applyFont="1" applyAlignment="1" applyProtection="1">
      <alignment horizontal="left" vertical="center"/>
      <protection locked="0"/>
    </xf>
    <xf numFmtId="173" fontId="14" fillId="0" borderId="5" xfId="0" applyNumberFormat="1"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171" fontId="17" fillId="0" borderId="7" xfId="0" applyNumberFormat="1" applyFont="1" applyBorder="1" applyAlignment="1" applyProtection="1">
      <alignment horizontal="left" vertical="center"/>
      <protection locked="0"/>
    </xf>
    <xf numFmtId="171" fontId="17" fillId="0" borderId="8" xfId="0" applyNumberFormat="1" applyFont="1" applyBorder="1" applyAlignment="1" applyProtection="1">
      <alignment horizontal="left" vertical="center"/>
      <protection locked="0"/>
    </xf>
    <xf numFmtId="171" fontId="17" fillId="0" borderId="9" xfId="0" applyNumberFormat="1" applyFont="1" applyBorder="1" applyAlignment="1" applyProtection="1">
      <alignment horizontal="left" vertical="center"/>
      <protection locked="0"/>
    </xf>
    <xf numFmtId="0" fontId="14" fillId="0" borderId="35" xfId="0" applyFont="1" applyBorder="1" applyProtection="1">
      <protection locked="0"/>
    </xf>
    <xf numFmtId="0" fontId="14" fillId="0" borderId="19" xfId="0" applyFont="1" applyBorder="1" applyAlignment="1" applyProtection="1">
      <alignment horizontal="center"/>
      <protection locked="0"/>
    </xf>
    <xf numFmtId="0" fontId="12" fillId="0" borderId="8" xfId="0" applyFont="1" applyBorder="1" applyProtection="1">
      <protection locked="0"/>
    </xf>
    <xf numFmtId="0" fontId="12" fillId="0" borderId="36" xfId="0" applyFont="1" applyBorder="1" applyProtection="1">
      <protection locked="0"/>
    </xf>
    <xf numFmtId="0" fontId="14" fillId="0" borderId="5" xfId="0" applyFont="1" applyBorder="1" applyAlignment="1" applyProtection="1">
      <alignment horizontal="center" vertical="center"/>
      <protection locked="0"/>
    </xf>
    <xf numFmtId="0" fontId="14" fillId="0" borderId="0" xfId="0" applyFont="1" applyAlignment="1" applyProtection="1">
      <alignment vertical="center"/>
      <protection locked="0"/>
    </xf>
    <xf numFmtId="173" fontId="14" fillId="0" borderId="82" xfId="0" applyNumberFormat="1" applyFont="1" applyBorder="1" applyAlignment="1" applyProtection="1">
      <alignment horizontal="center" vertical="center"/>
      <protection locked="0"/>
    </xf>
    <xf numFmtId="171" fontId="32" fillId="0" borderId="82" xfId="0" applyNumberFormat="1" applyFont="1" applyBorder="1" applyAlignment="1" applyProtection="1">
      <alignment horizontal="center" vertical="center"/>
      <protection locked="0"/>
    </xf>
    <xf numFmtId="9" fontId="12" fillId="0" borderId="82" xfId="0" applyNumberFormat="1" applyFont="1" applyBorder="1" applyAlignment="1" applyProtection="1">
      <alignment horizontal="center" vertical="center"/>
      <protection locked="0"/>
    </xf>
    <xf numFmtId="0" fontId="17" fillId="0" borderId="82" xfId="0" applyFont="1" applyBorder="1" applyAlignment="1" applyProtection="1">
      <alignment horizontal="center" vertical="center"/>
      <protection locked="0"/>
    </xf>
    <xf numFmtId="0" fontId="12" fillId="0" borderId="0" xfId="0" applyFont="1" applyAlignment="1" applyProtection="1">
      <alignment horizontal="left" vertical="center"/>
      <protection locked="0"/>
    </xf>
    <xf numFmtId="0" fontId="8" fillId="0" borderId="0" xfId="0" applyFont="1" applyAlignment="1" applyProtection="1">
      <alignment vertical="center"/>
      <protection locked="0"/>
    </xf>
    <xf numFmtId="0" fontId="32" fillId="0" borderId="5" xfId="0" applyFont="1" applyBorder="1" applyAlignment="1" applyProtection="1">
      <alignment horizontal="center" vertical="center"/>
      <protection locked="0"/>
    </xf>
    <xf numFmtId="0" fontId="17" fillId="0" borderId="5" xfId="0" applyFont="1" applyBorder="1" applyAlignment="1" applyProtection="1">
      <alignment horizontal="center" vertical="center"/>
      <protection locked="0"/>
    </xf>
    <xf numFmtId="173" fontId="17" fillId="0" borderId="5" xfId="2" applyNumberFormat="1" applyFont="1" applyBorder="1" applyAlignment="1" applyProtection="1">
      <alignment horizontal="center" vertical="center"/>
      <protection locked="0"/>
    </xf>
    <xf numFmtId="171" fontId="12" fillId="0" borderId="5" xfId="1" applyNumberFormat="1" applyFont="1" applyBorder="1" applyAlignment="1" applyProtection="1">
      <alignment horizontal="center" vertical="center"/>
      <protection locked="0"/>
    </xf>
    <xf numFmtId="0" fontId="12" fillId="0" borderId="0" xfId="0" applyFont="1" applyAlignment="1" applyProtection="1">
      <alignment horizontal="right"/>
      <protection locked="0"/>
    </xf>
    <xf numFmtId="0" fontId="17" fillId="0" borderId="0" xfId="3" applyFont="1" applyProtection="1">
      <protection locked="0"/>
    </xf>
    <xf numFmtId="0" fontId="69" fillId="0" borderId="0" xfId="3" applyFont="1" applyProtection="1">
      <protection locked="0"/>
    </xf>
    <xf numFmtId="0" fontId="14" fillId="5" borderId="0" xfId="0" applyFont="1" applyFill="1" applyAlignment="1" applyProtection="1">
      <alignment vertical="center"/>
      <protection locked="0"/>
    </xf>
    <xf numFmtId="0" fontId="41" fillId="0" borderId="0" xfId="0" applyFont="1" applyProtection="1">
      <protection locked="0"/>
    </xf>
    <xf numFmtId="0" fontId="69" fillId="0" borderId="0" xfId="0" applyFont="1" applyAlignment="1" applyProtection="1">
      <alignment vertical="center"/>
      <protection locked="0"/>
    </xf>
    <xf numFmtId="0" fontId="39" fillId="0" borderId="0" xfId="0" applyFont="1" applyAlignment="1" applyProtection="1">
      <alignment vertical="center"/>
      <protection locked="0"/>
    </xf>
    <xf numFmtId="0" fontId="98" fillId="0" borderId="0" xfId="0" applyFont="1" applyAlignment="1" applyProtection="1">
      <alignment vertical="center"/>
      <protection locked="0"/>
    </xf>
    <xf numFmtId="0" fontId="12" fillId="0" borderId="17" xfId="0" applyFont="1" applyBorder="1" applyProtection="1">
      <protection locked="0"/>
    </xf>
    <xf numFmtId="0" fontId="12" fillId="0" borderId="18" xfId="0" applyFont="1" applyBorder="1" applyAlignment="1" applyProtection="1">
      <alignment horizontal="center"/>
      <protection locked="0"/>
    </xf>
    <xf numFmtId="167" fontId="12" fillId="0" borderId="0" xfId="1" applyFont="1" applyBorder="1" applyAlignment="1" applyProtection="1">
      <protection locked="0"/>
    </xf>
    <xf numFmtId="0" fontId="8" fillId="5" borderId="75" xfId="0" applyFont="1" applyFill="1" applyBorder="1" applyAlignment="1" applyProtection="1">
      <alignment vertical="center"/>
      <protection locked="0"/>
    </xf>
    <xf numFmtId="184" fontId="12" fillId="0" borderId="75" xfId="0" applyNumberFormat="1" applyFont="1" applyBorder="1" applyAlignment="1" applyProtection="1">
      <alignment horizontal="center" vertical="center"/>
      <protection locked="0"/>
    </xf>
    <xf numFmtId="169" fontId="12" fillId="0" borderId="0" xfId="0" applyNumberFormat="1" applyFont="1" applyAlignment="1" applyProtection="1">
      <alignment horizontal="center" vertical="center"/>
      <protection locked="0"/>
    </xf>
    <xf numFmtId="169" fontId="14" fillId="0" borderId="0" xfId="0" applyNumberFormat="1" applyFont="1" applyAlignment="1" applyProtection="1">
      <alignment horizontal="center" vertical="center"/>
      <protection locked="0"/>
    </xf>
    <xf numFmtId="0" fontId="8" fillId="5" borderId="75" xfId="0" applyFont="1" applyFill="1" applyBorder="1" applyAlignment="1" applyProtection="1">
      <alignment horizontal="center" vertical="center"/>
      <protection locked="0"/>
    </xf>
    <xf numFmtId="169" fontId="12" fillId="0" borderId="0" xfId="0" applyNumberFormat="1" applyFont="1" applyAlignment="1" applyProtection="1">
      <alignment vertical="center"/>
      <protection locked="0"/>
    </xf>
    <xf numFmtId="0" fontId="8" fillId="2" borderId="0" xfId="0" applyFont="1" applyFill="1" applyAlignment="1">
      <alignment vertical="center"/>
    </xf>
    <xf numFmtId="0" fontId="8" fillId="5" borderId="5" xfId="0" applyFont="1" applyFill="1" applyBorder="1" applyAlignment="1">
      <alignment horizontal="center" vertical="center"/>
    </xf>
    <xf numFmtId="0" fontId="17" fillId="0" borderId="40" xfId="0" applyFont="1" applyBorder="1" applyAlignment="1">
      <alignment horizontal="center" vertical="center"/>
    </xf>
    <xf numFmtId="171" fontId="12" fillId="0" borderId="40" xfId="1" applyNumberFormat="1" applyFont="1" applyBorder="1" applyAlignment="1" applyProtection="1">
      <alignment horizontal="center" vertical="center"/>
    </xf>
    <xf numFmtId="167" fontId="107" fillId="0" borderId="116" xfId="1" applyFont="1" applyFill="1" applyBorder="1" applyAlignment="1">
      <alignment horizontal="center" vertical="center" wrapText="1"/>
    </xf>
    <xf numFmtId="0" fontId="107" fillId="0" borderId="117" xfId="0" applyFont="1" applyBorder="1" applyAlignment="1">
      <alignment horizontal="center" vertical="center"/>
    </xf>
    <xf numFmtId="167" fontId="109" fillId="0" borderId="1" xfId="1" applyFont="1" applyBorder="1" applyAlignment="1"/>
    <xf numFmtId="167" fontId="110" fillId="0" borderId="1" xfId="0" applyNumberFormat="1" applyFont="1" applyBorder="1" applyAlignment="1">
      <alignment horizontal="center"/>
    </xf>
    <xf numFmtId="167" fontId="111" fillId="0" borderId="0" xfId="1" applyFont="1" applyAlignment="1">
      <alignment horizontal="center"/>
    </xf>
    <xf numFmtId="0" fontId="93" fillId="0" borderId="111" xfId="0" applyFont="1" applyBorder="1"/>
    <xf numFmtId="167" fontId="85" fillId="0" borderId="111" xfId="0" applyNumberFormat="1" applyFont="1" applyBorder="1"/>
    <xf numFmtId="0" fontId="85" fillId="0" borderId="111" xfId="0" applyFont="1" applyBorder="1" applyAlignment="1">
      <alignment horizontal="center"/>
    </xf>
    <xf numFmtId="0" fontId="93" fillId="0" borderId="111" xfId="0" applyFont="1" applyBorder="1" applyAlignment="1">
      <alignment horizontal="center"/>
    </xf>
    <xf numFmtId="167" fontId="109" fillId="0" borderId="111" xfId="1" applyFont="1" applyBorder="1" applyAlignment="1"/>
    <xf numFmtId="167" fontId="110" fillId="0" borderId="111" xfId="0" applyNumberFormat="1" applyFont="1" applyBorder="1" applyAlignment="1">
      <alignment horizontal="center"/>
    </xf>
    <xf numFmtId="167" fontId="85" fillId="0" borderId="111" xfId="1" applyFont="1" applyBorder="1" applyAlignment="1"/>
    <xf numFmtId="0" fontId="79" fillId="0" borderId="118" xfId="0" applyFont="1" applyBorder="1" applyAlignment="1">
      <alignment horizontal="center" vertical="center"/>
    </xf>
    <xf numFmtId="0" fontId="79" fillId="0" borderId="119" xfId="0" applyFont="1" applyBorder="1" applyAlignment="1">
      <alignment horizontal="center" vertical="center"/>
    </xf>
    <xf numFmtId="0" fontId="84" fillId="0" borderId="119" xfId="0" applyFont="1" applyBorder="1" applyAlignment="1">
      <alignment horizontal="center" vertical="center"/>
    </xf>
    <xf numFmtId="0" fontId="84" fillId="3" borderId="109" xfId="0" applyFont="1" applyFill="1" applyBorder="1" applyAlignment="1">
      <alignment horizontal="center" vertical="center"/>
    </xf>
    <xf numFmtId="0" fontId="84" fillId="0" borderId="119" xfId="0" applyFont="1" applyBorder="1" applyAlignment="1">
      <alignment horizontal="center" vertical="center" wrapText="1"/>
    </xf>
    <xf numFmtId="0" fontId="108" fillId="0" borderId="117" xfId="0" applyFont="1" applyBorder="1" applyAlignment="1">
      <alignment horizontal="center" vertical="center" wrapText="1"/>
    </xf>
    <xf numFmtId="0" fontId="107" fillId="0" borderId="116" xfId="0" applyFont="1" applyBorder="1" applyAlignment="1">
      <alignment horizontal="center" vertical="center" wrapText="1"/>
    </xf>
    <xf numFmtId="10" fontId="80" fillId="0" borderId="0" xfId="2" applyNumberFormat="1" applyFont="1" applyAlignment="1">
      <alignment horizontal="center"/>
    </xf>
    <xf numFmtId="10" fontId="88" fillId="0" borderId="0" xfId="2" applyNumberFormat="1" applyFont="1" applyAlignment="1">
      <alignment horizontal="center"/>
    </xf>
    <xf numFmtId="10" fontId="84" fillId="0" borderId="119" xfId="2" applyNumberFormat="1" applyFont="1" applyBorder="1" applyAlignment="1">
      <alignment horizontal="center" vertical="center"/>
    </xf>
    <xf numFmtId="10" fontId="85" fillId="0" borderId="111" xfId="0" applyNumberFormat="1" applyFont="1" applyBorder="1" applyAlignment="1">
      <alignment horizontal="center"/>
    </xf>
    <xf numFmtId="10" fontId="85" fillId="0" borderId="1" xfId="0" applyNumberFormat="1" applyFont="1" applyBorder="1" applyAlignment="1">
      <alignment horizontal="center"/>
    </xf>
    <xf numFmtId="10" fontId="0" fillId="0" borderId="0" xfId="2" applyNumberFormat="1" applyFont="1"/>
    <xf numFmtId="0" fontId="93" fillId="0" borderId="1" xfId="0" applyFont="1" applyBorder="1" applyAlignment="1">
      <alignment horizontal="center" vertical="center"/>
    </xf>
    <xf numFmtId="0" fontId="8" fillId="0" borderId="5" xfId="0" applyFont="1" applyBorder="1" applyAlignment="1">
      <alignment vertical="center"/>
    </xf>
    <xf numFmtId="171" fontId="5" fillId="0" borderId="1" xfId="0" applyNumberFormat="1" applyFont="1" applyBorder="1" applyAlignment="1">
      <alignment horizontal="center" vertical="center"/>
    </xf>
    <xf numFmtId="0" fontId="112" fillId="0" borderId="0" xfId="0" applyFont="1" applyAlignment="1">
      <alignment horizontal="center"/>
    </xf>
    <xf numFmtId="9" fontId="113" fillId="0" borderId="0" xfId="2" applyFont="1" applyAlignment="1">
      <alignment horizontal="center"/>
    </xf>
    <xf numFmtId="185" fontId="113" fillId="0" borderId="0" xfId="0" applyNumberFormat="1" applyFont="1" applyAlignment="1">
      <alignment horizontal="center"/>
    </xf>
    <xf numFmtId="0" fontId="0" fillId="15" borderId="0" xfId="0" applyFill="1"/>
    <xf numFmtId="185" fontId="81" fillId="15" borderId="0" xfId="0" applyNumberFormat="1" applyFont="1" applyFill="1"/>
    <xf numFmtId="185" fontId="81" fillId="15" borderId="0" xfId="0" applyNumberFormat="1" applyFont="1" applyFill="1" applyAlignment="1">
      <alignment horizontal="center"/>
    </xf>
    <xf numFmtId="0" fontId="108" fillId="15" borderId="117" xfId="0" applyFont="1" applyFill="1" applyBorder="1" applyAlignment="1">
      <alignment horizontal="center" vertical="center" wrapText="1"/>
    </xf>
    <xf numFmtId="167" fontId="85" fillId="15" borderId="111" xfId="1" applyFont="1" applyFill="1" applyBorder="1" applyAlignment="1"/>
    <xf numFmtId="167" fontId="85" fillId="15" borderId="1" xfId="1" applyFont="1" applyFill="1" applyBorder="1" applyAlignment="1"/>
    <xf numFmtId="10" fontId="113" fillId="0" borderId="0" xfId="2" applyNumberFormat="1" applyFont="1" applyAlignment="1">
      <alignment horizontal="center"/>
    </xf>
    <xf numFmtId="10" fontId="114" fillId="0" borderId="0" xfId="2" applyNumberFormat="1" applyFont="1" applyAlignment="1">
      <alignment horizontal="center"/>
    </xf>
    <xf numFmtId="10" fontId="112" fillId="0" borderId="0" xfId="2" applyNumberFormat="1" applyFont="1" applyAlignment="1">
      <alignment horizontal="center"/>
    </xf>
    <xf numFmtId="0" fontId="49" fillId="0" borderId="29" xfId="0" applyFont="1" applyBorder="1"/>
    <xf numFmtId="0" fontId="93" fillId="2" borderId="111" xfId="0" quotePrefix="1" applyFont="1" applyFill="1" applyBorder="1" applyAlignment="1">
      <alignment horizontal="center" vertical="center"/>
    </xf>
    <xf numFmtId="0" fontId="93" fillId="2" borderId="1" xfId="0" applyFont="1" applyFill="1" applyBorder="1" applyAlignment="1">
      <alignment horizontal="center" vertical="center"/>
    </xf>
    <xf numFmtId="0" fontId="0" fillId="0" borderId="1" xfId="0" applyBorder="1" applyAlignment="1">
      <alignment horizontal="center"/>
    </xf>
    <xf numFmtId="167" fontId="60" fillId="0" borderId="0" xfId="1" applyFont="1" applyAlignment="1">
      <alignment horizontal="center"/>
    </xf>
    <xf numFmtId="0" fontId="115" fillId="0" borderId="0" xfId="0" applyFont="1"/>
    <xf numFmtId="0" fontId="106" fillId="0" borderId="1" xfId="0" applyFont="1" applyBorder="1" applyAlignment="1">
      <alignment horizontal="center"/>
    </xf>
    <xf numFmtId="0" fontId="49" fillId="15" borderId="0" xfId="0" applyFont="1" applyFill="1"/>
    <xf numFmtId="167" fontId="111" fillId="15" borderId="0" xfId="1" applyFont="1" applyFill="1" applyAlignment="1">
      <alignment horizontal="center"/>
    </xf>
    <xf numFmtId="9" fontId="113" fillId="15" borderId="0" xfId="2" applyFont="1" applyFill="1" applyAlignment="1">
      <alignment horizontal="center"/>
    </xf>
    <xf numFmtId="167" fontId="109" fillId="15" borderId="111" xfId="1" applyFont="1" applyFill="1" applyBorder="1" applyAlignment="1"/>
    <xf numFmtId="17" fontId="79" fillId="0" borderId="0" xfId="0" quotePrefix="1" applyNumberFormat="1" applyFont="1" applyAlignment="1">
      <alignment horizontal="left"/>
    </xf>
    <xf numFmtId="0" fontId="107" fillId="15" borderId="109" xfId="0" applyFont="1" applyFill="1" applyBorder="1" applyAlignment="1">
      <alignment horizontal="center" vertical="center" wrapText="1"/>
    </xf>
    <xf numFmtId="0" fontId="107" fillId="16" borderId="117" xfId="0" applyFont="1" applyFill="1" applyBorder="1" applyAlignment="1">
      <alignment horizontal="center" vertical="center" wrapText="1"/>
    </xf>
    <xf numFmtId="0" fontId="0" fillId="16" borderId="0" xfId="0" applyFill="1"/>
    <xf numFmtId="185" fontId="81" fillId="16" borderId="0" xfId="0" applyNumberFormat="1" applyFont="1" applyFill="1"/>
    <xf numFmtId="9" fontId="113" fillId="16" borderId="0" xfId="2" applyFont="1" applyFill="1" applyAlignment="1">
      <alignment horizontal="center"/>
    </xf>
    <xf numFmtId="167" fontId="109" fillId="16" borderId="111" xfId="1" applyFont="1" applyFill="1" applyBorder="1" applyAlignment="1"/>
    <xf numFmtId="0" fontId="49" fillId="16" borderId="0" xfId="0" applyFont="1" applyFill="1"/>
    <xf numFmtId="0" fontId="60" fillId="0" borderId="0" xfId="0" applyFont="1" applyAlignment="1">
      <alignment horizontal="center"/>
    </xf>
    <xf numFmtId="0" fontId="27" fillId="0" borderId="1" xfId="0" applyFont="1" applyBorder="1" applyAlignment="1">
      <alignment horizontal="center"/>
    </xf>
    <xf numFmtId="0" fontId="2" fillId="0" borderId="1" xfId="0" applyFont="1" applyBorder="1" applyAlignment="1">
      <alignment horizontal="center"/>
    </xf>
    <xf numFmtId="167" fontId="93" fillId="0" borderId="1" xfId="0" applyNumberFormat="1" applyFont="1" applyBorder="1" applyAlignment="1">
      <alignment horizontal="center"/>
    </xf>
    <xf numFmtId="167" fontId="85" fillId="16" borderId="111" xfId="1" applyFont="1" applyFill="1" applyBorder="1" applyAlignment="1"/>
    <xf numFmtId="0" fontId="93" fillId="0" borderId="1" xfId="3" applyFont="1" applyBorder="1" applyAlignment="1">
      <alignment horizontal="center"/>
    </xf>
    <xf numFmtId="0" fontId="93" fillId="0" borderId="1" xfId="3" applyFont="1" applyBorder="1" applyAlignment="1">
      <alignment horizontal="center" wrapText="1"/>
    </xf>
    <xf numFmtId="2" fontId="93" fillId="0" borderId="1" xfId="3" applyNumberFormat="1" applyFont="1" applyBorder="1" applyAlignment="1">
      <alignment horizontal="center" wrapText="1"/>
    </xf>
    <xf numFmtId="0" fontId="85" fillId="0" borderId="0" xfId="0" applyFont="1" applyAlignment="1">
      <alignment horizontal="center"/>
    </xf>
    <xf numFmtId="0" fontId="2" fillId="15" borderId="0" xfId="0" applyFont="1" applyFill="1"/>
    <xf numFmtId="0" fontId="2" fillId="16" borderId="0" xfId="0" applyFont="1" applyFill="1"/>
    <xf numFmtId="0" fontId="2" fillId="0" borderId="0" xfId="0" applyFont="1" applyAlignment="1">
      <alignment horizontal="center"/>
    </xf>
    <xf numFmtId="10" fontId="85" fillId="0" borderId="0" xfId="2" applyNumberFormat="1" applyFont="1" applyAlignment="1">
      <alignment horizontal="center"/>
    </xf>
    <xf numFmtId="0" fontId="116" fillId="0" borderId="0" xfId="0" applyFont="1" applyAlignment="1">
      <alignment vertical="center"/>
    </xf>
    <xf numFmtId="0" fontId="1" fillId="0" borderId="1" xfId="0" applyFont="1" applyBorder="1" applyAlignment="1">
      <alignment horizontal="center" vertical="center"/>
    </xf>
    <xf numFmtId="0" fontId="6" fillId="0" borderId="0" xfId="0" applyFont="1" applyAlignment="1">
      <alignment horizontal="center"/>
    </xf>
    <xf numFmtId="0" fontId="1" fillId="0" borderId="0" xfId="0" applyFont="1" applyAlignment="1">
      <alignment horizontal="center"/>
    </xf>
    <xf numFmtId="170" fontId="31" fillId="0" borderId="0" xfId="0" applyNumberFormat="1" applyFont="1" applyAlignment="1">
      <alignment horizontal="center"/>
    </xf>
    <xf numFmtId="10" fontId="31" fillId="0" borderId="0" xfId="0" applyNumberFormat="1" applyFont="1" applyAlignment="1">
      <alignment horizontal="center"/>
    </xf>
    <xf numFmtId="49" fontId="31" fillId="0" borderId="0" xfId="0" applyNumberFormat="1" applyFont="1" applyAlignment="1">
      <alignment horizontal="center"/>
    </xf>
    <xf numFmtId="184" fontId="37" fillId="0" borderId="0" xfId="0" applyNumberFormat="1" applyFont="1"/>
    <xf numFmtId="0" fontId="117" fillId="0" borderId="0" xfId="0" applyFont="1"/>
    <xf numFmtId="0" fontId="15" fillId="0" borderId="0" xfId="0" applyFont="1"/>
    <xf numFmtId="184" fontId="6" fillId="0" borderId="1" xfId="0" applyNumberFormat="1" applyFont="1" applyBorder="1" applyAlignment="1">
      <alignment horizontal="center" vertical="center"/>
    </xf>
    <xf numFmtId="184" fontId="6" fillId="0" borderId="0" xfId="0" applyNumberFormat="1" applyFont="1"/>
    <xf numFmtId="184" fontId="15" fillId="0" borderId="1" xfId="0" applyNumberFormat="1" applyFont="1" applyBorder="1" applyAlignment="1">
      <alignment horizontal="center"/>
    </xf>
    <xf numFmtId="184" fontId="6" fillId="0" borderId="1" xfId="0" applyNumberFormat="1" applyFont="1" applyBorder="1" applyAlignment="1">
      <alignment horizontal="center"/>
    </xf>
    <xf numFmtId="9" fontId="12" fillId="0" borderId="5" xfId="0" applyNumberFormat="1" applyFont="1" applyBorder="1" applyAlignment="1">
      <alignment horizontal="center" vertical="center"/>
    </xf>
    <xf numFmtId="180" fontId="12" fillId="0" borderId="0" xfId="0" applyNumberFormat="1" applyFont="1" applyAlignment="1">
      <alignment horizontal="center" vertical="center"/>
    </xf>
    <xf numFmtId="171" fontId="20" fillId="0" borderId="0" xfId="0" applyNumberFormat="1" applyFont="1" applyAlignment="1">
      <alignment horizontal="left" vertical="center"/>
    </xf>
    <xf numFmtId="0" fontId="15" fillId="0" borderId="26" xfId="0" applyFont="1" applyBorder="1"/>
    <xf numFmtId="0" fontId="5" fillId="0" borderId="0" xfId="0" applyFont="1" applyAlignment="1">
      <alignment vertical="center"/>
    </xf>
    <xf numFmtId="172" fontId="19" fillId="0" borderId="1" xfId="0" applyNumberFormat="1" applyFont="1" applyBorder="1" applyAlignment="1">
      <alignment horizontal="center" vertical="center"/>
    </xf>
    <xf numFmtId="0" fontId="40" fillId="0" borderId="0" xfId="0" applyFont="1"/>
    <xf numFmtId="0" fontId="19" fillId="0" borderId="0" xfId="3" applyFont="1"/>
    <xf numFmtId="0" fontId="47" fillId="0" borderId="0" xfId="3" applyFont="1"/>
    <xf numFmtId="0" fontId="30" fillId="0" borderId="0" xfId="0" applyFont="1"/>
    <xf numFmtId="167" fontId="6" fillId="0" borderId="0" xfId="1" applyFont="1" applyProtection="1"/>
    <xf numFmtId="180" fontId="6" fillId="0" borderId="0" xfId="0" applyNumberFormat="1" applyFont="1"/>
    <xf numFmtId="184" fontId="6" fillId="0" borderId="0" xfId="0" applyNumberFormat="1" applyFont="1" applyAlignment="1">
      <alignment horizontal="center"/>
    </xf>
    <xf numFmtId="0" fontId="22" fillId="2" borderId="0" xfId="0" applyFont="1" applyFill="1" applyAlignment="1">
      <alignment horizontal="center"/>
    </xf>
    <xf numFmtId="0" fontId="22" fillId="2" borderId="0" xfId="0" applyFont="1" applyFill="1"/>
    <xf numFmtId="167" fontId="110" fillId="2" borderId="0" xfId="1" applyFont="1" applyFill="1" applyAlignment="1">
      <alignment horizontal="center" vertical="center"/>
    </xf>
    <xf numFmtId="167" fontId="110" fillId="2" borderId="1" xfId="1" applyFont="1" applyFill="1" applyBorder="1" applyAlignment="1">
      <alignment horizontal="center" vertical="center"/>
    </xf>
    <xf numFmtId="167" fontId="110" fillId="2" borderId="16" xfId="1" applyFont="1" applyFill="1" applyBorder="1" applyAlignment="1">
      <alignment horizontal="center" vertical="center"/>
    </xf>
    <xf numFmtId="167" fontId="118" fillId="2" borderId="16" xfId="8" applyFont="1" applyFill="1" applyBorder="1" applyAlignment="1">
      <alignment horizontal="center" vertical="center" wrapText="1"/>
    </xf>
    <xf numFmtId="167" fontId="51" fillId="2" borderId="16" xfId="8" applyFont="1" applyFill="1" applyBorder="1" applyAlignment="1">
      <alignment vertical="center" wrapText="1"/>
    </xf>
    <xf numFmtId="189" fontId="51" fillId="2" borderId="15" xfId="8" applyNumberFormat="1" applyFont="1" applyFill="1" applyBorder="1" applyAlignment="1">
      <alignment horizontal="center" vertical="center" wrapText="1"/>
    </xf>
    <xf numFmtId="173" fontId="51" fillId="2" borderId="1" xfId="2" applyNumberFormat="1" applyFont="1" applyFill="1" applyBorder="1" applyAlignment="1">
      <alignment horizontal="center" vertical="center" wrapText="1"/>
    </xf>
    <xf numFmtId="189" fontId="51" fillId="2" borderId="1" xfId="8" applyNumberFormat="1" applyFont="1" applyFill="1" applyBorder="1" applyAlignment="1">
      <alignment horizontal="center" vertical="center" wrapText="1"/>
    </xf>
    <xf numFmtId="167" fontId="93" fillId="2" borderId="1" xfId="1" applyFont="1" applyFill="1" applyBorder="1" applyAlignment="1">
      <alignment horizontal="center" vertical="center"/>
    </xf>
    <xf numFmtId="0" fontId="118" fillId="2" borderId="1" xfId="1" applyNumberFormat="1" applyFont="1" applyFill="1" applyBorder="1" applyAlignment="1">
      <alignment horizontal="center" vertical="center" wrapText="1"/>
    </xf>
    <xf numFmtId="167" fontId="118" fillId="2" borderId="1" xfId="1" applyFont="1" applyFill="1" applyBorder="1" applyAlignment="1">
      <alignment horizontal="center" vertical="center" wrapText="1"/>
    </xf>
    <xf numFmtId="167" fontId="120" fillId="5" borderId="1" xfId="1" applyFont="1" applyFill="1" applyBorder="1" applyAlignment="1">
      <alignment horizontal="center" vertical="center" wrapText="1"/>
    </xf>
    <xf numFmtId="0" fontId="118" fillId="2" borderId="1" xfId="1" applyNumberFormat="1" applyFont="1" applyFill="1" applyBorder="1" applyAlignment="1">
      <alignment horizontal="center" vertical="center"/>
    </xf>
    <xf numFmtId="0" fontId="120" fillId="5" borderId="1" xfId="0" applyFont="1" applyFill="1" applyBorder="1" applyAlignment="1">
      <alignment horizontal="center" vertical="center"/>
    </xf>
    <xf numFmtId="0" fontId="120" fillId="5" borderId="1" xfId="0" applyFont="1" applyFill="1" applyBorder="1" applyAlignment="1">
      <alignment horizontal="center" vertical="center" wrapText="1"/>
    </xf>
    <xf numFmtId="167" fontId="120" fillId="5" borderId="1" xfId="1" applyFont="1" applyFill="1" applyBorder="1" applyAlignment="1">
      <alignment horizontal="center" vertical="center"/>
    </xf>
    <xf numFmtId="0" fontId="118" fillId="2" borderId="1" xfId="0" applyFont="1" applyFill="1" applyBorder="1" applyAlignment="1">
      <alignment horizontal="center" vertical="center"/>
    </xf>
    <xf numFmtId="0" fontId="118" fillId="2" borderId="1" xfId="7" applyFont="1" applyFill="1" applyBorder="1" applyAlignment="1">
      <alignment horizontal="center" vertical="center" wrapText="1"/>
    </xf>
    <xf numFmtId="167" fontId="118" fillId="2" borderId="1" xfId="8" applyFont="1" applyFill="1" applyBorder="1" applyAlignment="1">
      <alignment horizontal="center" vertical="center" wrapText="1"/>
    </xf>
    <xf numFmtId="0" fontId="118" fillId="2" borderId="18" xfId="7" applyFont="1" applyFill="1" applyBorder="1" applyAlignment="1">
      <alignment horizontal="center" vertical="center" wrapText="1"/>
    </xf>
    <xf numFmtId="167" fontId="94" fillId="2" borderId="1" xfId="1" applyFont="1" applyFill="1" applyBorder="1" applyAlignment="1">
      <alignment horizontal="center" vertical="center" wrapText="1"/>
    </xf>
    <xf numFmtId="0" fontId="118" fillId="2" borderId="1" xfId="0" applyFont="1" applyFill="1" applyBorder="1" applyAlignment="1">
      <alignment horizontal="center" vertical="center" wrapText="1"/>
    </xf>
    <xf numFmtId="10" fontId="120" fillId="5" borderId="1" xfId="2" applyNumberFormat="1" applyFont="1" applyFill="1" applyBorder="1" applyAlignment="1">
      <alignment horizontal="center" vertical="center"/>
    </xf>
    <xf numFmtId="0" fontId="94" fillId="2" borderId="1" xfId="7" applyFont="1" applyFill="1" applyBorder="1" applyAlignment="1">
      <alignment horizontal="center" vertical="center" wrapText="1"/>
    </xf>
    <xf numFmtId="17" fontId="94" fillId="2" borderId="1" xfId="7" applyNumberFormat="1" applyFont="1" applyFill="1" applyBorder="1" applyAlignment="1">
      <alignment horizontal="center" vertical="center" wrapText="1"/>
    </xf>
    <xf numFmtId="0" fontId="94" fillId="2" borderId="1" xfId="0" applyFont="1" applyFill="1" applyBorder="1" applyAlignment="1">
      <alignment horizontal="center" vertical="center" wrapText="1"/>
    </xf>
    <xf numFmtId="0" fontId="94" fillId="2" borderId="1" xfId="1" applyNumberFormat="1" applyFont="1" applyFill="1" applyBorder="1" applyAlignment="1">
      <alignment horizontal="center" vertical="center"/>
    </xf>
    <xf numFmtId="167" fontId="94" fillId="2" borderId="1" xfId="1" applyFont="1" applyFill="1" applyBorder="1" applyAlignment="1">
      <alignment vertical="center" wrapText="1"/>
    </xf>
    <xf numFmtId="9" fontId="94" fillId="2" borderId="1" xfId="2" applyFont="1" applyFill="1" applyBorder="1" applyAlignment="1">
      <alignment horizontal="center" vertical="center" wrapText="1"/>
    </xf>
    <xf numFmtId="0" fontId="93" fillId="3" borderId="1" xfId="7" applyFont="1" applyFill="1" applyBorder="1" applyAlignment="1">
      <alignment horizontal="center" vertical="center" wrapText="1"/>
    </xf>
    <xf numFmtId="167" fontId="93" fillId="3" borderId="1" xfId="1" applyFont="1" applyFill="1" applyBorder="1" applyAlignment="1">
      <alignment vertical="center" wrapText="1"/>
    </xf>
    <xf numFmtId="9" fontId="93" fillId="3" borderId="1" xfId="2" applyFont="1" applyFill="1" applyBorder="1" applyAlignment="1">
      <alignment horizontal="center" vertical="center" wrapText="1"/>
    </xf>
    <xf numFmtId="0" fontId="110" fillId="2" borderId="1" xfId="1" applyNumberFormat="1" applyFont="1" applyFill="1" applyBorder="1" applyAlignment="1">
      <alignment horizontal="center" vertical="center" wrapText="1"/>
    </xf>
    <xf numFmtId="167" fontId="110" fillId="2" borderId="1" xfId="1" applyFont="1" applyFill="1" applyBorder="1" applyAlignment="1">
      <alignment horizontal="center" vertical="center" wrapText="1"/>
    </xf>
    <xf numFmtId="167" fontId="93" fillId="2" borderId="1" xfId="1" applyFont="1" applyFill="1" applyBorder="1" applyAlignment="1">
      <alignment horizontal="center" vertical="center" wrapText="1"/>
    </xf>
    <xf numFmtId="167" fontId="110" fillId="2" borderId="1" xfId="8" applyFont="1" applyFill="1" applyBorder="1" applyAlignment="1">
      <alignment horizontal="center" vertical="center" wrapText="1"/>
    </xf>
    <xf numFmtId="0" fontId="93" fillId="2" borderId="1" xfId="7" applyFont="1" applyFill="1" applyBorder="1" applyAlignment="1">
      <alignment horizontal="center" vertical="center" wrapText="1"/>
    </xf>
    <xf numFmtId="167" fontId="93" fillId="2" borderId="1" xfId="1" applyFont="1" applyFill="1" applyBorder="1" applyAlignment="1">
      <alignment vertical="center" wrapText="1"/>
    </xf>
    <xf numFmtId="9" fontId="93" fillId="2" borderId="1" xfId="2" applyFont="1" applyFill="1" applyBorder="1" applyAlignment="1">
      <alignment horizontal="center" vertical="center" wrapText="1"/>
    </xf>
    <xf numFmtId="167" fontId="119" fillId="2" borderId="1" xfId="1" applyFont="1" applyFill="1" applyBorder="1" applyAlignment="1">
      <alignment horizontal="center" vertical="center" wrapText="1"/>
    </xf>
    <xf numFmtId="167" fontId="119" fillId="2" borderId="1" xfId="1" applyFont="1" applyFill="1" applyBorder="1" applyAlignment="1">
      <alignment horizontal="center" vertical="center"/>
    </xf>
    <xf numFmtId="10" fontId="22" fillId="2" borderId="0" xfId="2" applyNumberFormat="1" applyFont="1" applyFill="1"/>
    <xf numFmtId="0" fontId="93" fillId="0" borderId="111" xfId="0" applyFont="1" applyBorder="1" applyAlignment="1">
      <alignment horizontal="center" vertical="center"/>
    </xf>
    <xf numFmtId="0" fontId="7" fillId="2" borderId="0" xfId="0" applyFont="1" applyFill="1"/>
    <xf numFmtId="10" fontId="7" fillId="2" borderId="0" xfId="2" applyNumberFormat="1" applyFont="1" applyFill="1"/>
    <xf numFmtId="0" fontId="7" fillId="2" borderId="0" xfId="0" applyFont="1" applyFill="1" applyAlignment="1">
      <alignment horizontal="center"/>
    </xf>
    <xf numFmtId="0" fontId="16" fillId="2" borderId="0" xfId="0" applyFont="1" applyFill="1"/>
    <xf numFmtId="10" fontId="7" fillId="2" borderId="0" xfId="2" applyNumberFormat="1" applyFont="1" applyFill="1" applyAlignment="1">
      <alignment horizontal="center"/>
    </xf>
    <xf numFmtId="0" fontId="10" fillId="2" borderId="0" xfId="0" applyFont="1" applyFill="1" applyAlignment="1">
      <alignment horizontal="center"/>
    </xf>
    <xf numFmtId="0" fontId="10" fillId="3" borderId="1" xfId="0" applyFont="1" applyFill="1" applyBorder="1" applyAlignment="1">
      <alignment horizontal="center"/>
    </xf>
    <xf numFmtId="0" fontId="10" fillId="3" borderId="15" xfId="0" applyFont="1" applyFill="1" applyBorder="1" applyAlignment="1">
      <alignment horizontal="center" wrapText="1"/>
    </xf>
    <xf numFmtId="0" fontId="16" fillId="2" borderId="0" xfId="0" applyFont="1" applyFill="1" applyAlignment="1">
      <alignment horizontal="center"/>
    </xf>
    <xf numFmtId="0" fontId="16" fillId="2" borderId="0" xfId="0" applyFont="1" applyFill="1" applyAlignment="1">
      <alignment horizontal="center" wrapText="1"/>
    </xf>
    <xf numFmtId="0" fontId="22" fillId="3" borderId="1" xfId="0" applyFont="1" applyFill="1" applyBorder="1" applyAlignment="1">
      <alignment horizontal="center" vertical="center"/>
    </xf>
    <xf numFmtId="167" fontId="22" fillId="3" borderId="1" xfId="0" applyNumberFormat="1" applyFont="1" applyFill="1" applyBorder="1" applyAlignment="1">
      <alignment horizontal="center" vertical="center"/>
    </xf>
    <xf numFmtId="167" fontId="93" fillId="2" borderId="111" xfId="0" applyNumberFormat="1" applyFont="1" applyFill="1" applyBorder="1" applyAlignment="1">
      <alignment horizontal="center" vertical="center"/>
    </xf>
    <xf numFmtId="185" fontId="93" fillId="2" borderId="111" xfId="0" applyNumberFormat="1" applyFont="1" applyFill="1" applyBorder="1" applyAlignment="1">
      <alignment vertical="center"/>
    </xf>
    <xf numFmtId="10" fontId="93" fillId="2" borderId="111" xfId="2" applyNumberFormat="1" applyFont="1" applyFill="1" applyBorder="1" applyAlignment="1">
      <alignment horizontal="center" vertical="center"/>
    </xf>
    <xf numFmtId="0" fontId="93" fillId="2" borderId="111" xfId="0" applyFont="1" applyFill="1" applyBorder="1" applyAlignment="1">
      <alignment horizontal="center" vertical="center"/>
    </xf>
    <xf numFmtId="167" fontId="7" fillId="2" borderId="111" xfId="0" applyNumberFormat="1" applyFont="1" applyFill="1" applyBorder="1" applyAlignment="1">
      <alignment vertical="center"/>
    </xf>
    <xf numFmtId="0" fontId="7" fillId="2" borderId="0" xfId="0" applyFont="1" applyFill="1" applyAlignment="1">
      <alignment vertical="center"/>
    </xf>
    <xf numFmtId="0" fontId="22" fillId="2" borderId="0" xfId="0" applyFont="1" applyFill="1" applyAlignment="1">
      <alignment vertical="center"/>
    </xf>
    <xf numFmtId="167" fontId="16" fillId="2" borderId="0" xfId="0" applyNumberFormat="1" applyFont="1" applyFill="1" applyAlignment="1">
      <alignment vertical="center"/>
    </xf>
    <xf numFmtId="10" fontId="16" fillId="2" borderId="0" xfId="0" applyNumberFormat="1" applyFont="1" applyFill="1" applyAlignment="1">
      <alignment vertical="center"/>
    </xf>
    <xf numFmtId="167" fontId="16" fillId="2" borderId="0" xfId="1" applyFont="1" applyFill="1" applyAlignment="1">
      <alignment vertical="center"/>
    </xf>
    <xf numFmtId="167" fontId="22" fillId="2" borderId="0" xfId="0" applyNumberFormat="1" applyFont="1" applyFill="1" applyAlignment="1">
      <alignment vertical="center"/>
    </xf>
    <xf numFmtId="173" fontId="119" fillId="2" borderId="1" xfId="2" applyNumberFormat="1" applyFont="1" applyFill="1" applyBorder="1" applyAlignment="1">
      <alignment horizontal="center" vertical="center" wrapText="1"/>
    </xf>
    <xf numFmtId="10" fontId="20" fillId="0" borderId="45" xfId="0" applyNumberFormat="1" applyFont="1" applyBorder="1" applyAlignment="1" applyProtection="1">
      <alignment horizontal="center" vertical="center"/>
      <protection locked="0"/>
    </xf>
    <xf numFmtId="0" fontId="110" fillId="2" borderId="1" xfId="1" applyNumberFormat="1" applyFont="1" applyFill="1" applyBorder="1" applyAlignment="1">
      <alignment horizontal="center" vertical="center"/>
    </xf>
    <xf numFmtId="0" fontId="110" fillId="2" borderId="1" xfId="0" applyFont="1" applyFill="1" applyBorder="1" applyAlignment="1">
      <alignment horizontal="center" vertical="center"/>
    </xf>
    <xf numFmtId="0" fontId="110" fillId="2" borderId="1" xfId="7" applyFont="1" applyFill="1" applyBorder="1" applyAlignment="1">
      <alignment horizontal="center" vertical="center" wrapText="1"/>
    </xf>
    <xf numFmtId="0" fontId="123" fillId="19" borderId="0" xfId="10" applyFont="1" applyFill="1" applyAlignment="1">
      <alignment horizontal="left"/>
    </xf>
    <xf numFmtId="0" fontId="27" fillId="19" borderId="0" xfId="10" applyFill="1" applyAlignment="1">
      <alignment horizontal="left"/>
    </xf>
    <xf numFmtId="0" fontId="27" fillId="19" borderId="0" xfId="10" applyFill="1"/>
    <xf numFmtId="0" fontId="124" fillId="19" borderId="0" xfId="10" applyFont="1" applyFill="1" applyAlignment="1">
      <alignment horizontal="center"/>
    </xf>
    <xf numFmtId="0" fontId="27" fillId="2" borderId="0" xfId="10" applyFill="1"/>
    <xf numFmtId="0" fontId="27" fillId="0" borderId="0" xfId="10" applyAlignment="1">
      <alignment horizontal="center"/>
    </xf>
    <xf numFmtId="0" fontId="27" fillId="0" borderId="0" xfId="10"/>
    <xf numFmtId="0" fontId="124" fillId="0" borderId="0" xfId="10" applyFont="1" applyAlignment="1">
      <alignment horizontal="center"/>
    </xf>
    <xf numFmtId="43" fontId="124" fillId="0" borderId="0" xfId="11" applyFont="1" applyBorder="1" applyAlignment="1">
      <alignment horizontal="left"/>
    </xf>
    <xf numFmtId="0" fontId="62" fillId="0" borderId="0" xfId="10" applyFont="1" applyAlignment="1">
      <alignment horizontal="center"/>
    </xf>
    <xf numFmtId="22" fontId="27" fillId="0" borderId="0" xfId="10" applyNumberFormat="1" applyAlignment="1">
      <alignment horizontal="center"/>
    </xf>
    <xf numFmtId="22" fontId="124" fillId="0" borderId="0" xfId="10" applyNumberFormat="1" applyFont="1" applyAlignment="1">
      <alignment horizontal="center"/>
    </xf>
    <xf numFmtId="0" fontId="27" fillId="19" borderId="121" xfId="10" applyFill="1" applyBorder="1" applyAlignment="1">
      <alignment horizontal="left"/>
    </xf>
    <xf numFmtId="0" fontId="27" fillId="19" borderId="121" xfId="10" applyFill="1" applyBorder="1"/>
    <xf numFmtId="0" fontId="124" fillId="2" borderId="0" xfId="10" applyFont="1" applyFill="1"/>
    <xf numFmtId="0" fontId="27" fillId="19" borderId="122" xfId="10" applyFill="1" applyBorder="1"/>
    <xf numFmtId="0" fontId="27" fillId="19" borderId="123" xfId="10" applyFill="1" applyBorder="1"/>
    <xf numFmtId="0" fontId="124" fillId="19" borderId="123" xfId="10" applyFont="1" applyFill="1" applyBorder="1"/>
    <xf numFmtId="43" fontId="27" fillId="0" borderId="0" xfId="11" applyFont="1" applyBorder="1" applyAlignment="1">
      <alignment horizontal="left"/>
    </xf>
    <xf numFmtId="0" fontId="108" fillId="0" borderId="0" xfId="10" applyFont="1"/>
    <xf numFmtId="0" fontId="124" fillId="0" borderId="0" xfId="10" applyFont="1" applyAlignment="1">
      <alignment horizontal="left"/>
    </xf>
    <xf numFmtId="43" fontId="27" fillId="19" borderId="0" xfId="11" applyFont="1" applyFill="1" applyBorder="1" applyAlignment="1">
      <alignment horizontal="left"/>
    </xf>
    <xf numFmtId="0" fontId="127" fillId="19" borderId="0" xfId="10" applyFont="1" applyFill="1" applyAlignment="1">
      <alignment horizontal="left" wrapText="1"/>
    </xf>
    <xf numFmtId="0" fontId="124" fillId="19" borderId="0" xfId="10" applyFont="1" applyFill="1" applyAlignment="1">
      <alignment horizontal="left"/>
    </xf>
    <xf numFmtId="43" fontId="27" fillId="19" borderId="121" xfId="11" applyFont="1" applyFill="1" applyBorder="1" applyAlignment="1">
      <alignment horizontal="left"/>
    </xf>
    <xf numFmtId="0" fontId="27" fillId="19" borderId="0" xfId="10" applyFill="1" applyAlignment="1">
      <alignment horizontal="center"/>
    </xf>
    <xf numFmtId="0" fontId="27" fillId="2" borderId="124" xfId="10" applyFill="1" applyBorder="1" applyAlignment="1">
      <alignment horizontal="left"/>
    </xf>
    <xf numFmtId="0" fontId="27" fillId="2" borderId="0" xfId="10" applyFill="1" applyAlignment="1">
      <alignment horizontal="right"/>
    </xf>
    <xf numFmtId="43" fontId="27" fillId="2" borderId="0" xfId="11" applyFont="1" applyFill="1"/>
    <xf numFmtId="190" fontId="27" fillId="2" borderId="0" xfId="12" applyNumberFormat="1" applyFont="1" applyFill="1" applyBorder="1" applyAlignment="1">
      <alignment horizontal="right"/>
    </xf>
    <xf numFmtId="0" fontId="27" fillId="19" borderId="124" xfId="10" applyFill="1" applyBorder="1" applyAlignment="1">
      <alignment horizontal="left"/>
    </xf>
    <xf numFmtId="0" fontId="27" fillId="19" borderId="0" xfId="10" applyFill="1" applyAlignment="1">
      <alignment horizontal="right"/>
    </xf>
    <xf numFmtId="192" fontId="27" fillId="2" borderId="0" xfId="10" applyNumberFormat="1" applyFill="1" applyAlignment="1">
      <alignment horizontal="right"/>
    </xf>
    <xf numFmtId="0" fontId="128" fillId="2" borderId="0" xfId="10" applyFont="1" applyFill="1"/>
    <xf numFmtId="0" fontId="128" fillId="2" borderId="0" xfId="10" applyFont="1" applyFill="1" applyAlignment="1">
      <alignment horizontal="right"/>
    </xf>
    <xf numFmtId="43" fontId="128" fillId="2" borderId="0" xfId="11" applyFont="1" applyFill="1" applyBorder="1" applyAlignment="1">
      <alignment horizontal="right"/>
    </xf>
    <xf numFmtId="0" fontId="128" fillId="19" borderId="0" xfId="10" applyFont="1" applyFill="1" applyAlignment="1">
      <alignment horizontal="left"/>
    </xf>
    <xf numFmtId="0" fontId="50" fillId="0" borderId="0" xfId="10" applyFont="1"/>
    <xf numFmtId="194" fontId="128" fillId="2" borderId="0" xfId="12" applyNumberFormat="1" applyFont="1" applyFill="1" applyBorder="1" applyAlignment="1">
      <alignment horizontal="right"/>
    </xf>
    <xf numFmtId="0" fontId="27" fillId="19" borderId="125" xfId="10" applyFill="1" applyBorder="1" applyAlignment="1">
      <alignment horizontal="left"/>
    </xf>
    <xf numFmtId="0" fontId="27" fillId="19" borderId="122" xfId="10" applyFill="1" applyBorder="1" applyAlignment="1">
      <alignment horizontal="right"/>
    </xf>
    <xf numFmtId="0" fontId="124" fillId="19" borderId="121" xfId="10" applyFont="1" applyFill="1" applyBorder="1"/>
    <xf numFmtId="0" fontId="124" fillId="19" borderId="121" xfId="10" applyFont="1" applyFill="1" applyBorder="1" applyAlignment="1">
      <alignment horizontal="center"/>
    </xf>
    <xf numFmtId="0" fontId="124" fillId="0" borderId="0" xfId="10" applyFont="1" applyAlignment="1">
      <alignment horizontal="center" vertical="center"/>
    </xf>
    <xf numFmtId="195" fontId="124" fillId="0" borderId="1" xfId="10" applyNumberFormat="1" applyFont="1" applyBorder="1" applyAlignment="1">
      <alignment horizontal="center" vertical="center" wrapText="1"/>
    </xf>
    <xf numFmtId="0" fontId="50" fillId="0" borderId="0" xfId="10" applyFont="1" applyAlignment="1">
      <alignment horizontal="center" wrapText="1"/>
    </xf>
    <xf numFmtId="0" fontId="27" fillId="19" borderId="126" xfId="10" applyFill="1" applyBorder="1"/>
    <xf numFmtId="0" fontId="124" fillId="19" borderId="1" xfId="10" applyFont="1" applyFill="1" applyBorder="1" applyAlignment="1">
      <alignment horizontal="center" vertical="center" wrapText="1"/>
    </xf>
    <xf numFmtId="0" fontId="124" fillId="2" borderId="0" xfId="10" applyFont="1" applyFill="1" applyAlignment="1">
      <alignment horizontal="center" wrapText="1"/>
    </xf>
    <xf numFmtId="196" fontId="27" fillId="0" borderId="0" xfId="10" applyNumberFormat="1" applyAlignment="1">
      <alignment horizontal="center" vertical="center" wrapText="1"/>
    </xf>
    <xf numFmtId="0" fontId="27" fillId="0" borderId="1" xfId="10" applyBorder="1" applyAlignment="1">
      <alignment horizontal="center" vertical="center" wrapText="1"/>
    </xf>
    <xf numFmtId="0" fontId="27" fillId="0" borderId="0" xfId="10" applyAlignment="1">
      <alignment horizontal="center" wrapText="1"/>
    </xf>
    <xf numFmtId="165" fontId="27" fillId="0" borderId="0" xfId="10" applyNumberFormat="1" applyAlignment="1">
      <alignment horizontal="center" wrapText="1"/>
    </xf>
    <xf numFmtId="0" fontId="124" fillId="19" borderId="122" xfId="10" applyFont="1" applyFill="1" applyBorder="1" applyAlignment="1">
      <alignment horizontal="left" wrapText="1" indent="2"/>
    </xf>
    <xf numFmtId="0" fontId="124" fillId="19" borderId="122" xfId="10" applyFont="1" applyFill="1" applyBorder="1" applyAlignment="1">
      <alignment wrapText="1"/>
    </xf>
    <xf numFmtId="0" fontId="124" fillId="19" borderId="122" xfId="10" applyFont="1" applyFill="1" applyBorder="1" applyAlignment="1">
      <alignment horizontal="left" wrapText="1" indent="3"/>
    </xf>
    <xf numFmtId="0" fontId="27" fillId="2" borderId="0" xfId="10" applyFill="1" applyAlignment="1">
      <alignment wrapText="1"/>
    </xf>
    <xf numFmtId="0" fontId="27" fillId="0" borderId="0" xfId="10" applyAlignment="1">
      <alignment wrapText="1"/>
    </xf>
    <xf numFmtId="0" fontId="50" fillId="0" borderId="0" xfId="10" applyFont="1" applyAlignment="1">
      <alignment wrapText="1"/>
    </xf>
    <xf numFmtId="189" fontId="27" fillId="19" borderId="0" xfId="10" applyNumberFormat="1" applyFill="1" applyAlignment="1">
      <alignment horizontal="center"/>
    </xf>
    <xf numFmtId="194" fontId="27" fillId="2" borderId="0" xfId="12" applyNumberFormat="1" applyFont="1" applyFill="1" applyBorder="1" applyAlignment="1">
      <alignment horizontal="right"/>
    </xf>
    <xf numFmtId="194" fontId="27" fillId="19" borderId="0" xfId="12" applyNumberFormat="1" applyFont="1" applyFill="1" applyBorder="1" applyAlignment="1" applyProtection="1">
      <alignment horizontal="right"/>
      <protection locked="0"/>
    </xf>
    <xf numFmtId="194" fontId="27" fillId="2" borderId="0" xfId="12" applyNumberFormat="1" applyFont="1" applyFill="1" applyBorder="1" applyAlignment="1"/>
    <xf numFmtId="194" fontId="50" fillId="18" borderId="0" xfId="12" applyNumberFormat="1" applyFont="1" applyFill="1" applyBorder="1" applyAlignment="1">
      <alignment horizontal="right"/>
    </xf>
    <xf numFmtId="43" fontId="124" fillId="19" borderId="0" xfId="6" applyFont="1" applyFill="1" applyBorder="1" applyAlignment="1">
      <alignment horizontal="center"/>
    </xf>
    <xf numFmtId="0" fontId="27" fillId="0" borderId="0" xfId="10" applyAlignment="1">
      <alignment horizontal="left" wrapText="1" indent="11"/>
    </xf>
    <xf numFmtId="194" fontId="27" fillId="0" borderId="1" xfId="10" applyNumberFormat="1" applyBorder="1" applyAlignment="1">
      <alignment wrapText="1"/>
    </xf>
    <xf numFmtId="43" fontId="50" fillId="0" borderId="0" xfId="6" applyFont="1" applyAlignment="1">
      <alignment wrapText="1"/>
    </xf>
    <xf numFmtId="167" fontId="50" fillId="0" borderId="0" xfId="10" applyNumberFormat="1" applyFont="1" applyAlignment="1">
      <alignment wrapText="1"/>
    </xf>
    <xf numFmtId="39" fontId="27" fillId="19" borderId="0" xfId="12" applyNumberFormat="1" applyFont="1" applyFill="1" applyBorder="1" applyAlignment="1">
      <alignment horizontal="right"/>
    </xf>
    <xf numFmtId="43" fontId="27" fillId="19" borderId="0" xfId="12" applyNumberFormat="1" applyFont="1" applyFill="1" applyBorder="1" applyAlignment="1" applyProtection="1">
      <alignment horizontal="right"/>
      <protection locked="0"/>
    </xf>
    <xf numFmtId="39" fontId="27" fillId="19" borderId="0" xfId="12" applyNumberFormat="1" applyFont="1" applyFill="1" applyBorder="1" applyAlignment="1"/>
    <xf numFmtId="39" fontId="50" fillId="18" borderId="0" xfId="12" applyNumberFormat="1" applyFont="1" applyFill="1" applyBorder="1" applyAlignment="1">
      <alignment horizontal="right"/>
    </xf>
    <xf numFmtId="43" fontId="50" fillId="0" borderId="0" xfId="11" applyFont="1" applyBorder="1" applyAlignment="1">
      <alignment horizontal="left" wrapText="1" indent="11"/>
    </xf>
    <xf numFmtId="194" fontId="129" fillId="0" borderId="1" xfId="10" applyNumberFormat="1" applyFont="1" applyBorder="1" applyAlignment="1">
      <alignment wrapText="1"/>
    </xf>
    <xf numFmtId="194" fontId="50" fillId="0" borderId="1" xfId="10" applyNumberFormat="1" applyFont="1" applyBorder="1" applyAlignment="1">
      <alignment wrapText="1"/>
    </xf>
    <xf numFmtId="39" fontId="27" fillId="3" borderId="0" xfId="12" applyNumberFormat="1" applyFont="1" applyFill="1" applyBorder="1" applyAlignment="1">
      <alignment horizontal="right"/>
    </xf>
    <xf numFmtId="0" fontId="27" fillId="3" borderId="0" xfId="10" applyFill="1" applyAlignment="1">
      <alignment horizontal="left" wrapText="1" indent="12"/>
    </xf>
    <xf numFmtId="194" fontId="27" fillId="3" borderId="120" xfId="10" applyNumberFormat="1" applyFill="1" applyBorder="1" applyAlignment="1">
      <alignment wrapText="1"/>
    </xf>
    <xf numFmtId="194" fontId="27" fillId="0" borderId="0" xfId="10" applyNumberFormat="1" applyAlignment="1">
      <alignment wrapText="1"/>
    </xf>
    <xf numFmtId="39" fontId="27" fillId="0" borderId="0" xfId="10" applyNumberFormat="1"/>
    <xf numFmtId="0" fontId="124" fillId="18" borderId="0" xfId="10" applyFont="1" applyFill="1"/>
    <xf numFmtId="0" fontId="27" fillId="18" borderId="0" xfId="10" applyFill="1"/>
    <xf numFmtId="194" fontId="124" fillId="18" borderId="0" xfId="10" applyNumberFormat="1" applyFont="1" applyFill="1"/>
    <xf numFmtId="43" fontId="27" fillId="2" borderId="0" xfId="10" applyNumberFormat="1" applyFill="1" applyAlignment="1">
      <alignment wrapText="1"/>
    </xf>
    <xf numFmtId="0" fontId="124" fillId="0" borderId="0" xfId="10" applyFont="1" applyAlignment="1">
      <alignment horizontal="center" wrapText="1"/>
    </xf>
    <xf numFmtId="0" fontId="27" fillId="3" borderId="0" xfId="10" applyFill="1" applyAlignment="1">
      <alignment horizontal="right"/>
    </xf>
    <xf numFmtId="39" fontId="27" fillId="3" borderId="0" xfId="12" applyNumberFormat="1" applyFont="1" applyFill="1" applyBorder="1" applyAlignment="1"/>
    <xf numFmtId="43" fontId="124" fillId="3" borderId="0" xfId="6" applyFont="1" applyFill="1" applyBorder="1" applyAlignment="1">
      <alignment horizontal="center"/>
    </xf>
    <xf numFmtId="0" fontId="27" fillId="3" borderId="0" xfId="10" applyFill="1" applyAlignment="1">
      <alignment wrapText="1"/>
    </xf>
    <xf numFmtId="39" fontId="27" fillId="3" borderId="0" xfId="10" applyNumberFormat="1" applyFill="1"/>
    <xf numFmtId="0" fontId="27" fillId="3" borderId="0" xfId="10" applyFill="1"/>
    <xf numFmtId="43" fontId="50" fillId="3" borderId="0" xfId="6" applyFont="1" applyFill="1" applyAlignment="1">
      <alignment wrapText="1"/>
    </xf>
    <xf numFmtId="167" fontId="50" fillId="3" borderId="0" xfId="10" applyNumberFormat="1" applyFont="1" applyFill="1" applyAlignment="1">
      <alignment wrapText="1"/>
    </xf>
    <xf numFmtId="194" fontId="27" fillId="0" borderId="0" xfId="10" applyNumberFormat="1"/>
    <xf numFmtId="39" fontId="124" fillId="19" borderId="0" xfId="12" applyNumberFormat="1" applyFont="1" applyFill="1" applyBorder="1" applyAlignment="1">
      <alignment horizontal="center"/>
    </xf>
    <xf numFmtId="14" fontId="27" fillId="19" borderId="0" xfId="10" applyNumberFormat="1" applyFill="1" applyAlignment="1">
      <alignment horizontal="center"/>
    </xf>
    <xf numFmtId="14" fontId="27" fillId="19" borderId="0" xfId="10" applyNumberFormat="1" applyFill="1" applyAlignment="1">
      <alignment horizontal="right"/>
    </xf>
    <xf numFmtId="39" fontId="124" fillId="3" borderId="0" xfId="12" applyNumberFormat="1" applyFont="1" applyFill="1" applyBorder="1" applyAlignment="1">
      <alignment horizontal="center"/>
    </xf>
    <xf numFmtId="43" fontId="126" fillId="19" borderId="0" xfId="11" applyFont="1" applyFill="1" applyBorder="1" applyAlignment="1">
      <alignment horizontal="right"/>
    </xf>
    <xf numFmtId="173" fontId="119" fillId="21" borderId="1" xfId="2" applyNumberFormat="1" applyFont="1" applyFill="1" applyBorder="1" applyAlignment="1">
      <alignment horizontal="center" vertical="center" wrapText="1"/>
    </xf>
    <xf numFmtId="167" fontId="119" fillId="21" borderId="1" xfId="1" applyFont="1" applyFill="1" applyBorder="1" applyAlignment="1">
      <alignment horizontal="center" vertical="center" wrapText="1"/>
    </xf>
    <xf numFmtId="167" fontId="7" fillId="2" borderId="1" xfId="0" applyNumberFormat="1" applyFont="1" applyFill="1" applyBorder="1" applyAlignment="1">
      <alignment vertical="center"/>
    </xf>
    <xf numFmtId="43" fontId="119" fillId="22" borderId="15" xfId="4" applyFont="1" applyFill="1" applyBorder="1" applyAlignment="1">
      <alignment horizontal="center" vertical="center" wrapText="1"/>
    </xf>
    <xf numFmtId="43" fontId="119" fillId="22" borderId="1" xfId="4" quotePrefix="1" applyFont="1" applyFill="1" applyBorder="1" applyAlignment="1">
      <alignment horizontal="center" vertical="center"/>
    </xf>
    <xf numFmtId="43" fontId="119" fillId="22" borderId="1" xfId="4" quotePrefix="1" applyFont="1" applyFill="1" applyBorder="1" applyAlignment="1">
      <alignment horizontal="center" vertical="center" wrapText="1"/>
    </xf>
    <xf numFmtId="0" fontId="10" fillId="2" borderId="0" xfId="0" applyFont="1" applyFill="1"/>
    <xf numFmtId="17" fontId="10" fillId="2" borderId="0" xfId="0" quotePrefix="1" applyNumberFormat="1" applyFont="1" applyFill="1" applyAlignment="1">
      <alignment horizontal="left"/>
    </xf>
    <xf numFmtId="167" fontId="22" fillId="2" borderId="111" xfId="0" applyNumberFormat="1" applyFont="1" applyFill="1" applyBorder="1" applyAlignment="1">
      <alignment horizontal="center" vertical="center"/>
    </xf>
    <xf numFmtId="0" fontId="22" fillId="2" borderId="111" xfId="0" quotePrefix="1" applyFont="1" applyFill="1" applyBorder="1" applyAlignment="1">
      <alignment horizontal="center" vertical="center"/>
    </xf>
    <xf numFmtId="0" fontId="22" fillId="0" borderId="1" xfId="0" applyFont="1" applyBorder="1" applyAlignment="1">
      <alignment horizontal="center" vertical="center"/>
    </xf>
    <xf numFmtId="185" fontId="22" fillId="2" borderId="111" xfId="0" applyNumberFormat="1" applyFont="1" applyFill="1" applyBorder="1" applyAlignment="1">
      <alignment vertical="center"/>
    </xf>
    <xf numFmtId="10" fontId="22" fillId="2" borderId="111" xfId="2" applyNumberFormat="1" applyFont="1" applyFill="1" applyBorder="1" applyAlignment="1">
      <alignment horizontal="center" vertical="center"/>
    </xf>
    <xf numFmtId="0" fontId="22" fillId="2" borderId="111" xfId="0" applyFont="1" applyFill="1" applyBorder="1" applyAlignment="1">
      <alignment horizontal="center" vertical="center"/>
    </xf>
    <xf numFmtId="167" fontId="22" fillId="2" borderId="1" xfId="0" applyNumberFormat="1" applyFont="1" applyFill="1" applyBorder="1" applyAlignment="1">
      <alignment horizontal="center" vertical="center"/>
    </xf>
    <xf numFmtId="0" fontId="22" fillId="2" borderId="1" xfId="0" quotePrefix="1" applyFont="1" applyFill="1" applyBorder="1" applyAlignment="1">
      <alignment horizontal="center" vertical="center"/>
    </xf>
    <xf numFmtId="185" fontId="22" fillId="2" borderId="1" xfId="0" applyNumberFormat="1" applyFont="1" applyFill="1" applyBorder="1" applyAlignment="1">
      <alignment vertical="center"/>
    </xf>
    <xf numFmtId="10" fontId="22" fillId="2" borderId="1" xfId="2" applyNumberFormat="1" applyFont="1" applyFill="1" applyBorder="1" applyAlignment="1">
      <alignment horizontal="center" vertical="center"/>
    </xf>
    <xf numFmtId="0" fontId="22" fillId="2" borderId="1" xfId="0" applyFont="1" applyFill="1" applyBorder="1" applyAlignment="1">
      <alignment horizontal="center" vertical="center"/>
    </xf>
    <xf numFmtId="0" fontId="122" fillId="5" borderId="115" xfId="0" applyFont="1" applyFill="1" applyBorder="1" applyAlignment="1">
      <alignment horizontal="center" vertical="center"/>
    </xf>
    <xf numFmtId="0" fontId="122" fillId="5" borderId="109" xfId="0" applyFont="1" applyFill="1" applyBorder="1" applyAlignment="1">
      <alignment horizontal="center" vertical="center"/>
    </xf>
    <xf numFmtId="0" fontId="122" fillId="5" borderId="110" xfId="0" applyFont="1" applyFill="1" applyBorder="1" applyAlignment="1">
      <alignment horizontal="center" vertical="center"/>
    </xf>
    <xf numFmtId="0" fontId="122" fillId="5" borderId="117" xfId="0" applyFont="1" applyFill="1" applyBorder="1" applyAlignment="1">
      <alignment horizontal="center" vertical="center"/>
    </xf>
    <xf numFmtId="0" fontId="122" fillId="5" borderId="109" xfId="0" applyFont="1" applyFill="1" applyBorder="1" applyAlignment="1">
      <alignment horizontal="center" vertical="center" wrapText="1"/>
    </xf>
    <xf numFmtId="10" fontId="122" fillId="5" borderId="109" xfId="2" applyNumberFormat="1" applyFont="1" applyFill="1" applyBorder="1" applyAlignment="1">
      <alignment horizontal="center" vertical="center"/>
    </xf>
    <xf numFmtId="0" fontId="122" fillId="5" borderId="110" xfId="0" applyFont="1" applyFill="1" applyBorder="1" applyAlignment="1">
      <alignment horizontal="center" vertical="center" wrapText="1"/>
    </xf>
    <xf numFmtId="0" fontId="23" fillId="0" borderId="0" xfId="0" applyFont="1"/>
    <xf numFmtId="0" fontId="119" fillId="2" borderId="1" xfId="0" applyFont="1" applyFill="1" applyBorder="1" applyAlignment="1">
      <alignment horizontal="center" vertical="center"/>
    </xf>
    <xf numFmtId="0" fontId="119" fillId="2" borderId="0" xfId="0" applyFont="1" applyFill="1" applyAlignment="1">
      <alignment horizontal="center" vertical="center"/>
    </xf>
    <xf numFmtId="10" fontId="119" fillId="2" borderId="0" xfId="0" applyNumberFormat="1" applyFont="1" applyFill="1" applyAlignment="1">
      <alignment horizontal="center" vertical="center"/>
    </xf>
    <xf numFmtId="0" fontId="0" fillId="5" borderId="0" xfId="0" applyFill="1"/>
    <xf numFmtId="17" fontId="0" fillId="0" borderId="0" xfId="0" applyNumberFormat="1"/>
    <xf numFmtId="0" fontId="94" fillId="24" borderId="0" xfId="0" applyFont="1" applyFill="1" applyAlignment="1">
      <alignment horizontal="left" vertical="center" wrapText="1"/>
    </xf>
    <xf numFmtId="0" fontId="94" fillId="24" borderId="1" xfId="7" applyFont="1" applyFill="1" applyBorder="1" applyAlignment="1">
      <alignment horizontal="center" vertical="center" wrapText="1"/>
    </xf>
    <xf numFmtId="2" fontId="94" fillId="24" borderId="1" xfId="7" applyNumberFormat="1" applyFont="1" applyFill="1" applyBorder="1" applyAlignment="1">
      <alignment horizontal="center" vertical="center" wrapText="1"/>
    </xf>
    <xf numFmtId="0" fontId="94" fillId="24" borderId="1" xfId="8" applyNumberFormat="1" applyFont="1" applyFill="1" applyBorder="1" applyAlignment="1">
      <alignment horizontal="center" vertical="center"/>
    </xf>
    <xf numFmtId="17" fontId="94" fillId="24" borderId="1" xfId="7" applyNumberFormat="1" applyFont="1" applyFill="1" applyBorder="1" applyAlignment="1">
      <alignment horizontal="center" vertical="center" wrapText="1"/>
    </xf>
    <xf numFmtId="0" fontId="93" fillId="24" borderId="1" xfId="8" applyNumberFormat="1" applyFont="1" applyFill="1" applyBorder="1" applyAlignment="1">
      <alignment horizontal="center" vertical="center"/>
    </xf>
    <xf numFmtId="17" fontId="93" fillId="24" borderId="1" xfId="7" applyNumberFormat="1" applyFont="1" applyFill="1" applyBorder="1" applyAlignment="1">
      <alignment horizontal="center" vertical="center" wrapText="1"/>
    </xf>
    <xf numFmtId="0" fontId="8" fillId="5" borderId="54" xfId="0" applyFont="1" applyFill="1" applyBorder="1" applyAlignment="1">
      <alignment vertical="center"/>
    </xf>
    <xf numFmtId="171" fontId="12" fillId="0" borderId="8" xfId="0" applyNumberFormat="1" applyFont="1" applyBorder="1" applyAlignment="1">
      <alignment vertical="center"/>
    </xf>
    <xf numFmtId="0" fontId="8" fillId="5" borderId="54" xfId="0" applyFont="1" applyFill="1" applyBorder="1" applyAlignment="1">
      <alignment horizontal="left" vertical="center"/>
    </xf>
    <xf numFmtId="0" fontId="14" fillId="0" borderId="54" xfId="0" applyFont="1" applyBorder="1" applyAlignment="1">
      <alignment vertical="center"/>
    </xf>
    <xf numFmtId="0" fontId="12" fillId="0" borderId="3" xfId="0" applyFont="1" applyBorder="1" applyAlignment="1">
      <alignment horizontal="center" vertical="center"/>
    </xf>
    <xf numFmtId="3" fontId="32" fillId="0" borderId="127" xfId="1" applyNumberFormat="1" applyFont="1" applyBorder="1" applyAlignment="1" applyProtection="1">
      <alignment horizontal="center" vertical="center"/>
    </xf>
    <xf numFmtId="0" fontId="5" fillId="5" borderId="54" xfId="0" applyFont="1" applyFill="1" applyBorder="1" applyAlignment="1">
      <alignment horizontal="left" vertical="center"/>
    </xf>
    <xf numFmtId="0" fontId="56" fillId="5" borderId="54" xfId="0" applyFont="1" applyFill="1" applyBorder="1" applyAlignment="1">
      <alignment horizontal="left" vertical="center"/>
    </xf>
    <xf numFmtId="3" fontId="32" fillId="0" borderId="1" xfId="1" applyNumberFormat="1" applyFont="1" applyBorder="1" applyAlignment="1" applyProtection="1">
      <alignment horizontal="center" vertical="center"/>
    </xf>
    <xf numFmtId="173" fontId="17" fillId="0" borderId="1" xfId="2" applyNumberFormat="1" applyFont="1" applyBorder="1" applyAlignment="1" applyProtection="1">
      <alignment horizontal="center" vertical="center"/>
    </xf>
    <xf numFmtId="0" fontId="40" fillId="0" borderId="0" xfId="0" applyFont="1" applyAlignment="1">
      <alignment vertical="center"/>
    </xf>
    <xf numFmtId="180" fontId="12" fillId="0" borderId="0" xfId="0" applyNumberFormat="1" applyFont="1"/>
    <xf numFmtId="3" fontId="17" fillId="0" borderId="82" xfId="0" applyNumberFormat="1" applyFont="1" applyBorder="1" applyAlignment="1" applyProtection="1">
      <alignment horizontal="center" vertical="center"/>
      <protection locked="0"/>
    </xf>
    <xf numFmtId="0" fontId="119" fillId="2" borderId="1" xfId="0" applyFont="1" applyFill="1" applyBorder="1" applyAlignment="1">
      <alignment horizontal="center" vertical="center" wrapText="1"/>
    </xf>
    <xf numFmtId="10" fontId="119" fillId="2" borderId="1" xfId="2" applyNumberFormat="1" applyFont="1" applyFill="1" applyBorder="1" applyAlignment="1">
      <alignment horizontal="center" vertical="center"/>
    </xf>
    <xf numFmtId="10" fontId="51" fillId="15" borderId="1" xfId="2" applyNumberFormat="1" applyFont="1" applyFill="1" applyBorder="1" applyAlignment="1">
      <alignment horizontal="center" vertical="center" wrapText="1"/>
    </xf>
    <xf numFmtId="0" fontId="118" fillId="15" borderId="1" xfId="7" applyFont="1" applyFill="1" applyBorder="1" applyAlignment="1">
      <alignment horizontal="center" vertical="center" wrapText="1"/>
    </xf>
    <xf numFmtId="17" fontId="94" fillId="24" borderId="16" xfId="7" applyNumberFormat="1" applyFont="1" applyFill="1" applyBorder="1" applyAlignment="1">
      <alignment horizontal="center" vertical="center"/>
    </xf>
    <xf numFmtId="0" fontId="94" fillId="2" borderId="1" xfId="0" applyFont="1" applyFill="1" applyBorder="1" applyAlignment="1">
      <alignment vertical="center"/>
    </xf>
    <xf numFmtId="0" fontId="94" fillId="24" borderId="1" xfId="0" applyFont="1" applyFill="1" applyBorder="1" applyAlignment="1">
      <alignment vertical="center"/>
    </xf>
    <xf numFmtId="167" fontId="110" fillId="24" borderId="1" xfId="1" applyFont="1" applyFill="1" applyBorder="1" applyAlignment="1">
      <alignment horizontal="center" vertical="center"/>
    </xf>
    <xf numFmtId="9" fontId="110" fillId="24" borderId="1" xfId="1" applyNumberFormat="1" applyFont="1" applyFill="1" applyBorder="1" applyAlignment="1">
      <alignment horizontal="center" vertical="center"/>
    </xf>
    <xf numFmtId="167" fontId="93" fillId="24" borderId="1" xfId="1" applyFont="1" applyFill="1" applyBorder="1" applyAlignment="1">
      <alignment horizontal="center" vertical="center"/>
    </xf>
    <xf numFmtId="0" fontId="118" fillId="24" borderId="1" xfId="7" applyFont="1" applyFill="1" applyBorder="1" applyAlignment="1">
      <alignment horizontal="center" vertical="center" wrapText="1"/>
    </xf>
    <xf numFmtId="167" fontId="118" fillId="24" borderId="1" xfId="1" applyFont="1" applyFill="1" applyBorder="1" applyAlignment="1">
      <alignment horizontal="center" vertical="center" wrapText="1"/>
    </xf>
    <xf numFmtId="167" fontId="94" fillId="24" borderId="1" xfId="1" applyFont="1" applyFill="1" applyBorder="1" applyAlignment="1">
      <alignment horizontal="center" vertical="center" wrapText="1"/>
    </xf>
    <xf numFmtId="167" fontId="22" fillId="24" borderId="0" xfId="1" applyFont="1" applyFill="1" applyAlignment="1">
      <alignment horizontal="center" vertical="center"/>
    </xf>
    <xf numFmtId="0" fontId="119" fillId="2" borderId="0" xfId="0" applyFont="1" applyFill="1" applyAlignment="1">
      <alignment vertical="center"/>
    </xf>
    <xf numFmtId="167" fontId="29" fillId="2" borderId="0" xfId="0" applyNumberFormat="1" applyFont="1" applyFill="1" applyAlignment="1">
      <alignment vertical="center"/>
    </xf>
    <xf numFmtId="167" fontId="14" fillId="0" borderId="0" xfId="1" applyFont="1" applyBorder="1" applyAlignment="1" applyProtection="1">
      <alignment horizontal="center" vertical="center"/>
    </xf>
    <xf numFmtId="187" fontId="22" fillId="0" borderId="1" xfId="4" applyNumberFormat="1" applyFont="1" applyFill="1" applyBorder="1" applyAlignment="1">
      <alignment horizontal="center" vertical="center"/>
    </xf>
    <xf numFmtId="43" fontId="119" fillId="3" borderId="1" xfId="4" applyFont="1" applyFill="1" applyBorder="1" applyAlignment="1">
      <alignment horizontal="center" vertical="center" wrapText="1"/>
    </xf>
    <xf numFmtId="0" fontId="94" fillId="2" borderId="0" xfId="1" applyNumberFormat="1" applyFont="1" applyFill="1" applyAlignment="1">
      <alignment horizontal="left" vertical="center"/>
    </xf>
    <xf numFmtId="167" fontId="118" fillId="2" borderId="0" xfId="1" applyFont="1" applyFill="1" applyAlignment="1">
      <alignment vertical="center"/>
    </xf>
    <xf numFmtId="0" fontId="118" fillId="2" borderId="0" xfId="1" applyNumberFormat="1" applyFont="1" applyFill="1" applyAlignment="1">
      <alignment vertical="center"/>
    </xf>
    <xf numFmtId="0" fontId="118" fillId="2" borderId="0" xfId="0" applyFont="1" applyFill="1" applyAlignment="1">
      <alignment vertical="center"/>
    </xf>
    <xf numFmtId="0" fontId="93" fillId="2" borderId="0" xfId="0" applyFont="1" applyFill="1" applyAlignment="1">
      <alignment horizontal="center" vertical="center"/>
    </xf>
    <xf numFmtId="167" fontId="22" fillId="2" borderId="0" xfId="1" applyFont="1" applyFill="1" applyAlignment="1">
      <alignment vertical="center"/>
    </xf>
    <xf numFmtId="0" fontId="29" fillId="2" borderId="0" xfId="0" applyFont="1" applyFill="1" applyAlignment="1">
      <alignment vertical="center"/>
    </xf>
    <xf numFmtId="0" fontId="22" fillId="2" borderId="0" xfId="0" applyFont="1" applyFill="1" applyAlignment="1">
      <alignment horizontal="center" vertical="center"/>
    </xf>
    <xf numFmtId="0" fontId="93" fillId="2" borderId="0" xfId="0" applyFont="1" applyFill="1" applyAlignment="1">
      <alignment vertical="center"/>
    </xf>
    <xf numFmtId="167" fontId="29" fillId="2" borderId="0" xfId="1" applyFont="1" applyFill="1" applyAlignment="1">
      <alignment vertical="center"/>
    </xf>
    <xf numFmtId="167" fontId="22" fillId="24" borderId="0" xfId="1" applyFont="1" applyFill="1" applyAlignment="1">
      <alignment vertical="center"/>
    </xf>
    <xf numFmtId="10" fontId="93" fillId="2" borderId="0" xfId="2" applyNumberFormat="1" applyFont="1" applyFill="1" applyAlignment="1">
      <alignment horizontal="center" vertical="center"/>
    </xf>
    <xf numFmtId="10" fontId="22" fillId="2" borderId="0" xfId="2" applyNumberFormat="1" applyFont="1" applyFill="1" applyAlignment="1">
      <alignment vertical="center"/>
    </xf>
    <xf numFmtId="0" fontId="22" fillId="24" borderId="0" xfId="0" applyFont="1" applyFill="1" applyAlignment="1">
      <alignment horizontal="center" vertical="center"/>
    </xf>
    <xf numFmtId="0" fontId="22" fillId="24" borderId="0" xfId="0" applyFont="1" applyFill="1" applyAlignment="1">
      <alignment vertical="center"/>
    </xf>
    <xf numFmtId="0" fontId="29" fillId="2" borderId="0" xfId="0" applyFont="1" applyFill="1" applyAlignment="1">
      <alignment horizontal="center" vertical="center"/>
    </xf>
    <xf numFmtId="0" fontId="29" fillId="5" borderId="0" xfId="0" applyFont="1" applyFill="1" applyAlignment="1">
      <alignment vertical="center"/>
    </xf>
    <xf numFmtId="9" fontId="22" fillId="2" borderId="0" xfId="0" applyNumberFormat="1" applyFont="1" applyFill="1" applyAlignment="1">
      <alignment horizontal="center" vertical="center"/>
    </xf>
    <xf numFmtId="0" fontId="22" fillId="2" borderId="0" xfId="0" applyFont="1" applyFill="1" applyAlignment="1">
      <alignment horizontal="right" vertical="center"/>
    </xf>
    <xf numFmtId="167" fontId="119" fillId="23" borderId="0" xfId="0" applyNumberFormat="1" applyFont="1" applyFill="1" applyAlignment="1">
      <alignment horizontal="center" vertical="center"/>
    </xf>
    <xf numFmtId="0" fontId="22" fillId="23" borderId="0" xfId="0" applyFont="1" applyFill="1" applyAlignment="1">
      <alignment vertical="center"/>
    </xf>
    <xf numFmtId="0" fontId="22" fillId="5" borderId="0" xfId="0" applyFont="1" applyFill="1" applyAlignment="1">
      <alignment vertical="center"/>
    </xf>
    <xf numFmtId="0" fontId="22" fillId="17" borderId="0" xfId="0" applyFont="1" applyFill="1" applyAlignment="1">
      <alignment vertical="center"/>
    </xf>
    <xf numFmtId="0" fontId="22" fillId="11" borderId="0" xfId="0" applyFont="1" applyFill="1" applyAlignment="1">
      <alignment vertical="center"/>
    </xf>
    <xf numFmtId="167" fontId="93" fillId="2" borderId="0" xfId="1" applyFont="1" applyFill="1" applyAlignment="1">
      <alignment horizontal="center" vertical="center"/>
    </xf>
    <xf numFmtId="10" fontId="94" fillId="2" borderId="0" xfId="2" applyNumberFormat="1" applyFont="1" applyFill="1" applyBorder="1" applyAlignment="1">
      <alignment horizontal="center" vertical="center"/>
    </xf>
    <xf numFmtId="165" fontId="22" fillId="2" borderId="0" xfId="0" applyNumberFormat="1" applyFont="1" applyFill="1" applyAlignment="1">
      <alignment vertical="center"/>
    </xf>
    <xf numFmtId="9" fontId="22" fillId="2" borderId="0" xfId="0" applyNumberFormat="1" applyFont="1" applyFill="1" applyAlignment="1">
      <alignment vertical="center"/>
    </xf>
    <xf numFmtId="167" fontId="22" fillId="23" borderId="0" xfId="0" applyNumberFormat="1" applyFont="1" applyFill="1" applyAlignment="1">
      <alignment horizontal="center" vertical="center"/>
    </xf>
    <xf numFmtId="10" fontId="22" fillId="2" borderId="0" xfId="2" applyNumberFormat="1" applyFont="1" applyFill="1" applyAlignment="1">
      <alignment horizontal="center" vertical="center"/>
    </xf>
    <xf numFmtId="0" fontId="51" fillId="2" borderId="0" xfId="0" applyFont="1" applyFill="1" applyAlignment="1">
      <alignment vertical="center"/>
    </xf>
    <xf numFmtId="0" fontId="94" fillId="2" borderId="0" xfId="0" quotePrefix="1" applyFont="1" applyFill="1" applyAlignment="1">
      <alignment horizontal="center" vertical="center"/>
    </xf>
    <xf numFmtId="167" fontId="118" fillId="2" borderId="0" xfId="1" quotePrefix="1" applyFont="1" applyFill="1" applyAlignment="1">
      <alignment horizontal="left" vertical="center"/>
    </xf>
    <xf numFmtId="0" fontId="118" fillId="2" borderId="0" xfId="1" quotePrefix="1" applyNumberFormat="1" applyFont="1" applyFill="1" applyAlignment="1">
      <alignment horizontal="left" vertical="center"/>
    </xf>
    <xf numFmtId="167" fontId="93" fillId="2" borderId="0" xfId="0" applyNumberFormat="1" applyFont="1" applyFill="1" applyAlignment="1">
      <alignment horizontal="center" vertical="center"/>
    </xf>
    <xf numFmtId="167" fontId="29" fillId="2" borderId="0" xfId="1" applyFont="1" applyFill="1" applyAlignment="1">
      <alignment horizontal="center" vertical="center"/>
    </xf>
    <xf numFmtId="167" fontId="22" fillId="2" borderId="0" xfId="1" applyFont="1" applyFill="1" applyAlignment="1">
      <alignment horizontal="center" vertical="center"/>
    </xf>
    <xf numFmtId="185" fontId="94" fillId="2" borderId="0" xfId="0" applyNumberFormat="1" applyFont="1" applyFill="1" applyAlignment="1">
      <alignment vertical="center"/>
    </xf>
    <xf numFmtId="185" fontId="118" fillId="2" borderId="0" xfId="0" applyNumberFormat="1" applyFont="1" applyFill="1" applyAlignment="1">
      <alignment vertical="center"/>
    </xf>
    <xf numFmtId="0" fontId="27" fillId="2" borderId="0" xfId="0" applyFont="1" applyFill="1" applyAlignment="1">
      <alignment vertical="center"/>
    </xf>
    <xf numFmtId="0" fontId="119" fillId="3" borderId="0" xfId="0" applyFont="1" applyFill="1" applyAlignment="1">
      <alignment vertical="center"/>
    </xf>
    <xf numFmtId="0" fontId="110" fillId="2" borderId="0" xfId="0" applyFont="1" applyFill="1" applyAlignment="1">
      <alignment horizontal="center" vertical="center"/>
    </xf>
    <xf numFmtId="17" fontId="119" fillId="24" borderId="1" xfId="0" applyNumberFormat="1" applyFont="1" applyFill="1" applyBorder="1" applyAlignment="1">
      <alignment horizontal="center" vertical="center"/>
    </xf>
    <xf numFmtId="0" fontId="94" fillId="24" borderId="0" xfId="7" applyFont="1" applyFill="1" applyAlignment="1">
      <alignment horizontal="center" vertical="center" wrapText="1"/>
    </xf>
    <xf numFmtId="9" fontId="22" fillId="2" borderId="0" xfId="1" applyNumberFormat="1" applyFont="1" applyFill="1" applyAlignment="1">
      <alignment vertical="center"/>
    </xf>
    <xf numFmtId="185" fontId="94" fillId="2" borderId="0" xfId="0" applyNumberFormat="1" applyFont="1" applyFill="1" applyAlignment="1">
      <alignment horizontal="center" vertical="center"/>
    </xf>
    <xf numFmtId="185" fontId="118" fillId="2" borderId="0" xfId="0" applyNumberFormat="1" applyFont="1" applyFill="1" applyAlignment="1">
      <alignment horizontal="center" vertical="center"/>
    </xf>
    <xf numFmtId="10" fontId="94" fillId="2" borderId="0" xfId="2" applyNumberFormat="1" applyFont="1" applyFill="1" applyAlignment="1">
      <alignment horizontal="center" vertical="center"/>
    </xf>
    <xf numFmtId="10" fontId="118" fillId="21" borderId="0" xfId="2" applyNumberFormat="1" applyFont="1" applyFill="1" applyBorder="1" applyAlignment="1">
      <alignment horizontal="center" vertical="center"/>
    </xf>
    <xf numFmtId="1" fontId="93" fillId="3" borderId="0" xfId="0" applyNumberFormat="1" applyFont="1" applyFill="1" applyAlignment="1">
      <alignment horizontal="center" vertical="center"/>
    </xf>
    <xf numFmtId="10" fontId="94" fillId="3" borderId="0" xfId="0" applyNumberFormat="1" applyFont="1" applyFill="1" applyAlignment="1">
      <alignment horizontal="center" vertical="center"/>
    </xf>
    <xf numFmtId="186" fontId="93" fillId="2" borderId="0" xfId="0" applyNumberFormat="1" applyFont="1" applyFill="1" applyAlignment="1">
      <alignment horizontal="center" vertical="center"/>
    </xf>
    <xf numFmtId="187" fontId="22" fillId="2" borderId="0" xfId="1" applyNumberFormat="1" applyFont="1" applyFill="1" applyAlignment="1">
      <alignment vertical="center"/>
    </xf>
    <xf numFmtId="10" fontId="119" fillId="2" borderId="0" xfId="2" applyNumberFormat="1" applyFont="1" applyFill="1" applyAlignment="1">
      <alignment vertical="center"/>
    </xf>
    <xf numFmtId="0" fontId="93" fillId="24" borderId="0" xfId="0" applyFont="1" applyFill="1" applyAlignment="1">
      <alignment horizontal="center" vertical="center"/>
    </xf>
    <xf numFmtId="0" fontId="94" fillId="24" borderId="16" xfId="0" applyFont="1" applyFill="1" applyBorder="1" applyAlignment="1">
      <alignment horizontal="center" vertical="center" wrapText="1"/>
    </xf>
    <xf numFmtId="0" fontId="94" fillId="2" borderId="0" xfId="0" applyFont="1" applyFill="1" applyAlignment="1">
      <alignment horizontal="center" vertical="center"/>
    </xf>
    <xf numFmtId="0" fontId="93" fillId="2" borderId="0" xfId="0" applyFont="1" applyFill="1" applyAlignment="1">
      <alignment horizontal="center" vertical="center" wrapText="1"/>
    </xf>
    <xf numFmtId="17" fontId="119" fillId="23" borderId="0" xfId="0" applyNumberFormat="1" applyFont="1" applyFill="1" applyAlignment="1">
      <alignment horizontal="center" vertical="center"/>
    </xf>
    <xf numFmtId="17" fontId="119" fillId="5" borderId="0" xfId="0" applyNumberFormat="1" applyFont="1" applyFill="1" applyAlignment="1">
      <alignment horizontal="center" vertical="center"/>
    </xf>
    <xf numFmtId="10" fontId="119" fillId="17" borderId="0" xfId="0" applyNumberFormat="1" applyFont="1" applyFill="1" applyAlignment="1">
      <alignment vertical="center"/>
    </xf>
    <xf numFmtId="0" fontId="119" fillId="17" borderId="0" xfId="0" applyFont="1" applyFill="1" applyAlignment="1">
      <alignment vertical="center"/>
    </xf>
    <xf numFmtId="0" fontId="119" fillId="11" borderId="0" xfId="0" applyFont="1" applyFill="1" applyAlignment="1">
      <alignment horizontal="center" vertical="center"/>
    </xf>
    <xf numFmtId="0" fontId="119" fillId="2" borderId="1" xfId="0" applyFont="1" applyFill="1" applyBorder="1" applyAlignment="1">
      <alignment vertical="center"/>
    </xf>
    <xf numFmtId="0" fontId="119" fillId="17" borderId="1" xfId="0" applyFont="1" applyFill="1" applyBorder="1" applyAlignment="1">
      <alignment horizontal="center" vertical="center"/>
    </xf>
    <xf numFmtId="0" fontId="51" fillId="2" borderId="1" xfId="0" applyFont="1" applyFill="1" applyBorder="1" applyAlignment="1">
      <alignment horizontal="center" vertical="center"/>
    </xf>
    <xf numFmtId="0" fontId="51" fillId="2" borderId="0" xfId="0" applyFont="1" applyFill="1" applyAlignment="1">
      <alignment horizontal="center" vertical="center"/>
    </xf>
    <xf numFmtId="0" fontId="51" fillId="5" borderId="0" xfId="0" applyFont="1" applyFill="1" applyAlignment="1">
      <alignment horizontal="center" vertical="center"/>
    </xf>
    <xf numFmtId="0" fontId="119" fillId="23" borderId="0" xfId="0" quotePrefix="1" applyFont="1" applyFill="1" applyAlignment="1">
      <alignment horizontal="center" vertical="center"/>
    </xf>
    <xf numFmtId="0" fontId="119" fillId="5" borderId="0" xfId="0" quotePrefix="1" applyFont="1" applyFill="1" applyAlignment="1">
      <alignment horizontal="center" vertical="center"/>
    </xf>
    <xf numFmtId="0" fontId="119" fillId="2" borderId="0" xfId="0" applyFont="1" applyFill="1" applyAlignment="1">
      <alignment vertical="center" wrapText="1"/>
    </xf>
    <xf numFmtId="167" fontId="119" fillId="2" borderId="0" xfId="1" applyFont="1" applyFill="1" applyAlignment="1">
      <alignment vertical="center" wrapText="1"/>
    </xf>
    <xf numFmtId="0" fontId="119" fillId="5" borderId="0" xfId="0" applyFont="1" applyFill="1" applyAlignment="1">
      <alignment vertical="center"/>
    </xf>
    <xf numFmtId="167" fontId="110" fillId="2" borderId="1" xfId="1" applyFont="1" applyFill="1" applyBorder="1" applyAlignment="1">
      <alignment vertical="center"/>
    </xf>
    <xf numFmtId="167" fontId="93" fillId="2" borderId="1" xfId="1" applyFont="1" applyFill="1" applyBorder="1" applyAlignment="1">
      <alignment vertical="center"/>
    </xf>
    <xf numFmtId="167" fontId="93" fillId="24" borderId="1" xfId="1" applyFont="1" applyFill="1" applyBorder="1" applyAlignment="1">
      <alignment vertical="center"/>
    </xf>
    <xf numFmtId="185" fontId="93" fillId="2" borderId="1" xfId="0" applyNumberFormat="1" applyFont="1" applyFill="1" applyBorder="1" applyAlignment="1">
      <alignment vertical="center"/>
    </xf>
    <xf numFmtId="185" fontId="110" fillId="2" borderId="1" xfId="0" applyNumberFormat="1" applyFont="1" applyFill="1" applyBorder="1" applyAlignment="1">
      <alignment vertical="center"/>
    </xf>
    <xf numFmtId="185" fontId="93" fillId="2" borderId="1" xfId="0" applyNumberFormat="1" applyFont="1" applyFill="1" applyBorder="1" applyAlignment="1">
      <alignment horizontal="center" vertical="center"/>
    </xf>
    <xf numFmtId="10" fontId="93" fillId="2" borderId="1" xfId="2" applyNumberFormat="1" applyFont="1" applyFill="1" applyBorder="1" applyAlignment="1">
      <alignment horizontal="center" vertical="center"/>
    </xf>
    <xf numFmtId="1" fontId="93" fillId="2" borderId="1" xfId="0" applyNumberFormat="1" applyFont="1" applyFill="1" applyBorder="1" applyAlignment="1">
      <alignment horizontal="center" vertical="center"/>
    </xf>
    <xf numFmtId="43" fontId="22" fillId="2" borderId="1" xfId="4" applyFont="1" applyFill="1" applyBorder="1" applyAlignment="1">
      <alignment vertical="center"/>
    </xf>
    <xf numFmtId="10" fontId="29" fillId="2" borderId="1" xfId="2" applyNumberFormat="1" applyFont="1" applyFill="1" applyBorder="1" applyAlignment="1">
      <alignment vertical="center"/>
    </xf>
    <xf numFmtId="10" fontId="119" fillId="2" borderId="1" xfId="2" applyNumberFormat="1" applyFont="1" applyFill="1" applyBorder="1" applyAlignment="1">
      <alignment vertical="center"/>
    </xf>
    <xf numFmtId="0" fontId="119" fillId="24" borderId="1" xfId="0" applyFont="1" applyFill="1" applyBorder="1" applyAlignment="1">
      <alignment vertical="center"/>
    </xf>
    <xf numFmtId="167" fontId="119" fillId="2" borderId="1" xfId="1" applyFont="1" applyFill="1" applyBorder="1" applyAlignment="1">
      <alignment vertical="center"/>
    </xf>
    <xf numFmtId="0" fontId="108" fillId="3" borderId="1" xfId="0" applyFont="1" applyFill="1" applyBorder="1" applyAlignment="1">
      <alignment horizontal="center" vertical="center"/>
    </xf>
    <xf numFmtId="0" fontId="121" fillId="3" borderId="1" xfId="0" applyFont="1" applyFill="1" applyBorder="1" applyAlignment="1">
      <alignment vertical="center"/>
    </xf>
    <xf numFmtId="0" fontId="121" fillId="3" borderId="1" xfId="0" applyFont="1" applyFill="1" applyBorder="1" applyAlignment="1">
      <alignment horizontal="center" vertical="center"/>
    </xf>
    <xf numFmtId="167" fontId="119" fillId="2" borderId="0" xfId="0" applyNumberFormat="1" applyFont="1" applyFill="1" applyAlignment="1">
      <alignment vertical="center"/>
    </xf>
    <xf numFmtId="0" fontId="84" fillId="0" borderId="97" xfId="0" applyFont="1" applyBorder="1" applyAlignment="1">
      <alignment vertical="center"/>
    </xf>
    <xf numFmtId="185" fontId="84" fillId="0" borderId="97" xfId="0" applyNumberFormat="1" applyFont="1" applyBorder="1" applyAlignment="1">
      <alignment vertical="center"/>
    </xf>
    <xf numFmtId="0" fontId="80" fillId="0" borderId="97" xfId="0" applyFont="1" applyBorder="1" applyAlignment="1">
      <alignment vertical="center"/>
    </xf>
    <xf numFmtId="0" fontId="80" fillId="0" borderId="98" xfId="0" applyFont="1" applyBorder="1" applyAlignment="1">
      <alignment vertical="center"/>
    </xf>
    <xf numFmtId="167" fontId="119" fillId="2" borderId="1" xfId="0" applyNumberFormat="1" applyFont="1" applyFill="1" applyBorder="1" applyAlignment="1">
      <alignment horizontal="center" vertical="center"/>
    </xf>
    <xf numFmtId="0" fontId="51" fillId="2" borderId="1" xfId="0" applyFont="1" applyFill="1" applyBorder="1" applyAlignment="1">
      <alignment vertical="center"/>
    </xf>
    <xf numFmtId="0" fontId="51" fillId="5" borderId="0" xfId="0" applyFont="1" applyFill="1" applyAlignment="1">
      <alignment vertical="center"/>
    </xf>
    <xf numFmtId="185" fontId="119" fillId="23" borderId="0" xfId="0" applyNumberFormat="1" applyFont="1" applyFill="1" applyAlignment="1">
      <alignment horizontal="center" vertical="center"/>
    </xf>
    <xf numFmtId="185" fontId="119" fillId="23" borderId="0" xfId="0" applyNumberFormat="1" applyFont="1" applyFill="1" applyAlignment="1">
      <alignment vertical="center"/>
    </xf>
    <xf numFmtId="185" fontId="119" fillId="2" borderId="0" xfId="0" applyNumberFormat="1" applyFont="1" applyFill="1" applyAlignment="1">
      <alignment vertical="center"/>
    </xf>
    <xf numFmtId="10" fontId="119" fillId="2" borderId="0" xfId="0" applyNumberFormat="1" applyFont="1" applyFill="1" applyAlignment="1">
      <alignment vertical="center"/>
    </xf>
    <xf numFmtId="167" fontId="119" fillId="2" borderId="0" xfId="1" applyFont="1" applyFill="1" applyAlignment="1">
      <alignment vertical="center"/>
    </xf>
    <xf numFmtId="167" fontId="22" fillId="2" borderId="1" xfId="0" applyNumberFormat="1" applyFont="1" applyFill="1" applyBorder="1" applyAlignment="1">
      <alignment vertical="center"/>
    </xf>
    <xf numFmtId="10" fontId="22" fillId="2" borderId="1" xfId="0" applyNumberFormat="1" applyFont="1" applyFill="1" applyBorder="1" applyAlignment="1">
      <alignment horizontal="center" vertical="center"/>
    </xf>
    <xf numFmtId="167" fontId="119" fillId="2" borderId="0" xfId="1" applyFont="1" applyFill="1" applyBorder="1" applyAlignment="1">
      <alignment vertical="center"/>
    </xf>
    <xf numFmtId="0" fontId="80" fillId="0" borderId="112" xfId="0" applyFont="1" applyBorder="1" applyAlignment="1">
      <alignment vertical="center"/>
    </xf>
    <xf numFmtId="0" fontId="84" fillId="0" borderId="13" xfId="0" applyFont="1" applyBorder="1" applyAlignment="1">
      <alignment horizontal="center" vertical="center"/>
    </xf>
    <xf numFmtId="0" fontId="84" fillId="0" borderId="100" xfId="0" applyFont="1" applyBorder="1" applyAlignment="1">
      <alignment horizontal="center" vertical="center"/>
    </xf>
    <xf numFmtId="1" fontId="22" fillId="22" borderId="1" xfId="1" applyNumberFormat="1" applyFont="1" applyFill="1" applyBorder="1" applyAlignment="1">
      <alignment horizontal="center" vertical="center"/>
    </xf>
    <xf numFmtId="17" fontId="22" fillId="22" borderId="1" xfId="0" applyNumberFormat="1" applyFont="1" applyFill="1" applyBorder="1" applyAlignment="1">
      <alignment horizontal="center" vertical="center"/>
    </xf>
    <xf numFmtId="0" fontId="22" fillId="22" borderId="1" xfId="0" applyFont="1" applyFill="1" applyBorder="1" applyAlignment="1">
      <alignment vertical="center"/>
    </xf>
    <xf numFmtId="17" fontId="29" fillId="22" borderId="1" xfId="0" applyNumberFormat="1" applyFont="1" applyFill="1" applyBorder="1" applyAlignment="1">
      <alignment horizontal="center" vertical="center"/>
    </xf>
    <xf numFmtId="17" fontId="22" fillId="2" borderId="1" xfId="0" applyNumberFormat="1" applyFont="1" applyFill="1" applyBorder="1" applyAlignment="1">
      <alignment horizontal="center" vertical="center"/>
    </xf>
    <xf numFmtId="17" fontId="22" fillId="2" borderId="0" xfId="0" applyNumberFormat="1" applyFont="1" applyFill="1" applyAlignment="1">
      <alignment horizontal="center" vertical="center"/>
    </xf>
    <xf numFmtId="185" fontId="80" fillId="0" borderId="13" xfId="0" applyNumberFormat="1" applyFont="1" applyBorder="1" applyAlignment="1">
      <alignment vertical="center"/>
    </xf>
    <xf numFmtId="185" fontId="80" fillId="0" borderId="100" xfId="0" applyNumberFormat="1" applyFont="1" applyBorder="1" applyAlignment="1">
      <alignment vertical="center"/>
    </xf>
    <xf numFmtId="1" fontId="22" fillId="2" borderId="1" xfId="1" applyNumberFormat="1" applyFont="1" applyFill="1" applyBorder="1" applyAlignment="1">
      <alignment vertical="center"/>
    </xf>
    <xf numFmtId="0" fontId="84" fillId="0" borderId="113" xfId="0" applyFont="1" applyBorder="1" applyAlignment="1">
      <alignment vertical="center"/>
    </xf>
    <xf numFmtId="185" fontId="84" fillId="0" borderId="102" xfId="0" applyNumberFormat="1" applyFont="1" applyBorder="1" applyAlignment="1">
      <alignment vertical="center"/>
    </xf>
    <xf numFmtId="0" fontId="84" fillId="0" borderId="103" xfId="0" applyFont="1" applyBorder="1" applyAlignment="1">
      <alignment vertical="center"/>
    </xf>
    <xf numFmtId="0" fontId="110" fillId="2" borderId="1" xfId="1" quotePrefix="1" applyNumberFormat="1" applyFont="1" applyFill="1" applyBorder="1" applyAlignment="1">
      <alignment horizontal="center" vertical="center"/>
    </xf>
    <xf numFmtId="0" fontId="29" fillId="2" borderId="1" xfId="0" applyFont="1" applyFill="1" applyBorder="1" applyAlignment="1">
      <alignment horizontal="center" vertical="center"/>
    </xf>
    <xf numFmtId="0" fontId="0" fillId="2" borderId="0" xfId="0" applyFill="1" applyAlignment="1">
      <alignment vertical="center"/>
    </xf>
    <xf numFmtId="0" fontId="97" fillId="0" borderId="0" xfId="0" applyFont="1" applyAlignment="1">
      <alignment vertical="center"/>
    </xf>
    <xf numFmtId="0" fontId="49" fillId="2" borderId="0" xfId="0" applyFont="1" applyFill="1" applyAlignment="1">
      <alignment vertical="center"/>
    </xf>
    <xf numFmtId="17" fontId="22" fillId="24" borderId="1" xfId="0" applyNumberFormat="1" applyFont="1" applyFill="1" applyBorder="1" applyAlignment="1">
      <alignment horizontal="center" vertical="center"/>
    </xf>
    <xf numFmtId="0" fontId="22" fillId="24" borderId="1" xfId="0" applyFont="1" applyFill="1" applyBorder="1" applyAlignment="1">
      <alignment vertical="center"/>
    </xf>
    <xf numFmtId="0" fontId="22" fillId="3" borderId="1" xfId="0" applyFont="1" applyFill="1" applyBorder="1" applyAlignment="1">
      <alignment vertical="center"/>
    </xf>
    <xf numFmtId="167" fontId="22" fillId="3" borderId="1" xfId="1" applyFont="1" applyFill="1" applyBorder="1" applyAlignment="1">
      <alignment vertical="center"/>
    </xf>
    <xf numFmtId="0" fontId="85" fillId="3" borderId="1" xfId="0" applyFont="1" applyFill="1" applyBorder="1" applyAlignment="1">
      <alignment horizontal="center" vertical="center"/>
    </xf>
    <xf numFmtId="0" fontId="110" fillId="3" borderId="1" xfId="0" applyFont="1" applyFill="1" applyBorder="1" applyAlignment="1">
      <alignment vertical="center"/>
    </xf>
    <xf numFmtId="0" fontId="110" fillId="3" borderId="1" xfId="0" applyFont="1" applyFill="1" applyBorder="1" applyAlignment="1">
      <alignment horizontal="center" vertical="center"/>
    </xf>
    <xf numFmtId="0" fontId="22" fillId="2" borderId="1" xfId="0" applyFont="1" applyFill="1" applyBorder="1" applyAlignment="1">
      <alignment vertical="center"/>
    </xf>
    <xf numFmtId="0" fontId="1" fillId="2" borderId="0" xfId="0" applyFont="1" applyFill="1" applyAlignment="1">
      <alignment vertical="center"/>
    </xf>
    <xf numFmtId="0" fontId="22" fillId="3" borderId="0" xfId="0" applyFont="1" applyFill="1" applyAlignment="1">
      <alignment vertical="center"/>
    </xf>
    <xf numFmtId="167" fontId="22" fillId="2" borderId="1" xfId="1" applyFont="1" applyFill="1" applyBorder="1" applyAlignment="1">
      <alignment vertical="center"/>
    </xf>
    <xf numFmtId="0" fontId="121" fillId="0" borderId="1" xfId="0" applyFont="1" applyBorder="1" applyAlignment="1">
      <alignment vertical="center"/>
    </xf>
    <xf numFmtId="0" fontId="121" fillId="0" borderId="1" xfId="0" applyFont="1" applyBorder="1" applyAlignment="1">
      <alignment horizontal="center" vertical="center"/>
    </xf>
    <xf numFmtId="17" fontId="22" fillId="2" borderId="0" xfId="0" applyNumberFormat="1" applyFont="1" applyFill="1" applyAlignment="1">
      <alignment vertical="center"/>
    </xf>
    <xf numFmtId="0" fontId="1" fillId="3" borderId="0" xfId="0" applyFont="1" applyFill="1" applyAlignment="1">
      <alignment horizontal="center" vertical="center"/>
    </xf>
    <xf numFmtId="0" fontId="1" fillId="2" borderId="0" xfId="0" applyFont="1" applyFill="1" applyAlignment="1">
      <alignment horizontal="center" vertical="center"/>
    </xf>
    <xf numFmtId="0" fontId="119" fillId="18" borderId="0" xfId="0" applyFont="1" applyFill="1" applyAlignment="1">
      <alignment vertical="center"/>
    </xf>
    <xf numFmtId="0" fontId="93" fillId="3" borderId="1" xfId="0" applyFont="1" applyFill="1" applyBorder="1" applyAlignment="1">
      <alignment horizontal="center" vertical="center"/>
    </xf>
    <xf numFmtId="0" fontId="51" fillId="2" borderId="120" xfId="1" applyNumberFormat="1" applyFont="1" applyFill="1" applyBorder="1" applyAlignment="1">
      <alignment horizontal="center" vertical="center"/>
    </xf>
    <xf numFmtId="167" fontId="51" fillId="2" borderId="120" xfId="1" applyFont="1" applyFill="1" applyBorder="1" applyAlignment="1">
      <alignment vertical="center"/>
    </xf>
    <xf numFmtId="0" fontId="51" fillId="2" borderId="120" xfId="1" applyNumberFormat="1" applyFont="1" applyFill="1" applyBorder="1" applyAlignment="1">
      <alignment vertical="center"/>
    </xf>
    <xf numFmtId="167" fontId="119" fillId="2" borderId="120" xfId="1" applyFont="1" applyFill="1" applyBorder="1" applyAlignment="1">
      <alignment vertical="center"/>
    </xf>
    <xf numFmtId="167" fontId="119" fillId="24" borderId="120" xfId="1" applyFont="1" applyFill="1" applyBorder="1" applyAlignment="1">
      <alignment vertical="center"/>
    </xf>
    <xf numFmtId="10" fontId="119" fillId="2" borderId="120" xfId="2" applyNumberFormat="1" applyFont="1" applyFill="1" applyBorder="1" applyAlignment="1">
      <alignment vertical="center"/>
    </xf>
    <xf numFmtId="167" fontId="29" fillId="2" borderId="0" xfId="1" applyFont="1" applyFill="1" applyBorder="1" applyAlignment="1">
      <alignment vertical="center"/>
    </xf>
    <xf numFmtId="0" fontId="22" fillId="24" borderId="128" xfId="0" applyFont="1" applyFill="1" applyBorder="1" applyAlignment="1">
      <alignment horizontal="center" vertical="center"/>
    </xf>
    <xf numFmtId="0" fontId="22" fillId="24" borderId="128" xfId="0" applyFont="1" applyFill="1" applyBorder="1" applyAlignment="1">
      <alignment vertical="center"/>
    </xf>
    <xf numFmtId="0" fontId="22" fillId="2" borderId="128" xfId="0" applyFont="1" applyFill="1" applyBorder="1" applyAlignment="1">
      <alignment vertical="center"/>
    </xf>
    <xf numFmtId="0" fontId="22" fillId="2" borderId="128" xfId="0" applyFont="1" applyFill="1" applyBorder="1" applyAlignment="1">
      <alignment horizontal="center" vertical="center"/>
    </xf>
    <xf numFmtId="167" fontId="119" fillId="2" borderId="128" xfId="1" applyFont="1" applyFill="1" applyBorder="1" applyAlignment="1">
      <alignment vertical="center"/>
    </xf>
    <xf numFmtId="0" fontId="22" fillId="23" borderId="0" xfId="0" applyFont="1" applyFill="1" applyAlignment="1">
      <alignment horizontal="center" vertical="center"/>
    </xf>
    <xf numFmtId="167" fontId="51" fillId="2" borderId="0" xfId="1" applyFont="1" applyFill="1" applyAlignment="1">
      <alignment vertical="center"/>
    </xf>
    <xf numFmtId="167" fontId="122" fillId="5" borderId="0" xfId="1" applyFont="1" applyFill="1" applyAlignment="1">
      <alignment horizontal="center" vertical="center"/>
    </xf>
    <xf numFmtId="167" fontId="22" fillId="2" borderId="0" xfId="9" applyFont="1" applyFill="1" applyBorder="1" applyAlignment="1">
      <alignment horizontal="left" vertical="center"/>
    </xf>
    <xf numFmtId="167" fontId="22" fillId="2" borderId="0" xfId="1" applyFont="1" applyFill="1" applyBorder="1" applyAlignment="1">
      <alignment vertical="center"/>
    </xf>
    <xf numFmtId="167" fontId="51" fillId="2" borderId="0" xfId="1" applyFont="1" applyFill="1" applyAlignment="1">
      <alignment horizontal="center" vertical="center"/>
    </xf>
    <xf numFmtId="0" fontId="0" fillId="0" borderId="1" xfId="0" applyBorder="1" applyAlignment="1">
      <alignment vertical="center"/>
    </xf>
    <xf numFmtId="0" fontId="7" fillId="0" borderId="1" xfId="0" applyFont="1" applyBorder="1" applyAlignment="1">
      <alignment vertical="center"/>
    </xf>
    <xf numFmtId="0" fontId="29" fillId="0" borderId="1" xfId="0" applyFont="1" applyBorder="1" applyAlignment="1">
      <alignment horizontal="center" vertical="center"/>
    </xf>
    <xf numFmtId="0" fontId="29" fillId="3" borderId="0" xfId="0" applyFont="1" applyFill="1" applyAlignment="1">
      <alignment horizontal="center" vertical="center"/>
    </xf>
    <xf numFmtId="9" fontId="29" fillId="2" borderId="0" xfId="0" applyNumberFormat="1" applyFont="1" applyFill="1" applyAlignment="1">
      <alignment horizontal="center" vertical="center"/>
    </xf>
    <xf numFmtId="167" fontId="22" fillId="2" borderId="0" xfId="0" applyNumberFormat="1" applyFont="1" applyFill="1" applyAlignment="1">
      <alignment horizontal="center" vertical="center"/>
    </xf>
    <xf numFmtId="185" fontId="119" fillId="2" borderId="128" xfId="0" applyNumberFormat="1" applyFont="1" applyFill="1" applyBorder="1" applyAlignment="1">
      <alignment vertical="center"/>
    </xf>
    <xf numFmtId="43" fontId="22" fillId="2" borderId="1" xfId="0" applyNumberFormat="1" applyFont="1" applyFill="1" applyBorder="1" applyAlignment="1">
      <alignment vertical="center"/>
    </xf>
    <xf numFmtId="167" fontId="12" fillId="0" borderId="0" xfId="1" applyFont="1" applyBorder="1" applyAlignment="1" applyProtection="1">
      <alignment horizontal="left" vertical="center"/>
    </xf>
    <xf numFmtId="167" fontId="12" fillId="0" borderId="0" xfId="1" applyFont="1" applyFill="1" applyBorder="1" applyAlignment="1" applyProtection="1">
      <alignment horizontal="left" vertical="center"/>
    </xf>
    <xf numFmtId="167" fontId="14" fillId="0" borderId="0" xfId="1" applyFont="1" applyFill="1" applyBorder="1" applyAlignment="1" applyProtection="1">
      <alignment horizontal="center" vertical="center"/>
    </xf>
    <xf numFmtId="167" fontId="14" fillId="0" borderId="0" xfId="1" applyFont="1" applyFill="1" applyBorder="1" applyAlignment="1" applyProtection="1">
      <alignment vertical="center"/>
    </xf>
    <xf numFmtId="167" fontId="12" fillId="0" borderId="0" xfId="1" applyFont="1" applyBorder="1" applyAlignment="1" applyProtection="1">
      <alignment horizontal="right" vertical="center"/>
    </xf>
    <xf numFmtId="173" fontId="19" fillId="0" borderId="5" xfId="2" applyNumberFormat="1" applyFont="1" applyBorder="1" applyAlignment="1" applyProtection="1">
      <alignment horizontal="center" vertical="center"/>
    </xf>
    <xf numFmtId="0" fontId="30" fillId="0" borderId="128" xfId="0" applyFont="1" applyBorder="1" applyAlignment="1">
      <alignment vertical="center"/>
    </xf>
    <xf numFmtId="0" fontId="12" fillId="0" borderId="128" xfId="0" applyFont="1" applyBorder="1" applyAlignment="1">
      <alignment vertical="center"/>
    </xf>
    <xf numFmtId="0" fontId="119" fillId="3" borderId="1" xfId="0" applyFont="1" applyFill="1" applyBorder="1" applyAlignment="1">
      <alignment horizontal="center" vertical="center" wrapText="1"/>
    </xf>
    <xf numFmtId="167" fontId="119" fillId="3" borderId="1" xfId="0" applyNumberFormat="1" applyFont="1" applyFill="1" applyBorder="1" applyAlignment="1">
      <alignment horizontal="center" vertical="center"/>
    </xf>
    <xf numFmtId="167" fontId="29" fillId="24" borderId="0" xfId="1" applyFont="1" applyFill="1" applyAlignment="1">
      <alignment vertical="center"/>
    </xf>
    <xf numFmtId="167" fontId="51" fillId="24" borderId="0" xfId="1" applyFont="1" applyFill="1" applyAlignment="1">
      <alignment vertical="center"/>
    </xf>
    <xf numFmtId="167" fontId="29" fillId="24" borderId="0" xfId="1" applyFont="1" applyFill="1" applyAlignment="1">
      <alignment horizontal="center" vertical="center"/>
    </xf>
    <xf numFmtId="189" fontId="51" fillId="24" borderId="1" xfId="8" applyNumberFormat="1" applyFont="1" applyFill="1" applyBorder="1" applyAlignment="1">
      <alignment horizontal="center" vertical="center" wrapText="1"/>
    </xf>
    <xf numFmtId="167" fontId="110" fillId="24" borderId="1" xfId="1" applyFont="1" applyFill="1" applyBorder="1" applyAlignment="1">
      <alignment vertical="center"/>
    </xf>
    <xf numFmtId="167" fontId="51" fillId="24" borderId="120" xfId="1" applyFont="1" applyFill="1" applyBorder="1" applyAlignment="1">
      <alignment vertical="center"/>
    </xf>
    <xf numFmtId="0" fontId="94" fillId="21" borderId="1" xfId="0" applyFont="1" applyFill="1" applyBorder="1" applyAlignment="1">
      <alignment horizontal="center" vertical="center" wrapText="1"/>
    </xf>
    <xf numFmtId="167" fontId="22" fillId="25" borderId="0" xfId="1" applyFont="1" applyFill="1" applyAlignment="1">
      <alignment vertical="center"/>
    </xf>
    <xf numFmtId="167" fontId="119" fillId="25" borderId="0" xfId="1" applyFont="1" applyFill="1" applyAlignment="1">
      <alignment vertical="center"/>
    </xf>
    <xf numFmtId="167" fontId="22" fillId="25" borderId="0" xfId="1" applyFont="1" applyFill="1" applyAlignment="1">
      <alignment horizontal="center" vertical="center"/>
    </xf>
    <xf numFmtId="167" fontId="110" fillId="25" borderId="1" xfId="1" applyFont="1" applyFill="1" applyBorder="1" applyAlignment="1">
      <alignment horizontal="center" vertical="center"/>
    </xf>
    <xf numFmtId="9" fontId="110" fillId="25" borderId="1" xfId="1" applyNumberFormat="1" applyFont="1" applyFill="1" applyBorder="1" applyAlignment="1">
      <alignment horizontal="center" vertical="center"/>
    </xf>
    <xf numFmtId="167" fontId="93" fillId="25" borderId="1" xfId="1" applyFont="1" applyFill="1" applyBorder="1" applyAlignment="1">
      <alignment horizontal="center" vertical="center"/>
    </xf>
    <xf numFmtId="0" fontId="118" fillId="25" borderId="1" xfId="7" applyFont="1" applyFill="1" applyBorder="1" applyAlignment="1">
      <alignment horizontal="center" vertical="center" wrapText="1"/>
    </xf>
    <xf numFmtId="167" fontId="118" fillId="25" borderId="1" xfId="1" applyFont="1" applyFill="1" applyBorder="1" applyAlignment="1">
      <alignment horizontal="center" vertical="center" wrapText="1"/>
    </xf>
    <xf numFmtId="167" fontId="94" fillId="25" borderId="1" xfId="1" applyFont="1" applyFill="1" applyBorder="1" applyAlignment="1">
      <alignment horizontal="center" vertical="center" wrapText="1"/>
    </xf>
    <xf numFmtId="167" fontId="93" fillId="25" borderId="1" xfId="1" applyFont="1" applyFill="1" applyBorder="1" applyAlignment="1">
      <alignment vertical="center"/>
    </xf>
    <xf numFmtId="167" fontId="119" fillId="25" borderId="120" xfId="1" applyFont="1" applyFill="1" applyBorder="1" applyAlignment="1">
      <alignment vertical="center"/>
    </xf>
    <xf numFmtId="167" fontId="22" fillId="14" borderId="0" xfId="1" applyFont="1" applyFill="1" applyAlignment="1">
      <alignment vertical="center"/>
    </xf>
    <xf numFmtId="167" fontId="22" fillId="14" borderId="0" xfId="1" applyFont="1" applyFill="1" applyAlignment="1">
      <alignment horizontal="center" vertical="center"/>
    </xf>
    <xf numFmtId="167" fontId="93" fillId="14" borderId="0" xfId="1" applyFont="1" applyFill="1" applyBorder="1" applyAlignment="1">
      <alignment horizontal="center" vertical="center"/>
    </xf>
    <xf numFmtId="0" fontId="79" fillId="14" borderId="1" xfId="0" applyFont="1" applyFill="1" applyBorder="1" applyAlignment="1">
      <alignment horizontal="center" vertical="center" wrapText="1"/>
    </xf>
    <xf numFmtId="167" fontId="93" fillId="14" borderId="1" xfId="1" applyFont="1" applyFill="1" applyBorder="1" applyAlignment="1">
      <alignment vertical="center"/>
    </xf>
    <xf numFmtId="167" fontId="119" fillId="14" borderId="120" xfId="1" applyFont="1" applyFill="1" applyBorder="1" applyAlignment="1">
      <alignment vertical="center"/>
    </xf>
    <xf numFmtId="10" fontId="94" fillId="21" borderId="0" xfId="1" applyNumberFormat="1" applyFont="1" applyFill="1" applyBorder="1" applyAlignment="1">
      <alignment horizontal="center" vertical="center"/>
    </xf>
    <xf numFmtId="0" fontId="1" fillId="0" borderId="1" xfId="0" applyFont="1" applyBorder="1" applyAlignment="1">
      <alignment horizontal="center"/>
    </xf>
    <xf numFmtId="0" fontId="1" fillId="0" borderId="132" xfId="0" applyFont="1" applyBorder="1" applyAlignment="1">
      <alignment horizontal="center"/>
    </xf>
    <xf numFmtId="17" fontId="0" fillId="0" borderId="111" xfId="0" applyNumberFormat="1" applyBorder="1"/>
    <xf numFmtId="0" fontId="0" fillId="0" borderId="111" xfId="0" applyBorder="1"/>
    <xf numFmtId="167" fontId="0" fillId="0" borderId="111" xfId="1" applyFont="1" applyBorder="1"/>
    <xf numFmtId="17" fontId="0" fillId="0" borderId="1" xfId="0" applyNumberFormat="1" applyBorder="1"/>
    <xf numFmtId="167" fontId="0" fillId="0" borderId="1" xfId="1" applyFont="1" applyBorder="1"/>
    <xf numFmtId="167" fontId="1" fillId="0" borderId="0" xfId="0" applyNumberFormat="1" applyFont="1"/>
    <xf numFmtId="167" fontId="94" fillId="21" borderId="0" xfId="1" applyFont="1" applyFill="1" applyBorder="1" applyAlignment="1">
      <alignment horizontal="center" vertical="center"/>
    </xf>
    <xf numFmtId="15" fontId="49" fillId="0" borderId="1" xfId="0" applyNumberFormat="1" applyFont="1" applyBorder="1"/>
    <xf numFmtId="0" fontId="49" fillId="0" borderId="1" xfId="0" applyFont="1" applyBorder="1"/>
    <xf numFmtId="167" fontId="49" fillId="0" borderId="1" xfId="1" applyFont="1" applyBorder="1"/>
    <xf numFmtId="17" fontId="49" fillId="0" borderId="1" xfId="0" applyNumberFormat="1" applyFont="1" applyBorder="1"/>
    <xf numFmtId="15" fontId="0" fillId="0" borderId="1" xfId="0" applyNumberFormat="1" applyBorder="1"/>
    <xf numFmtId="167" fontId="1" fillId="0" borderId="133" xfId="0" applyNumberFormat="1" applyFont="1" applyBorder="1"/>
    <xf numFmtId="15" fontId="1" fillId="0" borderId="0" xfId="0" applyNumberFormat="1" applyFont="1"/>
    <xf numFmtId="17" fontId="0" fillId="0" borderId="111" xfId="0" applyNumberFormat="1" applyBorder="1" applyAlignment="1">
      <alignment horizontal="center"/>
    </xf>
    <xf numFmtId="0" fontId="0" fillId="0" borderId="111" xfId="0" applyBorder="1" applyAlignment="1">
      <alignment horizontal="center"/>
    </xf>
    <xf numFmtId="167" fontId="0" fillId="0" borderId="111" xfId="1" applyFont="1" applyBorder="1" applyAlignment="1">
      <alignment horizontal="center"/>
    </xf>
    <xf numFmtId="167" fontId="0" fillId="3" borderId="111" xfId="1" applyFont="1" applyFill="1" applyBorder="1" applyAlignment="1">
      <alignment horizontal="center"/>
    </xf>
    <xf numFmtId="17" fontId="0" fillId="0" borderId="1" xfId="0" applyNumberFormat="1" applyBorder="1" applyAlignment="1">
      <alignment horizontal="center"/>
    </xf>
    <xf numFmtId="167" fontId="0" fillId="3" borderId="1" xfId="1" applyFont="1" applyFill="1" applyBorder="1" applyAlignment="1">
      <alignment horizontal="center"/>
    </xf>
    <xf numFmtId="0" fontId="0" fillId="3" borderId="1" xfId="0" applyFill="1" applyBorder="1"/>
    <xf numFmtId="167" fontId="1" fillId="3" borderId="1" xfId="0" applyNumberFormat="1" applyFont="1" applyFill="1" applyBorder="1"/>
    <xf numFmtId="0" fontId="119" fillId="21" borderId="0" xfId="0" applyFont="1" applyFill="1" applyAlignment="1">
      <alignment vertical="center"/>
    </xf>
    <xf numFmtId="0" fontId="22" fillId="21" borderId="0" xfId="0" applyFont="1" applyFill="1" applyAlignment="1">
      <alignment horizontal="center" vertical="center"/>
    </xf>
    <xf numFmtId="167" fontId="119" fillId="2" borderId="0" xfId="0" applyNumberFormat="1" applyFont="1" applyFill="1" applyAlignment="1">
      <alignment horizontal="center" vertical="center"/>
    </xf>
    <xf numFmtId="0" fontId="80" fillId="26" borderId="112" xfId="0" applyFont="1" applyFill="1" applyBorder="1" applyAlignment="1">
      <alignment vertical="center"/>
    </xf>
    <xf numFmtId="0" fontId="84" fillId="26" borderId="13" xfId="0" applyFont="1" applyFill="1" applyBorder="1" applyAlignment="1">
      <alignment horizontal="center" vertical="center"/>
    </xf>
    <xf numFmtId="0" fontId="95" fillId="26" borderId="112" xfId="0" applyFont="1" applyFill="1" applyBorder="1" applyAlignment="1">
      <alignment vertical="center"/>
    </xf>
    <xf numFmtId="0" fontId="80" fillId="26" borderId="13" xfId="0" applyFont="1" applyFill="1" applyBorder="1" applyAlignment="1">
      <alignment horizontal="center" vertical="center"/>
    </xf>
    <xf numFmtId="9" fontId="80" fillId="26" borderId="13" xfId="0" applyNumberFormat="1" applyFont="1" applyFill="1" applyBorder="1" applyAlignment="1">
      <alignment horizontal="center" vertical="center"/>
    </xf>
    <xf numFmtId="0" fontId="84" fillId="26" borderId="113" xfId="0" applyFont="1" applyFill="1" applyBorder="1" applyAlignment="1">
      <alignment vertical="center"/>
    </xf>
    <xf numFmtId="0" fontId="84" fillId="26" borderId="102" xfId="0" applyFont="1" applyFill="1" applyBorder="1" applyAlignment="1">
      <alignment horizontal="center" vertical="center"/>
    </xf>
    <xf numFmtId="9" fontId="84" fillId="26" borderId="102" xfId="0" applyNumberFormat="1" applyFont="1" applyFill="1" applyBorder="1" applyAlignment="1">
      <alignment horizontal="center" vertical="center"/>
    </xf>
    <xf numFmtId="0" fontId="49" fillId="26" borderId="0" xfId="0" applyFont="1" applyFill="1" applyAlignment="1">
      <alignment vertical="center"/>
    </xf>
    <xf numFmtId="167" fontId="0" fillId="0" borderId="0" xfId="1" applyFont="1"/>
    <xf numFmtId="167" fontId="1" fillId="3" borderId="0" xfId="0" applyNumberFormat="1" applyFont="1" applyFill="1"/>
    <xf numFmtId="43" fontId="2" fillId="2" borderId="1" xfId="11" applyFont="1" applyFill="1" applyBorder="1"/>
    <xf numFmtId="0" fontId="2" fillId="2" borderId="1" xfId="10" applyFont="1" applyFill="1" applyBorder="1" applyAlignment="1">
      <alignment horizontal="center" vertical="center"/>
    </xf>
    <xf numFmtId="0" fontId="2" fillId="2" borderId="1" xfId="10" applyFont="1" applyFill="1" applyBorder="1" applyAlignment="1">
      <alignment horizontal="center"/>
    </xf>
    <xf numFmtId="0" fontId="2" fillId="0" borderId="1" xfId="10" applyFont="1" applyBorder="1" applyAlignment="1">
      <alignment horizontal="center"/>
    </xf>
    <xf numFmtId="0" fontId="119" fillId="25" borderId="1" xfId="0" applyFont="1" applyFill="1" applyBorder="1" applyAlignment="1">
      <alignment vertical="center"/>
    </xf>
    <xf numFmtId="197" fontId="119" fillId="25" borderId="1" xfId="0" applyNumberFormat="1" applyFont="1" applyFill="1" applyBorder="1" applyAlignment="1">
      <alignment vertical="center"/>
    </xf>
    <xf numFmtId="0" fontId="22" fillId="25" borderId="1" xfId="0" applyFont="1" applyFill="1" applyBorder="1" applyAlignment="1">
      <alignment vertical="center"/>
    </xf>
    <xf numFmtId="197" fontId="22" fillId="25" borderId="1" xfId="0" applyNumberFormat="1" applyFont="1" applyFill="1" applyBorder="1" applyAlignment="1">
      <alignment vertical="center"/>
    </xf>
    <xf numFmtId="0" fontId="22" fillId="25" borderId="1" xfId="0" applyFont="1" applyFill="1" applyBorder="1" applyAlignment="1">
      <alignment horizontal="center" vertical="center"/>
    </xf>
    <xf numFmtId="197" fontId="22" fillId="2" borderId="0" xfId="0" applyNumberFormat="1" applyFont="1" applyFill="1" applyAlignment="1">
      <alignment vertical="center"/>
    </xf>
    <xf numFmtId="43" fontId="29" fillId="2" borderId="0" xfId="1" applyNumberFormat="1" applyFont="1" applyFill="1" applyAlignment="1">
      <alignment vertical="center"/>
    </xf>
    <xf numFmtId="167" fontId="93" fillId="21" borderId="0" xfId="1" applyFont="1" applyFill="1" applyBorder="1" applyAlignment="1">
      <alignment horizontal="center" vertical="center"/>
    </xf>
    <xf numFmtId="167" fontId="1" fillId="3" borderId="0" xfId="1" applyFont="1" applyFill="1"/>
    <xf numFmtId="43" fontId="0" fillId="0" borderId="0" xfId="0" applyNumberFormat="1"/>
    <xf numFmtId="0" fontId="0" fillId="0" borderId="17" xfId="0" applyBorder="1"/>
    <xf numFmtId="167" fontId="0" fillId="0" borderId="17" xfId="1" applyFont="1" applyBorder="1"/>
    <xf numFmtId="43" fontId="0" fillId="0" borderId="17" xfId="0" applyNumberFormat="1" applyBorder="1"/>
    <xf numFmtId="1" fontId="22" fillId="2" borderId="0" xfId="1" applyNumberFormat="1" applyFont="1" applyFill="1" applyBorder="1" applyAlignment="1">
      <alignment vertical="center"/>
    </xf>
    <xf numFmtId="17" fontId="29" fillId="2" borderId="0" xfId="0" applyNumberFormat="1" applyFont="1" applyFill="1" applyAlignment="1">
      <alignment horizontal="center" vertical="center"/>
    </xf>
    <xf numFmtId="0" fontId="1" fillId="3" borderId="0" xfId="0" applyFont="1" applyFill="1"/>
    <xf numFmtId="43" fontId="1" fillId="3" borderId="0" xfId="0" applyNumberFormat="1" applyFont="1" applyFill="1"/>
    <xf numFmtId="0" fontId="0" fillId="17" borderId="0" xfId="0" applyFill="1"/>
    <xf numFmtId="167" fontId="0" fillId="17" borderId="0" xfId="0" applyNumberFormat="1" applyFill="1"/>
    <xf numFmtId="0" fontId="125" fillId="20" borderId="0" xfId="10" applyFont="1" applyFill="1" applyAlignment="1">
      <alignment horizontal="center" vertical="center"/>
    </xf>
    <xf numFmtId="0" fontId="126" fillId="2" borderId="0" xfId="10" applyFont="1" applyFill="1" applyAlignment="1">
      <alignment horizontal="center" wrapText="1"/>
    </xf>
    <xf numFmtId="0" fontId="124" fillId="2" borderId="0" xfId="10" applyFont="1" applyFill="1" applyAlignment="1">
      <alignment horizontal="center"/>
    </xf>
    <xf numFmtId="0" fontId="84" fillId="0" borderId="93" xfId="0" applyFont="1" applyBorder="1" applyAlignment="1">
      <alignment horizontal="center" vertical="center"/>
    </xf>
    <xf numFmtId="0" fontId="84" fillId="0" borderId="94" xfId="0" applyFont="1" applyBorder="1" applyAlignment="1">
      <alignment horizontal="center" vertical="center"/>
    </xf>
    <xf numFmtId="0" fontId="1" fillId="0" borderId="1" xfId="0" applyFont="1" applyBorder="1" applyAlignment="1">
      <alignment horizontal="center"/>
    </xf>
    <xf numFmtId="43" fontId="119" fillId="22" borderId="15" xfId="4" quotePrefix="1" applyFont="1" applyFill="1" applyBorder="1" applyAlignment="1">
      <alignment horizontal="center" vertical="center"/>
    </xf>
    <xf numFmtId="43" fontId="119" fillId="22" borderId="24" xfId="4" quotePrefix="1" applyFont="1" applyFill="1" applyBorder="1" applyAlignment="1">
      <alignment horizontal="center" vertical="center"/>
    </xf>
    <xf numFmtId="0" fontId="119" fillId="17" borderId="17" xfId="0" applyFont="1" applyFill="1" applyBorder="1" applyAlignment="1">
      <alignment horizontal="center" vertical="center"/>
    </xf>
    <xf numFmtId="0" fontId="119" fillId="11" borderId="0" xfId="0" applyFont="1" applyFill="1" applyAlignment="1">
      <alignment horizontal="center" vertical="center"/>
    </xf>
    <xf numFmtId="0" fontId="119" fillId="16" borderId="0" xfId="0" applyFont="1" applyFill="1" applyAlignment="1">
      <alignment horizontal="center" vertical="center"/>
    </xf>
    <xf numFmtId="43" fontId="119" fillId="22" borderId="24" xfId="4" applyFont="1" applyFill="1" applyBorder="1" applyAlignment="1">
      <alignment horizontal="center" vertical="center"/>
    </xf>
    <xf numFmtId="0" fontId="118" fillId="2" borderId="1" xfId="7" applyFont="1" applyFill="1" applyBorder="1" applyAlignment="1">
      <alignment horizontal="center" vertical="center" wrapText="1"/>
    </xf>
    <xf numFmtId="167" fontId="119" fillId="2" borderId="1" xfId="1" applyFont="1" applyFill="1" applyBorder="1" applyAlignment="1">
      <alignment horizontal="center" vertical="center"/>
    </xf>
    <xf numFmtId="167" fontId="22" fillId="2" borderId="1" xfId="1" applyFont="1" applyFill="1" applyBorder="1" applyAlignment="1">
      <alignment horizontal="center" vertical="center"/>
    </xf>
    <xf numFmtId="0" fontId="67" fillId="0" borderId="94" xfId="0" applyFont="1" applyBorder="1" applyAlignment="1">
      <alignment vertical="center"/>
    </xf>
    <xf numFmtId="0" fontId="67" fillId="0" borderId="95" xfId="0" applyFont="1" applyBorder="1" applyAlignment="1">
      <alignment vertical="center"/>
    </xf>
    <xf numFmtId="167" fontId="29" fillId="24" borderId="1" xfId="1" applyFont="1" applyFill="1" applyBorder="1" applyAlignment="1">
      <alignment horizontal="center" vertical="center"/>
    </xf>
    <xf numFmtId="167" fontId="22" fillId="25" borderId="0" xfId="1" applyFont="1" applyFill="1" applyAlignment="1">
      <alignment horizontal="center" vertical="center"/>
    </xf>
    <xf numFmtId="2" fontId="119" fillId="3" borderId="129" xfId="4" quotePrefix="1" applyNumberFormat="1" applyFont="1" applyFill="1" applyBorder="1" applyAlignment="1">
      <alignment horizontal="center" vertical="center"/>
    </xf>
    <xf numFmtId="2" fontId="119" fillId="3" borderId="130" xfId="4" quotePrefix="1" applyNumberFormat="1" applyFont="1" applyFill="1" applyBorder="1" applyAlignment="1">
      <alignment horizontal="center" vertical="center"/>
    </xf>
    <xf numFmtId="2" fontId="119" fillId="3" borderId="131" xfId="4" quotePrefix="1" applyNumberFormat="1" applyFont="1" applyFill="1" applyBorder="1" applyAlignment="1">
      <alignment horizontal="center" vertical="center"/>
    </xf>
    <xf numFmtId="0" fontId="10" fillId="3" borderId="0" xfId="0" applyFont="1" applyFill="1" applyAlignment="1">
      <alignment horizontal="center"/>
    </xf>
    <xf numFmtId="0" fontId="10" fillId="3" borderId="1" xfId="0" applyFont="1" applyFill="1" applyBorder="1" applyAlignment="1">
      <alignment horizontal="center"/>
    </xf>
    <xf numFmtId="0" fontId="90" fillId="0" borderId="15" xfId="0" applyFont="1" applyBorder="1" applyAlignment="1">
      <alignment horizontal="center" vertical="center"/>
    </xf>
    <xf numFmtId="0" fontId="90" fillId="0" borderId="18" xfId="0" applyFont="1" applyBorder="1" applyAlignment="1">
      <alignment horizontal="center" vertical="center"/>
    </xf>
    <xf numFmtId="0" fontId="90" fillId="0" borderId="24" xfId="0" applyFont="1" applyBorder="1" applyAlignment="1">
      <alignment horizontal="center" vertical="center"/>
    </xf>
    <xf numFmtId="0" fontId="90" fillId="0" borderId="15" xfId="0" applyFont="1" applyBorder="1" applyAlignment="1" applyProtection="1">
      <alignment horizontal="center" vertical="center"/>
      <protection locked="0"/>
    </xf>
    <xf numFmtId="0" fontId="90" fillId="0" borderId="18" xfId="0" applyFont="1" applyBorder="1" applyAlignment="1" applyProtection="1">
      <alignment horizontal="center" vertical="center"/>
      <protection locked="0"/>
    </xf>
    <xf numFmtId="0" fontId="90" fillId="0" borderId="24" xfId="0" applyFont="1" applyBorder="1" applyAlignment="1" applyProtection="1">
      <alignment horizontal="center" vertical="center"/>
      <protection locked="0"/>
    </xf>
    <xf numFmtId="0" fontId="54" fillId="0" borderId="1" xfId="0" applyFont="1" applyBorder="1" applyAlignment="1">
      <alignment horizontal="center"/>
    </xf>
    <xf numFmtId="0" fontId="54" fillId="0" borderId="1" xfId="0" applyFont="1" applyBorder="1" applyAlignment="1" applyProtection="1">
      <alignment horizontal="center"/>
      <protection locked="0"/>
    </xf>
    <xf numFmtId="0" fontId="48" fillId="10" borderId="0" xfId="0" applyFont="1" applyFill="1" applyAlignment="1">
      <alignment horizontal="center" vertical="center" wrapText="1"/>
    </xf>
    <xf numFmtId="0" fontId="76" fillId="4" borderId="15" xfId="0" applyFont="1" applyFill="1" applyBorder="1" applyAlignment="1">
      <alignment horizontal="center" vertical="center"/>
    </xf>
    <xf numFmtId="0" fontId="76" fillId="4" borderId="18" xfId="0" applyFont="1" applyFill="1" applyBorder="1" applyAlignment="1">
      <alignment horizontal="center" vertical="center"/>
    </xf>
    <xf numFmtId="0" fontId="76" fillId="4" borderId="24" xfId="0" applyFont="1" applyFill="1" applyBorder="1" applyAlignment="1">
      <alignment horizontal="center" vertical="center"/>
    </xf>
    <xf numFmtId="0" fontId="66" fillId="4" borderId="15" xfId="0" applyFont="1" applyFill="1" applyBorder="1" applyAlignment="1">
      <alignment horizontal="center" vertical="center"/>
    </xf>
    <xf numFmtId="0" fontId="66" fillId="4" borderId="18" xfId="0" applyFont="1" applyFill="1" applyBorder="1" applyAlignment="1">
      <alignment horizontal="center" vertical="center"/>
    </xf>
    <xf numFmtId="0" fontId="66" fillId="4" borderId="24" xfId="0" applyFont="1" applyFill="1" applyBorder="1" applyAlignment="1">
      <alignment horizontal="center" vertical="center"/>
    </xf>
    <xf numFmtId="0" fontId="78" fillId="0" borderId="1" xfId="0" applyFont="1" applyBorder="1" applyAlignment="1">
      <alignment horizontal="center" vertical="center"/>
    </xf>
    <xf numFmtId="0" fontId="78" fillId="0" borderId="1" xfId="0" applyFont="1" applyBorder="1" applyAlignment="1" applyProtection="1">
      <alignment horizontal="center" vertical="center"/>
      <protection locked="0"/>
    </xf>
    <xf numFmtId="9" fontId="78" fillId="0" borderId="1" xfId="0" applyNumberFormat="1" applyFont="1" applyBorder="1" applyAlignment="1">
      <alignment horizontal="center" vertical="center"/>
    </xf>
    <xf numFmtId="0" fontId="76" fillId="4" borderId="1" xfId="0" applyFont="1" applyFill="1" applyBorder="1" applyAlignment="1">
      <alignment horizontal="center" vertical="center"/>
    </xf>
    <xf numFmtId="0" fontId="77" fillId="0" borderId="15" xfId="0" applyFont="1" applyBorder="1" applyAlignment="1" applyProtection="1">
      <alignment horizontal="center" vertical="center"/>
      <protection locked="0"/>
    </xf>
    <xf numFmtId="0" fontId="77" fillId="0" borderId="18" xfId="0" applyFont="1" applyBorder="1" applyAlignment="1" applyProtection="1">
      <alignment horizontal="center" vertical="center"/>
      <protection locked="0"/>
    </xf>
    <xf numFmtId="0" fontId="77" fillId="0" borderId="24" xfId="0" applyFont="1" applyBorder="1" applyAlignment="1" applyProtection="1">
      <alignment horizontal="center" vertical="center"/>
      <protection locked="0"/>
    </xf>
    <xf numFmtId="9" fontId="77" fillId="0" borderId="1" xfId="2" applyFont="1" applyBorder="1" applyAlignment="1" applyProtection="1">
      <alignment horizontal="center" vertical="center"/>
    </xf>
    <xf numFmtId="0" fontId="46" fillId="11" borderId="56" xfId="0" applyFont="1" applyFill="1" applyBorder="1" applyAlignment="1" applyProtection="1">
      <alignment horizontal="center" vertical="center" wrapText="1"/>
      <protection locked="0"/>
    </xf>
    <xf numFmtId="0" fontId="46" fillId="11" borderId="57" xfId="0" applyFont="1" applyFill="1" applyBorder="1" applyAlignment="1" applyProtection="1">
      <alignment horizontal="center" vertical="center" wrapText="1"/>
      <protection locked="0"/>
    </xf>
    <xf numFmtId="0" fontId="46" fillId="11" borderId="58" xfId="0" applyFont="1" applyFill="1" applyBorder="1" applyAlignment="1" applyProtection="1">
      <alignment horizontal="center" vertical="center" wrapText="1"/>
      <protection locked="0"/>
    </xf>
    <xf numFmtId="0" fontId="46" fillId="11" borderId="59" xfId="0" applyFont="1" applyFill="1" applyBorder="1" applyAlignment="1" applyProtection="1">
      <alignment horizontal="center" vertical="center" wrapText="1"/>
      <protection locked="0"/>
    </xf>
    <xf numFmtId="0" fontId="46" fillId="11" borderId="60" xfId="0" applyFont="1" applyFill="1" applyBorder="1" applyAlignment="1" applyProtection="1">
      <alignment horizontal="center" vertical="center" wrapText="1"/>
      <protection locked="0"/>
    </xf>
    <xf numFmtId="0" fontId="46" fillId="11" borderId="61" xfId="0" applyFont="1" applyFill="1" applyBorder="1" applyAlignment="1" applyProtection="1">
      <alignment horizontal="center" vertical="center" wrapText="1"/>
      <protection locked="0"/>
    </xf>
    <xf numFmtId="0" fontId="45" fillId="0" borderId="83" xfId="0" applyFont="1" applyBorder="1" applyAlignment="1" applyProtection="1">
      <alignment horizontal="center" vertical="center"/>
      <protection locked="0"/>
    </xf>
    <xf numFmtId="0" fontId="45" fillId="0" borderId="88" xfId="0" applyFont="1" applyBorder="1" applyAlignment="1" applyProtection="1">
      <alignment horizontal="center" vertical="center"/>
      <protection locked="0"/>
    </xf>
    <xf numFmtId="0" fontId="45" fillId="0" borderId="90" xfId="0" applyFont="1" applyBorder="1" applyAlignment="1" applyProtection="1">
      <alignment horizontal="center" vertical="center"/>
      <protection locked="0"/>
    </xf>
    <xf numFmtId="0" fontId="45" fillId="0" borderId="91" xfId="0" applyFont="1" applyBorder="1" applyAlignment="1" applyProtection="1">
      <alignment horizontal="center" vertical="center"/>
      <protection locked="0"/>
    </xf>
    <xf numFmtId="0" fontId="45" fillId="0" borderId="83" xfId="5" applyNumberFormat="1" applyFont="1" applyBorder="1" applyAlignment="1" applyProtection="1">
      <alignment horizontal="center" vertical="center" wrapText="1"/>
      <protection locked="0"/>
    </xf>
    <xf numFmtId="0" fontId="45" fillId="0" borderId="90" xfId="5" applyNumberFormat="1" applyFont="1" applyBorder="1" applyAlignment="1" applyProtection="1">
      <alignment horizontal="center" vertical="center" wrapText="1"/>
      <protection locked="0"/>
    </xf>
    <xf numFmtId="0" fontId="45" fillId="0" borderId="87" xfId="0" applyFont="1" applyBorder="1" applyAlignment="1" applyProtection="1">
      <alignment horizontal="center" vertical="center"/>
      <protection locked="0"/>
    </xf>
    <xf numFmtId="0" fontId="45" fillId="0" borderId="89" xfId="0" applyFont="1" applyBorder="1" applyAlignment="1" applyProtection="1">
      <alignment horizontal="center" vertical="center"/>
      <protection locked="0"/>
    </xf>
    <xf numFmtId="0" fontId="48" fillId="12" borderId="83" xfId="0" applyFont="1" applyFill="1" applyBorder="1" applyAlignment="1">
      <alignment horizontal="center" vertical="center"/>
    </xf>
    <xf numFmtId="0" fontId="48" fillId="12" borderId="88" xfId="0" applyFont="1" applyFill="1" applyBorder="1" applyAlignment="1">
      <alignment horizontal="center" vertical="center"/>
    </xf>
    <xf numFmtId="180" fontId="45" fillId="0" borderId="83" xfId="0" applyNumberFormat="1" applyFont="1" applyBorder="1" applyAlignment="1" applyProtection="1">
      <alignment horizontal="center" vertical="center"/>
      <protection locked="0"/>
    </xf>
    <xf numFmtId="180" fontId="45" fillId="0" borderId="88" xfId="0" applyNumberFormat="1" applyFont="1" applyBorder="1" applyAlignment="1" applyProtection="1">
      <alignment horizontal="center" vertical="center"/>
      <protection locked="0"/>
    </xf>
    <xf numFmtId="0" fontId="48" fillId="10" borderId="87" xfId="0" applyFont="1" applyFill="1" applyBorder="1" applyAlignment="1">
      <alignment horizontal="center" vertical="center"/>
    </xf>
    <xf numFmtId="0" fontId="48" fillId="10" borderId="83" xfId="0" applyFont="1" applyFill="1" applyBorder="1" applyAlignment="1">
      <alignment horizontal="center" vertical="center"/>
    </xf>
    <xf numFmtId="0" fontId="48" fillId="10" borderId="88" xfId="0" applyFont="1" applyFill="1" applyBorder="1" applyAlignment="1">
      <alignment horizontal="center" vertical="center"/>
    </xf>
    <xf numFmtId="0" fontId="48" fillId="12" borderId="87" xfId="0" applyFont="1" applyFill="1" applyBorder="1" applyAlignment="1">
      <alignment horizontal="center" vertical="center"/>
    </xf>
    <xf numFmtId="0" fontId="66" fillId="13" borderId="84" xfId="0" applyFont="1" applyFill="1" applyBorder="1" applyAlignment="1">
      <alignment horizontal="center" vertical="center"/>
    </xf>
    <xf numFmtId="0" fontId="66" fillId="13" borderId="85" xfId="0" applyFont="1" applyFill="1" applyBorder="1" applyAlignment="1">
      <alignment horizontal="center" vertical="center"/>
    </xf>
    <xf numFmtId="0" fontId="66" fillId="13" borderId="86" xfId="0" applyFont="1" applyFill="1" applyBorder="1" applyAlignment="1">
      <alignment horizontal="center" vertical="center"/>
    </xf>
    <xf numFmtId="0" fontId="48" fillId="10" borderId="0" xfId="0" applyFont="1" applyFill="1" applyAlignment="1">
      <alignment horizontal="center" vertical="center"/>
    </xf>
    <xf numFmtId="0" fontId="46" fillId="14" borderId="46" xfId="0" applyFont="1" applyFill="1" applyBorder="1" applyAlignment="1">
      <alignment horizontal="center" vertical="center"/>
    </xf>
    <xf numFmtId="0" fontId="46" fillId="14" borderId="47" xfId="0" applyFont="1" applyFill="1" applyBorder="1" applyAlignment="1">
      <alignment horizontal="center" vertical="center"/>
    </xf>
    <xf numFmtId="0" fontId="46" fillId="14" borderId="48" xfId="0" applyFont="1" applyFill="1" applyBorder="1" applyAlignment="1">
      <alignment horizontal="center" vertical="center"/>
    </xf>
    <xf numFmtId="0" fontId="46" fillId="14" borderId="49" xfId="0" applyFont="1" applyFill="1" applyBorder="1" applyAlignment="1">
      <alignment horizontal="center" vertical="center"/>
    </xf>
    <xf numFmtId="0" fontId="46" fillId="14" borderId="50" xfId="0" applyFont="1" applyFill="1" applyBorder="1" applyAlignment="1">
      <alignment horizontal="center" vertical="center"/>
    </xf>
    <xf numFmtId="0" fontId="46" fillId="14" borderId="51" xfId="0" applyFont="1" applyFill="1" applyBorder="1" applyAlignment="1">
      <alignment horizontal="center" vertical="center"/>
    </xf>
    <xf numFmtId="0" fontId="46" fillId="0" borderId="52" xfId="0" applyFont="1" applyBorder="1" applyAlignment="1">
      <alignment horizontal="center" vertical="center"/>
    </xf>
    <xf numFmtId="0" fontId="75" fillId="3" borderId="92" xfId="0" applyFont="1" applyFill="1" applyBorder="1" applyAlignment="1">
      <alignment horizontal="center" vertical="center"/>
    </xf>
    <xf numFmtId="0" fontId="48" fillId="4" borderId="1" xfId="0" applyFont="1" applyFill="1" applyBorder="1" applyAlignment="1">
      <alignment horizontal="center" vertical="center"/>
    </xf>
    <xf numFmtId="0" fontId="45" fillId="0" borderId="1" xfId="0" applyFont="1" applyBorder="1" applyAlignment="1">
      <alignment horizontal="center" vertical="center"/>
    </xf>
    <xf numFmtId="3" fontId="45" fillId="0" borderId="1" xfId="0" applyNumberFormat="1" applyFont="1" applyBorder="1" applyAlignment="1">
      <alignment horizontal="center" vertical="center"/>
    </xf>
    <xf numFmtId="169" fontId="12" fillId="0" borderId="75" xfId="0" applyNumberFormat="1" applyFont="1" applyBorder="1" applyAlignment="1">
      <alignment horizontal="center" vertical="center"/>
    </xf>
    <xf numFmtId="0" fontId="9" fillId="5" borderId="0" xfId="0" applyFont="1" applyFill="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0" borderId="1" xfId="0" applyFont="1" applyBorder="1" applyAlignment="1">
      <alignment horizontal="center" vertical="center"/>
    </xf>
    <xf numFmtId="2" fontId="12" fillId="0" borderId="7" xfId="0" applyNumberFormat="1" applyFont="1" applyBorder="1" applyAlignment="1">
      <alignment horizontal="center" vertical="center"/>
    </xf>
    <xf numFmtId="2" fontId="12" fillId="0" borderId="8" xfId="0" applyNumberFormat="1" applyFont="1" applyBorder="1" applyAlignment="1">
      <alignment horizontal="center" vertical="center"/>
    </xf>
    <xf numFmtId="0" fontId="12" fillId="0" borderId="8" xfId="0" applyFont="1" applyBorder="1" applyAlignment="1">
      <alignment vertical="center"/>
    </xf>
    <xf numFmtId="0" fontId="12" fillId="0" borderId="9" xfId="0" applyFont="1" applyBorder="1" applyAlignment="1">
      <alignment vertical="center"/>
    </xf>
    <xf numFmtId="2" fontId="12" fillId="0" borderId="15" xfId="0" applyNumberFormat="1" applyFont="1" applyBorder="1" applyAlignment="1">
      <alignment horizontal="center" vertical="center"/>
    </xf>
    <xf numFmtId="2" fontId="12" fillId="0" borderId="18" xfId="0" applyNumberFormat="1" applyFont="1" applyBorder="1" applyAlignment="1">
      <alignment horizontal="center" vertical="center"/>
    </xf>
    <xf numFmtId="0" fontId="12" fillId="0" borderId="18" xfId="0" applyFont="1" applyBorder="1" applyAlignment="1">
      <alignment vertical="center"/>
    </xf>
    <xf numFmtId="0" fontId="12" fillId="0" borderId="24" xfId="0" applyFont="1" applyBorder="1" applyAlignment="1">
      <alignment vertical="center"/>
    </xf>
    <xf numFmtId="0" fontId="12" fillId="0" borderId="7" xfId="0" applyFont="1" applyBorder="1" applyAlignment="1">
      <alignment horizontal="right" vertical="center"/>
    </xf>
    <xf numFmtId="0" fontId="12" fillId="0" borderId="8" xfId="0" applyFont="1" applyBorder="1" applyAlignment="1">
      <alignment horizontal="right" vertical="center"/>
    </xf>
    <xf numFmtId="2" fontId="12" fillId="0" borderId="15" xfId="1" applyNumberFormat="1" applyFont="1" applyBorder="1" applyAlignment="1" applyProtection="1">
      <alignment horizontal="center" vertical="center"/>
    </xf>
    <xf numFmtId="2" fontId="12" fillId="0" borderId="18" xfId="1" applyNumberFormat="1" applyFont="1" applyBorder="1" applyAlignment="1" applyProtection="1">
      <alignment horizontal="center" vertical="center"/>
    </xf>
    <xf numFmtId="171" fontId="32" fillId="0" borderId="8" xfId="0" applyNumberFormat="1" applyFont="1" applyBorder="1" applyAlignment="1">
      <alignment horizontal="left" vertical="center"/>
    </xf>
    <xf numFmtId="171" fontId="32" fillId="0" borderId="9" xfId="0" applyNumberFormat="1" applyFont="1" applyBorder="1" applyAlignment="1">
      <alignment horizontal="left" vertical="center"/>
    </xf>
    <xf numFmtId="0" fontId="8" fillId="5" borderId="1" xfId="0" applyFont="1" applyFill="1" applyBorder="1" applyAlignment="1">
      <alignment horizontal="center" vertical="center"/>
    </xf>
    <xf numFmtId="14" fontId="8" fillId="5" borderId="1" xfId="0" applyNumberFormat="1" applyFont="1" applyFill="1" applyBorder="1" applyAlignment="1">
      <alignment horizontal="center" vertical="center"/>
    </xf>
    <xf numFmtId="0" fontId="8" fillId="5" borderId="20" xfId="0" applyFont="1" applyFill="1" applyBorder="1" applyAlignment="1">
      <alignment horizontal="center" vertical="center"/>
    </xf>
    <xf numFmtId="0" fontId="8" fillId="5" borderId="42" xfId="0" applyFont="1" applyFill="1" applyBorder="1" applyAlignment="1">
      <alignment horizontal="center" vertical="center"/>
    </xf>
    <xf numFmtId="0" fontId="8" fillId="5" borderId="41" xfId="0" applyFont="1" applyFill="1" applyBorder="1" applyAlignment="1">
      <alignment horizontal="center" vertical="center"/>
    </xf>
    <xf numFmtId="0" fontId="8" fillId="5" borderId="66" xfId="0" applyFont="1" applyFill="1" applyBorder="1" applyAlignment="1">
      <alignment horizontal="center" vertical="center"/>
    </xf>
    <xf numFmtId="171" fontId="32" fillId="0" borderId="7" xfId="0" applyNumberFormat="1" applyFont="1" applyBorder="1" applyAlignment="1">
      <alignment horizontal="left" vertical="center"/>
    </xf>
    <xf numFmtId="171" fontId="12" fillId="0" borderId="1" xfId="0" applyNumberFormat="1" applyFont="1" applyBorder="1" applyAlignment="1">
      <alignment horizontal="center" vertical="center"/>
    </xf>
    <xf numFmtId="0" fontId="12" fillId="0" borderId="15" xfId="0" applyFont="1" applyBorder="1" applyAlignment="1">
      <alignment horizontal="center" vertical="center"/>
    </xf>
    <xf numFmtId="0" fontId="12" fillId="0" borderId="24" xfId="0" applyFont="1" applyBorder="1" applyAlignment="1">
      <alignment horizontal="center" vertical="center"/>
    </xf>
    <xf numFmtId="0" fontId="12" fillId="0" borderId="15" xfId="0" applyFont="1" applyBorder="1" applyAlignment="1">
      <alignment horizontal="center"/>
    </xf>
    <xf numFmtId="0" fontId="12" fillId="0" borderId="24" xfId="0" applyFont="1" applyBorder="1" applyAlignment="1">
      <alignment horizontal="center"/>
    </xf>
    <xf numFmtId="171" fontId="12" fillId="0" borderId="1" xfId="0" applyNumberFormat="1" applyFont="1" applyBorder="1" applyAlignment="1" applyProtection="1">
      <alignment horizontal="center" vertical="center"/>
      <protection locked="0"/>
    </xf>
    <xf numFmtId="171" fontId="12" fillId="0" borderId="15" xfId="0" applyNumberFormat="1" applyFont="1" applyBorder="1" applyAlignment="1" applyProtection="1">
      <alignment horizontal="center" vertical="center"/>
      <protection locked="0"/>
    </xf>
    <xf numFmtId="171" fontId="12" fillId="0" borderId="24" xfId="0" applyNumberFormat="1" applyFont="1" applyBorder="1" applyAlignment="1" applyProtection="1">
      <alignment horizontal="center" vertical="center"/>
      <protection locked="0"/>
    </xf>
    <xf numFmtId="184" fontId="12" fillId="0" borderId="15" xfId="0" applyNumberFormat="1" applyFont="1" applyBorder="1" applyAlignment="1">
      <alignment horizontal="center"/>
    </xf>
    <xf numFmtId="184" fontId="12" fillId="0" borderId="24" xfId="0" applyNumberFormat="1" applyFont="1" applyBorder="1" applyAlignment="1">
      <alignment horizontal="center"/>
    </xf>
    <xf numFmtId="171" fontId="17" fillId="0" borderId="0" xfId="0" applyNumberFormat="1" applyFont="1" applyAlignment="1">
      <alignment horizontal="left" vertical="center"/>
    </xf>
    <xf numFmtId="171" fontId="17" fillId="0" borderId="22" xfId="0" applyNumberFormat="1" applyFont="1" applyBorder="1" applyAlignment="1">
      <alignment horizontal="left" vertical="center"/>
    </xf>
    <xf numFmtId="171" fontId="17" fillId="0" borderId="7" xfId="0" applyNumberFormat="1" applyFont="1" applyBorder="1" applyAlignment="1">
      <alignment horizontal="left" vertical="center"/>
    </xf>
    <xf numFmtId="171" fontId="17" fillId="0" borderId="8" xfId="0" applyNumberFormat="1" applyFont="1" applyBorder="1" applyAlignment="1">
      <alignment horizontal="left" vertical="center"/>
    </xf>
    <xf numFmtId="171" fontId="17" fillId="0" borderId="9" xfId="0" applyNumberFormat="1" applyFont="1" applyBorder="1" applyAlignment="1">
      <alignment horizontal="left" vertical="center"/>
    </xf>
    <xf numFmtId="0" fontId="22" fillId="2" borderId="0" xfId="0" applyFont="1" applyFill="1" applyAlignment="1">
      <alignment horizontal="center"/>
    </xf>
    <xf numFmtId="171" fontId="32" fillId="0" borderId="19" xfId="0" applyNumberFormat="1" applyFont="1" applyBorder="1" applyAlignment="1">
      <alignment horizontal="left" vertical="center"/>
    </xf>
    <xf numFmtId="171" fontId="32" fillId="0" borderId="36" xfId="0" applyNumberFormat="1" applyFont="1" applyBorder="1" applyAlignment="1">
      <alignment horizontal="left" vertical="center"/>
    </xf>
    <xf numFmtId="0" fontId="20" fillId="5" borderId="73" xfId="0" applyFont="1" applyFill="1" applyBorder="1" applyAlignment="1" applyProtection="1">
      <alignment vertical="center"/>
      <protection locked="0"/>
    </xf>
    <xf numFmtId="171" fontId="17" fillId="0" borderId="82" xfId="0" applyNumberFormat="1" applyFont="1" applyBorder="1" applyAlignment="1">
      <alignment horizontal="center" vertical="center"/>
    </xf>
    <xf numFmtId="0" fontId="8" fillId="5" borderId="73" xfId="0" applyFont="1" applyFill="1" applyBorder="1" applyAlignment="1">
      <alignment vertical="center"/>
    </xf>
    <xf numFmtId="171" fontId="32" fillId="0" borderId="82" xfId="0" applyNumberFormat="1" applyFont="1" applyBorder="1" applyAlignment="1">
      <alignment horizontal="center" vertical="center"/>
    </xf>
    <xf numFmtId="176" fontId="17" fillId="7" borderId="5" xfId="3" applyNumberFormat="1" applyFont="1" applyFill="1" applyBorder="1" applyAlignment="1">
      <alignment horizontal="center" vertical="center"/>
    </xf>
    <xf numFmtId="171" fontId="12" fillId="0" borderId="7" xfId="0" applyNumberFormat="1" applyFont="1" applyBorder="1" applyAlignment="1">
      <alignment horizontal="center" vertical="center"/>
    </xf>
    <xf numFmtId="171" fontId="12" fillId="0" borderId="8" xfId="0" applyNumberFormat="1" applyFont="1" applyBorder="1" applyAlignment="1">
      <alignment horizontal="center" vertical="center"/>
    </xf>
    <xf numFmtId="171" fontId="12" fillId="0" borderId="9" xfId="0" applyNumberFormat="1" applyFont="1" applyBorder="1" applyAlignment="1">
      <alignment horizontal="center" vertical="center"/>
    </xf>
    <xf numFmtId="0" fontId="8" fillId="5" borderId="5" xfId="0" applyFont="1" applyFill="1" applyBorder="1" applyAlignment="1">
      <alignment horizontal="center" vertical="center"/>
    </xf>
    <xf numFmtId="0" fontId="8" fillId="5" borderId="32" xfId="0" applyFont="1" applyFill="1" applyBorder="1" applyAlignment="1">
      <alignment horizontal="center" vertical="center"/>
    </xf>
    <xf numFmtId="0" fontId="8" fillId="5" borderId="31" xfId="0" applyFont="1" applyFill="1" applyBorder="1" applyAlignment="1">
      <alignment horizontal="center" vertical="center"/>
    </xf>
    <xf numFmtId="0" fontId="8" fillId="5" borderId="33" xfId="0" applyFont="1" applyFill="1" applyBorder="1" applyAlignment="1">
      <alignment horizontal="center" vertical="center"/>
    </xf>
    <xf numFmtId="171" fontId="17" fillId="0" borderId="1" xfId="0" applyNumberFormat="1" applyFont="1" applyBorder="1" applyAlignment="1" applyProtection="1">
      <alignment horizontal="center" vertical="center"/>
      <protection locked="0"/>
    </xf>
    <xf numFmtId="188" fontId="12" fillId="0" borderId="5" xfId="1" applyNumberFormat="1" applyFont="1" applyBorder="1" applyAlignment="1" applyProtection="1">
      <alignment horizontal="center" vertical="center"/>
    </xf>
    <xf numFmtId="0" fontId="22" fillId="0" borderId="0" xfId="0" applyFont="1" applyAlignment="1">
      <alignment horizontal="center" vertical="center"/>
    </xf>
    <xf numFmtId="171" fontId="14" fillId="0" borderId="7" xfId="0" applyNumberFormat="1" applyFont="1" applyBorder="1" applyAlignment="1">
      <alignment horizontal="left" vertical="center"/>
    </xf>
    <xf numFmtId="171" fontId="14" fillId="0" borderId="8" xfId="0" applyNumberFormat="1" applyFont="1" applyBorder="1" applyAlignment="1">
      <alignment horizontal="left" vertical="center"/>
    </xf>
    <xf numFmtId="171" fontId="14" fillId="0" borderId="9" xfId="0" applyNumberFormat="1" applyFont="1" applyBorder="1" applyAlignment="1">
      <alignment horizontal="left" vertical="center"/>
    </xf>
    <xf numFmtId="171" fontId="17" fillId="0" borderId="15" xfId="0" applyNumberFormat="1" applyFont="1" applyBorder="1" applyAlignment="1" applyProtection="1">
      <alignment horizontal="center" vertical="center"/>
      <protection locked="0"/>
    </xf>
    <xf numFmtId="171" fontId="17" fillId="0" borderId="24" xfId="0" applyNumberFormat="1" applyFont="1" applyBorder="1" applyAlignment="1" applyProtection="1">
      <alignment horizontal="center" vertical="center"/>
      <protection locked="0"/>
    </xf>
    <xf numFmtId="0" fontId="12" fillId="0" borderId="20" xfId="0" applyFont="1" applyBorder="1" applyAlignment="1">
      <alignment horizontal="center" vertical="center" wrapText="1"/>
    </xf>
    <xf numFmtId="0" fontId="12" fillId="0" borderId="65" xfId="0" applyFont="1" applyBorder="1" applyAlignment="1">
      <alignment horizontal="center" vertical="center" wrapText="1"/>
    </xf>
    <xf numFmtId="0" fontId="12" fillId="0" borderId="42" xfId="0" applyFont="1" applyBorder="1" applyAlignment="1">
      <alignment horizontal="center" vertical="center" wrapText="1"/>
    </xf>
    <xf numFmtId="0" fontId="12" fillId="0" borderId="41"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66" xfId="0" applyFont="1" applyBorder="1" applyAlignment="1">
      <alignment horizontal="center" vertical="center" wrapText="1"/>
    </xf>
    <xf numFmtId="171" fontId="12" fillId="0" borderId="20" xfId="0" applyNumberFormat="1" applyFont="1" applyBorder="1" applyAlignment="1">
      <alignment horizontal="center" vertical="center" wrapText="1"/>
    </xf>
    <xf numFmtId="171" fontId="12" fillId="0" borderId="65" xfId="0" applyNumberFormat="1" applyFont="1" applyBorder="1" applyAlignment="1">
      <alignment horizontal="center" vertical="center" wrapText="1"/>
    </xf>
    <xf numFmtId="171" fontId="12" fillId="0" borderId="42" xfId="0" applyNumberFormat="1" applyFont="1" applyBorder="1" applyAlignment="1">
      <alignment horizontal="center" vertical="center" wrapText="1"/>
    </xf>
    <xf numFmtId="171" fontId="12" fillId="0" borderId="41" xfId="0" applyNumberFormat="1" applyFont="1" applyBorder="1" applyAlignment="1">
      <alignment horizontal="center" vertical="center" wrapText="1"/>
    </xf>
    <xf numFmtId="171" fontId="12" fillId="0" borderId="17" xfId="0" applyNumberFormat="1" applyFont="1" applyBorder="1" applyAlignment="1">
      <alignment horizontal="center" vertical="center" wrapText="1"/>
    </xf>
    <xf numFmtId="171" fontId="12" fillId="0" borderId="66" xfId="0" applyNumberFormat="1" applyFont="1" applyBorder="1" applyAlignment="1">
      <alignment horizontal="center" vertical="center" wrapText="1"/>
    </xf>
    <xf numFmtId="171" fontId="14" fillId="8" borderId="1" xfId="1" applyNumberFormat="1" applyFont="1" applyFill="1" applyBorder="1" applyAlignment="1" applyProtection="1">
      <alignment horizontal="center" vertical="center"/>
    </xf>
    <xf numFmtId="167" fontId="12" fillId="0" borderId="17" xfId="1" applyFont="1" applyBorder="1" applyAlignment="1" applyProtection="1">
      <alignment horizontal="center"/>
    </xf>
    <xf numFmtId="0" fontId="12" fillId="0" borderId="17" xfId="0" applyFont="1" applyBorder="1" applyAlignment="1">
      <alignment horizontal="center" vertical="center"/>
    </xf>
    <xf numFmtId="0" fontId="6" fillId="0" borderId="17" xfId="0" applyFont="1" applyBorder="1" applyAlignment="1">
      <alignment horizontal="center"/>
    </xf>
    <xf numFmtId="0" fontId="19" fillId="0" borderId="77" xfId="0" applyFont="1" applyBorder="1" applyAlignment="1">
      <alignment horizontal="center"/>
    </xf>
    <xf numFmtId="0" fontId="19" fillId="0" borderId="17" xfId="0" applyFont="1" applyBorder="1" applyAlignment="1">
      <alignment horizontal="center"/>
    </xf>
    <xf numFmtId="0" fontId="6" fillId="0" borderId="0" xfId="0" applyFont="1" applyAlignment="1">
      <alignment horizontal="justify" wrapText="1"/>
    </xf>
    <xf numFmtId="0" fontId="6" fillId="0" borderId="0" xfId="0" applyFont="1" applyAlignment="1">
      <alignment horizontal="left"/>
    </xf>
    <xf numFmtId="0" fontId="6" fillId="0" borderId="18" xfId="0" applyFont="1" applyBorder="1" applyAlignment="1">
      <alignment horizontal="center"/>
    </xf>
    <xf numFmtId="3" fontId="19" fillId="0" borderId="17" xfId="0" applyNumberFormat="1" applyFont="1" applyBorder="1" applyAlignment="1">
      <alignment horizontal="center"/>
    </xf>
    <xf numFmtId="0" fontId="52" fillId="5" borderId="15" xfId="0" applyFont="1" applyFill="1" applyBorder="1" applyAlignment="1">
      <alignment horizontal="center"/>
    </xf>
    <xf numFmtId="0" fontId="52" fillId="5" borderId="18" xfId="0" applyFont="1" applyFill="1" applyBorder="1" applyAlignment="1">
      <alignment horizontal="center"/>
    </xf>
    <xf numFmtId="0" fontId="52" fillId="5" borderId="24" xfId="0" applyFont="1" applyFill="1" applyBorder="1" applyAlignment="1">
      <alignment horizontal="center"/>
    </xf>
    <xf numFmtId="0" fontId="25" fillId="0" borderId="15" xfId="0" applyFont="1" applyBorder="1" applyAlignment="1">
      <alignment horizontal="center"/>
    </xf>
    <xf numFmtId="0" fontId="25" fillId="0" borderId="18" xfId="0" applyFont="1" applyBorder="1" applyAlignment="1">
      <alignment horizontal="center"/>
    </xf>
    <xf numFmtId="0" fontId="25" fillId="0" borderId="24" xfId="0" applyFont="1" applyBorder="1" applyAlignment="1">
      <alignment horizontal="center"/>
    </xf>
    <xf numFmtId="0" fontId="25" fillId="0" borderId="41" xfId="0" applyFont="1" applyBorder="1" applyAlignment="1">
      <alignment horizontal="center"/>
    </xf>
    <xf numFmtId="0" fontId="25" fillId="0" borderId="17" xfId="0" applyFont="1" applyBorder="1" applyAlignment="1">
      <alignment horizontal="center"/>
    </xf>
    <xf numFmtId="0" fontId="25" fillId="0" borderId="66" xfId="0" applyFont="1" applyBorder="1" applyAlignment="1">
      <alignment horizontal="center"/>
    </xf>
    <xf numFmtId="0" fontId="25" fillId="0" borderId="20" xfId="0" applyFont="1" applyBorder="1" applyAlignment="1">
      <alignment horizontal="center"/>
    </xf>
    <xf numFmtId="0" fontId="25" fillId="0" borderId="42" xfId="0" applyFont="1" applyBorder="1" applyAlignment="1">
      <alignment horizontal="center"/>
    </xf>
    <xf numFmtId="0" fontId="52" fillId="0" borderId="15" xfId="0" applyFont="1" applyBorder="1" applyAlignment="1">
      <alignment horizontal="center"/>
    </xf>
    <xf numFmtId="0" fontId="52" fillId="0" borderId="24" xfId="0" applyFont="1" applyBorder="1" applyAlignment="1">
      <alignment horizontal="center"/>
    </xf>
    <xf numFmtId="164" fontId="24" fillId="0" borderId="15" xfId="5" applyNumberFormat="1" applyFont="1" applyFill="1" applyBorder="1" applyAlignment="1">
      <alignment horizontal="center"/>
    </xf>
    <xf numFmtId="164" fontId="24" fillId="0" borderId="18" xfId="5" applyNumberFormat="1" applyFont="1" applyFill="1" applyBorder="1" applyAlignment="1">
      <alignment horizontal="center"/>
    </xf>
    <xf numFmtId="164" fontId="24" fillId="0" borderId="24" xfId="5" applyNumberFormat="1" applyFont="1" applyFill="1" applyBorder="1" applyAlignment="1">
      <alignment horizontal="center"/>
    </xf>
    <xf numFmtId="2" fontId="25" fillId="0" borderId="15" xfId="0" applyNumberFormat="1" applyFont="1" applyBorder="1" applyAlignment="1">
      <alignment horizontal="center"/>
    </xf>
    <xf numFmtId="2" fontId="25" fillId="0" borderId="18" xfId="0" applyNumberFormat="1" applyFont="1" applyBorder="1" applyAlignment="1">
      <alignment horizontal="center"/>
    </xf>
    <xf numFmtId="2" fontId="25" fillId="0" borderId="24" xfId="0" applyNumberFormat="1" applyFont="1" applyBorder="1" applyAlignment="1">
      <alignment horizontal="center"/>
    </xf>
    <xf numFmtId="0" fontId="52" fillId="5" borderId="20" xfId="0" applyFont="1" applyFill="1" applyBorder="1" applyAlignment="1">
      <alignment horizontal="left" vertical="center" wrapText="1"/>
    </xf>
    <xf numFmtId="0" fontId="52" fillId="5" borderId="42" xfId="0" applyFont="1" applyFill="1" applyBorder="1" applyAlignment="1">
      <alignment horizontal="left" vertical="center" wrapText="1"/>
    </xf>
    <xf numFmtId="0" fontId="52" fillId="5" borderId="41" xfId="0" applyFont="1" applyFill="1" applyBorder="1" applyAlignment="1">
      <alignment horizontal="left" vertical="center" wrapText="1"/>
    </xf>
    <xf numFmtId="0" fontId="52" fillId="5" borderId="66" xfId="0" applyFont="1" applyFill="1" applyBorder="1" applyAlignment="1">
      <alignment horizontal="left" vertical="center" wrapText="1"/>
    </xf>
    <xf numFmtId="0" fontId="52" fillId="0" borderId="20" xfId="0" applyFont="1" applyBorder="1" applyAlignment="1">
      <alignment horizontal="center" vertical="center" wrapText="1"/>
    </xf>
    <xf numFmtId="0" fontId="52" fillId="0" borderId="42" xfId="0" applyFont="1" applyBorder="1" applyAlignment="1">
      <alignment horizontal="center" vertical="center" wrapText="1"/>
    </xf>
    <xf numFmtId="0" fontId="52" fillId="0" borderId="41" xfId="0" applyFont="1" applyBorder="1" applyAlignment="1">
      <alignment horizontal="center" vertical="center" wrapText="1"/>
    </xf>
    <xf numFmtId="0" fontId="52" fillId="0" borderId="66" xfId="0" applyFont="1" applyBorder="1" applyAlignment="1">
      <alignment horizontal="center" vertical="center" wrapText="1"/>
    </xf>
    <xf numFmtId="3" fontId="25" fillId="0" borderId="15" xfId="0" applyNumberFormat="1" applyFont="1" applyBorder="1" applyAlignment="1">
      <alignment horizontal="center"/>
    </xf>
    <xf numFmtId="0" fontId="55" fillId="0" borderId="1" xfId="0" applyFont="1" applyBorder="1" applyAlignment="1">
      <alignment horizontal="center"/>
    </xf>
    <xf numFmtId="0" fontId="68" fillId="0" borderId="1" xfId="0" applyFont="1" applyBorder="1" applyAlignment="1">
      <alignment horizontal="center"/>
    </xf>
    <xf numFmtId="0" fontId="54" fillId="0" borderId="0" xfId="0" applyFont="1" applyAlignment="1">
      <alignment horizontal="justify" vertical="center" wrapText="1"/>
    </xf>
    <xf numFmtId="0" fontId="55" fillId="0" borderId="17" xfId="0" applyFont="1" applyBorder="1" applyAlignment="1" applyProtection="1">
      <alignment horizontal="center" vertical="top" wrapText="1"/>
      <protection locked="0"/>
    </xf>
    <xf numFmtId="0" fontId="54" fillId="0" borderId="17" xfId="0" applyFont="1" applyBorder="1" applyAlignment="1" applyProtection="1">
      <alignment horizontal="center"/>
      <protection locked="0"/>
    </xf>
    <xf numFmtId="0" fontId="54" fillId="0" borderId="18" xfId="0" applyFont="1" applyBorder="1" applyAlignment="1" applyProtection="1">
      <alignment horizontal="center"/>
      <protection locked="0"/>
    </xf>
    <xf numFmtId="0" fontId="55" fillId="0" borderId="15" xfId="0" applyFont="1" applyBorder="1" applyAlignment="1">
      <alignment horizontal="center"/>
    </xf>
    <xf numFmtId="0" fontId="55" fillId="0" borderId="18" xfId="0" applyFont="1" applyBorder="1" applyAlignment="1">
      <alignment horizontal="center"/>
    </xf>
    <xf numFmtId="0" fontId="55" fillId="0" borderId="24" xfId="0" applyFont="1" applyBorder="1" applyAlignment="1">
      <alignment horizontal="center"/>
    </xf>
    <xf numFmtId="0" fontId="74" fillId="0" borderId="0" xfId="0" applyFont="1" applyAlignment="1">
      <alignment horizontal="center"/>
    </xf>
    <xf numFmtId="0" fontId="31" fillId="0" borderId="0" xfId="0" applyFont="1" applyAlignment="1">
      <alignment horizontal="center"/>
    </xf>
    <xf numFmtId="0" fontId="6" fillId="0" borderId="0" xfId="0" applyFont="1" applyAlignment="1">
      <alignment horizontal="center" wrapText="1"/>
    </xf>
    <xf numFmtId="0" fontId="6" fillId="0" borderId="0" xfId="0" applyFont="1" applyAlignment="1">
      <alignment horizontal="center"/>
    </xf>
    <xf numFmtId="0" fontId="18" fillId="0" borderId="0" xfId="0" applyFont="1" applyAlignment="1">
      <alignment horizontal="center"/>
    </xf>
    <xf numFmtId="176" fontId="17" fillId="7" borderId="40" xfId="3" applyNumberFormat="1" applyFont="1" applyFill="1" applyBorder="1" applyAlignment="1">
      <alignment horizontal="center" vertical="center"/>
    </xf>
    <xf numFmtId="171" fontId="12" fillId="0" borderId="35" xfId="0" applyNumberFormat="1" applyFont="1" applyBorder="1" applyAlignment="1">
      <alignment horizontal="center" vertical="center"/>
    </xf>
    <xf numFmtId="171" fontId="12" fillId="0" borderId="19" xfId="0" applyNumberFormat="1" applyFont="1" applyBorder="1" applyAlignment="1">
      <alignment horizontal="center" vertical="center"/>
    </xf>
    <xf numFmtId="171" fontId="12" fillId="0" borderId="36" xfId="0" applyNumberFormat="1" applyFont="1" applyBorder="1" applyAlignment="1">
      <alignment horizontal="center" vertical="center"/>
    </xf>
    <xf numFmtId="0" fontId="12" fillId="0" borderId="17" xfId="0" applyFont="1" applyBorder="1" applyAlignment="1" applyProtection="1">
      <alignment horizontal="center" vertical="center"/>
      <protection locked="0"/>
    </xf>
    <xf numFmtId="171" fontId="17" fillId="0" borderId="1" xfId="0" applyNumberFormat="1" applyFont="1" applyBorder="1" applyAlignment="1">
      <alignment horizontal="center" vertical="center"/>
    </xf>
    <xf numFmtId="0" fontId="20" fillId="4" borderId="0" xfId="0" applyFont="1" applyFill="1" applyAlignment="1">
      <alignment horizontal="center"/>
    </xf>
    <xf numFmtId="180" fontId="70" fillId="9" borderId="15" xfId="0" applyNumberFormat="1" applyFont="1" applyFill="1" applyBorder="1" applyAlignment="1">
      <alignment horizontal="center" vertical="center"/>
    </xf>
    <xf numFmtId="180" fontId="70" fillId="9" borderId="24" xfId="0" applyNumberFormat="1" applyFont="1" applyFill="1" applyBorder="1" applyAlignment="1">
      <alignment horizontal="center" vertical="center"/>
    </xf>
    <xf numFmtId="0" fontId="6" fillId="0" borderId="20"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65" xfId="0" applyFont="1" applyBorder="1" applyAlignment="1">
      <alignment horizontal="center" vertical="center" wrapText="1"/>
    </xf>
    <xf numFmtId="0" fontId="6" fillId="0" borderId="17" xfId="0" applyFont="1" applyBorder="1" applyAlignment="1">
      <alignment horizontal="center" vertical="center" wrapText="1"/>
    </xf>
    <xf numFmtId="171" fontId="6" fillId="0" borderId="20" xfId="0" applyNumberFormat="1" applyFont="1" applyBorder="1" applyAlignment="1">
      <alignment horizontal="center" vertical="center" wrapText="1"/>
    </xf>
    <xf numFmtId="171" fontId="6" fillId="0" borderId="65" xfId="0" applyNumberFormat="1" applyFont="1" applyBorder="1" applyAlignment="1">
      <alignment horizontal="center" vertical="center" wrapText="1"/>
    </xf>
    <xf numFmtId="171" fontId="6" fillId="0" borderId="42" xfId="0" applyNumberFormat="1" applyFont="1" applyBorder="1" applyAlignment="1">
      <alignment horizontal="center" vertical="center" wrapText="1"/>
    </xf>
    <xf numFmtId="171" fontId="6" fillId="0" borderId="41" xfId="0" applyNumberFormat="1" applyFont="1" applyBorder="1" applyAlignment="1">
      <alignment horizontal="center" vertical="center" wrapText="1"/>
    </xf>
    <xf numFmtId="171" fontId="6" fillId="0" borderId="17" xfId="0" applyNumberFormat="1" applyFont="1" applyBorder="1" applyAlignment="1">
      <alignment horizontal="center" vertical="center" wrapText="1"/>
    </xf>
    <xf numFmtId="171" fontId="6" fillId="0" borderId="66" xfId="0" applyNumberFormat="1" applyFont="1" applyBorder="1" applyAlignment="1">
      <alignment horizontal="center" vertical="center" wrapText="1"/>
    </xf>
    <xf numFmtId="0" fontId="12" fillId="0" borderId="0" xfId="0" applyFont="1" applyAlignment="1">
      <alignment horizontal="center" vertical="center"/>
    </xf>
    <xf numFmtId="0" fontId="12" fillId="0" borderId="18" xfId="0" applyFont="1" applyBorder="1" applyAlignment="1">
      <alignment horizontal="center" vertical="center"/>
    </xf>
    <xf numFmtId="0" fontId="12" fillId="0" borderId="18" xfId="0" applyFont="1" applyBorder="1" applyAlignment="1">
      <alignment horizontal="left" vertical="center"/>
    </xf>
    <xf numFmtId="0" fontId="12" fillId="0" borderId="8" xfId="0" applyFont="1" applyBorder="1" applyAlignment="1">
      <alignment horizontal="left" vertical="center"/>
    </xf>
    <xf numFmtId="167" fontId="12" fillId="0" borderId="0" xfId="1" applyFont="1" applyAlignment="1" applyProtection="1">
      <alignment horizontal="center" vertical="center"/>
    </xf>
    <xf numFmtId="0" fontId="14" fillId="0" borderId="0" xfId="0" applyFont="1" applyAlignment="1">
      <alignment horizontal="center" vertical="center"/>
    </xf>
    <xf numFmtId="171" fontId="14" fillId="0" borderId="0" xfId="1" applyNumberFormat="1" applyFont="1" applyFill="1" applyBorder="1" applyAlignment="1" applyProtection="1">
      <alignment horizontal="center" vertical="center"/>
    </xf>
    <xf numFmtId="167" fontId="14" fillId="0" borderId="17" xfId="1" applyFont="1" applyBorder="1" applyAlignment="1" applyProtection="1">
      <alignment horizontal="center" vertical="center"/>
    </xf>
    <xf numFmtId="167" fontId="14" fillId="0" borderId="19" xfId="1" applyFont="1" applyBorder="1" applyAlignment="1" applyProtection="1">
      <alignment horizontal="center" vertical="center"/>
    </xf>
    <xf numFmtId="171" fontId="17" fillId="0" borderId="15" xfId="0" applyNumberFormat="1" applyFont="1" applyBorder="1" applyAlignment="1">
      <alignment horizontal="center" vertical="center"/>
    </xf>
    <xf numFmtId="171" fontId="17" fillId="0" borderId="24" xfId="0" applyNumberFormat="1" applyFont="1" applyBorder="1" applyAlignment="1">
      <alignment horizontal="center" vertical="center"/>
    </xf>
    <xf numFmtId="0" fontId="14" fillId="9" borderId="1" xfId="0" applyFont="1" applyFill="1" applyBorder="1" applyAlignment="1">
      <alignment horizontal="center" vertical="center"/>
    </xf>
    <xf numFmtId="171" fontId="14" fillId="9" borderId="1" xfId="1" applyNumberFormat="1" applyFont="1" applyFill="1" applyBorder="1" applyAlignment="1" applyProtection="1">
      <alignment horizontal="center" vertical="center"/>
    </xf>
    <xf numFmtId="0" fontId="20" fillId="4" borderId="0" xfId="0" applyFont="1" applyFill="1" applyAlignment="1">
      <alignment horizontal="center" vertical="center"/>
    </xf>
    <xf numFmtId="43" fontId="12" fillId="0" borderId="0" xfId="0" applyNumberFormat="1" applyFont="1" applyAlignment="1">
      <alignment horizontal="center" vertical="center"/>
    </xf>
    <xf numFmtId="0" fontId="8" fillId="5" borderId="0" xfId="0" applyFont="1" applyFill="1" applyAlignment="1">
      <alignment horizontal="left" vertical="center"/>
    </xf>
    <xf numFmtId="171" fontId="12" fillId="0" borderId="7" xfId="0" applyNumberFormat="1" applyFont="1" applyBorder="1" applyAlignment="1">
      <alignment horizontal="left" vertical="center"/>
    </xf>
    <xf numFmtId="171" fontId="12" fillId="0" borderId="8" xfId="0" applyNumberFormat="1" applyFont="1" applyBorder="1" applyAlignment="1">
      <alignment horizontal="left" vertical="center"/>
    </xf>
    <xf numFmtId="171" fontId="12" fillId="0" borderId="9" xfId="0" applyNumberFormat="1" applyFont="1" applyBorder="1" applyAlignment="1">
      <alignment horizontal="left" vertical="center"/>
    </xf>
    <xf numFmtId="184" fontId="6" fillId="0" borderId="15" xfId="0" applyNumberFormat="1" applyFont="1" applyBorder="1" applyAlignment="1">
      <alignment horizontal="center"/>
    </xf>
    <xf numFmtId="184" fontId="6" fillId="0" borderId="24" xfId="0" applyNumberFormat="1" applyFont="1" applyBorder="1" applyAlignment="1">
      <alignment horizontal="center"/>
    </xf>
    <xf numFmtId="0" fontId="58" fillId="2" borderId="0" xfId="0" applyFont="1" applyFill="1" applyAlignment="1">
      <alignment horizontal="center"/>
    </xf>
    <xf numFmtId="171" fontId="12" fillId="0" borderId="8" xfId="1" applyNumberFormat="1" applyFont="1" applyBorder="1" applyAlignment="1" applyProtection="1">
      <alignment horizontal="left" vertical="center"/>
    </xf>
    <xf numFmtId="171" fontId="12" fillId="0" borderId="9" xfId="1" applyNumberFormat="1" applyFont="1" applyBorder="1" applyAlignment="1" applyProtection="1">
      <alignment horizontal="left" vertical="center"/>
    </xf>
    <xf numFmtId="0" fontId="20" fillId="5" borderId="73" xfId="0" applyFont="1" applyFill="1" applyBorder="1" applyAlignment="1">
      <alignment horizontal="left" vertical="center"/>
    </xf>
    <xf numFmtId="2" fontId="12" fillId="0" borderId="7" xfId="1" applyNumberFormat="1" applyFont="1" applyBorder="1" applyAlignment="1" applyProtection="1">
      <alignment horizontal="center" vertical="center"/>
    </xf>
    <xf numFmtId="2" fontId="12" fillId="0" borderId="8" xfId="1" applyNumberFormat="1" applyFont="1" applyBorder="1" applyAlignment="1" applyProtection="1">
      <alignment horizontal="center" vertical="center"/>
    </xf>
    <xf numFmtId="171" fontId="14" fillId="0" borderId="8" xfId="1" applyNumberFormat="1" applyFont="1" applyBorder="1" applyAlignment="1" applyProtection="1">
      <alignment horizontal="left" vertical="center"/>
    </xf>
    <xf numFmtId="171" fontId="14" fillId="0" borderId="9" xfId="1" applyNumberFormat="1" applyFont="1" applyBorder="1" applyAlignment="1" applyProtection="1">
      <alignment horizontal="left" vertical="center"/>
    </xf>
    <xf numFmtId="2" fontId="17" fillId="0" borderId="7" xfId="1" applyNumberFormat="1" applyFont="1" applyBorder="1" applyAlignment="1" applyProtection="1">
      <alignment horizontal="center" vertical="center"/>
    </xf>
    <xf numFmtId="2" fontId="17" fillId="0" borderId="8" xfId="1" applyNumberFormat="1" applyFont="1" applyBorder="1" applyAlignment="1" applyProtection="1">
      <alignment horizontal="center" vertical="center"/>
    </xf>
    <xf numFmtId="171" fontId="32" fillId="0" borderId="8" xfId="1" applyNumberFormat="1" applyFont="1" applyBorder="1" applyAlignment="1" applyProtection="1">
      <alignment horizontal="left" vertical="center"/>
    </xf>
    <xf numFmtId="171" fontId="32" fillId="0" borderId="9" xfId="1" applyNumberFormat="1" applyFont="1" applyBorder="1" applyAlignment="1" applyProtection="1">
      <alignment horizontal="left" vertical="center"/>
    </xf>
    <xf numFmtId="0" fontId="9" fillId="5" borderId="31" xfId="0" applyFont="1" applyFill="1" applyBorder="1" applyAlignment="1">
      <alignment horizontal="center" vertical="center"/>
    </xf>
    <xf numFmtId="0" fontId="9" fillId="5" borderId="64" xfId="0" applyFont="1" applyFill="1" applyBorder="1" applyAlignment="1">
      <alignment horizontal="center" vertical="center"/>
    </xf>
    <xf numFmtId="0" fontId="8" fillId="5" borderId="0" xfId="0" applyFont="1" applyFill="1" applyAlignment="1">
      <alignment horizontal="center" vertical="center"/>
    </xf>
    <xf numFmtId="0" fontId="12" fillId="0" borderId="5" xfId="0" applyFont="1" applyBorder="1" applyAlignment="1">
      <alignment horizontal="center" vertical="center"/>
    </xf>
    <xf numFmtId="2" fontId="17" fillId="0" borderId="7" xfId="0" applyNumberFormat="1" applyFont="1" applyBorder="1" applyAlignment="1">
      <alignment horizontal="center" vertical="center"/>
    </xf>
    <xf numFmtId="2" fontId="17" fillId="0" borderId="8" xfId="0" applyNumberFormat="1" applyFont="1" applyBorder="1" applyAlignment="1">
      <alignment horizontal="center" vertical="center"/>
    </xf>
    <xf numFmtId="171" fontId="32" fillId="0" borderId="15" xfId="0" applyNumberFormat="1" applyFont="1" applyBorder="1" applyAlignment="1">
      <alignment horizontal="left" vertical="center"/>
    </xf>
    <xf numFmtId="171" fontId="32" fillId="0" borderId="18" xfId="0" applyNumberFormat="1" applyFont="1" applyBorder="1" applyAlignment="1">
      <alignment horizontal="left" vertical="center"/>
    </xf>
    <xf numFmtId="171" fontId="32" fillId="0" borderId="24" xfId="0" applyNumberFormat="1" applyFont="1" applyBorder="1" applyAlignment="1">
      <alignment horizontal="left" vertical="center"/>
    </xf>
    <xf numFmtId="171" fontId="17" fillId="0" borderId="15" xfId="0" applyNumberFormat="1" applyFont="1" applyBorder="1" applyAlignment="1">
      <alignment horizontal="left" vertical="center"/>
    </xf>
    <xf numFmtId="171" fontId="17" fillId="0" borderId="18" xfId="0" applyNumberFormat="1" applyFont="1" applyBorder="1" applyAlignment="1">
      <alignment horizontal="left" vertical="center"/>
    </xf>
    <xf numFmtId="171" fontId="17" fillId="0" borderId="24" xfId="0" applyNumberFormat="1" applyFont="1" applyBorder="1" applyAlignment="1">
      <alignment horizontal="left" vertical="center"/>
    </xf>
    <xf numFmtId="171" fontId="12" fillId="0" borderId="1" xfId="0" applyNumberFormat="1" applyFont="1" applyBorder="1" applyAlignment="1">
      <alignment horizontal="left" vertical="center"/>
    </xf>
    <xf numFmtId="171" fontId="17" fillId="0" borderId="1" xfId="0" applyNumberFormat="1" applyFont="1" applyBorder="1" applyAlignment="1">
      <alignment horizontal="left" vertical="center"/>
    </xf>
    <xf numFmtId="172" fontId="8" fillId="5" borderId="1" xfId="0" applyNumberFormat="1" applyFont="1" applyFill="1" applyBorder="1" applyAlignment="1">
      <alignment horizontal="center" vertical="center"/>
    </xf>
    <xf numFmtId="171" fontId="32" fillId="0" borderId="27" xfId="0" applyNumberFormat="1" applyFont="1" applyBorder="1" applyAlignment="1">
      <alignment horizontal="left" vertical="center"/>
    </xf>
    <xf numFmtId="169" fontId="12" fillId="0" borderId="8" xfId="0" applyNumberFormat="1" applyFont="1" applyBorder="1" applyAlignment="1">
      <alignment horizontal="center"/>
    </xf>
    <xf numFmtId="169" fontId="12" fillId="0" borderId="9" xfId="0" applyNumberFormat="1" applyFont="1" applyBorder="1" applyAlignment="1">
      <alignment horizontal="center"/>
    </xf>
    <xf numFmtId="2" fontId="12" fillId="0" borderId="30" xfId="1" applyNumberFormat="1" applyFont="1" applyBorder="1" applyAlignment="1" applyProtection="1">
      <alignment horizontal="center" vertical="center"/>
    </xf>
    <xf numFmtId="2" fontId="12" fillId="0" borderId="9" xfId="1" applyNumberFormat="1" applyFont="1" applyBorder="1" applyAlignment="1" applyProtection="1">
      <alignment horizontal="center" vertical="center"/>
    </xf>
    <xf numFmtId="0" fontId="20" fillId="5" borderId="12" xfId="0" applyFont="1" applyFill="1" applyBorder="1" applyAlignment="1">
      <alignment horizontal="left" vertical="center"/>
    </xf>
    <xf numFmtId="0" fontId="20" fillId="5" borderId="68" xfId="0" applyFont="1" applyFill="1" applyBorder="1" applyAlignment="1">
      <alignment horizontal="left" vertical="center"/>
    </xf>
    <xf numFmtId="0" fontId="12" fillId="0" borderId="30" xfId="0" applyFont="1" applyBorder="1" applyAlignment="1">
      <alignment horizontal="center" vertical="center"/>
    </xf>
    <xf numFmtId="0" fontId="17" fillId="0" borderId="19" xfId="0" applyFont="1" applyBorder="1" applyAlignment="1">
      <alignment horizontal="center" vertical="center"/>
    </xf>
    <xf numFmtId="0" fontId="12" fillId="0" borderId="15" xfId="0" applyFont="1" applyBorder="1" applyAlignment="1">
      <alignment horizontal="right" vertical="center"/>
    </xf>
    <xf numFmtId="0" fontId="12" fillId="0" borderId="18" xfId="0" applyFont="1" applyBorder="1" applyAlignment="1">
      <alignment horizontal="right" vertical="center"/>
    </xf>
    <xf numFmtId="171" fontId="19" fillId="0" borderId="20" xfId="0" applyNumberFormat="1" applyFont="1" applyBorder="1" applyAlignment="1">
      <alignment horizontal="center" vertical="center" wrapText="1"/>
    </xf>
    <xf numFmtId="171" fontId="19" fillId="0" borderId="42" xfId="0" applyNumberFormat="1" applyFont="1" applyBorder="1" applyAlignment="1">
      <alignment horizontal="center" vertical="center" wrapText="1"/>
    </xf>
    <xf numFmtId="171" fontId="19" fillId="0" borderId="41" xfId="0" applyNumberFormat="1" applyFont="1" applyBorder="1" applyAlignment="1">
      <alignment horizontal="center" vertical="center" wrapText="1"/>
    </xf>
    <xf numFmtId="171" fontId="19" fillId="0" borderId="66" xfId="0" applyNumberFormat="1" applyFont="1" applyBorder="1" applyAlignment="1">
      <alignment horizontal="center" vertical="center" wrapText="1"/>
    </xf>
    <xf numFmtId="171" fontId="12" fillId="0" borderId="0" xfId="0" applyNumberFormat="1" applyFont="1" applyAlignment="1">
      <alignment horizontal="center" vertical="center"/>
    </xf>
    <xf numFmtId="171" fontId="14" fillId="9" borderId="1" xfId="0" applyNumberFormat="1" applyFont="1" applyFill="1" applyBorder="1" applyAlignment="1">
      <alignment horizontal="center" vertical="center"/>
    </xf>
    <xf numFmtId="167" fontId="14" fillId="0" borderId="0" xfId="1" applyFont="1" applyBorder="1" applyAlignment="1" applyProtection="1">
      <alignment horizontal="center" vertical="center"/>
    </xf>
    <xf numFmtId="0" fontId="14" fillId="9" borderId="15" xfId="0" applyFont="1" applyFill="1" applyBorder="1" applyAlignment="1">
      <alignment horizontal="center" vertical="center"/>
    </xf>
    <xf numFmtId="0" fontId="14" fillId="9" borderId="24" xfId="0" applyFont="1" applyFill="1" applyBorder="1" applyAlignment="1">
      <alignment horizontal="center" vertical="center"/>
    </xf>
    <xf numFmtId="171" fontId="17" fillId="0" borderId="27" xfId="0" applyNumberFormat="1" applyFont="1" applyBorder="1" applyAlignment="1">
      <alignment horizontal="left" vertical="center"/>
    </xf>
    <xf numFmtId="0" fontId="5" fillId="5" borderId="1" xfId="0" applyFont="1" applyFill="1" applyBorder="1" applyAlignment="1">
      <alignment horizontal="center" vertical="center"/>
    </xf>
    <xf numFmtId="0" fontId="20" fillId="5" borderId="6" xfId="0" applyFont="1" applyFill="1" applyBorder="1" applyAlignment="1">
      <alignment horizontal="left" vertical="center"/>
    </xf>
    <xf numFmtId="0" fontId="8" fillId="5" borderId="3" xfId="0" applyFont="1" applyFill="1" applyBorder="1" applyAlignment="1">
      <alignment horizontal="left" vertical="center"/>
    </xf>
    <xf numFmtId="171" fontId="32" fillId="0" borderId="37" xfId="0" applyNumberFormat="1" applyFont="1" applyBorder="1" applyAlignment="1">
      <alignment horizontal="left" vertical="center"/>
    </xf>
    <xf numFmtId="171" fontId="32" fillId="0" borderId="28" xfId="0" applyNumberFormat="1" applyFont="1" applyBorder="1" applyAlignment="1">
      <alignment horizontal="left" vertical="center"/>
    </xf>
    <xf numFmtId="171" fontId="32" fillId="0" borderId="70" xfId="0" applyNumberFormat="1" applyFont="1" applyBorder="1" applyAlignment="1">
      <alignment horizontal="left" vertical="center"/>
    </xf>
    <xf numFmtId="164" fontId="25" fillId="0" borderId="15" xfId="5" applyNumberFormat="1" applyFont="1" applyBorder="1" applyAlignment="1">
      <alignment horizontal="center"/>
    </xf>
    <xf numFmtId="164" fontId="25" fillId="0" borderId="18" xfId="5" applyNumberFormat="1" applyFont="1" applyBorder="1" applyAlignment="1">
      <alignment horizontal="center"/>
    </xf>
    <xf numFmtId="164" fontId="25" fillId="0" borderId="24" xfId="5" applyNumberFormat="1" applyFont="1" applyBorder="1" applyAlignment="1">
      <alignment horizontal="center"/>
    </xf>
    <xf numFmtId="164" fontId="24" fillId="0" borderId="15" xfId="5" applyNumberFormat="1" applyFont="1" applyBorder="1" applyAlignment="1">
      <alignment horizontal="center"/>
    </xf>
    <xf numFmtId="164" fontId="24" fillId="0" borderId="18" xfId="5" applyNumberFormat="1" applyFont="1" applyBorder="1" applyAlignment="1">
      <alignment horizontal="center"/>
    </xf>
    <xf numFmtId="164" fontId="24" fillId="0" borderId="24" xfId="5" applyNumberFormat="1" applyFont="1" applyBorder="1" applyAlignment="1">
      <alignment horizontal="center"/>
    </xf>
    <xf numFmtId="171" fontId="32" fillId="0" borderId="21" xfId="0" applyNumberFormat="1" applyFont="1" applyBorder="1" applyAlignment="1">
      <alignment horizontal="left" vertical="center"/>
    </xf>
    <xf numFmtId="0" fontId="12" fillId="0" borderId="18" xfId="0" applyFont="1" applyBorder="1" applyAlignment="1">
      <alignment horizontal="center"/>
    </xf>
    <xf numFmtId="0" fontId="12" fillId="0" borderId="0" xfId="0" applyFont="1" applyAlignment="1">
      <alignment horizontal="center"/>
    </xf>
    <xf numFmtId="0" fontId="12" fillId="0" borderId="17" xfId="0" applyFont="1" applyBorder="1" applyAlignment="1">
      <alignment horizontal="center"/>
    </xf>
    <xf numFmtId="0" fontId="0" fillId="0" borderId="17" xfId="0" applyBorder="1" applyAlignment="1" applyProtection="1">
      <alignment horizontal="center"/>
      <protection locked="0"/>
    </xf>
    <xf numFmtId="169" fontId="6" fillId="0" borderId="7" xfId="0" applyNumberFormat="1" applyFont="1" applyBorder="1" applyAlignment="1">
      <alignment horizontal="center"/>
    </xf>
    <xf numFmtId="169" fontId="6" fillId="0" borderId="8" xfId="0" applyNumberFormat="1" applyFont="1" applyBorder="1" applyAlignment="1">
      <alignment horizontal="center"/>
    </xf>
    <xf numFmtId="169" fontId="6" fillId="0" borderId="9" xfId="0" applyNumberFormat="1" applyFont="1" applyBorder="1" applyAlignment="1">
      <alignment horizontal="center"/>
    </xf>
    <xf numFmtId="0" fontId="6" fillId="0" borderId="15" xfId="0" applyFont="1" applyBorder="1" applyAlignment="1">
      <alignment horizontal="center"/>
    </xf>
    <xf numFmtId="0" fontId="6" fillId="0" borderId="24" xfId="0" applyFont="1" applyBorder="1" applyAlignment="1">
      <alignment horizontal="center"/>
    </xf>
    <xf numFmtId="0" fontId="12" fillId="0" borderId="26" xfId="0" applyFont="1" applyBorder="1" applyAlignment="1">
      <alignment horizontal="center" vertical="center"/>
    </xf>
    <xf numFmtId="0" fontId="12" fillId="0" borderId="22" xfId="0" applyFont="1" applyBorder="1" applyAlignment="1">
      <alignment horizontal="center" vertical="center"/>
    </xf>
    <xf numFmtId="171" fontId="32" fillId="0" borderId="114" xfId="0" applyNumberFormat="1" applyFont="1" applyBorder="1" applyAlignment="1">
      <alignment horizontal="left" vertical="center"/>
    </xf>
    <xf numFmtId="0" fontId="12" fillId="0" borderId="32" xfId="0" applyFont="1" applyBorder="1" applyAlignment="1">
      <alignment horizontal="center" vertical="center"/>
    </xf>
    <xf numFmtId="0" fontId="12" fillId="0" borderId="31" xfId="0" applyFont="1" applyBorder="1" applyAlignment="1">
      <alignment horizontal="center" vertical="center"/>
    </xf>
    <xf numFmtId="0" fontId="12" fillId="0" borderId="33" xfId="0" applyFont="1" applyBorder="1" applyAlignment="1">
      <alignment horizontal="center" vertical="center"/>
    </xf>
    <xf numFmtId="0" fontId="27" fillId="0" borderId="0" xfId="0" applyFont="1" applyAlignment="1">
      <alignment horizontal="center" vertical="center"/>
    </xf>
    <xf numFmtId="0" fontId="12" fillId="0" borderId="21" xfId="0" applyFont="1" applyBorder="1" applyAlignment="1">
      <alignment horizontal="center" vertical="center"/>
    </xf>
    <xf numFmtId="2" fontId="12" fillId="0" borderId="21" xfId="1" applyNumberFormat="1" applyFont="1" applyBorder="1" applyAlignment="1" applyProtection="1">
      <alignment horizontal="center" vertical="center"/>
    </xf>
    <xf numFmtId="2" fontId="12" fillId="0" borderId="35" xfId="1" applyNumberFormat="1" applyFont="1" applyBorder="1" applyAlignment="1" applyProtection="1">
      <alignment horizontal="center" vertical="center"/>
    </xf>
    <xf numFmtId="2" fontId="12" fillId="0" borderId="19" xfId="1" applyNumberFormat="1" applyFont="1" applyBorder="1" applyAlignment="1" applyProtection="1">
      <alignment horizontal="center" vertical="center"/>
    </xf>
    <xf numFmtId="171" fontId="17" fillId="0" borderId="21" xfId="0" applyNumberFormat="1" applyFont="1" applyBorder="1" applyAlignment="1">
      <alignment horizontal="left" vertical="center"/>
    </xf>
    <xf numFmtId="171" fontId="17" fillId="0" borderId="114" xfId="0" applyNumberFormat="1" applyFont="1" applyBorder="1" applyAlignment="1">
      <alignment horizontal="left" vertical="center"/>
    </xf>
    <xf numFmtId="171" fontId="14" fillId="0" borderId="0" xfId="0" applyNumberFormat="1" applyFont="1" applyAlignment="1">
      <alignment horizontal="center" vertical="center"/>
    </xf>
    <xf numFmtId="0" fontId="29" fillId="2" borderId="0" xfId="0" applyFont="1" applyFill="1" applyAlignment="1">
      <alignment horizontal="center"/>
    </xf>
    <xf numFmtId="0" fontId="49" fillId="0" borderId="0" xfId="0" applyFont="1" applyAlignment="1">
      <alignment horizontal="center"/>
    </xf>
    <xf numFmtId="164" fontId="25" fillId="0" borderId="15" xfId="5" applyNumberFormat="1" applyFont="1" applyFill="1" applyBorder="1" applyAlignment="1">
      <alignment horizontal="center"/>
    </xf>
    <xf numFmtId="164" fontId="25" fillId="0" borderId="18" xfId="5" applyNumberFormat="1" applyFont="1" applyFill="1" applyBorder="1" applyAlignment="1">
      <alignment horizontal="center"/>
    </xf>
    <xf numFmtId="164" fontId="25" fillId="0" borderId="24" xfId="5" applyNumberFormat="1" applyFont="1" applyFill="1" applyBorder="1" applyAlignment="1">
      <alignment horizontal="center"/>
    </xf>
    <xf numFmtId="171" fontId="32" fillId="0" borderId="44" xfId="0" applyNumberFormat="1" applyFont="1" applyBorder="1" applyAlignment="1">
      <alignment horizontal="left" vertical="center"/>
    </xf>
    <xf numFmtId="171" fontId="17" fillId="0" borderId="32" xfId="0" applyNumberFormat="1" applyFont="1" applyBorder="1" applyAlignment="1">
      <alignment horizontal="left" vertical="center"/>
    </xf>
    <xf numFmtId="171" fontId="17" fillId="0" borderId="31" xfId="0" applyNumberFormat="1" applyFont="1" applyBorder="1" applyAlignment="1">
      <alignment horizontal="left" vertical="center"/>
    </xf>
    <xf numFmtId="171" fontId="17" fillId="0" borderId="33" xfId="0" applyNumberFormat="1" applyFont="1" applyBorder="1" applyAlignment="1">
      <alignment horizontal="left" vertical="center"/>
    </xf>
    <xf numFmtId="171" fontId="17" fillId="0" borderId="38" xfId="0" applyNumberFormat="1" applyFont="1" applyBorder="1" applyAlignment="1">
      <alignment horizontal="left" vertical="center"/>
    </xf>
    <xf numFmtId="171" fontId="17" fillId="0" borderId="17" xfId="0" applyNumberFormat="1" applyFont="1" applyBorder="1" applyAlignment="1">
      <alignment horizontal="left" vertical="center"/>
    </xf>
    <xf numFmtId="171" fontId="17" fillId="0" borderId="39" xfId="0" applyNumberFormat="1" applyFont="1" applyBorder="1" applyAlignment="1">
      <alignment horizontal="left" vertical="center"/>
    </xf>
    <xf numFmtId="167" fontId="37" fillId="0" borderId="17" xfId="1" applyFont="1" applyBorder="1" applyAlignment="1" applyProtection="1">
      <alignment horizontal="center" vertical="center"/>
    </xf>
    <xf numFmtId="167" fontId="37" fillId="0" borderId="0" xfId="1" applyFont="1" applyAlignment="1" applyProtection="1">
      <alignment horizontal="center"/>
    </xf>
    <xf numFmtId="0" fontId="8" fillId="5" borderId="73" xfId="0" applyFont="1" applyFill="1" applyBorder="1" applyAlignment="1">
      <alignment horizontal="left" vertical="center"/>
    </xf>
    <xf numFmtId="169" fontId="31" fillId="0" borderId="18" xfId="0" applyNumberFormat="1" applyFont="1" applyBorder="1" applyAlignment="1">
      <alignment horizontal="left" vertical="center"/>
    </xf>
    <xf numFmtId="0" fontId="31" fillId="0" borderId="18" xfId="0" applyFont="1" applyBorder="1" applyAlignment="1">
      <alignment horizontal="left" vertical="center"/>
    </xf>
    <xf numFmtId="174" fontId="37" fillId="0" borderId="0" xfId="0" applyNumberFormat="1" applyFont="1" applyAlignment="1">
      <alignment horizontal="center" vertical="center"/>
    </xf>
    <xf numFmtId="171" fontId="32" fillId="0" borderId="7" xfId="1" applyNumberFormat="1" applyFont="1" applyBorder="1" applyAlignment="1" applyProtection="1">
      <alignment horizontal="left" vertical="center"/>
    </xf>
    <xf numFmtId="0" fontId="8" fillId="5" borderId="65" xfId="0" applyFont="1" applyFill="1" applyBorder="1" applyAlignment="1">
      <alignment horizontal="center" vertical="center"/>
    </xf>
    <xf numFmtId="0" fontId="8" fillId="5" borderId="17" xfId="0" applyFont="1" applyFill="1" applyBorder="1" applyAlignment="1">
      <alignment horizontal="center" vertical="center"/>
    </xf>
    <xf numFmtId="174" fontId="6" fillId="0" borderId="15" xfId="0" applyNumberFormat="1" applyFont="1" applyBorder="1" applyAlignment="1">
      <alignment horizontal="center" vertical="center"/>
    </xf>
    <xf numFmtId="174" fontId="6" fillId="0" borderId="18" xfId="0" applyNumberFormat="1" applyFont="1" applyBorder="1" applyAlignment="1">
      <alignment horizontal="center" vertical="center"/>
    </xf>
    <xf numFmtId="174" fontId="6" fillId="0" borderId="24" xfId="0" applyNumberFormat="1" applyFont="1" applyBorder="1" applyAlignment="1">
      <alignment horizontal="center" vertical="center"/>
    </xf>
    <xf numFmtId="0" fontId="6" fillId="0" borderId="1" xfId="0" applyFont="1" applyBorder="1" applyAlignment="1">
      <alignment horizontal="center" vertical="center"/>
    </xf>
    <xf numFmtId="171" fontId="6" fillId="0" borderId="1" xfId="0" applyNumberFormat="1" applyFont="1" applyBorder="1" applyAlignment="1">
      <alignment horizontal="center" vertical="center"/>
    </xf>
    <xf numFmtId="171" fontId="17" fillId="0" borderId="7" xfId="1" applyNumberFormat="1" applyFont="1" applyBorder="1" applyAlignment="1" applyProtection="1">
      <alignment horizontal="left" vertical="center"/>
    </xf>
    <xf numFmtId="171" fontId="17" fillId="0" borderId="8" xfId="1" applyNumberFormat="1" applyFont="1" applyBorder="1" applyAlignment="1" applyProtection="1">
      <alignment horizontal="left" vertical="center"/>
    </xf>
    <xf numFmtId="171" fontId="17" fillId="0" borderId="9" xfId="1" applyNumberFormat="1" applyFont="1" applyBorder="1" applyAlignment="1" applyProtection="1">
      <alignment horizontal="left" vertical="center"/>
    </xf>
    <xf numFmtId="2" fontId="6" fillId="0" borderId="7" xfId="1" applyNumberFormat="1" applyFont="1" applyBorder="1" applyAlignment="1" applyProtection="1">
      <alignment horizontal="center" vertical="center"/>
    </xf>
    <xf numFmtId="2" fontId="6" fillId="0" borderId="8" xfId="1" applyNumberFormat="1" applyFont="1" applyBorder="1" applyAlignment="1" applyProtection="1">
      <alignment horizontal="center" vertical="center"/>
    </xf>
    <xf numFmtId="167" fontId="6" fillId="0" borderId="7" xfId="1" applyFont="1" applyBorder="1" applyAlignment="1" applyProtection="1">
      <alignment horizontal="right" vertical="center"/>
    </xf>
    <xf numFmtId="167" fontId="6" fillId="0" borderId="21" xfId="1" applyFont="1" applyBorder="1" applyAlignment="1" applyProtection="1">
      <alignment horizontal="right" vertical="center"/>
    </xf>
    <xf numFmtId="0" fontId="37" fillId="0" borderId="0" xfId="0" applyFont="1" applyAlignment="1">
      <alignment horizontal="center" vertical="center"/>
    </xf>
    <xf numFmtId="171" fontId="15" fillId="0" borderId="0" xfId="0" applyNumberFormat="1" applyFont="1" applyAlignment="1">
      <alignment horizontal="center" vertical="center"/>
    </xf>
    <xf numFmtId="2" fontId="6" fillId="0" borderId="7" xfId="0" applyNumberFormat="1" applyFont="1" applyBorder="1" applyAlignment="1">
      <alignment horizontal="right" vertical="center"/>
    </xf>
    <xf numFmtId="0" fontId="6" fillId="0" borderId="21" xfId="0" applyFont="1" applyBorder="1" applyAlignment="1">
      <alignment horizontal="right" vertical="center"/>
    </xf>
    <xf numFmtId="2" fontId="6" fillId="0" borderId="32" xfId="1" applyNumberFormat="1" applyFont="1" applyBorder="1" applyAlignment="1" applyProtection="1">
      <alignment horizontal="center" vertical="center"/>
    </xf>
    <xf numFmtId="2" fontId="6" fillId="0" borderId="43" xfId="1" applyNumberFormat="1" applyFont="1" applyBorder="1" applyAlignment="1" applyProtection="1">
      <alignment horizontal="center" vertical="center"/>
    </xf>
    <xf numFmtId="167" fontId="6" fillId="0" borderId="26" xfId="1" applyFont="1" applyBorder="1" applyAlignment="1" applyProtection="1">
      <alignment horizontal="right" vertical="center"/>
    </xf>
    <xf numFmtId="167" fontId="6" fillId="0" borderId="23" xfId="1" applyFont="1" applyBorder="1" applyAlignment="1" applyProtection="1">
      <alignment horizontal="right" vertical="center"/>
    </xf>
    <xf numFmtId="171" fontId="17" fillId="0" borderId="21" xfId="1" applyNumberFormat="1" applyFont="1" applyBorder="1" applyAlignment="1" applyProtection="1">
      <alignment horizontal="left" vertical="center"/>
    </xf>
    <xf numFmtId="171" fontId="32" fillId="0" borderId="21" xfId="1" applyNumberFormat="1" applyFont="1" applyBorder="1" applyAlignment="1" applyProtection="1">
      <alignment horizontal="left" vertical="center"/>
    </xf>
    <xf numFmtId="2" fontId="6" fillId="0" borderId="26" xfId="0" applyNumberFormat="1" applyFont="1" applyBorder="1" applyAlignment="1">
      <alignment horizontal="center" vertical="center"/>
    </xf>
    <xf numFmtId="0" fontId="6" fillId="0" borderId="0" xfId="0" applyFont="1" applyAlignment="1">
      <alignment horizontal="center" vertical="center"/>
    </xf>
    <xf numFmtId="171" fontId="20" fillId="0" borderId="8" xfId="0" applyNumberFormat="1" applyFont="1" applyBorder="1" applyAlignment="1">
      <alignment horizontal="center" vertical="center"/>
    </xf>
    <xf numFmtId="169" fontId="6" fillId="0" borderId="75" xfId="0" applyNumberFormat="1" applyFont="1" applyBorder="1" applyAlignment="1">
      <alignment horizontal="center"/>
    </xf>
    <xf numFmtId="0" fontId="6" fillId="0" borderId="8" xfId="0" applyFont="1" applyBorder="1" applyAlignment="1">
      <alignment horizontal="center"/>
    </xf>
    <xf numFmtId="0" fontId="6" fillId="0" borderId="9" xfId="0" applyFont="1" applyBorder="1" applyAlignment="1">
      <alignment horizontal="center"/>
    </xf>
    <xf numFmtId="0" fontId="6" fillId="0" borderId="35" xfId="0" applyFont="1" applyBorder="1" applyAlignment="1">
      <alignment horizontal="center" vertical="center"/>
    </xf>
    <xf numFmtId="0" fontId="6" fillId="0" borderId="19" xfId="0" applyFont="1" applyBorder="1" applyAlignment="1">
      <alignment horizontal="center" vertical="center"/>
    </xf>
    <xf numFmtId="0" fontId="6" fillId="0" borderId="36" xfId="0" applyFont="1" applyBorder="1" applyAlignment="1">
      <alignment horizontal="center" vertical="center"/>
    </xf>
    <xf numFmtId="0" fontId="17" fillId="0" borderId="0" xfId="0" applyFont="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7" xfId="0" applyFont="1" applyBorder="1" applyAlignment="1">
      <alignment horizontal="right" vertical="center"/>
    </xf>
    <xf numFmtId="0" fontId="6" fillId="0" borderId="8" xfId="0" applyFont="1" applyBorder="1" applyAlignment="1">
      <alignment horizontal="right" vertical="center"/>
    </xf>
    <xf numFmtId="169" fontId="12" fillId="0" borderId="18" xfId="0" applyNumberFormat="1" applyFont="1" applyBorder="1" applyAlignment="1">
      <alignment horizontal="left" vertical="center"/>
    </xf>
    <xf numFmtId="0" fontId="19" fillId="0" borderId="20" xfId="0" applyFont="1" applyBorder="1" applyAlignment="1">
      <alignment horizontal="center" vertical="center" wrapText="1"/>
    </xf>
    <xf numFmtId="0" fontId="19" fillId="0" borderId="65" xfId="0" applyFont="1" applyBorder="1" applyAlignment="1">
      <alignment horizontal="center" vertical="center" wrapText="1"/>
    </xf>
    <xf numFmtId="0" fontId="19" fillId="0" borderId="42" xfId="0" applyFont="1" applyBorder="1" applyAlignment="1">
      <alignment horizontal="center" vertical="center" wrapText="1"/>
    </xf>
    <xf numFmtId="0" fontId="19" fillId="0" borderId="41"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66" xfId="0" applyFont="1" applyBorder="1" applyAlignment="1">
      <alignment horizontal="center" vertical="center" wrapText="1"/>
    </xf>
    <xf numFmtId="171" fontId="19" fillId="0" borderId="65" xfId="0" applyNumberFormat="1" applyFont="1" applyBorder="1" applyAlignment="1">
      <alignment horizontal="center" vertical="center" wrapText="1"/>
    </xf>
    <xf numFmtId="171" fontId="19" fillId="0" borderId="17" xfId="0" applyNumberFormat="1" applyFont="1" applyBorder="1" applyAlignment="1">
      <alignment horizontal="center" vertical="center" wrapText="1"/>
    </xf>
    <xf numFmtId="0" fontId="8" fillId="5" borderId="79" xfId="0" applyFont="1" applyFill="1" applyBorder="1" applyAlignment="1">
      <alignment horizontal="left" vertical="center"/>
    </xf>
    <xf numFmtId="180" fontId="12" fillId="0" borderId="0" xfId="0" applyNumberFormat="1" applyFont="1" applyAlignment="1">
      <alignment horizontal="center" vertical="center"/>
    </xf>
    <xf numFmtId="171" fontId="18" fillId="0" borderId="1" xfId="0" applyNumberFormat="1" applyFont="1" applyBorder="1" applyAlignment="1">
      <alignment horizontal="left" vertical="center"/>
    </xf>
    <xf numFmtId="167" fontId="15" fillId="0" borderId="17" xfId="1" applyFont="1" applyBorder="1" applyAlignment="1" applyProtection="1">
      <alignment horizontal="center" vertical="center"/>
    </xf>
    <xf numFmtId="171" fontId="19" fillId="0" borderId="1" xfId="0" applyNumberFormat="1" applyFont="1" applyBorder="1" applyAlignment="1">
      <alignment horizontal="left" vertical="center"/>
    </xf>
    <xf numFmtId="169" fontId="6" fillId="0" borderId="18" xfId="0" applyNumberFormat="1" applyFont="1" applyBorder="1" applyAlignment="1">
      <alignment horizontal="left" vertical="center"/>
    </xf>
    <xf numFmtId="0" fontId="6" fillId="0" borderId="18" xfId="0" applyFont="1" applyBorder="1" applyAlignment="1">
      <alignment horizontal="left" vertical="center"/>
    </xf>
    <xf numFmtId="0" fontId="6" fillId="0" borderId="75" xfId="0" applyFont="1" applyBorder="1" applyAlignment="1">
      <alignment horizontal="center" vertical="center"/>
    </xf>
    <xf numFmtId="14" fontId="5" fillId="5" borderId="1" xfId="0" applyNumberFormat="1" applyFont="1" applyFill="1" applyBorder="1" applyAlignment="1">
      <alignment horizontal="center" vertical="center"/>
    </xf>
    <xf numFmtId="0" fontId="5" fillId="5" borderId="20" xfId="0" applyFont="1" applyFill="1" applyBorder="1" applyAlignment="1">
      <alignment horizontal="center" vertical="center"/>
    </xf>
    <xf numFmtId="0" fontId="5" fillId="5" borderId="65" xfId="0" applyFont="1" applyFill="1" applyBorder="1" applyAlignment="1">
      <alignment horizontal="center" vertical="center"/>
    </xf>
    <xf numFmtId="0" fontId="5" fillId="5" borderId="42" xfId="0" applyFont="1" applyFill="1" applyBorder="1" applyAlignment="1">
      <alignment horizontal="center" vertical="center"/>
    </xf>
    <xf numFmtId="0" fontId="5" fillId="5" borderId="41"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66" xfId="0" applyFont="1" applyFill="1" applyBorder="1" applyAlignment="1">
      <alignment horizontal="center" vertical="center"/>
    </xf>
    <xf numFmtId="2" fontId="6" fillId="0" borderId="15" xfId="0" applyNumberFormat="1" applyFont="1" applyBorder="1" applyAlignment="1">
      <alignment horizontal="center" vertical="center"/>
    </xf>
    <xf numFmtId="2" fontId="6" fillId="0" borderId="18" xfId="0" applyNumberFormat="1" applyFont="1" applyBorder="1" applyAlignment="1">
      <alignment horizontal="center" vertical="center"/>
    </xf>
    <xf numFmtId="0" fontId="6" fillId="0" borderId="18" xfId="0" applyFont="1" applyBorder="1" applyAlignment="1">
      <alignment vertical="center"/>
    </xf>
    <xf numFmtId="0" fontId="6" fillId="0" borderId="24" xfId="0" applyFont="1" applyBorder="1" applyAlignment="1">
      <alignment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4" xfId="0" applyFont="1" applyBorder="1" applyAlignment="1">
      <alignment horizontal="center" vertical="center"/>
    </xf>
    <xf numFmtId="0" fontId="6" fillId="0" borderId="15" xfId="0" applyFont="1" applyBorder="1" applyAlignment="1">
      <alignment horizontal="right" vertical="center"/>
    </xf>
    <xf numFmtId="0" fontId="6" fillId="0" borderId="18" xfId="0" applyFont="1" applyBorder="1" applyAlignment="1">
      <alignment horizontal="right" vertical="center"/>
    </xf>
    <xf numFmtId="2" fontId="6" fillId="0" borderId="15" xfId="1" applyNumberFormat="1" applyFont="1" applyBorder="1" applyAlignment="1" applyProtection="1">
      <alignment horizontal="center" vertical="center"/>
    </xf>
    <xf numFmtId="2" fontId="6" fillId="0" borderId="18" xfId="1" applyNumberFormat="1" applyFont="1" applyBorder="1" applyAlignment="1" applyProtection="1">
      <alignment horizontal="center" vertical="center"/>
    </xf>
    <xf numFmtId="171" fontId="18" fillId="0" borderId="1" xfId="1" applyNumberFormat="1" applyFont="1" applyBorder="1" applyAlignment="1" applyProtection="1">
      <alignment horizontal="left" vertical="center"/>
    </xf>
    <xf numFmtId="171" fontId="19" fillId="0" borderId="1" xfId="1" applyNumberFormat="1" applyFont="1" applyBorder="1" applyAlignment="1" applyProtection="1">
      <alignment horizontal="left" vertical="center"/>
    </xf>
    <xf numFmtId="0" fontId="12" fillId="0" borderId="75" xfId="0" applyFont="1" applyBorder="1" applyAlignment="1">
      <alignment horizontal="center" vertical="center"/>
    </xf>
    <xf numFmtId="14" fontId="8" fillId="5" borderId="0" xfId="0" applyNumberFormat="1" applyFont="1" applyFill="1" applyAlignment="1">
      <alignment horizontal="center" vertical="center"/>
    </xf>
    <xf numFmtId="14" fontId="8" fillId="5" borderId="17" xfId="0" applyNumberFormat="1" applyFont="1" applyFill="1" applyBorder="1" applyAlignment="1">
      <alignment horizontal="center" vertical="center"/>
    </xf>
    <xf numFmtId="171" fontId="6" fillId="0" borderId="15" xfId="0" applyNumberFormat="1" applyFont="1" applyBorder="1" applyAlignment="1">
      <alignment horizontal="center" vertical="center"/>
    </xf>
    <xf numFmtId="171" fontId="6" fillId="0" borderId="24" xfId="0" applyNumberFormat="1" applyFont="1" applyBorder="1" applyAlignment="1">
      <alignment horizontal="center" vertical="center"/>
    </xf>
    <xf numFmtId="171" fontId="18" fillId="0" borderId="24" xfId="0" applyNumberFormat="1" applyFont="1" applyBorder="1" applyAlignment="1">
      <alignment horizontal="left" vertical="center"/>
    </xf>
    <xf numFmtId="171" fontId="6" fillId="0" borderId="16" xfId="0" applyNumberFormat="1" applyFont="1" applyBorder="1" applyAlignment="1">
      <alignment horizontal="center" vertical="center"/>
    </xf>
    <xf numFmtId="167" fontId="14" fillId="0" borderId="80" xfId="1" applyFont="1" applyBorder="1" applyAlignment="1" applyProtection="1">
      <alignment horizontal="center" vertical="center"/>
    </xf>
    <xf numFmtId="0" fontId="12" fillId="0" borderId="81" xfId="0" applyFont="1" applyBorder="1" applyAlignment="1">
      <alignment horizontal="left" vertical="center"/>
    </xf>
    <xf numFmtId="169" fontId="12" fillId="0" borderId="17" xfId="0" applyNumberFormat="1" applyFont="1" applyBorder="1" applyAlignment="1">
      <alignment horizontal="left" vertical="center"/>
    </xf>
    <xf numFmtId="0" fontId="6" fillId="0" borderId="0" xfId="0" applyFont="1" applyAlignment="1" applyProtection="1">
      <alignment horizontal="center" vertical="center"/>
      <protection locked="0"/>
    </xf>
    <xf numFmtId="171" fontId="12" fillId="0" borderId="15" xfId="0" applyNumberFormat="1" applyFont="1" applyBorder="1" applyAlignment="1">
      <alignment horizontal="center" vertical="center"/>
    </xf>
    <xf numFmtId="171" fontId="14" fillId="0" borderId="32" xfId="0" applyNumberFormat="1" applyFont="1" applyBorder="1" applyAlignment="1">
      <alignment horizontal="left" vertical="center"/>
    </xf>
    <xf numFmtId="171" fontId="14" fillId="0" borderId="31" xfId="0" applyNumberFormat="1" applyFont="1" applyBorder="1" applyAlignment="1">
      <alignment horizontal="left" vertical="center"/>
    </xf>
    <xf numFmtId="171" fontId="14" fillId="0" borderId="33" xfId="0" applyNumberFormat="1" applyFont="1" applyBorder="1" applyAlignment="1">
      <alignment horizontal="left" vertical="center"/>
    </xf>
    <xf numFmtId="171" fontId="14" fillId="0" borderId="1" xfId="0" applyNumberFormat="1" applyFont="1" applyBorder="1" applyAlignment="1">
      <alignment horizontal="left" vertical="center"/>
    </xf>
    <xf numFmtId="0" fontId="8" fillId="5" borderId="15" xfId="0" applyFont="1" applyFill="1" applyBorder="1" applyAlignment="1">
      <alignment horizontal="center" vertical="center"/>
    </xf>
    <xf numFmtId="0" fontId="8" fillId="5" borderId="24" xfId="0" applyFont="1" applyFill="1" applyBorder="1" applyAlignment="1">
      <alignment horizontal="center" vertical="center"/>
    </xf>
    <xf numFmtId="180" fontId="12" fillId="0" borderId="15" xfId="0" applyNumberFormat="1" applyFont="1" applyBorder="1" applyAlignment="1">
      <alignment horizontal="center" vertical="center"/>
    </xf>
    <xf numFmtId="0" fontId="12" fillId="0" borderId="1"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0" fontId="12" fillId="0" borderId="18" xfId="0" applyFont="1" applyBorder="1" applyAlignment="1" applyProtection="1">
      <alignment horizontal="center" vertical="center"/>
      <protection locked="0"/>
    </xf>
    <xf numFmtId="0" fontId="12" fillId="0" borderId="24" xfId="0" applyFont="1" applyBorder="1" applyAlignment="1" applyProtection="1">
      <alignment horizontal="center" vertical="center"/>
      <protection locked="0"/>
    </xf>
    <xf numFmtId="0" fontId="8" fillId="5" borderId="1" xfId="0" applyFont="1" applyFill="1" applyBorder="1" applyAlignment="1" applyProtection="1">
      <alignment horizontal="left" vertical="center"/>
      <protection locked="0"/>
    </xf>
    <xf numFmtId="169" fontId="12" fillId="0" borderId="1" xfId="0" applyNumberFormat="1" applyFont="1" applyBorder="1" applyAlignment="1" applyProtection="1">
      <alignment horizontal="center" vertical="center"/>
      <protection locked="0"/>
    </xf>
    <xf numFmtId="0" fontId="8" fillId="5" borderId="1" xfId="0" applyFont="1" applyFill="1" applyBorder="1" applyAlignment="1" applyProtection="1">
      <alignment horizontal="center" vertical="center"/>
      <protection locked="0"/>
    </xf>
    <xf numFmtId="0" fontId="9" fillId="5" borderId="0" xfId="0" applyFont="1" applyFill="1" applyAlignment="1" applyProtection="1">
      <alignment horizontal="center" vertical="center"/>
      <protection locked="0"/>
    </xf>
    <xf numFmtId="2" fontId="12" fillId="0" borderId="15" xfId="0" applyNumberFormat="1" applyFont="1" applyBorder="1" applyAlignment="1" applyProtection="1">
      <alignment horizontal="center" vertical="center"/>
      <protection locked="0"/>
    </xf>
    <xf numFmtId="2" fontId="12" fillId="0" borderId="18" xfId="0" applyNumberFormat="1" applyFont="1" applyBorder="1" applyAlignment="1" applyProtection="1">
      <alignment horizontal="center" vertical="center"/>
      <protection locked="0"/>
    </xf>
    <xf numFmtId="0" fontId="12" fillId="0" borderId="18" xfId="0" applyFont="1" applyBorder="1" applyAlignment="1" applyProtection="1">
      <alignment vertical="center"/>
      <protection locked="0"/>
    </xf>
    <xf numFmtId="0" fontId="12" fillId="0" borderId="24" xfId="0" applyFont="1" applyBorder="1" applyAlignment="1" applyProtection="1">
      <alignment vertical="center"/>
      <protection locked="0"/>
    </xf>
    <xf numFmtId="0" fontId="12" fillId="0" borderId="30" xfId="0" applyFont="1" applyBorder="1" applyAlignment="1" applyProtection="1">
      <alignment horizontal="center" vertical="center"/>
      <protection locked="0"/>
    </xf>
    <xf numFmtId="0" fontId="8" fillId="5" borderId="20" xfId="0" applyFont="1" applyFill="1" applyBorder="1" applyAlignment="1" applyProtection="1">
      <alignment horizontal="center" vertical="center"/>
      <protection locked="0"/>
    </xf>
    <xf numFmtId="0" fontId="8" fillId="5" borderId="42" xfId="0" applyFont="1" applyFill="1" applyBorder="1" applyAlignment="1" applyProtection="1">
      <alignment horizontal="center" vertical="center"/>
      <protection locked="0"/>
    </xf>
    <xf numFmtId="0" fontId="8" fillId="5" borderId="41" xfId="0" applyFont="1" applyFill="1" applyBorder="1" applyAlignment="1" applyProtection="1">
      <alignment horizontal="center" vertical="center"/>
      <protection locked="0"/>
    </xf>
    <xf numFmtId="0" fontId="8" fillId="5" borderId="66" xfId="0" applyFont="1" applyFill="1" applyBorder="1" applyAlignment="1" applyProtection="1">
      <alignment horizontal="center" vertical="center"/>
      <protection locked="0"/>
    </xf>
    <xf numFmtId="0" fontId="14" fillId="0" borderId="7" xfId="0" applyFont="1" applyBorder="1" applyAlignment="1" applyProtection="1">
      <alignment horizontal="center" vertical="center"/>
      <protection locked="0"/>
    </xf>
    <xf numFmtId="0" fontId="14" fillId="0" borderId="8"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2" fontId="12" fillId="0" borderId="15" xfId="1" applyNumberFormat="1" applyFont="1" applyBorder="1" applyAlignment="1" applyProtection="1">
      <alignment horizontal="center" vertical="center"/>
      <protection locked="0"/>
    </xf>
    <xf numFmtId="2" fontId="12" fillId="0" borderId="18" xfId="1" applyNumberFormat="1" applyFont="1" applyBorder="1" applyAlignment="1" applyProtection="1">
      <alignment horizontal="center" vertical="center"/>
      <protection locked="0"/>
    </xf>
    <xf numFmtId="171" fontId="17" fillId="0" borderId="8" xfId="0" applyNumberFormat="1" applyFont="1" applyBorder="1" applyAlignment="1" applyProtection="1">
      <alignment horizontal="left" vertical="center"/>
      <protection locked="0"/>
    </xf>
    <xf numFmtId="171" fontId="17" fillId="0" borderId="9" xfId="0" applyNumberFormat="1" applyFont="1" applyBorder="1" applyAlignment="1" applyProtection="1">
      <alignment horizontal="left" vertical="center"/>
      <protection locked="0"/>
    </xf>
    <xf numFmtId="171" fontId="32" fillId="0" borderId="7" xfId="0" applyNumberFormat="1" applyFont="1" applyBorder="1" applyAlignment="1" applyProtection="1">
      <alignment horizontal="left" vertical="center"/>
      <protection locked="0"/>
    </xf>
    <xf numFmtId="171" fontId="32" fillId="0" borderId="8" xfId="0" applyNumberFormat="1" applyFont="1" applyBorder="1" applyAlignment="1" applyProtection="1">
      <alignment horizontal="left" vertical="center"/>
      <protection locked="0"/>
    </xf>
    <xf numFmtId="171" fontId="32" fillId="0" borderId="9" xfId="0" applyNumberFormat="1" applyFont="1" applyBorder="1" applyAlignment="1" applyProtection="1">
      <alignment horizontal="left" vertical="center"/>
      <protection locked="0"/>
    </xf>
    <xf numFmtId="14" fontId="8" fillId="5" borderId="1" xfId="0" applyNumberFormat="1" applyFont="1" applyFill="1" applyBorder="1" applyAlignment="1" applyProtection="1">
      <alignment horizontal="center" vertical="center"/>
      <protection locked="0"/>
    </xf>
    <xf numFmtId="171" fontId="17" fillId="0" borderId="0" xfId="0" applyNumberFormat="1" applyFont="1" applyAlignment="1" applyProtection="1">
      <alignment horizontal="left" vertical="center"/>
      <protection locked="0"/>
    </xf>
    <xf numFmtId="171" fontId="17" fillId="0" borderId="22" xfId="0" applyNumberFormat="1" applyFont="1" applyBorder="1" applyAlignment="1" applyProtection="1">
      <alignment horizontal="left" vertical="center"/>
      <protection locked="0"/>
    </xf>
    <xf numFmtId="0" fontId="14" fillId="0" borderId="8" xfId="0" applyFont="1" applyBorder="1" applyAlignment="1" applyProtection="1">
      <alignment horizontal="center"/>
      <protection locked="0"/>
    </xf>
    <xf numFmtId="0" fontId="16" fillId="2" borderId="0" xfId="0" applyFont="1" applyFill="1" applyAlignment="1" applyProtection="1">
      <alignment horizontal="center"/>
      <protection locked="0"/>
    </xf>
    <xf numFmtId="171" fontId="17" fillId="0" borderId="7" xfId="0" applyNumberFormat="1" applyFont="1" applyBorder="1" applyAlignment="1" applyProtection="1">
      <alignment horizontal="left" vertical="center"/>
      <protection locked="0"/>
    </xf>
    <xf numFmtId="0" fontId="12" fillId="0" borderId="19" xfId="0" applyFont="1" applyBorder="1" applyAlignment="1" applyProtection="1">
      <alignment horizontal="center"/>
      <protection locked="0"/>
    </xf>
    <xf numFmtId="171" fontId="32" fillId="0" borderId="19" xfId="0" applyNumberFormat="1" applyFont="1" applyBorder="1" applyAlignment="1" applyProtection="1">
      <alignment horizontal="left" vertical="center"/>
      <protection locked="0"/>
    </xf>
    <xf numFmtId="171" fontId="32" fillId="0" borderId="36" xfId="0" applyNumberFormat="1" applyFont="1" applyBorder="1" applyAlignment="1" applyProtection="1">
      <alignment horizontal="left" vertical="center"/>
      <protection locked="0"/>
    </xf>
    <xf numFmtId="180" fontId="17" fillId="0" borderId="82" xfId="1" applyNumberFormat="1" applyFont="1" applyBorder="1" applyAlignment="1" applyProtection="1">
      <alignment horizontal="center" vertical="center"/>
      <protection locked="0"/>
    </xf>
    <xf numFmtId="171" fontId="32" fillId="0" borderId="82" xfId="0" applyNumberFormat="1" applyFont="1" applyBorder="1" applyAlignment="1" applyProtection="1">
      <alignment horizontal="center" vertical="center"/>
      <protection locked="0"/>
    </xf>
    <xf numFmtId="180" fontId="17" fillId="0" borderId="82" xfId="0" applyNumberFormat="1" applyFont="1" applyBorder="1" applyAlignment="1" applyProtection="1">
      <alignment horizontal="center" vertical="center"/>
      <protection locked="0"/>
    </xf>
    <xf numFmtId="0" fontId="14" fillId="0" borderId="5" xfId="0" applyFont="1" applyBorder="1" applyAlignment="1" applyProtection="1">
      <alignment horizontal="center" vertical="center"/>
      <protection locked="0"/>
    </xf>
    <xf numFmtId="0" fontId="14" fillId="0" borderId="32" xfId="0" applyFont="1" applyBorder="1" applyAlignment="1" applyProtection="1">
      <alignment horizontal="center" vertical="center"/>
      <protection locked="0"/>
    </xf>
    <xf numFmtId="0" fontId="14" fillId="0" borderId="31" xfId="0" applyFont="1" applyBorder="1" applyAlignment="1" applyProtection="1">
      <alignment horizontal="center" vertical="center"/>
      <protection locked="0"/>
    </xf>
    <xf numFmtId="0" fontId="14" fillId="0" borderId="33" xfId="0" applyFont="1" applyBorder="1" applyAlignment="1" applyProtection="1">
      <alignment horizontal="center" vertical="center"/>
      <protection locked="0"/>
    </xf>
    <xf numFmtId="176" fontId="17" fillId="7" borderId="5" xfId="3" applyNumberFormat="1" applyFont="1" applyFill="1" applyBorder="1" applyAlignment="1" applyProtection="1">
      <alignment horizontal="center" vertical="center"/>
      <protection locked="0"/>
    </xf>
    <xf numFmtId="171" fontId="12" fillId="0" borderId="7" xfId="0" applyNumberFormat="1" applyFont="1" applyBorder="1" applyAlignment="1" applyProtection="1">
      <alignment horizontal="center" vertical="center"/>
      <protection locked="0"/>
    </xf>
    <xf numFmtId="171" fontId="12" fillId="0" borderId="8" xfId="0" applyNumberFormat="1" applyFont="1" applyBorder="1" applyAlignment="1" applyProtection="1">
      <alignment horizontal="center" vertical="center"/>
      <protection locked="0"/>
    </xf>
    <xf numFmtId="171" fontId="12" fillId="0" borderId="9" xfId="0" applyNumberFormat="1" applyFont="1" applyBorder="1" applyAlignment="1" applyProtection="1">
      <alignment horizontal="center" vertical="center"/>
      <protection locked="0"/>
    </xf>
    <xf numFmtId="181" fontId="12" fillId="0" borderId="5" xfId="1" applyNumberFormat="1" applyFont="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12" fillId="0" borderId="20" xfId="0" applyFont="1" applyBorder="1" applyAlignment="1" applyProtection="1">
      <alignment horizontal="center" vertical="center" wrapText="1"/>
      <protection locked="0"/>
    </xf>
    <xf numFmtId="0" fontId="12" fillId="0" borderId="42" xfId="0" applyFont="1" applyBorder="1" applyAlignment="1" applyProtection="1">
      <alignment horizontal="center" vertical="center" wrapText="1"/>
      <protection locked="0"/>
    </xf>
    <xf numFmtId="0" fontId="12" fillId="0" borderId="41" xfId="0" applyFont="1" applyBorder="1" applyAlignment="1" applyProtection="1">
      <alignment horizontal="center" vertical="center" wrapText="1"/>
      <protection locked="0"/>
    </xf>
    <xf numFmtId="0" fontId="12" fillId="0" borderId="66" xfId="0" applyFont="1" applyBorder="1" applyAlignment="1" applyProtection="1">
      <alignment horizontal="center" vertical="center" wrapText="1"/>
      <protection locked="0"/>
    </xf>
    <xf numFmtId="0" fontId="12" fillId="0" borderId="65" xfId="0" applyFont="1" applyBorder="1" applyAlignment="1" applyProtection="1">
      <alignment horizontal="center" vertical="center" wrapText="1"/>
      <protection locked="0"/>
    </xf>
    <xf numFmtId="0" fontId="12" fillId="0" borderId="17" xfId="0" applyFont="1" applyBorder="1" applyAlignment="1" applyProtection="1">
      <alignment horizontal="center" vertical="center" wrapText="1"/>
      <protection locked="0"/>
    </xf>
    <xf numFmtId="171" fontId="12" fillId="0" borderId="20" xfId="0" applyNumberFormat="1" applyFont="1" applyBorder="1" applyAlignment="1" applyProtection="1">
      <alignment horizontal="center" vertical="center" wrapText="1"/>
      <protection locked="0"/>
    </xf>
    <xf numFmtId="171" fontId="12" fillId="0" borderId="65" xfId="0" applyNumberFormat="1" applyFont="1" applyBorder="1" applyAlignment="1" applyProtection="1">
      <alignment horizontal="center" vertical="center" wrapText="1"/>
      <protection locked="0"/>
    </xf>
    <xf numFmtId="171" fontId="12" fillId="0" borderId="42" xfId="0" applyNumberFormat="1" applyFont="1" applyBorder="1" applyAlignment="1" applyProtection="1">
      <alignment horizontal="center" vertical="center" wrapText="1"/>
      <protection locked="0"/>
    </xf>
    <xf numFmtId="171" fontId="12" fillId="0" borderId="41" xfId="0" applyNumberFormat="1" applyFont="1" applyBorder="1" applyAlignment="1" applyProtection="1">
      <alignment horizontal="center" vertical="center" wrapText="1"/>
      <protection locked="0"/>
    </xf>
    <xf numFmtId="171" fontId="12" fillId="0" borderId="17" xfId="0" applyNumberFormat="1" applyFont="1" applyBorder="1" applyAlignment="1" applyProtection="1">
      <alignment horizontal="center" vertical="center" wrapText="1"/>
      <protection locked="0"/>
    </xf>
    <xf numFmtId="171" fontId="12" fillId="0" borderId="66" xfId="0" applyNumberFormat="1" applyFont="1" applyBorder="1" applyAlignment="1" applyProtection="1">
      <alignment horizontal="center" vertical="center" wrapText="1"/>
      <protection locked="0"/>
    </xf>
    <xf numFmtId="167" fontId="12" fillId="0" borderId="17" xfId="1" applyFont="1" applyBorder="1" applyAlignment="1" applyProtection="1">
      <alignment horizontal="center"/>
      <protection locked="0"/>
    </xf>
    <xf numFmtId="171" fontId="14" fillId="8" borderId="1" xfId="1" applyNumberFormat="1" applyFont="1" applyFill="1" applyBorder="1" applyAlignment="1" applyProtection="1">
      <alignment horizontal="center" vertical="center"/>
      <protection locked="0"/>
    </xf>
    <xf numFmtId="0" fontId="20" fillId="5" borderId="73" xfId="0" applyFont="1" applyFill="1" applyBorder="1" applyAlignment="1">
      <alignment vertical="center"/>
    </xf>
    <xf numFmtId="0" fontId="58" fillId="0" borderId="0" xfId="0" applyFont="1" applyAlignment="1">
      <alignment horizontal="center" vertical="center"/>
    </xf>
    <xf numFmtId="171" fontId="19" fillId="0" borderId="1" xfId="0" applyNumberFormat="1" applyFont="1" applyBorder="1" applyAlignment="1" applyProtection="1">
      <alignment horizontal="center" vertical="center"/>
      <protection locked="0"/>
    </xf>
    <xf numFmtId="0" fontId="126" fillId="2" borderId="134" xfId="10" applyFont="1" applyFill="1" applyBorder="1" applyAlignment="1">
      <alignment horizontal="center" wrapText="1"/>
    </xf>
    <xf numFmtId="0" fontId="124" fillId="19" borderId="135" xfId="10" applyFont="1" applyFill="1" applyBorder="1" applyAlignment="1">
      <alignment horizontal="center"/>
    </xf>
    <xf numFmtId="0" fontId="124" fillId="19" borderId="136" xfId="10" applyFont="1" applyFill="1" applyBorder="1" applyAlignment="1">
      <alignment horizontal="center"/>
    </xf>
    <xf numFmtId="0" fontId="124" fillId="19" borderId="137" xfId="10" applyFont="1" applyFill="1" applyBorder="1" applyAlignment="1">
      <alignment horizontal="center"/>
    </xf>
    <xf numFmtId="191" fontId="27" fillId="19" borderId="138" xfId="10" applyNumberFormat="1" applyFill="1" applyBorder="1" applyAlignment="1" applyProtection="1">
      <alignment horizontal="right"/>
      <protection locked="0"/>
    </xf>
    <xf numFmtId="192" fontId="27" fillId="19" borderId="138" xfId="10" applyNumberFormat="1" applyFill="1" applyBorder="1" applyAlignment="1" applyProtection="1">
      <alignment horizontal="right"/>
      <protection locked="0"/>
    </xf>
    <xf numFmtId="193" fontId="27" fillId="19" borderId="138" xfId="10" applyNumberFormat="1" applyFill="1" applyBorder="1" applyAlignment="1" applyProtection="1">
      <alignment horizontal="right"/>
      <protection locked="0"/>
    </xf>
    <xf numFmtId="44" fontId="27" fillId="19" borderId="138" xfId="12" applyFont="1" applyFill="1" applyBorder="1" applyAlignment="1" applyProtection="1">
      <alignment horizontal="right"/>
      <protection locked="0"/>
    </xf>
    <xf numFmtId="0" fontId="27" fillId="19" borderId="139" xfId="10" applyFill="1" applyBorder="1"/>
    <xf numFmtId="0" fontId="27" fillId="19" borderId="134" xfId="10" applyFill="1" applyBorder="1"/>
    <xf numFmtId="0" fontId="67" fillId="0" borderId="94" xfId="0" applyFont="1" applyBorder="1" applyAlignment="1"/>
    <xf numFmtId="0" fontId="67" fillId="0" borderId="95" xfId="0" applyFont="1" applyBorder="1" applyAlignment="1"/>
    <xf numFmtId="0" fontId="46" fillId="14" borderId="140" xfId="0" applyFont="1" applyFill="1" applyBorder="1" applyAlignment="1">
      <alignment horizontal="center" vertical="center"/>
    </xf>
    <xf numFmtId="0" fontId="46" fillId="11" borderId="140" xfId="0" applyFont="1" applyFill="1" applyBorder="1" applyAlignment="1" applyProtection="1">
      <alignment horizontal="center" vertical="center"/>
      <protection locked="0"/>
    </xf>
    <xf numFmtId="169" fontId="46" fillId="11" borderId="141" xfId="0" applyNumberFormat="1" applyFont="1" applyFill="1" applyBorder="1" applyAlignment="1" applyProtection="1">
      <alignment horizontal="center" vertical="center"/>
      <protection locked="0"/>
    </xf>
    <xf numFmtId="169" fontId="46" fillId="11" borderId="142" xfId="0" applyNumberFormat="1" applyFont="1" applyFill="1" applyBorder="1" applyAlignment="1" applyProtection="1">
      <alignment horizontal="center" vertical="center"/>
      <protection locked="0"/>
    </xf>
    <xf numFmtId="169" fontId="46" fillId="11" borderId="143" xfId="0" applyNumberFormat="1" applyFont="1" applyFill="1" applyBorder="1" applyAlignment="1" applyProtection="1">
      <alignment horizontal="center" vertical="center"/>
      <protection locked="0"/>
    </xf>
    <xf numFmtId="182" fontId="46" fillId="14" borderId="141" xfId="0" applyNumberFormat="1" applyFont="1" applyFill="1" applyBorder="1" applyAlignment="1" applyProtection="1">
      <alignment horizontal="center" vertical="center"/>
      <protection locked="0"/>
    </xf>
    <xf numFmtId="182" fontId="46" fillId="14" borderId="142" xfId="0" applyNumberFormat="1" applyFont="1" applyFill="1" applyBorder="1" applyAlignment="1" applyProtection="1">
      <alignment horizontal="center" vertical="center"/>
      <protection locked="0"/>
    </xf>
    <xf numFmtId="182" fontId="46" fillId="14" borderId="143" xfId="0" applyNumberFormat="1" applyFont="1" applyFill="1" applyBorder="1" applyAlignment="1" applyProtection="1">
      <alignment horizontal="center" vertical="center"/>
      <protection locked="0"/>
    </xf>
    <xf numFmtId="10" fontId="46" fillId="14" borderId="141" xfId="2" applyNumberFormat="1" applyFont="1" applyFill="1" applyBorder="1" applyAlignment="1" applyProtection="1">
      <alignment horizontal="center" vertical="center"/>
      <protection locked="0"/>
    </xf>
    <xf numFmtId="10" fontId="46" fillId="14" borderId="142" xfId="2" applyNumberFormat="1" applyFont="1" applyFill="1" applyBorder="1" applyAlignment="1" applyProtection="1">
      <alignment horizontal="center" vertical="center"/>
      <protection locked="0"/>
    </xf>
    <xf numFmtId="10" fontId="46" fillId="14" borderId="143" xfId="2" applyNumberFormat="1" applyFont="1" applyFill="1" applyBorder="1" applyAlignment="1" applyProtection="1">
      <alignment horizontal="center" vertical="center"/>
      <protection locked="0"/>
    </xf>
    <xf numFmtId="0" fontId="46" fillId="11" borderId="141" xfId="0" applyFont="1" applyFill="1" applyBorder="1" applyAlignment="1" applyProtection="1">
      <alignment horizontal="center" vertical="center"/>
      <protection locked="0"/>
    </xf>
    <xf numFmtId="0" fontId="46" fillId="11" borderId="142" xfId="0" applyFont="1" applyFill="1" applyBorder="1" applyAlignment="1" applyProtection="1">
      <alignment horizontal="center" vertical="center"/>
      <protection locked="0"/>
    </xf>
    <xf numFmtId="0" fontId="46" fillId="11" borderId="143" xfId="0" applyFont="1" applyFill="1" applyBorder="1" applyAlignment="1" applyProtection="1">
      <alignment horizontal="center" vertical="center"/>
      <protection locked="0"/>
    </xf>
  </cellXfs>
  <cellStyles count="27">
    <cellStyle name="Comma" xfId="1" builtinId="3"/>
    <cellStyle name="Comma 2" xfId="6" xr:uid="{00000000-0005-0000-0000-000001000000}"/>
    <cellStyle name="Comma 2 2" xfId="11" xr:uid="{00000000-0005-0000-0000-000002000000}"/>
    <cellStyle name="Comma 3" xfId="9" xr:uid="{00000000-0005-0000-0000-000003000000}"/>
    <cellStyle name="Comma 3 2" xfId="23" xr:uid="{45BF50C7-BE0B-4A85-AB1E-9F54DB480623}"/>
    <cellStyle name="Comma 3 3" xfId="20" xr:uid="{B6C22E7C-53CE-4EF9-B1DC-D81132EACA5B}"/>
    <cellStyle name="Comma 4" xfId="26" xr:uid="{82D31CFA-04DB-4B05-A7C4-EB07EFDBB6D1}"/>
    <cellStyle name="Comma 6" xfId="8" xr:uid="{00000000-0005-0000-0000-000004000000}"/>
    <cellStyle name="Comma 7" xfId="4" xr:uid="{00000000-0005-0000-0000-000005000000}"/>
    <cellStyle name="Comma 7 2 10" xfId="14" xr:uid="{AB81A98D-0AD0-4900-8190-F1A7165DFD99}"/>
    <cellStyle name="Comma 7 2 12" xfId="13" xr:uid="{EEA3E0C7-DD6B-4303-A309-123DA489D9BE}"/>
    <cellStyle name="Comma 8 9" xfId="15" xr:uid="{4EAC4D63-36DC-4188-A476-4BABAE4B0CBA}"/>
    <cellStyle name="Currency" xfId="5" builtinId="4"/>
    <cellStyle name="Currency 2" xfId="18" xr:uid="{4FB6A4CE-FB49-4796-AC79-360280FF32C3}"/>
    <cellStyle name="Currency 2 3" xfId="12" xr:uid="{00000000-0005-0000-0000-000007000000}"/>
    <cellStyle name="Hyperlink 3" xfId="17" xr:uid="{BE27F2D0-0E5C-410E-BEEE-FCAA6FC623D1}"/>
    <cellStyle name="Normal" xfId="0" builtinId="0"/>
    <cellStyle name="Normal 2" xfId="3" xr:uid="{00000000-0005-0000-0000-000009000000}"/>
    <cellStyle name="Normal 2 2" xfId="10" xr:uid="{00000000-0005-0000-0000-00000A000000}"/>
    <cellStyle name="Normal 3" xfId="7" xr:uid="{00000000-0005-0000-0000-00000B000000}"/>
    <cellStyle name="Normal 3 2" xfId="22" xr:uid="{F7E20262-209F-455E-AAF7-AA2F71731B46}"/>
    <cellStyle name="Normal 4" xfId="24" xr:uid="{ADE64598-C566-41DE-BC50-8CEDA9EC9528}"/>
    <cellStyle name="Normal 5" xfId="25" xr:uid="{9896D190-3D5D-4176-9B11-441F81F3178B}"/>
    <cellStyle name="Percent" xfId="2" builtinId="5"/>
    <cellStyle name="Percent 2" xfId="16" xr:uid="{8E8A6A46-4A10-4DC3-912E-CE036E7F5337}"/>
    <cellStyle name="Percent 3" xfId="19" xr:uid="{66EC7AA3-1391-43AC-8F0B-12F98F5B234D}"/>
    <cellStyle name="Percent 4" xfId="21" xr:uid="{813E00E9-32D7-477D-B28C-2073288FC6A1}"/>
  </cellStyles>
  <dxfs count="6">
    <dxf>
      <font>
        <condense val="0"/>
        <extend val="0"/>
        <color auto="1"/>
      </font>
      <fill>
        <patternFill>
          <bgColor indexed="26"/>
        </patternFill>
      </fill>
    </dxf>
    <dxf>
      <font>
        <condense val="0"/>
        <extend val="0"/>
        <color auto="1"/>
      </font>
      <fill>
        <patternFill patternType="solid">
          <bgColor indexed="26"/>
        </patternFill>
      </fill>
      <border>
        <left/>
        <right/>
        <top/>
        <bottom style="thin">
          <color indexed="22"/>
        </bottom>
      </border>
    </dxf>
    <dxf>
      <font>
        <condense val="0"/>
        <extend val="0"/>
        <color auto="1"/>
      </font>
      <fill>
        <patternFill patternType="solid">
          <bgColor indexed="9"/>
        </patternFill>
      </fill>
      <border>
        <left/>
        <right/>
        <top/>
        <bottom style="thin">
          <color indexed="22"/>
        </bottom>
      </border>
    </dxf>
    <dxf>
      <font>
        <condense val="0"/>
        <extend val="0"/>
        <color indexed="9"/>
      </font>
      <fill>
        <patternFill patternType="solid">
          <bgColor indexed="9"/>
        </patternFill>
      </fill>
    </dxf>
    <dxf>
      <font>
        <condense val="0"/>
        <extend val="0"/>
        <color auto="1"/>
      </font>
      <fill>
        <patternFill>
          <bgColor indexed="26"/>
        </patternFill>
      </fill>
    </dxf>
    <dxf>
      <font>
        <condense val="0"/>
        <extend val="0"/>
        <color auto="1"/>
      </font>
      <fill>
        <patternFill patternType="solid">
          <bgColor indexed="26"/>
        </patternFill>
      </fill>
      <border>
        <left/>
        <right/>
        <top/>
        <bottom style="thin">
          <color indexed="22"/>
        </bottom>
      </border>
    </dxf>
  </dxfs>
  <tableStyles count="0" defaultTableStyle="TableStyleMedium2" defaultPivotStyle="PivotStyleLight16"/>
  <colors>
    <mruColors>
      <color rgb="FF008000"/>
      <color rgb="FF33CC33"/>
      <color rgb="FFDBE5F1"/>
      <color rgb="FF006600"/>
      <color rgb="FF009900"/>
      <color rgb="FFFFFF99"/>
      <color rgb="FF6666FF"/>
      <color rgb="FFFFFF66"/>
      <color rgb="FFEAF0F6"/>
      <color rgb="FFF4F7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externalLink" Target="externalLinks/externalLink5.xml"/><Relationship Id="rId42"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3.xml"/><Relationship Id="rId37" Type="http://schemas.openxmlformats.org/officeDocument/2006/relationships/externalLink" Target="externalLinks/externalLink8.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4"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externalLink" Target="externalLinks/externalLink6.xml"/><Relationship Id="rId43"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checked="Checked"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24752</xdr:rowOff>
    </xdr:from>
    <xdr:to>
      <xdr:col>13</xdr:col>
      <xdr:colOff>291355</xdr:colOff>
      <xdr:row>10</xdr:row>
      <xdr:rowOff>139700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208902"/>
          <a:ext cx="8414470" cy="1772298"/>
        </a:xfrm>
        <a:prstGeom prst="rect">
          <a:avLst/>
        </a:prstGeom>
      </xdr:spPr>
    </xdr:pic>
    <xdr:clientData/>
  </xdr:twoCellAnchor>
  <xdr:twoCellAnchor editAs="oneCell">
    <xdr:from>
      <xdr:col>0</xdr:col>
      <xdr:colOff>63500</xdr:colOff>
      <xdr:row>20</xdr:row>
      <xdr:rowOff>107950</xdr:rowOff>
    </xdr:from>
    <xdr:to>
      <xdr:col>19</xdr:col>
      <xdr:colOff>604168</xdr:colOff>
      <xdr:row>38</xdr:row>
      <xdr:rowOff>25481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63500" y="3790950"/>
          <a:ext cx="12173868" cy="32322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229</xdr:col>
      <xdr:colOff>149412</xdr:colOff>
      <xdr:row>0</xdr:row>
      <xdr:rowOff>0</xdr:rowOff>
    </xdr:from>
    <xdr:to>
      <xdr:col>234</xdr:col>
      <xdr:colOff>544224</xdr:colOff>
      <xdr:row>5</xdr:row>
      <xdr:rowOff>299358</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79554294" y="0"/>
          <a:ext cx="4727755" cy="1352711"/>
        </a:xfrm>
        <a:prstGeom prst="rect">
          <a:avLst/>
        </a:prstGeom>
      </xdr:spPr>
    </xdr:pic>
    <xdr:clientData/>
  </xdr:twoCellAnchor>
  <xdr:twoCellAnchor editAs="oneCell">
    <xdr:from>
      <xdr:col>229</xdr:col>
      <xdr:colOff>252507</xdr:colOff>
      <xdr:row>8</xdr:row>
      <xdr:rowOff>74706</xdr:rowOff>
    </xdr:from>
    <xdr:to>
      <xdr:col>233</xdr:col>
      <xdr:colOff>313391</xdr:colOff>
      <xdr:row>111</xdr:row>
      <xdr:rowOff>70438</xdr:rowOff>
    </xdr:to>
    <xdr:pic>
      <xdr:nvPicPr>
        <xdr:cNvPr id="4" name="Picture 3">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644683" y="2136588"/>
          <a:ext cx="3385297" cy="28799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18</xdr:row>
      <xdr:rowOff>111125</xdr:rowOff>
    </xdr:from>
    <xdr:to>
      <xdr:col>9</xdr:col>
      <xdr:colOff>285750</xdr:colOff>
      <xdr:row>18</xdr:row>
      <xdr:rowOff>301625</xdr:rowOff>
    </xdr:to>
    <xdr:sp macro="" textlink="">
      <xdr:nvSpPr>
        <xdr:cNvPr id="12" name="TextBox 11">
          <a:extLst>
            <a:ext uri="{FF2B5EF4-FFF2-40B4-BE49-F238E27FC236}">
              <a16:creationId xmlns:a16="http://schemas.microsoft.com/office/drawing/2014/main" id="{00000000-0008-0000-0600-00000C000000}"/>
            </a:ext>
          </a:extLst>
        </xdr:cNvPr>
        <xdr:cNvSpPr txBox="1"/>
      </xdr:nvSpPr>
      <xdr:spPr>
        <a:xfrm>
          <a:off x="3159125" y="2952750"/>
          <a:ext cx="1000125" cy="19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i="1">
              <a:solidFill>
                <a:srgbClr val="FF0000"/>
              </a:solidFill>
            </a:rPr>
            <a:t>dd/mm/yy</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8609" name="Check Box 1" hidden="1">
              <a:extLst>
                <a:ext uri="{63B3BB69-23CF-44E3-9099-C40C66FF867C}">
                  <a14:compatExt spid="_x0000_s68609"/>
                </a:ext>
                <a:ext uri="{FF2B5EF4-FFF2-40B4-BE49-F238E27FC236}">
                  <a16:creationId xmlns:a16="http://schemas.microsoft.com/office/drawing/2014/main" id="{00000000-0008-0000-0800-00000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68610" name="Check Box 2" hidden="1">
              <a:extLst>
                <a:ext uri="{63B3BB69-23CF-44E3-9099-C40C66FF867C}">
                  <a14:compatExt spid="_x0000_s68610"/>
                </a:ext>
                <a:ext uri="{FF2B5EF4-FFF2-40B4-BE49-F238E27FC236}">
                  <a16:creationId xmlns:a16="http://schemas.microsoft.com/office/drawing/2014/main" id="{00000000-0008-0000-0800-00000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8611" name="Check Box 3" hidden="1">
              <a:extLst>
                <a:ext uri="{63B3BB69-23CF-44E3-9099-C40C66FF867C}">
                  <a14:compatExt spid="_x0000_s68611"/>
                </a:ext>
                <a:ext uri="{FF2B5EF4-FFF2-40B4-BE49-F238E27FC236}">
                  <a16:creationId xmlns:a16="http://schemas.microsoft.com/office/drawing/2014/main" id="{00000000-0008-0000-0800-00000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8612" name="Check Box 4" hidden="1">
              <a:extLst>
                <a:ext uri="{63B3BB69-23CF-44E3-9099-C40C66FF867C}">
                  <a14:compatExt spid="_x0000_s68612"/>
                </a:ext>
                <a:ext uri="{FF2B5EF4-FFF2-40B4-BE49-F238E27FC236}">
                  <a16:creationId xmlns:a16="http://schemas.microsoft.com/office/drawing/2014/main" id="{00000000-0008-0000-0800-000004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8613" name="Check Box 5" hidden="1">
              <a:extLst>
                <a:ext uri="{63B3BB69-23CF-44E3-9099-C40C66FF867C}">
                  <a14:compatExt spid="_x0000_s68613"/>
                </a:ext>
                <a:ext uri="{FF2B5EF4-FFF2-40B4-BE49-F238E27FC236}">
                  <a16:creationId xmlns:a16="http://schemas.microsoft.com/office/drawing/2014/main" id="{00000000-0008-0000-0800-000005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8614" name="Check Box 6" hidden="1">
              <a:extLst>
                <a:ext uri="{63B3BB69-23CF-44E3-9099-C40C66FF867C}">
                  <a14:compatExt spid="_x0000_s68614"/>
                </a:ext>
                <a:ext uri="{FF2B5EF4-FFF2-40B4-BE49-F238E27FC236}">
                  <a16:creationId xmlns:a16="http://schemas.microsoft.com/office/drawing/2014/main" id="{00000000-0008-0000-0800-000006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18</xdr:col>
          <xdr:colOff>215900</xdr:colOff>
          <xdr:row>17</xdr:row>
          <xdr:rowOff>25400</xdr:rowOff>
        </xdr:to>
        <xdr:sp macro="" textlink="">
          <xdr:nvSpPr>
            <xdr:cNvPr id="68615" name="Check Box 7" hidden="1">
              <a:extLst>
                <a:ext uri="{63B3BB69-23CF-44E3-9099-C40C66FF867C}">
                  <a14:compatExt spid="_x0000_s68615"/>
                </a:ext>
                <a:ext uri="{FF2B5EF4-FFF2-40B4-BE49-F238E27FC236}">
                  <a16:creationId xmlns:a16="http://schemas.microsoft.com/office/drawing/2014/main" id="{00000000-0008-0000-0800-000007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8616" name="Check Box 8" hidden="1">
              <a:extLst>
                <a:ext uri="{63B3BB69-23CF-44E3-9099-C40C66FF867C}">
                  <a14:compatExt spid="_x0000_s68616"/>
                </a:ext>
                <a:ext uri="{FF2B5EF4-FFF2-40B4-BE49-F238E27FC236}">
                  <a16:creationId xmlns:a16="http://schemas.microsoft.com/office/drawing/2014/main" id="{00000000-0008-0000-0800-000008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68617" name="Check Box 9" hidden="1">
              <a:extLst>
                <a:ext uri="{63B3BB69-23CF-44E3-9099-C40C66FF867C}">
                  <a14:compatExt spid="_x0000_s68617"/>
                </a:ext>
                <a:ext uri="{FF2B5EF4-FFF2-40B4-BE49-F238E27FC236}">
                  <a16:creationId xmlns:a16="http://schemas.microsoft.com/office/drawing/2014/main" id="{00000000-0008-0000-0800-000009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68618" name="Check Box 10" hidden="1">
              <a:extLst>
                <a:ext uri="{63B3BB69-23CF-44E3-9099-C40C66FF867C}">
                  <a14:compatExt spid="_x0000_s68618"/>
                </a:ext>
                <a:ext uri="{FF2B5EF4-FFF2-40B4-BE49-F238E27FC236}">
                  <a16:creationId xmlns:a16="http://schemas.microsoft.com/office/drawing/2014/main" id="{00000000-0008-0000-0800-00000A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18</xdr:col>
          <xdr:colOff>215900</xdr:colOff>
          <xdr:row>18</xdr:row>
          <xdr:rowOff>0</xdr:rowOff>
        </xdr:to>
        <xdr:sp macro="" textlink="">
          <xdr:nvSpPr>
            <xdr:cNvPr id="68619" name="Check Box 11" hidden="1">
              <a:extLst>
                <a:ext uri="{63B3BB69-23CF-44E3-9099-C40C66FF867C}">
                  <a14:compatExt spid="_x0000_s68619"/>
                </a:ext>
                <a:ext uri="{FF2B5EF4-FFF2-40B4-BE49-F238E27FC236}">
                  <a16:creationId xmlns:a16="http://schemas.microsoft.com/office/drawing/2014/main" id="{00000000-0008-0000-0800-00000B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8620" name="Check Box 12" hidden="1">
              <a:extLst>
                <a:ext uri="{63B3BB69-23CF-44E3-9099-C40C66FF867C}">
                  <a14:compatExt spid="_x0000_s68620"/>
                </a:ext>
                <a:ext uri="{FF2B5EF4-FFF2-40B4-BE49-F238E27FC236}">
                  <a16:creationId xmlns:a16="http://schemas.microsoft.com/office/drawing/2014/main" id="{00000000-0008-0000-0800-00000C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8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8621" name="Check Box 13" hidden="1">
              <a:extLst>
                <a:ext uri="{63B3BB69-23CF-44E3-9099-C40C66FF867C}">
                  <a14:compatExt spid="_x0000_s68621"/>
                </a:ext>
                <a:ext uri="{FF2B5EF4-FFF2-40B4-BE49-F238E27FC236}">
                  <a16:creationId xmlns:a16="http://schemas.microsoft.com/office/drawing/2014/main" id="{00000000-0008-0000-0800-00000D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8622" name="Check Box 14" hidden="1">
              <a:extLst>
                <a:ext uri="{63B3BB69-23CF-44E3-9099-C40C66FF867C}">
                  <a14:compatExt spid="_x0000_s68622"/>
                </a:ext>
                <a:ext uri="{FF2B5EF4-FFF2-40B4-BE49-F238E27FC236}">
                  <a16:creationId xmlns:a16="http://schemas.microsoft.com/office/drawing/2014/main" id="{00000000-0008-0000-0800-00000E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8623" name="Check Box 15" hidden="1">
              <a:extLst>
                <a:ext uri="{63B3BB69-23CF-44E3-9099-C40C66FF867C}">
                  <a14:compatExt spid="_x0000_s68623"/>
                </a:ext>
                <a:ext uri="{FF2B5EF4-FFF2-40B4-BE49-F238E27FC236}">
                  <a16:creationId xmlns:a16="http://schemas.microsoft.com/office/drawing/2014/main" id="{00000000-0008-0000-0800-00000F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8624" name="Check Box 16" hidden="1">
              <a:extLst>
                <a:ext uri="{63B3BB69-23CF-44E3-9099-C40C66FF867C}">
                  <a14:compatExt spid="_x0000_s68624"/>
                </a:ext>
                <a:ext uri="{FF2B5EF4-FFF2-40B4-BE49-F238E27FC236}">
                  <a16:creationId xmlns:a16="http://schemas.microsoft.com/office/drawing/2014/main" id="{00000000-0008-0000-0800-000010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8625" name="Check Box 17" hidden="1">
              <a:extLst>
                <a:ext uri="{63B3BB69-23CF-44E3-9099-C40C66FF867C}">
                  <a14:compatExt spid="_x0000_s68625"/>
                </a:ext>
                <a:ext uri="{FF2B5EF4-FFF2-40B4-BE49-F238E27FC236}">
                  <a16:creationId xmlns:a16="http://schemas.microsoft.com/office/drawing/2014/main" id="{00000000-0008-0000-0800-00001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8626" name="Check Box 18" hidden="1">
              <a:extLst>
                <a:ext uri="{63B3BB69-23CF-44E3-9099-C40C66FF867C}">
                  <a14:compatExt spid="_x0000_s68626"/>
                </a:ext>
                <a:ext uri="{FF2B5EF4-FFF2-40B4-BE49-F238E27FC236}">
                  <a16:creationId xmlns:a16="http://schemas.microsoft.com/office/drawing/2014/main" id="{00000000-0008-0000-0800-00001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8627" name="Check Box 19" hidden="1">
              <a:extLst>
                <a:ext uri="{63B3BB69-23CF-44E3-9099-C40C66FF867C}">
                  <a14:compatExt spid="_x0000_s68627"/>
                </a:ext>
                <a:ext uri="{FF2B5EF4-FFF2-40B4-BE49-F238E27FC236}">
                  <a16:creationId xmlns:a16="http://schemas.microsoft.com/office/drawing/2014/main" id="{00000000-0008-0000-0800-00001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323849</xdr:colOff>
      <xdr:row>110</xdr:row>
      <xdr:rowOff>180976</xdr:rowOff>
    </xdr:to>
    <xdr:sp macro="" textlink="">
      <xdr:nvSpPr>
        <xdr:cNvPr id="23" name="TextBox 22">
          <a:extLst>
            <a:ext uri="{FF2B5EF4-FFF2-40B4-BE49-F238E27FC236}">
              <a16:creationId xmlns:a16="http://schemas.microsoft.com/office/drawing/2014/main" id="{00000000-0008-0000-0800-000017000000}"/>
            </a:ext>
          </a:extLst>
        </xdr:cNvPr>
        <xdr:cNvSpPr txBox="1"/>
      </xdr:nvSpPr>
      <xdr:spPr>
        <a:xfrm>
          <a:off x="0" y="18583275"/>
          <a:ext cx="8010524"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9633" name="Check Box 1" hidden="1">
              <a:extLst>
                <a:ext uri="{63B3BB69-23CF-44E3-9099-C40C66FF867C}">
                  <a14:compatExt spid="_x0000_s69633"/>
                </a:ext>
                <a:ext uri="{FF2B5EF4-FFF2-40B4-BE49-F238E27FC236}">
                  <a16:creationId xmlns:a16="http://schemas.microsoft.com/office/drawing/2014/main" id="{00000000-0008-0000-0C00-00000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69634" name="Check Box 2" hidden="1">
              <a:extLst>
                <a:ext uri="{63B3BB69-23CF-44E3-9099-C40C66FF867C}">
                  <a14:compatExt spid="_x0000_s69634"/>
                </a:ext>
                <a:ext uri="{FF2B5EF4-FFF2-40B4-BE49-F238E27FC236}">
                  <a16:creationId xmlns:a16="http://schemas.microsoft.com/office/drawing/2014/main" id="{00000000-0008-0000-0C00-00000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9635" name="Check Box 3" hidden="1">
              <a:extLst>
                <a:ext uri="{63B3BB69-23CF-44E3-9099-C40C66FF867C}">
                  <a14:compatExt spid="_x0000_s69635"/>
                </a:ext>
                <a:ext uri="{FF2B5EF4-FFF2-40B4-BE49-F238E27FC236}">
                  <a16:creationId xmlns:a16="http://schemas.microsoft.com/office/drawing/2014/main" id="{00000000-0008-0000-0C00-00000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9636" name="Check Box 4" hidden="1">
              <a:extLst>
                <a:ext uri="{63B3BB69-23CF-44E3-9099-C40C66FF867C}">
                  <a14:compatExt spid="_x0000_s69636"/>
                </a:ext>
                <a:ext uri="{FF2B5EF4-FFF2-40B4-BE49-F238E27FC236}">
                  <a16:creationId xmlns:a16="http://schemas.microsoft.com/office/drawing/2014/main" id="{00000000-0008-0000-0C00-00000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9637" name="Check Box 5" hidden="1">
              <a:extLst>
                <a:ext uri="{63B3BB69-23CF-44E3-9099-C40C66FF867C}">
                  <a14:compatExt spid="_x0000_s69637"/>
                </a:ext>
                <a:ext uri="{FF2B5EF4-FFF2-40B4-BE49-F238E27FC236}">
                  <a16:creationId xmlns:a16="http://schemas.microsoft.com/office/drawing/2014/main" id="{00000000-0008-0000-0C00-00000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9638" name="Check Box 6" hidden="1">
              <a:extLst>
                <a:ext uri="{63B3BB69-23CF-44E3-9099-C40C66FF867C}">
                  <a14:compatExt spid="_x0000_s69638"/>
                </a:ext>
                <a:ext uri="{FF2B5EF4-FFF2-40B4-BE49-F238E27FC236}">
                  <a16:creationId xmlns:a16="http://schemas.microsoft.com/office/drawing/2014/main" id="{00000000-0008-0000-0C00-00000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9639" name="Check Box 7" hidden="1">
              <a:extLst>
                <a:ext uri="{63B3BB69-23CF-44E3-9099-C40C66FF867C}">
                  <a14:compatExt spid="_x0000_s69639"/>
                </a:ext>
                <a:ext uri="{FF2B5EF4-FFF2-40B4-BE49-F238E27FC236}">
                  <a16:creationId xmlns:a16="http://schemas.microsoft.com/office/drawing/2014/main" id="{00000000-0008-0000-0C00-00000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9640" name="Check Box 8" hidden="1">
              <a:extLst>
                <a:ext uri="{63B3BB69-23CF-44E3-9099-C40C66FF867C}">
                  <a14:compatExt spid="_x0000_s69640"/>
                </a:ext>
                <a:ext uri="{FF2B5EF4-FFF2-40B4-BE49-F238E27FC236}">
                  <a16:creationId xmlns:a16="http://schemas.microsoft.com/office/drawing/2014/main" id="{00000000-0008-0000-0C00-00000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69641" name="Check Box 9" hidden="1">
              <a:extLst>
                <a:ext uri="{63B3BB69-23CF-44E3-9099-C40C66FF867C}">
                  <a14:compatExt spid="_x0000_s69641"/>
                </a:ext>
                <a:ext uri="{FF2B5EF4-FFF2-40B4-BE49-F238E27FC236}">
                  <a16:creationId xmlns:a16="http://schemas.microsoft.com/office/drawing/2014/main" id="{00000000-0008-0000-0C00-00000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69642" name="Check Box 10" hidden="1">
              <a:extLst>
                <a:ext uri="{63B3BB69-23CF-44E3-9099-C40C66FF867C}">
                  <a14:compatExt spid="_x0000_s69642"/>
                </a:ext>
                <a:ext uri="{FF2B5EF4-FFF2-40B4-BE49-F238E27FC236}">
                  <a16:creationId xmlns:a16="http://schemas.microsoft.com/office/drawing/2014/main" id="{00000000-0008-0000-0C00-00000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9643" name="Check Box 11" hidden="1">
              <a:extLst>
                <a:ext uri="{63B3BB69-23CF-44E3-9099-C40C66FF867C}">
                  <a14:compatExt spid="_x0000_s69643"/>
                </a:ext>
                <a:ext uri="{FF2B5EF4-FFF2-40B4-BE49-F238E27FC236}">
                  <a16:creationId xmlns:a16="http://schemas.microsoft.com/office/drawing/2014/main" id="{00000000-0008-0000-0C00-00000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9644" name="Check Box 12" hidden="1">
              <a:extLst>
                <a:ext uri="{63B3BB69-23CF-44E3-9099-C40C66FF867C}">
                  <a14:compatExt spid="_x0000_s69644"/>
                </a:ext>
                <a:ext uri="{FF2B5EF4-FFF2-40B4-BE49-F238E27FC236}">
                  <a16:creationId xmlns:a16="http://schemas.microsoft.com/office/drawing/2014/main" id="{00000000-0008-0000-0C00-00000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9645" name="Check Box 13" hidden="1">
              <a:extLst>
                <a:ext uri="{63B3BB69-23CF-44E3-9099-C40C66FF867C}">
                  <a14:compatExt spid="_x0000_s69645"/>
                </a:ext>
                <a:ext uri="{FF2B5EF4-FFF2-40B4-BE49-F238E27FC236}">
                  <a16:creationId xmlns:a16="http://schemas.microsoft.com/office/drawing/2014/main" id="{00000000-0008-0000-0C00-00000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9646" name="Check Box 14" hidden="1">
              <a:extLst>
                <a:ext uri="{63B3BB69-23CF-44E3-9099-C40C66FF867C}">
                  <a14:compatExt spid="_x0000_s69646"/>
                </a:ext>
                <a:ext uri="{FF2B5EF4-FFF2-40B4-BE49-F238E27FC236}">
                  <a16:creationId xmlns:a16="http://schemas.microsoft.com/office/drawing/2014/main" id="{00000000-0008-0000-0C00-00000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9647" name="Check Box 15" hidden="1">
              <a:extLst>
                <a:ext uri="{63B3BB69-23CF-44E3-9099-C40C66FF867C}">
                  <a14:compatExt spid="_x0000_s69647"/>
                </a:ext>
                <a:ext uri="{FF2B5EF4-FFF2-40B4-BE49-F238E27FC236}">
                  <a16:creationId xmlns:a16="http://schemas.microsoft.com/office/drawing/2014/main" id="{00000000-0008-0000-0C00-00000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9648" name="Check Box 16" hidden="1">
              <a:extLst>
                <a:ext uri="{63B3BB69-23CF-44E3-9099-C40C66FF867C}">
                  <a14:compatExt spid="_x0000_s69648"/>
                </a:ext>
                <a:ext uri="{FF2B5EF4-FFF2-40B4-BE49-F238E27FC236}">
                  <a16:creationId xmlns:a16="http://schemas.microsoft.com/office/drawing/2014/main" id="{00000000-0008-0000-0C00-00001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9649" name="Check Box 17" hidden="1">
              <a:extLst>
                <a:ext uri="{63B3BB69-23CF-44E3-9099-C40C66FF867C}">
                  <a14:compatExt spid="_x0000_s69649"/>
                </a:ext>
                <a:ext uri="{FF2B5EF4-FFF2-40B4-BE49-F238E27FC236}">
                  <a16:creationId xmlns:a16="http://schemas.microsoft.com/office/drawing/2014/main" id="{00000000-0008-0000-0C00-00001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9650" name="Check Box 18" hidden="1">
              <a:extLst>
                <a:ext uri="{63B3BB69-23CF-44E3-9099-C40C66FF867C}">
                  <a14:compatExt spid="_x0000_s69650"/>
                </a:ext>
                <a:ext uri="{FF2B5EF4-FFF2-40B4-BE49-F238E27FC236}">
                  <a16:creationId xmlns:a16="http://schemas.microsoft.com/office/drawing/2014/main" id="{00000000-0008-0000-0C00-00001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9651" name="Check Box 19" hidden="1">
              <a:extLst>
                <a:ext uri="{63B3BB69-23CF-44E3-9099-C40C66FF867C}">
                  <a14:compatExt spid="_x0000_s69651"/>
                </a:ext>
                <a:ext uri="{FF2B5EF4-FFF2-40B4-BE49-F238E27FC236}">
                  <a16:creationId xmlns:a16="http://schemas.microsoft.com/office/drawing/2014/main" id="{00000000-0008-0000-0C00-00001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21</xdr:col>
      <xdr:colOff>47625</xdr:colOff>
      <xdr:row>110</xdr:row>
      <xdr:rowOff>180976</xdr:rowOff>
    </xdr:to>
    <xdr:sp macro="" textlink="">
      <xdr:nvSpPr>
        <xdr:cNvPr id="23" name="TextBox 22">
          <a:extLst>
            <a:ext uri="{FF2B5EF4-FFF2-40B4-BE49-F238E27FC236}">
              <a16:creationId xmlns:a16="http://schemas.microsoft.com/office/drawing/2014/main" id="{00000000-0008-0000-0C00-000017000000}"/>
            </a:ext>
          </a:extLst>
        </xdr:cNvPr>
        <xdr:cNvSpPr txBox="1"/>
      </xdr:nvSpPr>
      <xdr:spPr>
        <a:xfrm>
          <a:off x="0" y="18583275"/>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0E00-00000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0E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16400" name="Check Box 16" hidden="1">
              <a:extLst>
                <a:ext uri="{63B3BB69-23CF-44E3-9099-C40C66FF867C}">
                  <a14:compatExt spid="_x0000_s16400"/>
                </a:ext>
                <a:ext uri="{FF2B5EF4-FFF2-40B4-BE49-F238E27FC236}">
                  <a16:creationId xmlns:a16="http://schemas.microsoft.com/office/drawing/2014/main" id="{00000000-0008-0000-0E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E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E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E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0E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E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E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E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0E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16409" name="Check Box 25" hidden="1">
              <a:extLst>
                <a:ext uri="{63B3BB69-23CF-44E3-9099-C40C66FF867C}">
                  <a14:compatExt spid="_x0000_s16409"/>
                </a:ext>
                <a:ext uri="{FF2B5EF4-FFF2-40B4-BE49-F238E27FC236}">
                  <a16:creationId xmlns:a16="http://schemas.microsoft.com/office/drawing/2014/main" id="{00000000-0008-0000-0E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0" y="7975787"/>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16410" name="Check Box 26" hidden="1">
              <a:extLst>
                <a:ext uri="{63B3BB69-23CF-44E3-9099-C40C66FF867C}">
                  <a14:compatExt spid="_x0000_s16410"/>
                </a:ext>
                <a:ext uri="{FF2B5EF4-FFF2-40B4-BE49-F238E27FC236}">
                  <a16:creationId xmlns:a16="http://schemas.microsoft.com/office/drawing/2014/main" id="{00000000-0008-0000-0E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16411" name="Check Box 27" hidden="1">
              <a:extLst>
                <a:ext uri="{63B3BB69-23CF-44E3-9099-C40C66FF867C}">
                  <a14:compatExt spid="_x0000_s16411"/>
                </a:ext>
                <a:ext uri="{FF2B5EF4-FFF2-40B4-BE49-F238E27FC236}">
                  <a16:creationId xmlns:a16="http://schemas.microsoft.com/office/drawing/2014/main" id="{00000000-0008-0000-0E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16412" name="Check Box 28" hidden="1">
              <a:extLst>
                <a:ext uri="{63B3BB69-23CF-44E3-9099-C40C66FF867C}">
                  <a14:compatExt spid="_x0000_s16412"/>
                </a:ext>
                <a:ext uri="{FF2B5EF4-FFF2-40B4-BE49-F238E27FC236}">
                  <a16:creationId xmlns:a16="http://schemas.microsoft.com/office/drawing/2014/main" id="{00000000-0008-0000-0E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16413" name="Check Box 29" hidden="1">
              <a:extLst>
                <a:ext uri="{63B3BB69-23CF-44E3-9099-C40C66FF867C}">
                  <a14:compatExt spid="_x0000_s16413"/>
                </a:ext>
                <a:ext uri="{FF2B5EF4-FFF2-40B4-BE49-F238E27FC236}">
                  <a16:creationId xmlns:a16="http://schemas.microsoft.com/office/drawing/2014/main" id="{00000000-0008-0000-0E00-00001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16414" name="Check Box 30" hidden="1">
              <a:extLst>
                <a:ext uri="{63B3BB69-23CF-44E3-9099-C40C66FF867C}">
                  <a14:compatExt spid="_x0000_s16414"/>
                </a:ext>
                <a:ext uri="{FF2B5EF4-FFF2-40B4-BE49-F238E27FC236}">
                  <a16:creationId xmlns:a16="http://schemas.microsoft.com/office/drawing/2014/main" id="{00000000-0008-0000-0E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16415" name="Check Box 31" hidden="1">
              <a:extLst>
                <a:ext uri="{63B3BB69-23CF-44E3-9099-C40C66FF867C}">
                  <a14:compatExt spid="_x0000_s16415"/>
                </a:ext>
                <a:ext uri="{FF2B5EF4-FFF2-40B4-BE49-F238E27FC236}">
                  <a16:creationId xmlns:a16="http://schemas.microsoft.com/office/drawing/2014/main" id="{00000000-0008-0000-0E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16416" name="Check Box 32" hidden="1">
              <a:extLst>
                <a:ext uri="{63B3BB69-23CF-44E3-9099-C40C66FF867C}">
                  <a14:compatExt spid="_x0000_s16416"/>
                </a:ext>
                <a:ext uri="{FF2B5EF4-FFF2-40B4-BE49-F238E27FC236}">
                  <a16:creationId xmlns:a16="http://schemas.microsoft.com/office/drawing/2014/main" id="{00000000-0008-0000-0E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101</xdr:row>
      <xdr:rowOff>200025</xdr:rowOff>
    </xdr:from>
    <xdr:to>
      <xdr:col>21</xdr:col>
      <xdr:colOff>47625</xdr:colOff>
      <xdr:row>110</xdr:row>
      <xdr:rowOff>171451</xdr:rowOff>
    </xdr:to>
    <xdr:sp macro="" textlink="">
      <xdr:nvSpPr>
        <xdr:cNvPr id="23" name="TextBox 22">
          <a:extLst>
            <a:ext uri="{FF2B5EF4-FFF2-40B4-BE49-F238E27FC236}">
              <a16:creationId xmlns:a16="http://schemas.microsoft.com/office/drawing/2014/main" id="{00000000-0008-0000-0E00-000017000000}"/>
            </a:ext>
          </a:extLst>
        </xdr:cNvPr>
        <xdr:cNvSpPr txBox="1"/>
      </xdr:nvSpPr>
      <xdr:spPr>
        <a:xfrm>
          <a:off x="0" y="18573750"/>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0657" name="Check Box 1" hidden="1">
              <a:extLst>
                <a:ext uri="{63B3BB69-23CF-44E3-9099-C40C66FF867C}">
                  <a14:compatExt spid="_x0000_s70657"/>
                </a:ext>
                <a:ext uri="{FF2B5EF4-FFF2-40B4-BE49-F238E27FC236}">
                  <a16:creationId xmlns:a16="http://schemas.microsoft.com/office/drawing/2014/main" id="{00000000-0008-0000-1000-00000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0658" name="Check Box 2" hidden="1">
              <a:extLst>
                <a:ext uri="{63B3BB69-23CF-44E3-9099-C40C66FF867C}">
                  <a14:compatExt spid="_x0000_s70658"/>
                </a:ext>
                <a:ext uri="{FF2B5EF4-FFF2-40B4-BE49-F238E27FC236}">
                  <a16:creationId xmlns:a16="http://schemas.microsoft.com/office/drawing/2014/main" id="{00000000-0008-0000-1000-00000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0659" name="Check Box 3" hidden="1">
              <a:extLst>
                <a:ext uri="{63B3BB69-23CF-44E3-9099-C40C66FF867C}">
                  <a14:compatExt spid="_x0000_s70659"/>
                </a:ext>
                <a:ext uri="{FF2B5EF4-FFF2-40B4-BE49-F238E27FC236}">
                  <a16:creationId xmlns:a16="http://schemas.microsoft.com/office/drawing/2014/main" id="{00000000-0008-0000-1000-00000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0660" name="Check Box 4" hidden="1">
              <a:extLst>
                <a:ext uri="{63B3BB69-23CF-44E3-9099-C40C66FF867C}">
                  <a14:compatExt spid="_x0000_s70660"/>
                </a:ext>
                <a:ext uri="{FF2B5EF4-FFF2-40B4-BE49-F238E27FC236}">
                  <a16:creationId xmlns:a16="http://schemas.microsoft.com/office/drawing/2014/main" id="{00000000-0008-0000-1000-000004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0661" name="Check Box 5" hidden="1">
              <a:extLst>
                <a:ext uri="{63B3BB69-23CF-44E3-9099-C40C66FF867C}">
                  <a14:compatExt spid="_x0000_s70661"/>
                </a:ext>
                <a:ext uri="{FF2B5EF4-FFF2-40B4-BE49-F238E27FC236}">
                  <a16:creationId xmlns:a16="http://schemas.microsoft.com/office/drawing/2014/main" id="{00000000-0008-0000-1000-000005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0662" name="Check Box 6" hidden="1">
              <a:extLst>
                <a:ext uri="{63B3BB69-23CF-44E3-9099-C40C66FF867C}">
                  <a14:compatExt spid="_x0000_s70662"/>
                </a:ext>
                <a:ext uri="{FF2B5EF4-FFF2-40B4-BE49-F238E27FC236}">
                  <a16:creationId xmlns:a16="http://schemas.microsoft.com/office/drawing/2014/main" id="{00000000-0008-0000-1000-000006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0663" name="Check Box 7" hidden="1">
              <a:extLst>
                <a:ext uri="{63B3BB69-23CF-44E3-9099-C40C66FF867C}">
                  <a14:compatExt spid="_x0000_s70663"/>
                </a:ext>
                <a:ext uri="{FF2B5EF4-FFF2-40B4-BE49-F238E27FC236}">
                  <a16:creationId xmlns:a16="http://schemas.microsoft.com/office/drawing/2014/main" id="{00000000-0008-0000-1000-000007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0664" name="Check Box 8" hidden="1">
              <a:extLst>
                <a:ext uri="{63B3BB69-23CF-44E3-9099-C40C66FF867C}">
                  <a14:compatExt spid="_x0000_s70664"/>
                </a:ext>
                <a:ext uri="{FF2B5EF4-FFF2-40B4-BE49-F238E27FC236}">
                  <a16:creationId xmlns:a16="http://schemas.microsoft.com/office/drawing/2014/main" id="{00000000-0008-0000-1000-000008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0665" name="Check Box 9" hidden="1">
              <a:extLst>
                <a:ext uri="{63B3BB69-23CF-44E3-9099-C40C66FF867C}">
                  <a14:compatExt spid="_x0000_s70665"/>
                </a:ext>
                <a:ext uri="{FF2B5EF4-FFF2-40B4-BE49-F238E27FC236}">
                  <a16:creationId xmlns:a16="http://schemas.microsoft.com/office/drawing/2014/main" id="{00000000-0008-0000-1000-000009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0666" name="Check Box 10" hidden="1">
              <a:extLst>
                <a:ext uri="{63B3BB69-23CF-44E3-9099-C40C66FF867C}">
                  <a14:compatExt spid="_x0000_s70666"/>
                </a:ext>
                <a:ext uri="{FF2B5EF4-FFF2-40B4-BE49-F238E27FC236}">
                  <a16:creationId xmlns:a16="http://schemas.microsoft.com/office/drawing/2014/main" id="{00000000-0008-0000-1000-00000A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0667" name="Check Box 11" hidden="1">
              <a:extLst>
                <a:ext uri="{63B3BB69-23CF-44E3-9099-C40C66FF867C}">
                  <a14:compatExt spid="_x0000_s70667"/>
                </a:ext>
                <a:ext uri="{FF2B5EF4-FFF2-40B4-BE49-F238E27FC236}">
                  <a16:creationId xmlns:a16="http://schemas.microsoft.com/office/drawing/2014/main" id="{00000000-0008-0000-1000-00000B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0668" name="Check Box 12" hidden="1">
              <a:extLst>
                <a:ext uri="{63B3BB69-23CF-44E3-9099-C40C66FF867C}">
                  <a14:compatExt spid="_x0000_s70668"/>
                </a:ext>
                <a:ext uri="{FF2B5EF4-FFF2-40B4-BE49-F238E27FC236}">
                  <a16:creationId xmlns:a16="http://schemas.microsoft.com/office/drawing/2014/main" id="{00000000-0008-0000-1000-00000C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0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0669" name="Check Box 13" hidden="1">
              <a:extLst>
                <a:ext uri="{63B3BB69-23CF-44E3-9099-C40C66FF867C}">
                  <a14:compatExt spid="_x0000_s70669"/>
                </a:ext>
                <a:ext uri="{FF2B5EF4-FFF2-40B4-BE49-F238E27FC236}">
                  <a16:creationId xmlns:a16="http://schemas.microsoft.com/office/drawing/2014/main" id="{00000000-0008-0000-1000-00000D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0670" name="Check Box 14" hidden="1">
              <a:extLst>
                <a:ext uri="{63B3BB69-23CF-44E3-9099-C40C66FF867C}">
                  <a14:compatExt spid="_x0000_s70670"/>
                </a:ext>
                <a:ext uri="{FF2B5EF4-FFF2-40B4-BE49-F238E27FC236}">
                  <a16:creationId xmlns:a16="http://schemas.microsoft.com/office/drawing/2014/main" id="{00000000-0008-0000-1000-00000E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0671" name="Check Box 15" hidden="1">
              <a:extLst>
                <a:ext uri="{63B3BB69-23CF-44E3-9099-C40C66FF867C}">
                  <a14:compatExt spid="_x0000_s70671"/>
                </a:ext>
                <a:ext uri="{FF2B5EF4-FFF2-40B4-BE49-F238E27FC236}">
                  <a16:creationId xmlns:a16="http://schemas.microsoft.com/office/drawing/2014/main" id="{00000000-0008-0000-1000-00000F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0672" name="Check Box 16" hidden="1">
              <a:extLst>
                <a:ext uri="{63B3BB69-23CF-44E3-9099-C40C66FF867C}">
                  <a14:compatExt spid="_x0000_s70672"/>
                </a:ext>
                <a:ext uri="{FF2B5EF4-FFF2-40B4-BE49-F238E27FC236}">
                  <a16:creationId xmlns:a16="http://schemas.microsoft.com/office/drawing/2014/main" id="{00000000-0008-0000-1000-000010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0673" name="Check Box 17" hidden="1">
              <a:extLst>
                <a:ext uri="{63B3BB69-23CF-44E3-9099-C40C66FF867C}">
                  <a14:compatExt spid="_x0000_s70673"/>
                </a:ext>
                <a:ext uri="{FF2B5EF4-FFF2-40B4-BE49-F238E27FC236}">
                  <a16:creationId xmlns:a16="http://schemas.microsoft.com/office/drawing/2014/main" id="{00000000-0008-0000-1000-00001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0674" name="Check Box 18" hidden="1">
              <a:extLst>
                <a:ext uri="{63B3BB69-23CF-44E3-9099-C40C66FF867C}">
                  <a14:compatExt spid="_x0000_s70674"/>
                </a:ext>
                <a:ext uri="{FF2B5EF4-FFF2-40B4-BE49-F238E27FC236}">
                  <a16:creationId xmlns:a16="http://schemas.microsoft.com/office/drawing/2014/main" id="{00000000-0008-0000-1000-00001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0675" name="Check Box 19" hidden="1">
              <a:extLst>
                <a:ext uri="{63B3BB69-23CF-44E3-9099-C40C66FF867C}">
                  <a14:compatExt spid="_x0000_s70675"/>
                </a:ext>
                <a:ext uri="{FF2B5EF4-FFF2-40B4-BE49-F238E27FC236}">
                  <a16:creationId xmlns:a16="http://schemas.microsoft.com/office/drawing/2014/main" id="{00000000-0008-0000-1000-00001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21</xdr:col>
      <xdr:colOff>47625</xdr:colOff>
      <xdr:row>110</xdr:row>
      <xdr:rowOff>180976</xdr:rowOff>
    </xdr:to>
    <xdr:sp macro="" textlink="">
      <xdr:nvSpPr>
        <xdr:cNvPr id="23" name="TextBox 22">
          <a:extLst>
            <a:ext uri="{FF2B5EF4-FFF2-40B4-BE49-F238E27FC236}">
              <a16:creationId xmlns:a16="http://schemas.microsoft.com/office/drawing/2014/main" id="{00000000-0008-0000-1000-000017000000}"/>
            </a:ext>
          </a:extLst>
        </xdr:cNvPr>
        <xdr:cNvSpPr txBox="1"/>
      </xdr:nvSpPr>
      <xdr:spPr>
        <a:xfrm>
          <a:off x="0" y="18583275"/>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1681" name="Check Box 1" hidden="1">
              <a:extLst>
                <a:ext uri="{63B3BB69-23CF-44E3-9099-C40C66FF867C}">
                  <a14:compatExt spid="_x0000_s71681"/>
                </a:ext>
                <a:ext uri="{FF2B5EF4-FFF2-40B4-BE49-F238E27FC236}">
                  <a16:creationId xmlns:a16="http://schemas.microsoft.com/office/drawing/2014/main" id="{00000000-0008-0000-1200-00000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1682" name="Check Box 2" hidden="1">
              <a:extLst>
                <a:ext uri="{63B3BB69-23CF-44E3-9099-C40C66FF867C}">
                  <a14:compatExt spid="_x0000_s71682"/>
                </a:ext>
                <a:ext uri="{FF2B5EF4-FFF2-40B4-BE49-F238E27FC236}">
                  <a16:creationId xmlns:a16="http://schemas.microsoft.com/office/drawing/2014/main" id="{00000000-0008-0000-1200-00000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1683" name="Check Box 3" hidden="1">
              <a:extLst>
                <a:ext uri="{63B3BB69-23CF-44E3-9099-C40C66FF867C}">
                  <a14:compatExt spid="_x0000_s71683"/>
                </a:ext>
                <a:ext uri="{FF2B5EF4-FFF2-40B4-BE49-F238E27FC236}">
                  <a16:creationId xmlns:a16="http://schemas.microsoft.com/office/drawing/2014/main" id="{00000000-0008-0000-1200-00000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1684" name="Check Box 4" hidden="1">
              <a:extLst>
                <a:ext uri="{63B3BB69-23CF-44E3-9099-C40C66FF867C}">
                  <a14:compatExt spid="_x0000_s71684"/>
                </a:ext>
                <a:ext uri="{FF2B5EF4-FFF2-40B4-BE49-F238E27FC236}">
                  <a16:creationId xmlns:a16="http://schemas.microsoft.com/office/drawing/2014/main" id="{00000000-0008-0000-1200-000004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1685" name="Check Box 5" hidden="1">
              <a:extLst>
                <a:ext uri="{63B3BB69-23CF-44E3-9099-C40C66FF867C}">
                  <a14:compatExt spid="_x0000_s71685"/>
                </a:ext>
                <a:ext uri="{FF2B5EF4-FFF2-40B4-BE49-F238E27FC236}">
                  <a16:creationId xmlns:a16="http://schemas.microsoft.com/office/drawing/2014/main" id="{00000000-0008-0000-1200-000005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1686" name="Check Box 6" hidden="1">
              <a:extLst>
                <a:ext uri="{63B3BB69-23CF-44E3-9099-C40C66FF867C}">
                  <a14:compatExt spid="_x0000_s71686"/>
                </a:ext>
                <a:ext uri="{FF2B5EF4-FFF2-40B4-BE49-F238E27FC236}">
                  <a16:creationId xmlns:a16="http://schemas.microsoft.com/office/drawing/2014/main" id="{00000000-0008-0000-1200-000006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1687" name="Check Box 7" hidden="1">
              <a:extLst>
                <a:ext uri="{63B3BB69-23CF-44E3-9099-C40C66FF867C}">
                  <a14:compatExt spid="_x0000_s71687"/>
                </a:ext>
                <a:ext uri="{FF2B5EF4-FFF2-40B4-BE49-F238E27FC236}">
                  <a16:creationId xmlns:a16="http://schemas.microsoft.com/office/drawing/2014/main" id="{00000000-0008-0000-1200-000007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1688" name="Check Box 8" hidden="1">
              <a:extLst>
                <a:ext uri="{63B3BB69-23CF-44E3-9099-C40C66FF867C}">
                  <a14:compatExt spid="_x0000_s71688"/>
                </a:ext>
                <a:ext uri="{FF2B5EF4-FFF2-40B4-BE49-F238E27FC236}">
                  <a16:creationId xmlns:a16="http://schemas.microsoft.com/office/drawing/2014/main" id="{00000000-0008-0000-1200-000008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1689" name="Check Box 9" hidden="1">
              <a:extLst>
                <a:ext uri="{63B3BB69-23CF-44E3-9099-C40C66FF867C}">
                  <a14:compatExt spid="_x0000_s71689"/>
                </a:ext>
                <a:ext uri="{FF2B5EF4-FFF2-40B4-BE49-F238E27FC236}">
                  <a16:creationId xmlns:a16="http://schemas.microsoft.com/office/drawing/2014/main" id="{00000000-0008-0000-1200-000009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1690" name="Check Box 10" hidden="1">
              <a:extLst>
                <a:ext uri="{63B3BB69-23CF-44E3-9099-C40C66FF867C}">
                  <a14:compatExt spid="_x0000_s71690"/>
                </a:ext>
                <a:ext uri="{FF2B5EF4-FFF2-40B4-BE49-F238E27FC236}">
                  <a16:creationId xmlns:a16="http://schemas.microsoft.com/office/drawing/2014/main" id="{00000000-0008-0000-1200-00000A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1691" name="Check Box 11" hidden="1">
              <a:extLst>
                <a:ext uri="{63B3BB69-23CF-44E3-9099-C40C66FF867C}">
                  <a14:compatExt spid="_x0000_s71691"/>
                </a:ext>
                <a:ext uri="{FF2B5EF4-FFF2-40B4-BE49-F238E27FC236}">
                  <a16:creationId xmlns:a16="http://schemas.microsoft.com/office/drawing/2014/main" id="{00000000-0008-0000-1200-00000B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1692" name="Check Box 12" hidden="1">
              <a:extLst>
                <a:ext uri="{63B3BB69-23CF-44E3-9099-C40C66FF867C}">
                  <a14:compatExt spid="_x0000_s71692"/>
                </a:ext>
                <a:ext uri="{FF2B5EF4-FFF2-40B4-BE49-F238E27FC236}">
                  <a16:creationId xmlns:a16="http://schemas.microsoft.com/office/drawing/2014/main" id="{00000000-0008-0000-1200-00000C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2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1693" name="Check Box 13" hidden="1">
              <a:extLst>
                <a:ext uri="{63B3BB69-23CF-44E3-9099-C40C66FF867C}">
                  <a14:compatExt spid="_x0000_s71693"/>
                </a:ext>
                <a:ext uri="{FF2B5EF4-FFF2-40B4-BE49-F238E27FC236}">
                  <a16:creationId xmlns:a16="http://schemas.microsoft.com/office/drawing/2014/main" id="{00000000-0008-0000-1200-00000D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1694" name="Check Box 14" hidden="1">
              <a:extLst>
                <a:ext uri="{63B3BB69-23CF-44E3-9099-C40C66FF867C}">
                  <a14:compatExt spid="_x0000_s71694"/>
                </a:ext>
                <a:ext uri="{FF2B5EF4-FFF2-40B4-BE49-F238E27FC236}">
                  <a16:creationId xmlns:a16="http://schemas.microsoft.com/office/drawing/2014/main" id="{00000000-0008-0000-1200-00000E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1695" name="Check Box 15" hidden="1">
              <a:extLst>
                <a:ext uri="{63B3BB69-23CF-44E3-9099-C40C66FF867C}">
                  <a14:compatExt spid="_x0000_s71695"/>
                </a:ext>
                <a:ext uri="{FF2B5EF4-FFF2-40B4-BE49-F238E27FC236}">
                  <a16:creationId xmlns:a16="http://schemas.microsoft.com/office/drawing/2014/main" id="{00000000-0008-0000-1200-00000F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1696" name="Check Box 16" hidden="1">
              <a:extLst>
                <a:ext uri="{63B3BB69-23CF-44E3-9099-C40C66FF867C}">
                  <a14:compatExt spid="_x0000_s71696"/>
                </a:ext>
                <a:ext uri="{FF2B5EF4-FFF2-40B4-BE49-F238E27FC236}">
                  <a16:creationId xmlns:a16="http://schemas.microsoft.com/office/drawing/2014/main" id="{00000000-0008-0000-1200-000010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1697" name="Check Box 17" hidden="1">
              <a:extLst>
                <a:ext uri="{63B3BB69-23CF-44E3-9099-C40C66FF867C}">
                  <a14:compatExt spid="_x0000_s71697"/>
                </a:ext>
                <a:ext uri="{FF2B5EF4-FFF2-40B4-BE49-F238E27FC236}">
                  <a16:creationId xmlns:a16="http://schemas.microsoft.com/office/drawing/2014/main" id="{00000000-0008-0000-1200-00001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1698" name="Check Box 18" hidden="1">
              <a:extLst>
                <a:ext uri="{63B3BB69-23CF-44E3-9099-C40C66FF867C}">
                  <a14:compatExt spid="_x0000_s71698"/>
                </a:ext>
                <a:ext uri="{FF2B5EF4-FFF2-40B4-BE49-F238E27FC236}">
                  <a16:creationId xmlns:a16="http://schemas.microsoft.com/office/drawing/2014/main" id="{00000000-0008-0000-1200-00001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1699" name="Check Box 19" hidden="1">
              <a:extLst>
                <a:ext uri="{63B3BB69-23CF-44E3-9099-C40C66FF867C}">
                  <a14:compatExt spid="_x0000_s71699"/>
                </a:ext>
                <a:ext uri="{FF2B5EF4-FFF2-40B4-BE49-F238E27FC236}">
                  <a16:creationId xmlns:a16="http://schemas.microsoft.com/office/drawing/2014/main" id="{00000000-0008-0000-1200-00001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21</xdr:col>
      <xdr:colOff>47625</xdr:colOff>
      <xdr:row>110</xdr:row>
      <xdr:rowOff>180976</xdr:rowOff>
    </xdr:to>
    <xdr:sp macro="" textlink="">
      <xdr:nvSpPr>
        <xdr:cNvPr id="23" name="TextBox 22">
          <a:extLst>
            <a:ext uri="{FF2B5EF4-FFF2-40B4-BE49-F238E27FC236}">
              <a16:creationId xmlns:a16="http://schemas.microsoft.com/office/drawing/2014/main" id="{00000000-0008-0000-1200-000017000000}"/>
            </a:ext>
          </a:extLst>
        </xdr:cNvPr>
        <xdr:cNvSpPr txBox="1"/>
      </xdr:nvSpPr>
      <xdr:spPr>
        <a:xfrm>
          <a:off x="0" y="18583275"/>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2705" name="Check Box 1" hidden="1">
              <a:extLst>
                <a:ext uri="{63B3BB69-23CF-44E3-9099-C40C66FF867C}">
                  <a14:compatExt spid="_x0000_s72705"/>
                </a:ext>
                <a:ext uri="{FF2B5EF4-FFF2-40B4-BE49-F238E27FC236}">
                  <a16:creationId xmlns:a16="http://schemas.microsoft.com/office/drawing/2014/main" id="{00000000-0008-0000-1500-00000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2706" name="Check Box 2" hidden="1">
              <a:extLst>
                <a:ext uri="{63B3BB69-23CF-44E3-9099-C40C66FF867C}">
                  <a14:compatExt spid="_x0000_s72706"/>
                </a:ext>
                <a:ext uri="{FF2B5EF4-FFF2-40B4-BE49-F238E27FC236}">
                  <a16:creationId xmlns:a16="http://schemas.microsoft.com/office/drawing/2014/main" id="{00000000-0008-0000-1500-00000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2707" name="Check Box 3" hidden="1">
              <a:extLst>
                <a:ext uri="{63B3BB69-23CF-44E3-9099-C40C66FF867C}">
                  <a14:compatExt spid="_x0000_s72707"/>
                </a:ext>
                <a:ext uri="{FF2B5EF4-FFF2-40B4-BE49-F238E27FC236}">
                  <a16:creationId xmlns:a16="http://schemas.microsoft.com/office/drawing/2014/main" id="{00000000-0008-0000-1500-00000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2708" name="Check Box 4" hidden="1">
              <a:extLst>
                <a:ext uri="{63B3BB69-23CF-44E3-9099-C40C66FF867C}">
                  <a14:compatExt spid="_x0000_s72708"/>
                </a:ext>
                <a:ext uri="{FF2B5EF4-FFF2-40B4-BE49-F238E27FC236}">
                  <a16:creationId xmlns:a16="http://schemas.microsoft.com/office/drawing/2014/main" id="{00000000-0008-0000-1500-000004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2709" name="Check Box 5" hidden="1">
              <a:extLst>
                <a:ext uri="{63B3BB69-23CF-44E3-9099-C40C66FF867C}">
                  <a14:compatExt spid="_x0000_s72709"/>
                </a:ext>
                <a:ext uri="{FF2B5EF4-FFF2-40B4-BE49-F238E27FC236}">
                  <a16:creationId xmlns:a16="http://schemas.microsoft.com/office/drawing/2014/main" id="{00000000-0008-0000-1500-000005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2710" name="Check Box 6" hidden="1">
              <a:extLst>
                <a:ext uri="{63B3BB69-23CF-44E3-9099-C40C66FF867C}">
                  <a14:compatExt spid="_x0000_s72710"/>
                </a:ext>
                <a:ext uri="{FF2B5EF4-FFF2-40B4-BE49-F238E27FC236}">
                  <a16:creationId xmlns:a16="http://schemas.microsoft.com/office/drawing/2014/main" id="{00000000-0008-0000-1500-000006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2711" name="Check Box 7" hidden="1">
              <a:extLst>
                <a:ext uri="{63B3BB69-23CF-44E3-9099-C40C66FF867C}">
                  <a14:compatExt spid="_x0000_s72711"/>
                </a:ext>
                <a:ext uri="{FF2B5EF4-FFF2-40B4-BE49-F238E27FC236}">
                  <a16:creationId xmlns:a16="http://schemas.microsoft.com/office/drawing/2014/main" id="{00000000-0008-0000-1500-000007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2712" name="Check Box 8" hidden="1">
              <a:extLst>
                <a:ext uri="{63B3BB69-23CF-44E3-9099-C40C66FF867C}">
                  <a14:compatExt spid="_x0000_s72712"/>
                </a:ext>
                <a:ext uri="{FF2B5EF4-FFF2-40B4-BE49-F238E27FC236}">
                  <a16:creationId xmlns:a16="http://schemas.microsoft.com/office/drawing/2014/main" id="{00000000-0008-0000-1500-000008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2713" name="Check Box 9" hidden="1">
              <a:extLst>
                <a:ext uri="{63B3BB69-23CF-44E3-9099-C40C66FF867C}">
                  <a14:compatExt spid="_x0000_s72713"/>
                </a:ext>
                <a:ext uri="{FF2B5EF4-FFF2-40B4-BE49-F238E27FC236}">
                  <a16:creationId xmlns:a16="http://schemas.microsoft.com/office/drawing/2014/main" id="{00000000-0008-0000-1500-000009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2714" name="Check Box 10" hidden="1">
              <a:extLst>
                <a:ext uri="{63B3BB69-23CF-44E3-9099-C40C66FF867C}">
                  <a14:compatExt spid="_x0000_s72714"/>
                </a:ext>
                <a:ext uri="{FF2B5EF4-FFF2-40B4-BE49-F238E27FC236}">
                  <a16:creationId xmlns:a16="http://schemas.microsoft.com/office/drawing/2014/main" id="{00000000-0008-0000-1500-00000A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2715" name="Check Box 11" hidden="1">
              <a:extLst>
                <a:ext uri="{63B3BB69-23CF-44E3-9099-C40C66FF867C}">
                  <a14:compatExt spid="_x0000_s72715"/>
                </a:ext>
                <a:ext uri="{FF2B5EF4-FFF2-40B4-BE49-F238E27FC236}">
                  <a16:creationId xmlns:a16="http://schemas.microsoft.com/office/drawing/2014/main" id="{00000000-0008-0000-1500-00000B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2716" name="Check Box 12" hidden="1">
              <a:extLst>
                <a:ext uri="{63B3BB69-23CF-44E3-9099-C40C66FF867C}">
                  <a14:compatExt spid="_x0000_s72716"/>
                </a:ext>
                <a:ext uri="{FF2B5EF4-FFF2-40B4-BE49-F238E27FC236}">
                  <a16:creationId xmlns:a16="http://schemas.microsoft.com/office/drawing/2014/main" id="{00000000-0008-0000-1500-00000C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5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2717" name="Check Box 13" hidden="1">
              <a:extLst>
                <a:ext uri="{63B3BB69-23CF-44E3-9099-C40C66FF867C}">
                  <a14:compatExt spid="_x0000_s72717"/>
                </a:ext>
                <a:ext uri="{FF2B5EF4-FFF2-40B4-BE49-F238E27FC236}">
                  <a16:creationId xmlns:a16="http://schemas.microsoft.com/office/drawing/2014/main" id="{00000000-0008-0000-1500-00000D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2718" name="Check Box 14" hidden="1">
              <a:extLst>
                <a:ext uri="{63B3BB69-23CF-44E3-9099-C40C66FF867C}">
                  <a14:compatExt spid="_x0000_s72718"/>
                </a:ext>
                <a:ext uri="{FF2B5EF4-FFF2-40B4-BE49-F238E27FC236}">
                  <a16:creationId xmlns:a16="http://schemas.microsoft.com/office/drawing/2014/main" id="{00000000-0008-0000-1500-00000E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2719" name="Check Box 15" hidden="1">
              <a:extLst>
                <a:ext uri="{63B3BB69-23CF-44E3-9099-C40C66FF867C}">
                  <a14:compatExt spid="_x0000_s72719"/>
                </a:ext>
                <a:ext uri="{FF2B5EF4-FFF2-40B4-BE49-F238E27FC236}">
                  <a16:creationId xmlns:a16="http://schemas.microsoft.com/office/drawing/2014/main" id="{00000000-0008-0000-1500-00000F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2720" name="Check Box 16" hidden="1">
              <a:extLst>
                <a:ext uri="{63B3BB69-23CF-44E3-9099-C40C66FF867C}">
                  <a14:compatExt spid="_x0000_s72720"/>
                </a:ext>
                <a:ext uri="{FF2B5EF4-FFF2-40B4-BE49-F238E27FC236}">
                  <a16:creationId xmlns:a16="http://schemas.microsoft.com/office/drawing/2014/main" id="{00000000-0008-0000-1500-000010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2721" name="Check Box 17" hidden="1">
              <a:extLst>
                <a:ext uri="{63B3BB69-23CF-44E3-9099-C40C66FF867C}">
                  <a14:compatExt spid="_x0000_s72721"/>
                </a:ext>
                <a:ext uri="{FF2B5EF4-FFF2-40B4-BE49-F238E27FC236}">
                  <a16:creationId xmlns:a16="http://schemas.microsoft.com/office/drawing/2014/main" id="{00000000-0008-0000-1500-00001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2722" name="Check Box 18" hidden="1">
              <a:extLst>
                <a:ext uri="{63B3BB69-23CF-44E3-9099-C40C66FF867C}">
                  <a14:compatExt spid="_x0000_s72722"/>
                </a:ext>
                <a:ext uri="{FF2B5EF4-FFF2-40B4-BE49-F238E27FC236}">
                  <a16:creationId xmlns:a16="http://schemas.microsoft.com/office/drawing/2014/main" id="{00000000-0008-0000-1500-00001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2723" name="Check Box 19" hidden="1">
              <a:extLst>
                <a:ext uri="{63B3BB69-23CF-44E3-9099-C40C66FF867C}">
                  <a14:compatExt spid="_x0000_s72723"/>
                </a:ext>
                <a:ext uri="{FF2B5EF4-FFF2-40B4-BE49-F238E27FC236}">
                  <a16:creationId xmlns:a16="http://schemas.microsoft.com/office/drawing/2014/main" id="{00000000-0008-0000-1500-00001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21</xdr:col>
      <xdr:colOff>47625</xdr:colOff>
      <xdr:row>110</xdr:row>
      <xdr:rowOff>180976</xdr:rowOff>
    </xdr:to>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0" y="18583275"/>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3729" name="Check Box 1" hidden="1">
              <a:extLst>
                <a:ext uri="{63B3BB69-23CF-44E3-9099-C40C66FF867C}">
                  <a14:compatExt spid="_x0000_s73729"/>
                </a:ext>
                <a:ext uri="{FF2B5EF4-FFF2-40B4-BE49-F238E27FC236}">
                  <a16:creationId xmlns:a16="http://schemas.microsoft.com/office/drawing/2014/main" id="{00000000-0008-0000-1700-00000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3730" name="Check Box 2" hidden="1">
              <a:extLst>
                <a:ext uri="{63B3BB69-23CF-44E3-9099-C40C66FF867C}">
                  <a14:compatExt spid="_x0000_s73730"/>
                </a:ext>
                <a:ext uri="{FF2B5EF4-FFF2-40B4-BE49-F238E27FC236}">
                  <a16:creationId xmlns:a16="http://schemas.microsoft.com/office/drawing/2014/main" id="{00000000-0008-0000-1700-00000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3731" name="Check Box 3" hidden="1">
              <a:extLst>
                <a:ext uri="{63B3BB69-23CF-44E3-9099-C40C66FF867C}">
                  <a14:compatExt spid="_x0000_s73731"/>
                </a:ext>
                <a:ext uri="{FF2B5EF4-FFF2-40B4-BE49-F238E27FC236}">
                  <a16:creationId xmlns:a16="http://schemas.microsoft.com/office/drawing/2014/main" id="{00000000-0008-0000-1700-00000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3732" name="Check Box 4" hidden="1">
              <a:extLst>
                <a:ext uri="{63B3BB69-23CF-44E3-9099-C40C66FF867C}">
                  <a14:compatExt spid="_x0000_s73732"/>
                </a:ext>
                <a:ext uri="{FF2B5EF4-FFF2-40B4-BE49-F238E27FC236}">
                  <a16:creationId xmlns:a16="http://schemas.microsoft.com/office/drawing/2014/main" id="{00000000-0008-0000-1700-00000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3733" name="Check Box 5" hidden="1">
              <a:extLst>
                <a:ext uri="{63B3BB69-23CF-44E3-9099-C40C66FF867C}">
                  <a14:compatExt spid="_x0000_s73733"/>
                </a:ext>
                <a:ext uri="{FF2B5EF4-FFF2-40B4-BE49-F238E27FC236}">
                  <a16:creationId xmlns:a16="http://schemas.microsoft.com/office/drawing/2014/main" id="{00000000-0008-0000-1700-00000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3734" name="Check Box 6" hidden="1">
              <a:extLst>
                <a:ext uri="{63B3BB69-23CF-44E3-9099-C40C66FF867C}">
                  <a14:compatExt spid="_x0000_s73734"/>
                </a:ext>
                <a:ext uri="{FF2B5EF4-FFF2-40B4-BE49-F238E27FC236}">
                  <a16:creationId xmlns:a16="http://schemas.microsoft.com/office/drawing/2014/main" id="{00000000-0008-0000-1700-00000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3735" name="Check Box 7" hidden="1">
              <a:extLst>
                <a:ext uri="{63B3BB69-23CF-44E3-9099-C40C66FF867C}">
                  <a14:compatExt spid="_x0000_s73735"/>
                </a:ext>
                <a:ext uri="{FF2B5EF4-FFF2-40B4-BE49-F238E27FC236}">
                  <a16:creationId xmlns:a16="http://schemas.microsoft.com/office/drawing/2014/main" id="{00000000-0008-0000-1700-00000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3736" name="Check Box 8" hidden="1">
              <a:extLst>
                <a:ext uri="{63B3BB69-23CF-44E3-9099-C40C66FF867C}">
                  <a14:compatExt spid="_x0000_s73736"/>
                </a:ext>
                <a:ext uri="{FF2B5EF4-FFF2-40B4-BE49-F238E27FC236}">
                  <a16:creationId xmlns:a16="http://schemas.microsoft.com/office/drawing/2014/main" id="{00000000-0008-0000-1700-00000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3737" name="Check Box 9" hidden="1">
              <a:extLst>
                <a:ext uri="{63B3BB69-23CF-44E3-9099-C40C66FF867C}">
                  <a14:compatExt spid="_x0000_s73737"/>
                </a:ext>
                <a:ext uri="{FF2B5EF4-FFF2-40B4-BE49-F238E27FC236}">
                  <a16:creationId xmlns:a16="http://schemas.microsoft.com/office/drawing/2014/main" id="{00000000-0008-0000-1700-00000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3738" name="Check Box 10" hidden="1">
              <a:extLst>
                <a:ext uri="{63B3BB69-23CF-44E3-9099-C40C66FF867C}">
                  <a14:compatExt spid="_x0000_s73738"/>
                </a:ext>
                <a:ext uri="{FF2B5EF4-FFF2-40B4-BE49-F238E27FC236}">
                  <a16:creationId xmlns:a16="http://schemas.microsoft.com/office/drawing/2014/main" id="{00000000-0008-0000-1700-00000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3739" name="Check Box 11" hidden="1">
              <a:extLst>
                <a:ext uri="{63B3BB69-23CF-44E3-9099-C40C66FF867C}">
                  <a14:compatExt spid="_x0000_s73739"/>
                </a:ext>
                <a:ext uri="{FF2B5EF4-FFF2-40B4-BE49-F238E27FC236}">
                  <a16:creationId xmlns:a16="http://schemas.microsoft.com/office/drawing/2014/main" id="{00000000-0008-0000-1700-00000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3740" name="Check Box 12" hidden="1">
              <a:extLst>
                <a:ext uri="{63B3BB69-23CF-44E3-9099-C40C66FF867C}">
                  <a14:compatExt spid="_x0000_s73740"/>
                </a:ext>
                <a:ext uri="{FF2B5EF4-FFF2-40B4-BE49-F238E27FC236}">
                  <a16:creationId xmlns:a16="http://schemas.microsoft.com/office/drawing/2014/main" id="{00000000-0008-0000-1700-00000C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3741" name="Check Box 13" hidden="1">
              <a:extLst>
                <a:ext uri="{63B3BB69-23CF-44E3-9099-C40C66FF867C}">
                  <a14:compatExt spid="_x0000_s73741"/>
                </a:ext>
                <a:ext uri="{FF2B5EF4-FFF2-40B4-BE49-F238E27FC236}">
                  <a16:creationId xmlns:a16="http://schemas.microsoft.com/office/drawing/2014/main" id="{00000000-0008-0000-1700-00000D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3742" name="Check Box 14" hidden="1">
              <a:extLst>
                <a:ext uri="{63B3BB69-23CF-44E3-9099-C40C66FF867C}">
                  <a14:compatExt spid="_x0000_s73742"/>
                </a:ext>
                <a:ext uri="{FF2B5EF4-FFF2-40B4-BE49-F238E27FC236}">
                  <a16:creationId xmlns:a16="http://schemas.microsoft.com/office/drawing/2014/main" id="{00000000-0008-0000-1700-00000E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3743" name="Check Box 15" hidden="1">
              <a:extLst>
                <a:ext uri="{63B3BB69-23CF-44E3-9099-C40C66FF867C}">
                  <a14:compatExt spid="_x0000_s73743"/>
                </a:ext>
                <a:ext uri="{FF2B5EF4-FFF2-40B4-BE49-F238E27FC236}">
                  <a16:creationId xmlns:a16="http://schemas.microsoft.com/office/drawing/2014/main" id="{00000000-0008-0000-1700-00000F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3744" name="Check Box 16" hidden="1">
              <a:extLst>
                <a:ext uri="{63B3BB69-23CF-44E3-9099-C40C66FF867C}">
                  <a14:compatExt spid="_x0000_s73744"/>
                </a:ext>
                <a:ext uri="{FF2B5EF4-FFF2-40B4-BE49-F238E27FC236}">
                  <a16:creationId xmlns:a16="http://schemas.microsoft.com/office/drawing/2014/main" id="{00000000-0008-0000-1700-000010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3745" name="Check Box 17" hidden="1">
              <a:extLst>
                <a:ext uri="{63B3BB69-23CF-44E3-9099-C40C66FF867C}">
                  <a14:compatExt spid="_x0000_s73745"/>
                </a:ext>
                <a:ext uri="{FF2B5EF4-FFF2-40B4-BE49-F238E27FC236}">
                  <a16:creationId xmlns:a16="http://schemas.microsoft.com/office/drawing/2014/main" id="{00000000-0008-0000-1700-00001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3746" name="Check Box 18" hidden="1">
              <a:extLst>
                <a:ext uri="{63B3BB69-23CF-44E3-9099-C40C66FF867C}">
                  <a14:compatExt spid="_x0000_s73746"/>
                </a:ext>
                <a:ext uri="{FF2B5EF4-FFF2-40B4-BE49-F238E27FC236}">
                  <a16:creationId xmlns:a16="http://schemas.microsoft.com/office/drawing/2014/main" id="{00000000-0008-0000-1700-00001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3747" name="Check Box 19" hidden="1">
              <a:extLst>
                <a:ext uri="{63B3BB69-23CF-44E3-9099-C40C66FF867C}">
                  <a14:compatExt spid="_x0000_s73747"/>
                </a:ext>
                <a:ext uri="{FF2B5EF4-FFF2-40B4-BE49-F238E27FC236}">
                  <a16:creationId xmlns:a16="http://schemas.microsoft.com/office/drawing/2014/main" id="{00000000-0008-0000-1700-00001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21</xdr:col>
      <xdr:colOff>47625</xdr:colOff>
      <xdr:row>110</xdr:row>
      <xdr:rowOff>180976</xdr:rowOff>
    </xdr:to>
    <xdr:sp macro="" textlink="">
      <xdr:nvSpPr>
        <xdr:cNvPr id="23" name="TextBox 22">
          <a:extLst>
            <a:ext uri="{FF2B5EF4-FFF2-40B4-BE49-F238E27FC236}">
              <a16:creationId xmlns:a16="http://schemas.microsoft.com/office/drawing/2014/main" id="{00000000-0008-0000-1700-000017000000}"/>
            </a:ext>
          </a:extLst>
        </xdr:cNvPr>
        <xdr:cNvSpPr txBox="1"/>
      </xdr:nvSpPr>
      <xdr:spPr>
        <a:xfrm>
          <a:off x="0" y="18583275"/>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298450</xdr:colOff>
          <xdr:row>18</xdr:row>
          <xdr:rowOff>50800</xdr:rowOff>
        </xdr:to>
        <xdr:sp macro="" textlink="">
          <xdr:nvSpPr>
            <xdr:cNvPr id="139265" name="Check Box 1" hidden="1">
              <a:extLst>
                <a:ext uri="{63B3BB69-23CF-44E3-9099-C40C66FF867C}">
                  <a14:compatExt spid="_x0000_s139265"/>
                </a:ext>
                <a:ext uri="{FF2B5EF4-FFF2-40B4-BE49-F238E27FC236}">
                  <a16:creationId xmlns:a16="http://schemas.microsoft.com/office/drawing/2014/main" id="{00000000-0008-0000-1900-0000012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18</xdr:row>
          <xdr:rowOff>190500</xdr:rowOff>
        </xdr:from>
        <xdr:to>
          <xdr:col>21</xdr:col>
          <xdr:colOff>298450</xdr:colOff>
          <xdr:row>20</xdr:row>
          <xdr:rowOff>31750</xdr:rowOff>
        </xdr:to>
        <xdr:sp macro="" textlink="">
          <xdr:nvSpPr>
            <xdr:cNvPr id="139266" name="Check Box 2" hidden="1">
              <a:extLst>
                <a:ext uri="{63B3BB69-23CF-44E3-9099-C40C66FF867C}">
                  <a14:compatExt spid="_x0000_s139266"/>
                </a:ext>
                <a:ext uri="{FF2B5EF4-FFF2-40B4-BE49-F238E27FC236}">
                  <a16:creationId xmlns:a16="http://schemas.microsoft.com/office/drawing/2014/main" id="{00000000-0008-0000-1900-0000022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292100</xdr:colOff>
          <xdr:row>24</xdr:row>
          <xdr:rowOff>50800</xdr:rowOff>
        </xdr:to>
        <xdr:sp macro="" textlink="">
          <xdr:nvSpPr>
            <xdr:cNvPr id="139267" name="Check Box 3" hidden="1">
              <a:extLst>
                <a:ext uri="{63B3BB69-23CF-44E3-9099-C40C66FF867C}">
                  <a14:compatExt spid="_x0000_s139267"/>
                </a:ext>
                <a:ext uri="{FF2B5EF4-FFF2-40B4-BE49-F238E27FC236}">
                  <a16:creationId xmlns:a16="http://schemas.microsoft.com/office/drawing/2014/main" id="{00000000-0008-0000-1900-0000032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24</xdr:row>
          <xdr:rowOff>190500</xdr:rowOff>
        </xdr:from>
        <xdr:to>
          <xdr:col>21</xdr:col>
          <xdr:colOff>292100</xdr:colOff>
          <xdr:row>26</xdr:row>
          <xdr:rowOff>31750</xdr:rowOff>
        </xdr:to>
        <xdr:sp macro="" textlink="">
          <xdr:nvSpPr>
            <xdr:cNvPr id="139268" name="Check Box 4" hidden="1">
              <a:extLst>
                <a:ext uri="{63B3BB69-23CF-44E3-9099-C40C66FF867C}">
                  <a14:compatExt spid="_x0000_s139268"/>
                </a:ext>
                <a:ext uri="{FF2B5EF4-FFF2-40B4-BE49-F238E27FC236}">
                  <a16:creationId xmlns:a16="http://schemas.microsoft.com/office/drawing/2014/main" id="{00000000-0008-0000-1900-0000042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29</xdr:row>
          <xdr:rowOff>0</xdr:rowOff>
        </xdr:from>
        <xdr:to>
          <xdr:col>21</xdr:col>
          <xdr:colOff>292100</xdr:colOff>
          <xdr:row>30</xdr:row>
          <xdr:rowOff>50800</xdr:rowOff>
        </xdr:to>
        <xdr:sp macro="" textlink="">
          <xdr:nvSpPr>
            <xdr:cNvPr id="139269" name="Check Box 5" hidden="1">
              <a:extLst>
                <a:ext uri="{63B3BB69-23CF-44E3-9099-C40C66FF867C}">
                  <a14:compatExt spid="_x0000_s139269"/>
                </a:ext>
                <a:ext uri="{FF2B5EF4-FFF2-40B4-BE49-F238E27FC236}">
                  <a16:creationId xmlns:a16="http://schemas.microsoft.com/office/drawing/2014/main" id="{00000000-0008-0000-1900-0000052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30</xdr:row>
          <xdr:rowOff>190500</xdr:rowOff>
        </xdr:from>
        <xdr:to>
          <xdr:col>21</xdr:col>
          <xdr:colOff>292100</xdr:colOff>
          <xdr:row>32</xdr:row>
          <xdr:rowOff>31750</xdr:rowOff>
        </xdr:to>
        <xdr:sp macro="" textlink="">
          <xdr:nvSpPr>
            <xdr:cNvPr id="139270" name="Check Box 6" hidden="1">
              <a:extLst>
                <a:ext uri="{63B3BB69-23CF-44E3-9099-C40C66FF867C}">
                  <a14:compatExt spid="_x0000_s139270"/>
                </a:ext>
                <a:ext uri="{FF2B5EF4-FFF2-40B4-BE49-F238E27FC236}">
                  <a16:creationId xmlns:a16="http://schemas.microsoft.com/office/drawing/2014/main" id="{00000000-0008-0000-1900-0000062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298450</xdr:colOff>
          <xdr:row>18</xdr:row>
          <xdr:rowOff>50800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1B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18</xdr:row>
          <xdr:rowOff>190500</xdr:rowOff>
        </xdr:from>
        <xdr:to>
          <xdr:col>21</xdr:col>
          <xdr:colOff>298450</xdr:colOff>
          <xdr:row>20</xdr:row>
          <xdr:rowOff>31750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1B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292100</xdr:colOff>
          <xdr:row>24</xdr:row>
          <xdr:rowOff>50800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1B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24</xdr:row>
          <xdr:rowOff>190500</xdr:rowOff>
        </xdr:from>
        <xdr:to>
          <xdr:col>21</xdr:col>
          <xdr:colOff>292100</xdr:colOff>
          <xdr:row>26</xdr:row>
          <xdr:rowOff>31750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1B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29</xdr:row>
          <xdr:rowOff>0</xdr:rowOff>
        </xdr:from>
        <xdr:to>
          <xdr:col>21</xdr:col>
          <xdr:colOff>292100</xdr:colOff>
          <xdr:row>30</xdr:row>
          <xdr:rowOff>50800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1B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30</xdr:row>
          <xdr:rowOff>190500</xdr:rowOff>
        </xdr:from>
        <xdr:to>
          <xdr:col>21</xdr:col>
          <xdr:colOff>292100</xdr:colOff>
          <xdr:row>32</xdr:row>
          <xdr:rowOff>31750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1B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4753" name="Check Box 1" hidden="1">
              <a:extLst>
                <a:ext uri="{63B3BB69-23CF-44E3-9099-C40C66FF867C}">
                  <a14:compatExt spid="_x0000_s74753"/>
                </a:ext>
                <a:ext uri="{FF2B5EF4-FFF2-40B4-BE49-F238E27FC236}">
                  <a16:creationId xmlns:a16="http://schemas.microsoft.com/office/drawing/2014/main" id="{00000000-0008-0000-1C00-00000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4754" name="Check Box 2" hidden="1">
              <a:extLst>
                <a:ext uri="{63B3BB69-23CF-44E3-9099-C40C66FF867C}">
                  <a14:compatExt spid="_x0000_s74754"/>
                </a:ext>
                <a:ext uri="{FF2B5EF4-FFF2-40B4-BE49-F238E27FC236}">
                  <a16:creationId xmlns:a16="http://schemas.microsoft.com/office/drawing/2014/main" id="{00000000-0008-0000-1C00-00000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4755" name="Check Box 3" hidden="1">
              <a:extLst>
                <a:ext uri="{63B3BB69-23CF-44E3-9099-C40C66FF867C}">
                  <a14:compatExt spid="_x0000_s74755"/>
                </a:ext>
                <a:ext uri="{FF2B5EF4-FFF2-40B4-BE49-F238E27FC236}">
                  <a16:creationId xmlns:a16="http://schemas.microsoft.com/office/drawing/2014/main" id="{00000000-0008-0000-1C00-00000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4756" name="Check Box 4" hidden="1">
              <a:extLst>
                <a:ext uri="{63B3BB69-23CF-44E3-9099-C40C66FF867C}">
                  <a14:compatExt spid="_x0000_s74756"/>
                </a:ext>
                <a:ext uri="{FF2B5EF4-FFF2-40B4-BE49-F238E27FC236}">
                  <a16:creationId xmlns:a16="http://schemas.microsoft.com/office/drawing/2014/main" id="{00000000-0008-0000-1C00-000004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4757" name="Check Box 5" hidden="1">
              <a:extLst>
                <a:ext uri="{63B3BB69-23CF-44E3-9099-C40C66FF867C}">
                  <a14:compatExt spid="_x0000_s74757"/>
                </a:ext>
                <a:ext uri="{FF2B5EF4-FFF2-40B4-BE49-F238E27FC236}">
                  <a16:creationId xmlns:a16="http://schemas.microsoft.com/office/drawing/2014/main" id="{00000000-0008-0000-1C00-000005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4758" name="Check Box 6" hidden="1">
              <a:extLst>
                <a:ext uri="{63B3BB69-23CF-44E3-9099-C40C66FF867C}">
                  <a14:compatExt spid="_x0000_s74758"/>
                </a:ext>
                <a:ext uri="{FF2B5EF4-FFF2-40B4-BE49-F238E27FC236}">
                  <a16:creationId xmlns:a16="http://schemas.microsoft.com/office/drawing/2014/main" id="{00000000-0008-0000-1C00-000006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4759" name="Check Box 7" hidden="1">
              <a:extLst>
                <a:ext uri="{63B3BB69-23CF-44E3-9099-C40C66FF867C}">
                  <a14:compatExt spid="_x0000_s74759"/>
                </a:ext>
                <a:ext uri="{FF2B5EF4-FFF2-40B4-BE49-F238E27FC236}">
                  <a16:creationId xmlns:a16="http://schemas.microsoft.com/office/drawing/2014/main" id="{00000000-0008-0000-1C00-000007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4760" name="Check Box 8" hidden="1">
              <a:extLst>
                <a:ext uri="{63B3BB69-23CF-44E3-9099-C40C66FF867C}">
                  <a14:compatExt spid="_x0000_s74760"/>
                </a:ext>
                <a:ext uri="{FF2B5EF4-FFF2-40B4-BE49-F238E27FC236}">
                  <a16:creationId xmlns:a16="http://schemas.microsoft.com/office/drawing/2014/main" id="{00000000-0008-0000-1C00-000008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4761" name="Check Box 9" hidden="1">
              <a:extLst>
                <a:ext uri="{63B3BB69-23CF-44E3-9099-C40C66FF867C}">
                  <a14:compatExt spid="_x0000_s74761"/>
                </a:ext>
                <a:ext uri="{FF2B5EF4-FFF2-40B4-BE49-F238E27FC236}">
                  <a16:creationId xmlns:a16="http://schemas.microsoft.com/office/drawing/2014/main" id="{00000000-0008-0000-1C00-000009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4762" name="Check Box 10" hidden="1">
              <a:extLst>
                <a:ext uri="{63B3BB69-23CF-44E3-9099-C40C66FF867C}">
                  <a14:compatExt spid="_x0000_s74762"/>
                </a:ext>
                <a:ext uri="{FF2B5EF4-FFF2-40B4-BE49-F238E27FC236}">
                  <a16:creationId xmlns:a16="http://schemas.microsoft.com/office/drawing/2014/main" id="{00000000-0008-0000-1C00-00000A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4763" name="Check Box 11" hidden="1">
              <a:extLst>
                <a:ext uri="{63B3BB69-23CF-44E3-9099-C40C66FF867C}">
                  <a14:compatExt spid="_x0000_s74763"/>
                </a:ext>
                <a:ext uri="{FF2B5EF4-FFF2-40B4-BE49-F238E27FC236}">
                  <a16:creationId xmlns:a16="http://schemas.microsoft.com/office/drawing/2014/main" id="{00000000-0008-0000-1C00-00000B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4764" name="Check Box 12" hidden="1">
              <a:extLst>
                <a:ext uri="{63B3BB69-23CF-44E3-9099-C40C66FF867C}">
                  <a14:compatExt spid="_x0000_s74764"/>
                </a:ext>
                <a:ext uri="{FF2B5EF4-FFF2-40B4-BE49-F238E27FC236}">
                  <a16:creationId xmlns:a16="http://schemas.microsoft.com/office/drawing/2014/main" id="{00000000-0008-0000-1C00-00000C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4765" name="Check Box 13" hidden="1">
              <a:extLst>
                <a:ext uri="{63B3BB69-23CF-44E3-9099-C40C66FF867C}">
                  <a14:compatExt spid="_x0000_s74765"/>
                </a:ext>
                <a:ext uri="{FF2B5EF4-FFF2-40B4-BE49-F238E27FC236}">
                  <a16:creationId xmlns:a16="http://schemas.microsoft.com/office/drawing/2014/main" id="{00000000-0008-0000-1C00-00000D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4766" name="Check Box 14" hidden="1">
              <a:extLst>
                <a:ext uri="{63B3BB69-23CF-44E3-9099-C40C66FF867C}">
                  <a14:compatExt spid="_x0000_s74766"/>
                </a:ext>
                <a:ext uri="{FF2B5EF4-FFF2-40B4-BE49-F238E27FC236}">
                  <a16:creationId xmlns:a16="http://schemas.microsoft.com/office/drawing/2014/main" id="{00000000-0008-0000-1C00-00000E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4767" name="Check Box 15" hidden="1">
              <a:extLst>
                <a:ext uri="{63B3BB69-23CF-44E3-9099-C40C66FF867C}">
                  <a14:compatExt spid="_x0000_s74767"/>
                </a:ext>
                <a:ext uri="{FF2B5EF4-FFF2-40B4-BE49-F238E27FC236}">
                  <a16:creationId xmlns:a16="http://schemas.microsoft.com/office/drawing/2014/main" id="{00000000-0008-0000-1C00-00000F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4768" name="Check Box 16" hidden="1">
              <a:extLst>
                <a:ext uri="{63B3BB69-23CF-44E3-9099-C40C66FF867C}">
                  <a14:compatExt spid="_x0000_s74768"/>
                </a:ext>
                <a:ext uri="{FF2B5EF4-FFF2-40B4-BE49-F238E27FC236}">
                  <a16:creationId xmlns:a16="http://schemas.microsoft.com/office/drawing/2014/main" id="{00000000-0008-0000-1C00-000010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4769" name="Check Box 17" hidden="1">
              <a:extLst>
                <a:ext uri="{63B3BB69-23CF-44E3-9099-C40C66FF867C}">
                  <a14:compatExt spid="_x0000_s74769"/>
                </a:ext>
                <a:ext uri="{FF2B5EF4-FFF2-40B4-BE49-F238E27FC236}">
                  <a16:creationId xmlns:a16="http://schemas.microsoft.com/office/drawing/2014/main" id="{00000000-0008-0000-1C00-00001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4770" name="Check Box 18" hidden="1">
              <a:extLst>
                <a:ext uri="{63B3BB69-23CF-44E3-9099-C40C66FF867C}">
                  <a14:compatExt spid="_x0000_s74770"/>
                </a:ext>
                <a:ext uri="{FF2B5EF4-FFF2-40B4-BE49-F238E27FC236}">
                  <a16:creationId xmlns:a16="http://schemas.microsoft.com/office/drawing/2014/main" id="{00000000-0008-0000-1C00-00001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4771" name="Check Box 19" hidden="1">
              <a:extLst>
                <a:ext uri="{63B3BB69-23CF-44E3-9099-C40C66FF867C}">
                  <a14:compatExt spid="_x0000_s74771"/>
                </a:ext>
                <a:ext uri="{FF2B5EF4-FFF2-40B4-BE49-F238E27FC236}">
                  <a16:creationId xmlns:a16="http://schemas.microsoft.com/office/drawing/2014/main" id="{00000000-0008-0000-1C00-00001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21</xdr:col>
      <xdr:colOff>47625</xdr:colOff>
      <xdr:row>110</xdr:row>
      <xdr:rowOff>180976</xdr:rowOff>
    </xdr:to>
    <xdr:sp macro="" textlink="">
      <xdr:nvSpPr>
        <xdr:cNvPr id="23" name="TextBox 22">
          <a:extLst>
            <a:ext uri="{FF2B5EF4-FFF2-40B4-BE49-F238E27FC236}">
              <a16:creationId xmlns:a16="http://schemas.microsoft.com/office/drawing/2014/main" id="{00000000-0008-0000-1C00-000017000000}"/>
            </a:ext>
          </a:extLst>
        </xdr:cNvPr>
        <xdr:cNvSpPr txBox="1"/>
      </xdr:nvSpPr>
      <xdr:spPr>
        <a:xfrm>
          <a:off x="0" y="18583275"/>
          <a:ext cx="7829550" cy="1857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Users/Acer/Documents/CHARM%20FILES/BPM/PRICELIST%20WITH%20AUTOMATED%20SAMPLE%20COMPUTATION/2023/OCTOBER%202023/TSF/BANK%20FINANCING/Updated%20sales%20status_10-9-23/TSF1_RESIDENTIAL_PRICELIST_BANK%20FINANCING_OCT%202023_sample.xlsx?041AAA4B" TargetMode="External"/><Relationship Id="rId1" Type="http://schemas.openxmlformats.org/officeDocument/2006/relationships/externalLinkPath" Target="file:///\\041AAA4B\TSF1_RESIDENTIAL_PRICELIST_BANK%20FINANCING_OCT%202023_sample.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Users/Acer/Documents/CHARM%20FILES/BPM/PRICELIST%20WITH%20AUTOMATED%20SAMPLE%20COMPUTATION/2024/OCTOBER%202024/PD/Pricelist%20for%20checking/TSF/REVISED/TSF2_RESIDENTIAL_PRICELIST_October%202024_for%20checking.xlsx?6645050C" TargetMode="External"/><Relationship Id="rId1" Type="http://schemas.openxmlformats.org/officeDocument/2006/relationships/externalLinkPath" Target="file:///\\6645050C\TSF2_RESIDENTIAL_PRICELIST_October%202024_for%20chec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outhprime/Desktop/WITH%20LOG%20APPROVE/BLOCK%2018%20LOT%202%20JEAN%20GRACE%20DELA%20CRUZ.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cer/Documents/CHARM%20FILES/SOA/EE%20SOA/PHASE%201_EMERALD%20ESTATES_SOA.xlsx"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Users/Acer/OneDrive/Documents/CHARM%20FILES/BPM/PRICELIST%20WITH%20AUTOMATED%20SAMPLE%20COMPUTATION/2022/OCTOBER%202022/TSF_New%20pricelist%20with%20price%20increase/TSF%20Building%20123%20Price%20Study_SSO_14-Oct-2022_Final.xlsx?749C16D9" TargetMode="External"/><Relationship Id="rId1" Type="http://schemas.openxmlformats.org/officeDocument/2006/relationships/externalLinkPath" Target="file:///\\749C16D9\TSF%20Building%20123%20Price%20Study_SSO_14-Oct-2022_Final.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Wee%20Comm%20Developers/Desktop/Automated%20Package%20Computation_Step%20up/SAMPLE%20PACKAGE%20COMPUTATION_HPR%20TOWER%201_09.21.20%20updated%20step%20up.xlsx"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Sheet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Acer/OneDrive/Documents/CHARM%20FILES/BPM/PRICELIST%20WITH%20AUTOMATED%20SAMPLE%20COMPUTATION/2022/JULY%202022/TSF/TSF1_RESIDENTIAL_PRICELIST_JULY%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truction Sched 2023"/>
      <sheetName val="Amort Computation"/>
      <sheetName val="Sheet2"/>
      <sheetName val="Corrected and Updated TSF 1"/>
      <sheetName val="INTERNAL PRICELIST(OLD)"/>
      <sheetName val="Sheet1"/>
      <sheetName val="Pricelist Link"/>
      <sheetName val="FORM"/>
      <sheetName val="STEP UP"/>
      <sheetName val="RA_Step Up"/>
      <sheetName val="7% Step-up plus 3% Lumpsum"/>
      <sheetName val="STEP UP_(10% Equity only)_2"/>
      <sheetName val="Step-up with Lumpsum"/>
      <sheetName val="2.5% Lumpsum"/>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SPECIAL PACKAGE"/>
      <sheetName val="10% spread plus 5% lumpsum"/>
      <sheetName val="10% Step-up plus 5% lumpsum"/>
      <sheetName val="RA_Special"/>
    </sheetNames>
    <sheetDataSet>
      <sheetData sheetId="0" refreshError="1"/>
      <sheetData sheetId="1">
        <row r="1">
          <cell r="A1"/>
          <cell r="B1"/>
          <cell r="C1"/>
          <cell r="D1"/>
          <cell r="E1"/>
          <cell r="F1"/>
          <cell r="G1"/>
          <cell r="H1"/>
          <cell r="I1"/>
        </row>
        <row r="2">
          <cell r="A2"/>
          <cell r="B2"/>
          <cell r="C2"/>
          <cell r="D2"/>
          <cell r="E2"/>
          <cell r="F2"/>
          <cell r="G2"/>
          <cell r="H2" t="str">
            <v>ANNEX "A"</v>
          </cell>
          <cell r="I2"/>
        </row>
        <row r="4">
          <cell r="A4" t="str">
            <v>ILOILO SOUTHPRIME DEVELOPERS INC.</v>
          </cell>
          <cell r="G4" t="str">
            <v>Date and Time Printed:</v>
          </cell>
          <cell r="H4"/>
          <cell r="I4">
            <v>45212.627318634259</v>
          </cell>
        </row>
        <row r="5">
          <cell r="A5"/>
          <cell r="B5"/>
          <cell r="C5"/>
          <cell r="D5"/>
          <cell r="E5"/>
          <cell r="F5"/>
          <cell r="G5"/>
          <cell r="H5"/>
          <cell r="I5"/>
        </row>
        <row r="6">
          <cell r="A6"/>
          <cell r="B6"/>
          <cell r="C6"/>
          <cell r="D6"/>
          <cell r="E6"/>
          <cell r="F6"/>
          <cell r="G6"/>
          <cell r="H6"/>
          <cell r="I6"/>
        </row>
        <row r="7">
          <cell r="A7" t="str">
            <v>Buyer's Name:</v>
          </cell>
          <cell r="C7"/>
          <cell r="G7"/>
          <cell r="H7"/>
          <cell r="I7"/>
        </row>
        <row r="8">
          <cell r="A8" t="str">
            <v>Project Name:</v>
          </cell>
          <cell r="C8" t="str">
            <v>EMERALD ESTATES</v>
          </cell>
          <cell r="G8"/>
          <cell r="H8"/>
          <cell r="I8"/>
        </row>
        <row r="9">
          <cell r="A9" t="str">
            <v>Unit No.:</v>
          </cell>
          <cell r="B9"/>
          <cell r="C9" t="str">
            <v>BLOCK LOT</v>
          </cell>
          <cell r="D9"/>
          <cell r="E9"/>
          <cell r="F9"/>
          <cell r="G9" t="str">
            <v>Financing:</v>
          </cell>
          <cell r="H9"/>
          <cell r="I9"/>
        </row>
        <row r="10">
          <cell r="A10"/>
          <cell r="B10"/>
          <cell r="C10"/>
          <cell r="D10"/>
          <cell r="E10"/>
          <cell r="F10"/>
          <cell r="G10"/>
          <cell r="H10"/>
          <cell r="I10"/>
        </row>
        <row r="11">
          <cell r="A11"/>
          <cell r="B11"/>
          <cell r="C11"/>
          <cell r="D11"/>
          <cell r="E11"/>
          <cell r="F11"/>
          <cell r="G11"/>
          <cell r="H11"/>
          <cell r="I11"/>
        </row>
        <row r="12">
          <cell r="A12"/>
          <cell r="B12"/>
          <cell r="C12"/>
          <cell r="D12"/>
          <cell r="E12"/>
          <cell r="F12"/>
          <cell r="G12"/>
          <cell r="H12"/>
          <cell r="I12"/>
        </row>
        <row r="13">
          <cell r="A13"/>
          <cell r="B13" t="str">
            <v>Payment Schedule</v>
          </cell>
          <cell r="C13"/>
          <cell r="D13"/>
          <cell r="E13"/>
          <cell r="F13" t="str">
            <v>Outstanding Balance Summary</v>
          </cell>
          <cell r="G13"/>
          <cell r="H13"/>
          <cell r="I13"/>
        </row>
        <row r="14">
          <cell r="A14"/>
          <cell r="B14"/>
          <cell r="C14" t="str">
            <v>Loan Amount</v>
          </cell>
          <cell r="D14">
            <v>2614278.5890727686</v>
          </cell>
          <cell r="E14"/>
          <cell r="F14"/>
          <cell r="G14" t="str">
            <v>Scheduled Payment</v>
          </cell>
          <cell r="H14">
            <v>32413.313177607219</v>
          </cell>
          <cell r="I14"/>
        </row>
        <row r="15">
          <cell r="A15"/>
          <cell r="B15"/>
          <cell r="C15" t="str">
            <v>Annual Interest Rate</v>
          </cell>
          <cell r="D15">
            <v>8.5000000000000006E-2</v>
          </cell>
          <cell r="E15"/>
          <cell r="F15"/>
          <cell r="G15" t="str">
            <v>Scheduled Number of Payments</v>
          </cell>
          <cell r="H15"/>
          <cell r="I15"/>
        </row>
        <row r="16">
          <cell r="A16"/>
          <cell r="B16"/>
          <cell r="C16" t="str">
            <v>Loan Period in Years</v>
          </cell>
          <cell r="D16">
            <v>10</v>
          </cell>
          <cell r="E16"/>
          <cell r="F16"/>
          <cell r="G16" t="str">
            <v>Actual Number of Payments</v>
          </cell>
          <cell r="H16">
            <v>120</v>
          </cell>
          <cell r="I16"/>
        </row>
        <row r="17">
          <cell r="A17"/>
          <cell r="B17"/>
          <cell r="C17" t="str">
            <v>Number of Payments Per Year</v>
          </cell>
          <cell r="D17">
            <v>12</v>
          </cell>
          <cell r="E17"/>
          <cell r="F17"/>
          <cell r="G17" t="str">
            <v>Total Early Payments</v>
          </cell>
          <cell r="H17">
            <v>0</v>
          </cell>
          <cell r="I17"/>
        </row>
        <row r="18">
          <cell r="A18"/>
          <cell r="B18"/>
          <cell r="C18" t="str">
            <v>Start Date of Loan</v>
          </cell>
          <cell r="D18">
            <v>45005</v>
          </cell>
          <cell r="E18"/>
          <cell r="F18"/>
          <cell r="G18" t="str">
            <v>Total Interest</v>
          </cell>
          <cell r="H18">
            <v>1269925.6822278819</v>
          </cell>
          <cell r="I18"/>
        </row>
        <row r="19">
          <cell r="A19"/>
          <cell r="B19"/>
          <cell r="C19" t="str">
            <v>Optional Extra Payments</v>
          </cell>
          <cell r="D19"/>
          <cell r="E19"/>
          <cell r="F19"/>
          <cell r="G19"/>
          <cell r="H19"/>
          <cell r="I19"/>
        </row>
        <row r="20">
          <cell r="A20"/>
          <cell r="B20"/>
          <cell r="C20"/>
          <cell r="D20"/>
          <cell r="E20"/>
          <cell r="F20"/>
          <cell r="G20"/>
          <cell r="H20"/>
          <cell r="I20"/>
        </row>
        <row r="21">
          <cell r="A21"/>
          <cell r="B21"/>
          <cell r="C21"/>
          <cell r="D21"/>
          <cell r="E21"/>
          <cell r="F21"/>
          <cell r="G21"/>
          <cell r="H21"/>
          <cell r="I21"/>
        </row>
        <row r="22">
          <cell r="A22"/>
          <cell r="B22"/>
          <cell r="C22"/>
          <cell r="D22"/>
          <cell r="E22"/>
          <cell r="F22"/>
          <cell r="G22"/>
          <cell r="H22"/>
          <cell r="I22"/>
        </row>
        <row r="23">
          <cell r="A23" t="str">
            <v>PmtNo.</v>
          </cell>
          <cell r="B23" t="str">
            <v>Payment Date</v>
          </cell>
          <cell r="C23" t="str">
            <v>Beginning Balance</v>
          </cell>
          <cell r="D23" t="str">
            <v>Scheduled Payment</v>
          </cell>
          <cell r="E23" t="str">
            <v>Extra Payment</v>
          </cell>
          <cell r="F23" t="str">
            <v>Total Payment</v>
          </cell>
          <cell r="G23" t="str">
            <v>Principal</v>
          </cell>
          <cell r="H23" t="str">
            <v>Interest</v>
          </cell>
          <cell r="I23" t="str">
            <v>Ending Balance</v>
          </cell>
        </row>
        <row r="24">
          <cell r="A24"/>
          <cell r="B24"/>
          <cell r="C24"/>
          <cell r="D24"/>
          <cell r="E24"/>
          <cell r="F24"/>
          <cell r="G24"/>
          <cell r="H24"/>
          <cell r="I24"/>
        </row>
        <row r="25">
          <cell r="A25">
            <v>1</v>
          </cell>
          <cell r="B25">
            <v>45005</v>
          </cell>
          <cell r="C25">
            <v>2614278.5890727686</v>
          </cell>
          <cell r="D25">
            <v>32413.313177607219</v>
          </cell>
          <cell r="E25"/>
          <cell r="F25">
            <v>32413.313177607219</v>
          </cell>
          <cell r="G25">
            <v>13895.506505008441</v>
          </cell>
          <cell r="H25">
            <v>18517.806672598777</v>
          </cell>
          <cell r="I25">
            <v>2600383.0825677603</v>
          </cell>
        </row>
        <row r="26">
          <cell r="A26">
            <v>2</v>
          </cell>
          <cell r="B26">
            <v>45036</v>
          </cell>
          <cell r="C26">
            <v>2600383.0825677603</v>
          </cell>
          <cell r="D26">
            <v>32413.313177607219</v>
          </cell>
          <cell r="E26"/>
          <cell r="F26">
            <v>32413.313177607219</v>
          </cell>
          <cell r="G26">
            <v>13993.933009418917</v>
          </cell>
          <cell r="H26">
            <v>18419.380168188301</v>
          </cell>
          <cell r="I26">
            <v>2586389.1495583411</v>
          </cell>
        </row>
        <row r="27">
          <cell r="A27">
            <v>3</v>
          </cell>
          <cell r="B27">
            <v>45066</v>
          </cell>
          <cell r="C27">
            <v>2586389.1495583411</v>
          </cell>
          <cell r="D27">
            <v>32413.313177607219</v>
          </cell>
          <cell r="E27"/>
          <cell r="F27">
            <v>32413.313177607219</v>
          </cell>
          <cell r="G27">
            <v>14093.056701568967</v>
          </cell>
          <cell r="H27">
            <v>18320.256476038252</v>
          </cell>
          <cell r="I27">
            <v>2572296.0928567722</v>
          </cell>
        </row>
        <row r="28">
          <cell r="A28">
            <v>4</v>
          </cell>
          <cell r="B28">
            <v>45097</v>
          </cell>
          <cell r="C28">
            <v>2572296.0928567722</v>
          </cell>
          <cell r="D28">
            <v>32413.313177607219</v>
          </cell>
          <cell r="E28"/>
          <cell r="F28">
            <v>32413.313177607219</v>
          </cell>
          <cell r="G28">
            <v>14192.88251987175</v>
          </cell>
          <cell r="H28">
            <v>18220.430657735469</v>
          </cell>
          <cell r="I28">
            <v>2558103.2103369003</v>
          </cell>
        </row>
        <row r="29">
          <cell r="A29">
            <v>5</v>
          </cell>
          <cell r="B29">
            <v>45127</v>
          </cell>
          <cell r="C29">
            <v>2558103.2103369003</v>
          </cell>
          <cell r="D29">
            <v>32413.313177607219</v>
          </cell>
          <cell r="E29"/>
          <cell r="F29">
            <v>32413.313177607219</v>
          </cell>
          <cell r="G29">
            <v>14293.41543772084</v>
          </cell>
          <cell r="H29">
            <v>18119.897739886379</v>
          </cell>
          <cell r="I29">
            <v>2543809.7948991796</v>
          </cell>
        </row>
        <row r="30">
          <cell r="A30">
            <v>6</v>
          </cell>
          <cell r="B30">
            <v>45158</v>
          </cell>
          <cell r="C30">
            <v>2543809.7948991796</v>
          </cell>
          <cell r="D30">
            <v>32413.313177607219</v>
          </cell>
          <cell r="E30"/>
          <cell r="F30">
            <v>32413.313177607219</v>
          </cell>
          <cell r="G30">
            <v>14394.66046373803</v>
          </cell>
          <cell r="H30">
            <v>18018.652713869189</v>
          </cell>
          <cell r="I30">
            <v>2529415.1344354413</v>
          </cell>
        </row>
        <row r="31">
          <cell r="A31">
            <v>7</v>
          </cell>
          <cell r="B31">
            <v>45189</v>
          </cell>
          <cell r="C31">
            <v>2529415.1344354413</v>
          </cell>
          <cell r="D31">
            <v>32413.313177607219</v>
          </cell>
          <cell r="E31"/>
          <cell r="F31">
            <v>32413.313177607219</v>
          </cell>
          <cell r="G31">
            <v>14496.622642022841</v>
          </cell>
          <cell r="H31">
            <v>17916.690535584377</v>
          </cell>
          <cell r="I31">
            <v>2514918.5117934183</v>
          </cell>
        </row>
        <row r="32">
          <cell r="A32">
            <v>8</v>
          </cell>
          <cell r="B32">
            <v>45219</v>
          </cell>
          <cell r="C32">
            <v>2514918.5117934183</v>
          </cell>
          <cell r="D32">
            <v>32413.313177607219</v>
          </cell>
          <cell r="E32"/>
          <cell r="F32">
            <v>32413.313177607219</v>
          </cell>
          <cell r="G32">
            <v>14599.307052403838</v>
          </cell>
          <cell r="H32">
            <v>17814.006125203381</v>
          </cell>
          <cell r="I32">
            <v>2500319.2047410146</v>
          </cell>
        </row>
        <row r="33">
          <cell r="A33">
            <v>9</v>
          </cell>
          <cell r="B33">
            <v>45250</v>
          </cell>
          <cell r="C33">
            <v>2500319.2047410146</v>
          </cell>
          <cell r="D33">
            <v>32413.313177607219</v>
          </cell>
          <cell r="E33"/>
          <cell r="F33">
            <v>32413.313177607219</v>
          </cell>
          <cell r="G33">
            <v>14702.718810691698</v>
          </cell>
          <cell r="H33">
            <v>17710.59436691552</v>
          </cell>
          <cell r="I33">
            <v>2485616.4859303231</v>
          </cell>
        </row>
        <row r="34">
          <cell r="A34">
            <v>10</v>
          </cell>
          <cell r="B34">
            <v>45280</v>
          </cell>
          <cell r="C34">
            <v>2485616.4859303231</v>
          </cell>
          <cell r="D34">
            <v>32413.313177607219</v>
          </cell>
          <cell r="E34"/>
          <cell r="F34">
            <v>32413.313177607219</v>
          </cell>
          <cell r="G34">
            <v>14806.863068934097</v>
          </cell>
          <cell r="H34">
            <v>17606.450108673122</v>
          </cell>
          <cell r="I34">
            <v>2470809.6228613891</v>
          </cell>
        </row>
        <row r="35">
          <cell r="A35">
            <v>11</v>
          </cell>
          <cell r="B35">
            <v>45311</v>
          </cell>
          <cell r="C35">
            <v>2470809.6228613891</v>
          </cell>
          <cell r="D35">
            <v>32413.313177607219</v>
          </cell>
          <cell r="E35"/>
          <cell r="F35">
            <v>32413.313177607219</v>
          </cell>
          <cell r="G35">
            <v>14911.745015672379</v>
          </cell>
          <cell r="H35">
            <v>17501.56816193484</v>
          </cell>
          <cell r="I35">
            <v>2455897.8778457167</v>
          </cell>
        </row>
        <row r="36">
          <cell r="A36">
            <v>12</v>
          </cell>
          <cell r="B36">
            <v>45342</v>
          </cell>
          <cell r="C36">
            <v>2455897.8778457167</v>
          </cell>
          <cell r="D36">
            <v>32413.313177607219</v>
          </cell>
          <cell r="E36"/>
          <cell r="F36">
            <v>32413.313177607219</v>
          </cell>
          <cell r="G36">
            <v>15017.369876200057</v>
          </cell>
          <cell r="H36">
            <v>17395.943301407162</v>
          </cell>
          <cell r="I36">
            <v>2440880.5079695168</v>
          </cell>
        </row>
        <row r="37">
          <cell r="A37">
            <v>13</v>
          </cell>
          <cell r="B37">
            <v>45371</v>
          </cell>
          <cell r="C37">
            <v>2440880.5079695168</v>
          </cell>
          <cell r="D37">
            <v>32413.313177607219</v>
          </cell>
          <cell r="E37"/>
          <cell r="F37">
            <v>32413.313177607219</v>
          </cell>
          <cell r="G37">
            <v>15123.742912823142</v>
          </cell>
          <cell r="H37">
            <v>17289.570264784077</v>
          </cell>
          <cell r="I37">
            <v>2425756.7650566935</v>
          </cell>
        </row>
        <row r="38">
          <cell r="A38">
            <v>14</v>
          </cell>
          <cell r="B38">
            <v>45402</v>
          </cell>
          <cell r="C38">
            <v>2425756.7650566935</v>
          </cell>
          <cell r="D38">
            <v>32413.313177607219</v>
          </cell>
          <cell r="E38"/>
          <cell r="F38">
            <v>32413.313177607219</v>
          </cell>
          <cell r="G38">
            <v>15230.869425122306</v>
          </cell>
          <cell r="H38">
            <v>17182.443752484913</v>
          </cell>
          <cell r="I38">
            <v>2410525.8956315713</v>
          </cell>
        </row>
        <row r="39">
          <cell r="A39">
            <v>15</v>
          </cell>
          <cell r="B39">
            <v>45432</v>
          </cell>
          <cell r="C39">
            <v>2410525.8956315713</v>
          </cell>
          <cell r="D39">
            <v>32413.313177607219</v>
          </cell>
          <cell r="E39"/>
          <cell r="F39">
            <v>32413.313177607219</v>
          </cell>
          <cell r="G39">
            <v>15338.754750216922</v>
          </cell>
          <cell r="H39">
            <v>17074.558427390297</v>
          </cell>
          <cell r="I39">
            <v>2395187.1408813545</v>
          </cell>
        </row>
        <row r="40">
          <cell r="A40">
            <v>16</v>
          </cell>
          <cell r="B40">
            <v>45463</v>
          </cell>
          <cell r="C40">
            <v>2395187.1408813545</v>
          </cell>
          <cell r="D40">
            <v>32413.313177607219</v>
          </cell>
          <cell r="E40"/>
          <cell r="F40">
            <v>32413.313177607219</v>
          </cell>
          <cell r="G40">
            <v>15447.404263030956</v>
          </cell>
          <cell r="H40">
            <v>16965.908914576263</v>
          </cell>
          <cell r="I40">
            <v>2379739.7366183237</v>
          </cell>
        </row>
        <row r="41">
          <cell r="A41">
            <v>17</v>
          </cell>
          <cell r="B41">
            <v>45493</v>
          </cell>
          <cell r="C41">
            <v>2379739.7366183237</v>
          </cell>
          <cell r="D41">
            <v>32413.313177607219</v>
          </cell>
          <cell r="E41"/>
          <cell r="F41">
            <v>32413.313177607219</v>
          </cell>
          <cell r="G41">
            <v>15556.823376560758</v>
          </cell>
          <cell r="H41">
            <v>16856.48980104646</v>
          </cell>
          <cell r="I41">
            <v>2364182.9132417631</v>
          </cell>
        </row>
        <row r="42">
          <cell r="A42">
            <v>18</v>
          </cell>
          <cell r="B42">
            <v>45524</v>
          </cell>
          <cell r="C42">
            <v>2364182.9132417631</v>
          </cell>
          <cell r="D42">
            <v>32413.313177607219</v>
          </cell>
          <cell r="E42"/>
          <cell r="F42">
            <v>32413.313177607219</v>
          </cell>
          <cell r="G42">
            <v>15667.017542144727</v>
          </cell>
          <cell r="H42">
            <v>16746.295635462491</v>
          </cell>
          <cell r="I42">
            <v>2348515.8956996184</v>
          </cell>
        </row>
        <row r="43">
          <cell r="A43">
            <v>19</v>
          </cell>
          <cell r="B43">
            <v>45555</v>
          </cell>
          <cell r="C43">
            <v>2348515.8956996184</v>
          </cell>
          <cell r="D43">
            <v>32413.313177607219</v>
          </cell>
          <cell r="E43"/>
          <cell r="F43">
            <v>32413.313177607219</v>
          </cell>
          <cell r="G43">
            <v>15777.992249734922</v>
          </cell>
          <cell r="H43">
            <v>16635.320927872297</v>
          </cell>
          <cell r="I43">
            <v>2332737.9034498837</v>
          </cell>
        </row>
        <row r="44">
          <cell r="A44">
            <v>20</v>
          </cell>
          <cell r="B44">
            <v>45585</v>
          </cell>
          <cell r="C44">
            <v>2332737.9034498837</v>
          </cell>
          <cell r="D44">
            <v>32413.313177607219</v>
          </cell>
          <cell r="E44"/>
          <cell r="F44">
            <v>32413.313177607219</v>
          </cell>
          <cell r="G44">
            <v>15889.75302817054</v>
          </cell>
          <cell r="H44">
            <v>16523.560149436678</v>
          </cell>
          <cell r="I44">
            <v>2316848.150421713</v>
          </cell>
        </row>
        <row r="45">
          <cell r="A45">
            <v>21</v>
          </cell>
          <cell r="B45">
            <v>45616</v>
          </cell>
          <cell r="C45">
            <v>2316848.150421713</v>
          </cell>
          <cell r="D45">
            <v>32413.313177607219</v>
          </cell>
          <cell r="E45"/>
          <cell r="F45">
            <v>32413.313177607219</v>
          </cell>
          <cell r="G45">
            <v>16002.305445453418</v>
          </cell>
          <cell r="H45">
            <v>16411.007732153801</v>
          </cell>
          <cell r="I45">
            <v>2300845.8449762594</v>
          </cell>
        </row>
        <row r="46">
          <cell r="A46">
            <v>22</v>
          </cell>
          <cell r="B46">
            <v>45646</v>
          </cell>
          <cell r="C46">
            <v>2300845.8449762594</v>
          </cell>
          <cell r="D46">
            <v>32413.313177607219</v>
          </cell>
          <cell r="E46"/>
          <cell r="F46">
            <v>32413.313177607219</v>
          </cell>
          <cell r="G46">
            <v>16115.65510902538</v>
          </cell>
          <cell r="H46">
            <v>16297.658068581839</v>
          </cell>
          <cell r="I46">
            <v>2284730.1898672339</v>
          </cell>
        </row>
        <row r="47">
          <cell r="A47">
            <v>23</v>
          </cell>
          <cell r="B47">
            <v>45677</v>
          </cell>
          <cell r="C47">
            <v>2284730.1898672339</v>
          </cell>
          <cell r="D47">
            <v>32413.313177607219</v>
          </cell>
          <cell r="E47"/>
          <cell r="F47">
            <v>32413.313177607219</v>
          </cell>
          <cell r="G47">
            <v>16229.807666047644</v>
          </cell>
          <cell r="H47">
            <v>16183.505511559575</v>
          </cell>
          <cell r="I47">
            <v>2268500.3822011864</v>
          </cell>
        </row>
        <row r="48">
          <cell r="A48">
            <v>24</v>
          </cell>
          <cell r="B48">
            <v>45708</v>
          </cell>
          <cell r="C48">
            <v>2268500.3822011864</v>
          </cell>
          <cell r="D48">
            <v>32413.313177607219</v>
          </cell>
          <cell r="E48"/>
          <cell r="F48">
            <v>32413.313177607219</v>
          </cell>
          <cell r="G48">
            <v>16344.768803682147</v>
          </cell>
          <cell r="H48">
            <v>16068.544373925071</v>
          </cell>
          <cell r="I48">
            <v>2252155.6133975042</v>
          </cell>
        </row>
        <row r="49">
          <cell r="A49">
            <v>25</v>
          </cell>
          <cell r="B49">
            <v>45736</v>
          </cell>
          <cell r="C49">
            <v>2252155.6133975042</v>
          </cell>
          <cell r="D49">
            <v>32413.313177607219</v>
          </cell>
          <cell r="E49"/>
          <cell r="F49">
            <v>32413.313177607219</v>
          </cell>
          <cell r="G49">
            <v>16460.5442493749</v>
          </cell>
          <cell r="H49">
            <v>15952.768928232321</v>
          </cell>
          <cell r="I49">
            <v>2235695.0691481293</v>
          </cell>
        </row>
        <row r="50">
          <cell r="A50">
            <v>26</v>
          </cell>
          <cell r="B50">
            <v>45767</v>
          </cell>
          <cell r="C50">
            <v>2235695.0691481293</v>
          </cell>
          <cell r="D50">
            <v>32413.313177607219</v>
          </cell>
          <cell r="E50"/>
          <cell r="F50">
            <v>32413.313177607219</v>
          </cell>
          <cell r="G50">
            <v>16577.139771141301</v>
          </cell>
          <cell r="H50">
            <v>15836.173406465918</v>
          </cell>
          <cell r="I50">
            <v>2219117.9293769882</v>
          </cell>
        </row>
        <row r="51">
          <cell r="A51">
            <v>27</v>
          </cell>
          <cell r="B51">
            <v>45797</v>
          </cell>
          <cell r="C51">
            <v>2219117.9293769882</v>
          </cell>
          <cell r="D51">
            <v>32413.313177607219</v>
          </cell>
          <cell r="E51"/>
          <cell r="F51">
            <v>32413.313177607219</v>
          </cell>
          <cell r="G51">
            <v>16694.561177853553</v>
          </cell>
          <cell r="H51">
            <v>15718.751999753667</v>
          </cell>
          <cell r="I51">
            <v>2202423.3681991347</v>
          </cell>
        </row>
        <row r="52">
          <cell r="A52">
            <v>28</v>
          </cell>
          <cell r="B52">
            <v>45828</v>
          </cell>
          <cell r="C52">
            <v>2202423.3681991347</v>
          </cell>
          <cell r="D52">
            <v>32413.313177607219</v>
          </cell>
          <cell r="E52"/>
          <cell r="F52">
            <v>32413.313177607219</v>
          </cell>
          <cell r="G52">
            <v>16812.814319530014</v>
          </cell>
          <cell r="H52">
            <v>15600.498858077204</v>
          </cell>
          <cell r="I52">
            <v>2185610.5538796047</v>
          </cell>
        </row>
        <row r="53">
          <cell r="A53">
            <v>29</v>
          </cell>
          <cell r="B53">
            <v>45858</v>
          </cell>
          <cell r="C53">
            <v>2185610.5538796047</v>
          </cell>
          <cell r="D53">
            <v>32413.313177607219</v>
          </cell>
          <cell r="E53"/>
          <cell r="F53">
            <v>32413.313177607219</v>
          </cell>
          <cell r="G53">
            <v>16931.905087626685</v>
          </cell>
          <cell r="H53">
            <v>15481.408089980534</v>
          </cell>
          <cell r="I53">
            <v>2168678.6487919781</v>
          </cell>
        </row>
        <row r="54">
          <cell r="A54">
            <v>30</v>
          </cell>
          <cell r="B54">
            <v>45889</v>
          </cell>
          <cell r="C54">
            <v>2168678.6487919781</v>
          </cell>
          <cell r="D54">
            <v>32413.313177607219</v>
          </cell>
          <cell r="E54"/>
          <cell r="F54">
            <v>32413.313177607219</v>
          </cell>
          <cell r="G54">
            <v>17051.839415330709</v>
          </cell>
          <cell r="H54">
            <v>15361.473762276511</v>
          </cell>
          <cell r="I54">
            <v>2151626.8093766472</v>
          </cell>
        </row>
        <row r="55">
          <cell r="A55">
            <v>31</v>
          </cell>
          <cell r="B55">
            <v>45920</v>
          </cell>
          <cell r="C55">
            <v>2151626.8093766472</v>
          </cell>
          <cell r="D55">
            <v>32413.313177607219</v>
          </cell>
          <cell r="E55"/>
          <cell r="F55">
            <v>32413.313177607219</v>
          </cell>
          <cell r="G55">
            <v>17172.623277855964</v>
          </cell>
          <cell r="H55">
            <v>15240.689899751253</v>
          </cell>
          <cell r="I55">
            <v>2134454.1860987912</v>
          </cell>
        </row>
        <row r="56">
          <cell r="A56">
            <v>32</v>
          </cell>
          <cell r="B56">
            <v>45950</v>
          </cell>
          <cell r="C56">
            <v>2134454.1860987912</v>
          </cell>
          <cell r="D56">
            <v>32413.313177607219</v>
          </cell>
          <cell r="E56"/>
          <cell r="F56">
            <v>32413.313177607219</v>
          </cell>
          <cell r="G56">
            <v>17294.262692740776</v>
          </cell>
          <cell r="H56">
            <v>15119.05048486644</v>
          </cell>
          <cell r="I56">
            <v>2117159.9234060505</v>
          </cell>
        </row>
        <row r="57">
          <cell r="A57">
            <v>33</v>
          </cell>
          <cell r="B57">
            <v>45981</v>
          </cell>
          <cell r="C57">
            <v>2117159.9234060505</v>
          </cell>
          <cell r="D57">
            <v>32413.313177607219</v>
          </cell>
          <cell r="E57"/>
          <cell r="F57">
            <v>32413.313177607219</v>
          </cell>
          <cell r="G57">
            <v>17416.76372014769</v>
          </cell>
          <cell r="H57">
            <v>14996.549457459527</v>
          </cell>
          <cell r="I57">
            <v>2099743.1596859028</v>
          </cell>
        </row>
        <row r="58">
          <cell r="A58">
            <v>34</v>
          </cell>
          <cell r="B58">
            <v>46011</v>
          </cell>
          <cell r="C58">
            <v>2099743.1596859028</v>
          </cell>
          <cell r="D58">
            <v>32413.313177607219</v>
          </cell>
          <cell r="E58"/>
          <cell r="F58">
            <v>32413.313177607219</v>
          </cell>
          <cell r="G58">
            <v>17540.132463165406</v>
          </cell>
          <cell r="H58">
            <v>14873.180714441813</v>
          </cell>
          <cell r="I58">
            <v>2082203.0272227374</v>
          </cell>
        </row>
        <row r="59">
          <cell r="A59">
            <v>35</v>
          </cell>
          <cell r="B59">
            <v>46042</v>
          </cell>
          <cell r="C59">
            <v>2082203.0272227374</v>
          </cell>
          <cell r="D59">
            <v>32413.313177607219</v>
          </cell>
          <cell r="E59"/>
          <cell r="F59">
            <v>32413.313177607219</v>
          </cell>
          <cell r="G59">
            <v>17664.375068112829</v>
          </cell>
          <cell r="H59">
            <v>14748.938109494391</v>
          </cell>
          <cell r="I59">
            <v>2064538.6521546247</v>
          </cell>
        </row>
        <row r="60">
          <cell r="A60">
            <v>36</v>
          </cell>
          <cell r="B60">
            <v>46073</v>
          </cell>
          <cell r="C60">
            <v>2064538.6521546247</v>
          </cell>
          <cell r="D60">
            <v>32413.313177607219</v>
          </cell>
          <cell r="E60"/>
          <cell r="F60">
            <v>32413.313177607219</v>
          </cell>
          <cell r="G60">
            <v>17789.497724845292</v>
          </cell>
          <cell r="H60">
            <v>14623.815452761926</v>
          </cell>
          <cell r="I60">
            <v>2046749.1544297794</v>
          </cell>
        </row>
        <row r="61">
          <cell r="A61">
            <v>37</v>
          </cell>
          <cell r="B61">
            <v>46101</v>
          </cell>
          <cell r="C61">
            <v>2046749.1544297794</v>
          </cell>
          <cell r="D61">
            <v>32413.313177607219</v>
          </cell>
          <cell r="E61"/>
          <cell r="F61">
            <v>32413.313177607219</v>
          </cell>
          <cell r="G61">
            <v>17915.506667062946</v>
          </cell>
          <cell r="H61">
            <v>14497.806510544273</v>
          </cell>
          <cell r="I61">
            <v>2028833.6477627165</v>
          </cell>
        </row>
        <row r="62">
          <cell r="A62">
            <v>38</v>
          </cell>
          <cell r="B62">
            <v>46132</v>
          </cell>
          <cell r="C62">
            <v>2028833.6477627165</v>
          </cell>
          <cell r="D62">
            <v>32413.313177607219</v>
          </cell>
          <cell r="E62"/>
          <cell r="F62">
            <v>32413.313177607219</v>
          </cell>
          <cell r="G62">
            <v>18042.408172621312</v>
          </cell>
          <cell r="H62">
            <v>14370.905004985909</v>
          </cell>
          <cell r="I62">
            <v>2010791.2395900951</v>
          </cell>
        </row>
        <row r="63">
          <cell r="A63">
            <v>39</v>
          </cell>
          <cell r="B63">
            <v>46162</v>
          </cell>
          <cell r="C63">
            <v>2010791.2395900951</v>
          </cell>
          <cell r="D63">
            <v>32413.313177607219</v>
          </cell>
          <cell r="E63"/>
          <cell r="F63">
            <v>32413.313177607219</v>
          </cell>
          <cell r="G63">
            <v>18170.20856384404</v>
          </cell>
          <cell r="H63">
            <v>14243.104613763177</v>
          </cell>
          <cell r="I63">
            <v>1992621.0310262511</v>
          </cell>
        </row>
        <row r="64">
          <cell r="A64">
            <v>40</v>
          </cell>
          <cell r="B64">
            <v>46193</v>
          </cell>
          <cell r="C64">
            <v>1992621.0310262511</v>
          </cell>
          <cell r="D64">
            <v>32413.313177607219</v>
          </cell>
          <cell r="E64"/>
          <cell r="F64">
            <v>32413.313177607219</v>
          </cell>
          <cell r="G64">
            <v>18298.914207837937</v>
          </cell>
          <cell r="H64">
            <v>14114.39896976928</v>
          </cell>
          <cell r="I64">
            <v>1974322.1168184131</v>
          </cell>
        </row>
        <row r="65">
          <cell r="A65">
            <v>41</v>
          </cell>
          <cell r="B65">
            <v>46223</v>
          </cell>
          <cell r="C65">
            <v>1974322.1168184131</v>
          </cell>
          <cell r="D65">
            <v>32413.313177607219</v>
          </cell>
          <cell r="E65"/>
          <cell r="F65">
            <v>32413.313177607219</v>
          </cell>
          <cell r="G65">
            <v>18428.531516810122</v>
          </cell>
          <cell r="H65">
            <v>13984.781660797094</v>
          </cell>
          <cell r="I65">
            <v>1955893.585301603</v>
          </cell>
        </row>
        <row r="66">
          <cell r="A66">
            <v>42</v>
          </cell>
          <cell r="B66">
            <v>46254</v>
          </cell>
          <cell r="C66">
            <v>1955893.585301603</v>
          </cell>
          <cell r="D66">
            <v>32413.313177607219</v>
          </cell>
          <cell r="E66"/>
          <cell r="F66">
            <v>32413.313177607219</v>
          </cell>
          <cell r="G66">
            <v>18559.066948387532</v>
          </cell>
          <cell r="H66">
            <v>13854.246229219689</v>
          </cell>
          <cell r="I66">
            <v>1937334.5183532154</v>
          </cell>
        </row>
        <row r="67">
          <cell r="A67">
            <v>43</v>
          </cell>
          <cell r="B67">
            <v>46285</v>
          </cell>
          <cell r="C67">
            <v>1937334.5183532154</v>
          </cell>
          <cell r="D67">
            <v>32413.313177607219</v>
          </cell>
          <cell r="E67"/>
          <cell r="F67">
            <v>32413.313177607219</v>
          </cell>
          <cell r="G67">
            <v>18690.527005938609</v>
          </cell>
          <cell r="H67">
            <v>13722.786171668609</v>
          </cell>
          <cell r="I67">
            <v>1918643.9913472768</v>
          </cell>
        </row>
        <row r="68">
          <cell r="A68">
            <v>44</v>
          </cell>
          <cell r="B68">
            <v>46315</v>
          </cell>
          <cell r="C68">
            <v>1918643.9913472768</v>
          </cell>
          <cell r="D68">
            <v>32413.313177607219</v>
          </cell>
          <cell r="E68"/>
          <cell r="F68">
            <v>32413.313177607219</v>
          </cell>
          <cell r="G68">
            <v>18822.918238897342</v>
          </cell>
          <cell r="H68">
            <v>13590.394938709878</v>
          </cell>
          <cell r="I68">
            <v>1899821.0731083795</v>
          </cell>
        </row>
        <row r="69">
          <cell r="A69">
            <v>45</v>
          </cell>
          <cell r="B69">
            <v>46346</v>
          </cell>
          <cell r="C69">
            <v>1899821.0731083795</v>
          </cell>
          <cell r="D69">
            <v>32413.313177607219</v>
          </cell>
          <cell r="E69"/>
          <cell r="F69">
            <v>32413.313177607219</v>
          </cell>
          <cell r="G69">
            <v>18956.247243089529</v>
          </cell>
          <cell r="H69">
            <v>13457.06593451769</v>
          </cell>
          <cell r="I69">
            <v>1880864.8258652899</v>
          </cell>
        </row>
        <row r="70">
          <cell r="A70">
            <v>46</v>
          </cell>
          <cell r="B70">
            <v>46376</v>
          </cell>
          <cell r="C70">
            <v>1880864.8258652899</v>
          </cell>
          <cell r="D70">
            <v>32413.313177607219</v>
          </cell>
          <cell r="E70"/>
          <cell r="F70">
            <v>32413.313177607219</v>
          </cell>
          <cell r="G70">
            <v>19090.520661061411</v>
          </cell>
          <cell r="H70">
            <v>13322.792516545805</v>
          </cell>
          <cell r="I70">
            <v>1861774.3052042285</v>
          </cell>
        </row>
        <row r="71">
          <cell r="A71">
            <v>47</v>
          </cell>
          <cell r="B71">
            <v>46407</v>
          </cell>
          <cell r="C71">
            <v>1861774.3052042285</v>
          </cell>
          <cell r="D71">
            <v>32413.313177607219</v>
          </cell>
          <cell r="E71"/>
          <cell r="F71">
            <v>32413.313177607219</v>
          </cell>
          <cell r="G71">
            <v>19225.745182410596</v>
          </cell>
          <cell r="H71">
            <v>13187.567995196621</v>
          </cell>
          <cell r="I71">
            <v>1842548.5600218179</v>
          </cell>
        </row>
        <row r="72">
          <cell r="A72">
            <v>48</v>
          </cell>
          <cell r="B72">
            <v>46438</v>
          </cell>
          <cell r="C72">
            <v>1842548.5600218179</v>
          </cell>
          <cell r="D72">
            <v>32413.313177607219</v>
          </cell>
          <cell r="E72"/>
          <cell r="F72">
            <v>32413.313177607219</v>
          </cell>
          <cell r="G72">
            <v>19361.927544119339</v>
          </cell>
          <cell r="H72">
            <v>13051.385633487878</v>
          </cell>
          <cell r="I72">
            <v>1823186.6324776986</v>
          </cell>
        </row>
        <row r="73">
          <cell r="A73">
            <v>49</v>
          </cell>
          <cell r="B73">
            <v>46466</v>
          </cell>
          <cell r="C73">
            <v>1823186.6324776986</v>
          </cell>
          <cell r="D73">
            <v>32413.313177607219</v>
          </cell>
          <cell r="E73"/>
          <cell r="F73">
            <v>32413.313177607219</v>
          </cell>
          <cell r="G73">
            <v>19499.074530890182</v>
          </cell>
          <cell r="H73">
            <v>12914.238646717034</v>
          </cell>
          <cell r="I73">
            <v>1803687.5579468084</v>
          </cell>
        </row>
        <row r="74">
          <cell r="A74">
            <v>50</v>
          </cell>
          <cell r="B74">
            <v>46497</v>
          </cell>
          <cell r="C74">
            <v>1803687.5579468084</v>
          </cell>
          <cell r="D74">
            <v>32413.313177607219</v>
          </cell>
          <cell r="E74"/>
          <cell r="F74">
            <v>32413.313177607219</v>
          </cell>
          <cell r="G74">
            <v>19637.192975483995</v>
          </cell>
          <cell r="H74">
            <v>12776.120202123226</v>
          </cell>
          <cell r="I74">
            <v>1784050.3649713243</v>
          </cell>
        </row>
        <row r="75">
          <cell r="A75">
            <v>51</v>
          </cell>
          <cell r="B75">
            <v>46527</v>
          </cell>
          <cell r="C75">
            <v>1784050.3649713243</v>
          </cell>
          <cell r="D75">
            <v>32413.313177607219</v>
          </cell>
          <cell r="E75"/>
          <cell r="F75">
            <v>32413.313177607219</v>
          </cell>
          <cell r="G75">
            <v>19776.289759060339</v>
          </cell>
          <cell r="H75">
            <v>12637.023418546882</v>
          </cell>
          <cell r="I75">
            <v>1764274.075212264</v>
          </cell>
        </row>
        <row r="76">
          <cell r="A76">
            <v>52</v>
          </cell>
          <cell r="B76">
            <v>46558</v>
          </cell>
          <cell r="C76">
            <v>1764274.075212264</v>
          </cell>
          <cell r="D76">
            <v>32413.313177607219</v>
          </cell>
          <cell r="E76"/>
          <cell r="F76">
            <v>32413.313177607219</v>
          </cell>
          <cell r="G76">
            <v>19916.371811520345</v>
          </cell>
          <cell r="H76">
            <v>12496.941366086872</v>
          </cell>
          <cell r="I76">
            <v>1744357.7034007437</v>
          </cell>
        </row>
        <row r="77">
          <cell r="A77">
            <v>53</v>
          </cell>
          <cell r="B77">
            <v>46588</v>
          </cell>
          <cell r="C77">
            <v>1744357.7034007437</v>
          </cell>
          <cell r="D77">
            <v>32413.313177607219</v>
          </cell>
          <cell r="E77"/>
          <cell r="F77">
            <v>32413.313177607219</v>
          </cell>
          <cell r="G77">
            <v>20057.446111851947</v>
          </cell>
          <cell r="H77">
            <v>12355.86706575527</v>
          </cell>
          <cell r="I77">
            <v>1724300.2572888918</v>
          </cell>
        </row>
        <row r="78">
          <cell r="A78">
            <v>54</v>
          </cell>
          <cell r="B78">
            <v>46619</v>
          </cell>
          <cell r="C78">
            <v>1724300.2572888918</v>
          </cell>
          <cell r="D78">
            <v>32413.313177607219</v>
          </cell>
          <cell r="E78"/>
          <cell r="F78">
            <v>32413.313177607219</v>
          </cell>
          <cell r="G78">
            <v>20199.519688477565</v>
          </cell>
          <cell r="H78">
            <v>12213.793489129652</v>
          </cell>
          <cell r="I78">
            <v>1704100.7376004143</v>
          </cell>
        </row>
        <row r="79">
          <cell r="A79">
            <v>55</v>
          </cell>
          <cell r="B79">
            <v>46650</v>
          </cell>
          <cell r="C79">
            <v>1704100.7376004143</v>
          </cell>
          <cell r="D79">
            <v>32413.313177607219</v>
          </cell>
          <cell r="E79"/>
          <cell r="F79">
            <v>32413.313177607219</v>
          </cell>
          <cell r="G79">
            <v>20342.599619604283</v>
          </cell>
          <cell r="H79">
            <v>12070.713558002935</v>
          </cell>
          <cell r="I79">
            <v>1683758.1379808101</v>
          </cell>
        </row>
        <row r="80">
          <cell r="A80">
            <v>56</v>
          </cell>
          <cell r="B80">
            <v>46680</v>
          </cell>
          <cell r="C80">
            <v>1683758.1379808101</v>
          </cell>
          <cell r="D80">
            <v>32413.313177607219</v>
          </cell>
          <cell r="E80"/>
          <cell r="F80">
            <v>32413.313177607219</v>
          </cell>
          <cell r="G80">
            <v>20486.693033576477</v>
          </cell>
          <cell r="H80">
            <v>11926.62014403074</v>
          </cell>
          <cell r="I80">
            <v>1663271.4449472337</v>
          </cell>
        </row>
        <row r="81">
          <cell r="A81">
            <v>57</v>
          </cell>
          <cell r="B81">
            <v>46711</v>
          </cell>
          <cell r="C81">
            <v>1663271.4449472337</v>
          </cell>
          <cell r="D81">
            <v>32413.313177607219</v>
          </cell>
          <cell r="E81"/>
          <cell r="F81">
            <v>32413.313177607219</v>
          </cell>
          <cell r="G81">
            <v>20631.807109230976</v>
          </cell>
          <cell r="H81">
            <v>11781.50606837624</v>
          </cell>
          <cell r="I81">
            <v>1642639.6378380028</v>
          </cell>
        </row>
        <row r="82">
          <cell r="A82">
            <v>58</v>
          </cell>
          <cell r="B82">
            <v>46741</v>
          </cell>
          <cell r="C82">
            <v>1642639.6378380028</v>
          </cell>
          <cell r="D82">
            <v>32413.313177607219</v>
          </cell>
          <cell r="E82"/>
          <cell r="F82">
            <v>32413.313177607219</v>
          </cell>
          <cell r="G82">
            <v>20777.949076254699</v>
          </cell>
          <cell r="H82">
            <v>11635.364101352519</v>
          </cell>
          <cell r="I82">
            <v>1621861.6887617481</v>
          </cell>
        </row>
        <row r="83">
          <cell r="A83">
            <v>59</v>
          </cell>
          <cell r="B83">
            <v>46772</v>
          </cell>
          <cell r="C83">
            <v>1621861.6887617481</v>
          </cell>
          <cell r="D83">
            <v>32413.313177607219</v>
          </cell>
          <cell r="E83"/>
          <cell r="F83">
            <v>32413.313177607219</v>
          </cell>
          <cell r="G83">
            <v>20925.126215544835</v>
          </cell>
          <cell r="H83">
            <v>11488.186962062384</v>
          </cell>
          <cell r="I83">
            <v>1600936.5625462034</v>
          </cell>
        </row>
        <row r="84">
          <cell r="A84">
            <v>60</v>
          </cell>
          <cell r="B84">
            <v>46803</v>
          </cell>
          <cell r="C84">
            <v>1600936.5625462034</v>
          </cell>
          <cell r="D84">
            <v>32413.313177607219</v>
          </cell>
          <cell r="E84"/>
          <cell r="F84">
            <v>32413.313177607219</v>
          </cell>
          <cell r="G84">
            <v>21073.345859571607</v>
          </cell>
          <cell r="H84">
            <v>11339.967318035609</v>
          </cell>
          <cell r="I84">
            <v>1579863.2166866318</v>
          </cell>
        </row>
        <row r="85">
          <cell r="A85">
            <v>61</v>
          </cell>
          <cell r="B85">
            <v>46832</v>
          </cell>
          <cell r="C85">
            <v>1579863.2166866318</v>
          </cell>
          <cell r="D85">
            <v>32413.313177607219</v>
          </cell>
          <cell r="E85"/>
          <cell r="F85">
            <v>32413.313177607219</v>
          </cell>
          <cell r="G85">
            <v>21222.615392743573</v>
          </cell>
          <cell r="H85">
            <v>11190.697784863643</v>
          </cell>
          <cell r="I85">
            <v>1558640.6012938882</v>
          </cell>
        </row>
        <row r="86">
          <cell r="A86">
            <v>62</v>
          </cell>
          <cell r="B86">
            <v>46863</v>
          </cell>
          <cell r="C86">
            <v>1558640.6012938882</v>
          </cell>
          <cell r="D86">
            <v>32413.313177607219</v>
          </cell>
          <cell r="E86"/>
          <cell r="F86">
            <v>32413.313177607219</v>
          </cell>
          <cell r="G86">
            <v>21372.942251775508</v>
          </cell>
          <cell r="H86">
            <v>11040.370925831709</v>
          </cell>
          <cell r="I86">
            <v>1537267.6590421128</v>
          </cell>
        </row>
        <row r="87">
          <cell r="A87">
            <v>63</v>
          </cell>
          <cell r="B87">
            <v>46893</v>
          </cell>
          <cell r="C87">
            <v>1537267.6590421128</v>
          </cell>
          <cell r="D87">
            <v>32413.313177607219</v>
          </cell>
          <cell r="E87"/>
          <cell r="F87">
            <v>32413.313177607219</v>
          </cell>
          <cell r="G87">
            <v>32413.313177607219</v>
          </cell>
          <cell r="H87">
            <v>10888.9792515483</v>
          </cell>
          <cell r="I87">
            <v>1504854.3458645055</v>
          </cell>
        </row>
        <row r="88">
          <cell r="A88">
            <v>64</v>
          </cell>
          <cell r="B88">
            <v>46924</v>
          </cell>
          <cell r="C88">
            <v>1504854.3458645055</v>
          </cell>
          <cell r="D88">
            <v>32413.313177607219</v>
          </cell>
          <cell r="E88"/>
          <cell r="F88">
            <v>32413.313177607219</v>
          </cell>
          <cell r="G88">
            <v>21753.928227733639</v>
          </cell>
          <cell r="H88">
            <v>10659.384949873582</v>
          </cell>
          <cell r="I88">
            <v>1483100.4176367719</v>
          </cell>
        </row>
        <row r="89">
          <cell r="A89">
            <v>65</v>
          </cell>
          <cell r="B89">
            <v>46954</v>
          </cell>
          <cell r="C89">
            <v>1483100.4176367719</v>
          </cell>
          <cell r="D89">
            <v>32413.313177607219</v>
          </cell>
          <cell r="E89"/>
          <cell r="F89">
            <v>32413.313177607219</v>
          </cell>
          <cell r="G89">
            <v>21908.018552680085</v>
          </cell>
          <cell r="H89">
            <v>10505.294624927135</v>
          </cell>
          <cell r="I89">
            <v>1461192.3990840919</v>
          </cell>
        </row>
        <row r="90">
          <cell r="A90">
            <v>66</v>
          </cell>
          <cell r="B90">
            <v>46985</v>
          </cell>
          <cell r="C90">
            <v>1461192.3990840919</v>
          </cell>
          <cell r="D90">
            <v>32413.313177607219</v>
          </cell>
          <cell r="E90"/>
          <cell r="F90">
            <v>32413.313177607219</v>
          </cell>
          <cell r="G90">
            <v>22063.200350761566</v>
          </cell>
          <cell r="H90">
            <v>10350.11282684565</v>
          </cell>
          <cell r="I90">
            <v>1439129.1987333302</v>
          </cell>
        </row>
        <row r="91">
          <cell r="A91">
            <v>67</v>
          </cell>
          <cell r="B91">
            <v>47016</v>
          </cell>
          <cell r="C91">
            <v>1439129.1987333302</v>
          </cell>
          <cell r="D91">
            <v>32413.313177607219</v>
          </cell>
          <cell r="E91"/>
          <cell r="F91">
            <v>32413.313177607219</v>
          </cell>
          <cell r="G91">
            <v>22219.481353246127</v>
          </cell>
          <cell r="H91">
            <v>10193.83182436109</v>
          </cell>
          <cell r="I91">
            <v>1416909.7173800841</v>
          </cell>
        </row>
        <row r="92">
          <cell r="A92">
            <v>68</v>
          </cell>
          <cell r="B92">
            <v>47046</v>
          </cell>
          <cell r="C92">
            <v>1416909.7173800841</v>
          </cell>
          <cell r="D92">
            <v>32413.313177607219</v>
          </cell>
          <cell r="E92"/>
          <cell r="F92">
            <v>32413.313177607219</v>
          </cell>
          <cell r="G92">
            <v>22376.869346164953</v>
          </cell>
          <cell r="H92">
            <v>10036.443831442264</v>
          </cell>
          <cell r="I92">
            <v>1394532.8480339192</v>
          </cell>
        </row>
        <row r="93">
          <cell r="A93">
            <v>69</v>
          </cell>
          <cell r="B93">
            <v>47077</v>
          </cell>
          <cell r="C93">
            <v>1394532.8480339192</v>
          </cell>
          <cell r="D93">
            <v>32413.313177607219</v>
          </cell>
          <cell r="E93"/>
          <cell r="F93">
            <v>32413.313177607219</v>
          </cell>
          <cell r="G93">
            <v>22535.372170700291</v>
          </cell>
          <cell r="H93">
            <v>9877.941006906929</v>
          </cell>
          <cell r="I93">
            <v>1371997.475863219</v>
          </cell>
        </row>
        <row r="94">
          <cell r="A94">
            <v>70</v>
          </cell>
          <cell r="B94">
            <v>47107</v>
          </cell>
          <cell r="C94">
            <v>1371997.475863219</v>
          </cell>
          <cell r="D94">
            <v>32413.313177607219</v>
          </cell>
          <cell r="E94"/>
          <cell r="F94">
            <v>32413.313177607219</v>
          </cell>
          <cell r="G94">
            <v>22694.997723576082</v>
          </cell>
          <cell r="H94">
            <v>9718.3154540311352</v>
          </cell>
          <cell r="I94">
            <v>1349302.4781396429</v>
          </cell>
        </row>
        <row r="95">
          <cell r="A95">
            <v>71</v>
          </cell>
          <cell r="B95">
            <v>47138</v>
          </cell>
          <cell r="C95">
            <v>1349302.4781396429</v>
          </cell>
          <cell r="D95">
            <v>32413.313177607219</v>
          </cell>
          <cell r="E95"/>
          <cell r="F95">
            <v>32413.313177607219</v>
          </cell>
          <cell r="G95">
            <v>22855.753957451416</v>
          </cell>
          <cell r="H95">
            <v>9557.5592201558047</v>
          </cell>
          <cell r="I95">
            <v>1326446.7241821915</v>
          </cell>
        </row>
        <row r="96">
          <cell r="A96">
            <v>72</v>
          </cell>
          <cell r="B96">
            <v>47169</v>
          </cell>
          <cell r="C96">
            <v>1326446.7241821915</v>
          </cell>
          <cell r="D96">
            <v>32413.313177607219</v>
          </cell>
          <cell r="E96"/>
          <cell r="F96">
            <v>32413.313177607219</v>
          </cell>
          <cell r="G96">
            <v>23017.648881316694</v>
          </cell>
          <cell r="H96">
            <v>9395.6642962905244</v>
          </cell>
          <cell r="I96">
            <v>1303429.0753008749</v>
          </cell>
        </row>
        <row r="97">
          <cell r="A97">
            <v>73</v>
          </cell>
          <cell r="B97">
            <v>47197</v>
          </cell>
          <cell r="C97">
            <v>1303429.0753008749</v>
          </cell>
          <cell r="D97">
            <v>32413.313177607219</v>
          </cell>
          <cell r="E97"/>
          <cell r="F97">
            <v>32413.313177607219</v>
          </cell>
          <cell r="G97">
            <v>23180.69056089269</v>
          </cell>
          <cell r="H97">
            <v>9232.6226167145305</v>
          </cell>
          <cell r="I97">
            <v>1280248.3847399822</v>
          </cell>
        </row>
        <row r="98">
          <cell r="A98">
            <v>74</v>
          </cell>
          <cell r="B98">
            <v>47228</v>
          </cell>
          <cell r="C98">
            <v>1280248.3847399822</v>
          </cell>
          <cell r="D98">
            <v>32413.313177607219</v>
          </cell>
          <cell r="E98"/>
          <cell r="F98">
            <v>32413.313177607219</v>
          </cell>
          <cell r="G98">
            <v>23344.887119032344</v>
          </cell>
          <cell r="H98">
            <v>9068.4260585748743</v>
          </cell>
          <cell r="I98">
            <v>1256903.4976209498</v>
          </cell>
        </row>
        <row r="99">
          <cell r="A99">
            <v>75</v>
          </cell>
          <cell r="B99">
            <v>47258</v>
          </cell>
          <cell r="C99">
            <v>1256903.4976209498</v>
          </cell>
          <cell r="D99">
            <v>32413.313177607219</v>
          </cell>
          <cell r="E99"/>
          <cell r="F99">
            <v>32413.313177607219</v>
          </cell>
          <cell r="G99">
            <v>23510.246736125489</v>
          </cell>
          <cell r="H99">
            <v>8903.0664414817275</v>
          </cell>
          <cell r="I99">
            <v>1233393.2508848242</v>
          </cell>
        </row>
        <row r="100">
          <cell r="A100">
            <v>76</v>
          </cell>
          <cell r="B100">
            <v>47289</v>
          </cell>
          <cell r="C100">
            <v>1233393.2508848242</v>
          </cell>
          <cell r="D100">
            <v>32413.313177607219</v>
          </cell>
          <cell r="E100"/>
          <cell r="F100">
            <v>32413.313177607219</v>
          </cell>
          <cell r="G100">
            <v>23676.777650506381</v>
          </cell>
          <cell r="H100">
            <v>8736.5355271008393</v>
          </cell>
          <cell r="I100">
            <v>1209716.4732343177</v>
          </cell>
        </row>
        <row r="101">
          <cell r="A101">
            <v>77</v>
          </cell>
          <cell r="B101">
            <v>47319</v>
          </cell>
          <cell r="C101">
            <v>1209716.4732343177</v>
          </cell>
          <cell r="D101">
            <v>32413.313177607219</v>
          </cell>
          <cell r="E101"/>
          <cell r="F101">
            <v>32413.313177607219</v>
          </cell>
          <cell r="G101">
            <v>23844.488158864136</v>
          </cell>
          <cell r="H101">
            <v>8568.825018743084</v>
          </cell>
          <cell r="I101">
            <v>1185871.9850754535</v>
          </cell>
        </row>
        <row r="102">
          <cell r="A102">
            <v>78</v>
          </cell>
          <cell r="B102">
            <v>47350</v>
          </cell>
          <cell r="C102">
            <v>1185871.9850754535</v>
          </cell>
          <cell r="D102">
            <v>32413.313177607219</v>
          </cell>
          <cell r="E102"/>
          <cell r="F102">
            <v>32413.313177607219</v>
          </cell>
          <cell r="G102">
            <v>24013.386616656091</v>
          </cell>
          <cell r="H102">
            <v>8399.9265609511294</v>
          </cell>
          <cell r="I102">
            <v>1161858.5984587974</v>
          </cell>
        </row>
        <row r="103">
          <cell r="A103">
            <v>79</v>
          </cell>
          <cell r="B103">
            <v>47381</v>
          </cell>
          <cell r="C103">
            <v>1161858.5984587974</v>
          </cell>
          <cell r="D103">
            <v>32413.313177607219</v>
          </cell>
          <cell r="E103"/>
          <cell r="F103">
            <v>32413.313177607219</v>
          </cell>
          <cell r="G103">
            <v>24183.481438524068</v>
          </cell>
          <cell r="H103">
            <v>8229.8317390831489</v>
          </cell>
          <cell r="I103">
            <v>1137675.1170202733</v>
          </cell>
        </row>
        <row r="104">
          <cell r="A104">
            <v>80</v>
          </cell>
          <cell r="B104">
            <v>47411</v>
          </cell>
          <cell r="C104">
            <v>1137675.1170202733</v>
          </cell>
          <cell r="D104">
            <v>32413.313177607219</v>
          </cell>
          <cell r="E104"/>
          <cell r="F104">
            <v>32413.313177607219</v>
          </cell>
          <cell r="G104">
            <v>24354.781098713614</v>
          </cell>
          <cell r="H104">
            <v>8058.5320788936033</v>
          </cell>
          <cell r="I104">
            <v>1113320.3359215597</v>
          </cell>
        </row>
        <row r="105">
          <cell r="A105">
            <v>81</v>
          </cell>
          <cell r="B105">
            <v>47442</v>
          </cell>
          <cell r="C105">
            <v>1113320.3359215597</v>
          </cell>
          <cell r="D105">
            <v>32413.313177607219</v>
          </cell>
          <cell r="E105"/>
          <cell r="F105">
            <v>32413.313177607219</v>
          </cell>
          <cell r="G105">
            <v>24527.294131496172</v>
          </cell>
          <cell r="H105">
            <v>7886.0190461110478</v>
          </cell>
          <cell r="I105">
            <v>1088793.0417900635</v>
          </cell>
        </row>
        <row r="106">
          <cell r="A106">
            <v>82</v>
          </cell>
          <cell r="B106">
            <v>47472</v>
          </cell>
          <cell r="C106">
            <v>1088793.0417900635</v>
          </cell>
          <cell r="D106">
            <v>32413.313177607219</v>
          </cell>
          <cell r="E106"/>
          <cell r="F106">
            <v>32413.313177607219</v>
          </cell>
          <cell r="G106">
            <v>24701.029131594267</v>
          </cell>
          <cell r="H106">
            <v>7712.284046012951</v>
          </cell>
          <cell r="I106">
            <v>1064092.0126584691</v>
          </cell>
        </row>
        <row r="107">
          <cell r="A107">
            <v>83</v>
          </cell>
          <cell r="B107">
            <v>47503</v>
          </cell>
          <cell r="C107">
            <v>1064092.0126584691</v>
          </cell>
          <cell r="D107">
            <v>32413.313177607219</v>
          </cell>
          <cell r="E107"/>
          <cell r="F107">
            <v>32413.313177607219</v>
          </cell>
          <cell r="G107">
            <v>24875.994754609728</v>
          </cell>
          <cell r="H107">
            <v>7537.3184229974904</v>
          </cell>
          <cell r="I107">
            <v>1039216.0179038594</v>
          </cell>
        </row>
        <row r="108">
          <cell r="A108">
            <v>84</v>
          </cell>
          <cell r="B108">
            <v>47534</v>
          </cell>
          <cell r="C108">
            <v>1039216.0179038594</v>
          </cell>
          <cell r="D108">
            <v>32413.313177607219</v>
          </cell>
          <cell r="E108"/>
          <cell r="F108">
            <v>32413.313177607219</v>
          </cell>
          <cell r="G108">
            <v>25052.199717454881</v>
          </cell>
          <cell r="H108">
            <v>7361.1134601523372</v>
          </cell>
          <cell r="I108">
            <v>1014163.8181864045</v>
          </cell>
        </row>
        <row r="109">
          <cell r="A109">
            <v>85</v>
          </cell>
          <cell r="B109">
            <v>47562</v>
          </cell>
          <cell r="C109">
            <v>1014163.8181864045</v>
          </cell>
          <cell r="D109">
            <v>32413.313177607219</v>
          </cell>
          <cell r="E109"/>
          <cell r="F109">
            <v>32413.313177607219</v>
          </cell>
          <cell r="G109">
            <v>25229.652798786854</v>
          </cell>
          <cell r="H109">
            <v>7183.6603788203656</v>
          </cell>
          <cell r="I109">
            <v>988934.16538761766</v>
          </cell>
        </row>
        <row r="110">
          <cell r="A110">
            <v>86</v>
          </cell>
          <cell r="B110">
            <v>47593</v>
          </cell>
          <cell r="C110">
            <v>988934.16538761766</v>
          </cell>
          <cell r="D110">
            <v>32413.313177607219</v>
          </cell>
          <cell r="E110"/>
          <cell r="F110">
            <v>32413.313177607219</v>
          </cell>
          <cell r="G110">
            <v>25408.362839444926</v>
          </cell>
          <cell r="H110">
            <v>7004.9503381622926</v>
          </cell>
          <cell r="I110">
            <v>963525.80254817277</v>
          </cell>
        </row>
        <row r="111">
          <cell r="A111">
            <v>87</v>
          </cell>
          <cell r="B111">
            <v>47623</v>
          </cell>
          <cell r="C111">
            <v>963525.80254817277</v>
          </cell>
          <cell r="D111">
            <v>32413.313177607219</v>
          </cell>
          <cell r="E111"/>
          <cell r="F111">
            <v>32413.313177607219</v>
          </cell>
          <cell r="G111">
            <v>25588.338742890995</v>
          </cell>
          <cell r="H111">
            <v>6824.9744347162241</v>
          </cell>
          <cell r="I111">
            <v>937937.46380528179</v>
          </cell>
        </row>
        <row r="112">
          <cell r="A112">
            <v>88</v>
          </cell>
          <cell r="B112">
            <v>47654</v>
          </cell>
          <cell r="C112">
            <v>937937.46380528179</v>
          </cell>
          <cell r="D112">
            <v>32413.313177607219</v>
          </cell>
          <cell r="E112"/>
          <cell r="F112">
            <v>32413.313177607219</v>
          </cell>
          <cell r="G112">
            <v>25769.589475653138</v>
          </cell>
          <cell r="H112">
            <v>6643.7237019540798</v>
          </cell>
          <cell r="I112">
            <v>912167.87432962866</v>
          </cell>
        </row>
        <row r="113">
          <cell r="A113">
            <v>89</v>
          </cell>
          <cell r="B113">
            <v>47684</v>
          </cell>
          <cell r="C113">
            <v>912167.87432962866</v>
          </cell>
          <cell r="D113">
            <v>32413.313177607219</v>
          </cell>
          <cell r="E113"/>
          <cell r="F113">
            <v>32413.313177607219</v>
          </cell>
          <cell r="G113">
            <v>25952.124067772347</v>
          </cell>
          <cell r="H113">
            <v>6461.1891098348706</v>
          </cell>
          <cell r="I113">
            <v>886215.75026185636</v>
          </cell>
        </row>
        <row r="114">
          <cell r="A114">
            <v>90</v>
          </cell>
          <cell r="B114">
            <v>47715</v>
          </cell>
          <cell r="C114">
            <v>886215.75026185636</v>
          </cell>
          <cell r="D114">
            <v>32413.313177607219</v>
          </cell>
          <cell r="E114"/>
          <cell r="F114">
            <v>32413.313177607219</v>
          </cell>
          <cell r="G114">
            <v>26135.951613252404</v>
          </cell>
          <cell r="H114">
            <v>6277.3615643548155</v>
          </cell>
          <cell r="I114">
            <v>860079.79864860396</v>
          </cell>
        </row>
        <row r="115">
          <cell r="A115">
            <v>91</v>
          </cell>
          <cell r="B115">
            <v>47746</v>
          </cell>
          <cell r="C115">
            <v>860079.79864860396</v>
          </cell>
          <cell r="D115">
            <v>32413.313177607219</v>
          </cell>
          <cell r="E115"/>
          <cell r="F115">
            <v>32413.313177607219</v>
          </cell>
          <cell r="G115">
            <v>26321.081270512939</v>
          </cell>
          <cell r="H115">
            <v>6092.2319070942785</v>
          </cell>
          <cell r="I115">
            <v>833758.71737809107</v>
          </cell>
        </row>
        <row r="116">
          <cell r="A116">
            <v>92</v>
          </cell>
          <cell r="B116">
            <v>47776</v>
          </cell>
          <cell r="C116">
            <v>833758.71737809107</v>
          </cell>
          <cell r="D116">
            <v>32413.313177607219</v>
          </cell>
          <cell r="E116"/>
          <cell r="F116">
            <v>32413.313177607219</v>
          </cell>
          <cell r="G116">
            <v>26507.522262845741</v>
          </cell>
          <cell r="H116">
            <v>5905.7909147614782</v>
          </cell>
          <cell r="I116">
            <v>807251.1951152453</v>
          </cell>
        </row>
        <row r="117">
          <cell r="A117">
            <v>93</v>
          </cell>
          <cell r="B117">
            <v>47807</v>
          </cell>
          <cell r="C117">
            <v>807251.1951152453</v>
          </cell>
          <cell r="D117">
            <v>32413.313177607219</v>
          </cell>
          <cell r="E117"/>
          <cell r="F117">
            <v>32413.313177607219</v>
          </cell>
          <cell r="G117">
            <v>26695.28387887423</v>
          </cell>
          <cell r="H117">
            <v>5718.0292987329876</v>
          </cell>
          <cell r="I117">
            <v>780555.91123637103</v>
          </cell>
        </row>
        <row r="118">
          <cell r="A118">
            <v>94</v>
          </cell>
          <cell r="B118">
            <v>47837</v>
          </cell>
          <cell r="C118">
            <v>780555.91123637103</v>
          </cell>
          <cell r="D118">
            <v>32413.313177607219</v>
          </cell>
          <cell r="E118"/>
          <cell r="F118">
            <v>32413.313177607219</v>
          </cell>
          <cell r="G118">
            <v>26884.375473016258</v>
          </cell>
          <cell r="H118">
            <v>5528.9377045909614</v>
          </cell>
          <cell r="I118">
            <v>753671.53576335474</v>
          </cell>
        </row>
        <row r="119">
          <cell r="A119">
            <v>95</v>
          </cell>
          <cell r="B119">
            <v>47868</v>
          </cell>
          <cell r="C119">
            <v>753671.53576335474</v>
          </cell>
          <cell r="D119">
            <v>32413.313177607219</v>
          </cell>
          <cell r="E119"/>
          <cell r="F119">
            <v>32413.313177607219</v>
          </cell>
          <cell r="G119">
            <v>27074.806465950121</v>
          </cell>
          <cell r="H119">
            <v>5338.5067116570963</v>
          </cell>
          <cell r="I119">
            <v>726596.72929740464</v>
          </cell>
        </row>
        <row r="120">
          <cell r="A120">
            <v>96</v>
          </cell>
          <cell r="B120">
            <v>47899</v>
          </cell>
          <cell r="C120">
            <v>726596.72929740464</v>
          </cell>
          <cell r="D120">
            <v>32413.313177607219</v>
          </cell>
          <cell r="E120"/>
          <cell r="F120">
            <v>32413.313177607219</v>
          </cell>
          <cell r="G120">
            <v>27266.586345083935</v>
          </cell>
          <cell r="H120">
            <v>5146.7268325232835</v>
          </cell>
          <cell r="I120">
            <v>699330.14295232075</v>
          </cell>
        </row>
        <row r="121">
          <cell r="A121">
            <v>97</v>
          </cell>
          <cell r="B121">
            <v>47927</v>
          </cell>
          <cell r="C121">
            <v>699330.14295232075</v>
          </cell>
          <cell r="D121">
            <v>32413.313177607219</v>
          </cell>
          <cell r="E121"/>
          <cell r="F121">
            <v>32413.313177607219</v>
          </cell>
          <cell r="G121">
            <v>27459.72466502828</v>
          </cell>
          <cell r="H121">
            <v>4953.5885125789391</v>
          </cell>
          <cell r="I121">
            <v>671870.41828729247</v>
          </cell>
        </row>
        <row r="122">
          <cell r="A122">
            <v>98</v>
          </cell>
          <cell r="B122">
            <v>47958</v>
          </cell>
          <cell r="C122">
            <v>671870.41828729247</v>
          </cell>
          <cell r="D122">
            <v>32413.313177607219</v>
          </cell>
          <cell r="E122"/>
          <cell r="F122">
            <v>32413.313177607219</v>
          </cell>
          <cell r="G122">
            <v>27654.23104807223</v>
          </cell>
          <cell r="H122">
            <v>4759.0821295349888</v>
          </cell>
          <cell r="I122">
            <v>644216.18723922025</v>
          </cell>
        </row>
        <row r="123">
          <cell r="A123">
            <v>99</v>
          </cell>
          <cell r="B123">
            <v>47988</v>
          </cell>
          <cell r="C123">
            <v>644216.18723922025</v>
          </cell>
          <cell r="D123">
            <v>32413.313177607219</v>
          </cell>
          <cell r="E123"/>
          <cell r="F123">
            <v>32413.313177607219</v>
          </cell>
          <cell r="G123">
            <v>27850.11518466274</v>
          </cell>
          <cell r="H123">
            <v>4563.1979929444769</v>
          </cell>
          <cell r="I123">
            <v>616366.0720545575</v>
          </cell>
        </row>
        <row r="124">
          <cell r="A124">
            <v>100</v>
          </cell>
          <cell r="B124">
            <v>48019</v>
          </cell>
          <cell r="C124">
            <v>616366.0720545575</v>
          </cell>
          <cell r="D124">
            <v>32413.313177607219</v>
          </cell>
          <cell r="E124"/>
          <cell r="F124">
            <v>32413.313177607219</v>
          </cell>
          <cell r="G124">
            <v>28047.386833887438</v>
          </cell>
          <cell r="H124">
            <v>4365.9263437197824</v>
          </cell>
          <cell r="I124">
            <v>588318.68522067007</v>
          </cell>
        </row>
        <row r="125">
          <cell r="A125">
            <v>101</v>
          </cell>
          <cell r="B125">
            <v>48049</v>
          </cell>
          <cell r="C125">
            <v>588318.68522067007</v>
          </cell>
          <cell r="D125">
            <v>32413.313177607219</v>
          </cell>
          <cell r="E125"/>
          <cell r="F125">
            <v>32413.313177607219</v>
          </cell>
          <cell r="G125">
            <v>28246.055823960807</v>
          </cell>
          <cell r="H125">
            <v>4167.2573536464133</v>
          </cell>
          <cell r="I125">
            <v>560072.62939670926</v>
          </cell>
        </row>
        <row r="126">
          <cell r="A126">
            <v>102</v>
          </cell>
          <cell r="B126">
            <v>48080</v>
          </cell>
          <cell r="C126">
            <v>560072.62939670926</v>
          </cell>
          <cell r="D126">
            <v>32413.313177607219</v>
          </cell>
          <cell r="E126"/>
          <cell r="F126">
            <v>32413.313177607219</v>
          </cell>
          <cell r="G126">
            <v>28446.13205271386</v>
          </cell>
          <cell r="H126">
            <v>3967.1811248933577</v>
          </cell>
          <cell r="I126">
            <v>531626.49734399538</v>
          </cell>
        </row>
        <row r="127">
          <cell r="A127">
            <v>103</v>
          </cell>
          <cell r="B127">
            <v>48111</v>
          </cell>
          <cell r="C127">
            <v>531626.49734399538</v>
          </cell>
          <cell r="D127">
            <v>32413.313177607219</v>
          </cell>
          <cell r="E127"/>
          <cell r="F127">
            <v>32413.313177607219</v>
          </cell>
          <cell r="G127">
            <v>28647.625488087251</v>
          </cell>
          <cell r="H127">
            <v>3765.6876895199675</v>
          </cell>
          <cell r="I127">
            <v>502978.87185590813</v>
          </cell>
        </row>
        <row r="128">
          <cell r="A128">
            <v>104</v>
          </cell>
          <cell r="B128">
            <v>48141</v>
          </cell>
          <cell r="C128">
            <v>502978.87185590813</v>
          </cell>
          <cell r="D128">
            <v>32413.313177607219</v>
          </cell>
          <cell r="E128"/>
          <cell r="F128">
            <v>32413.313177607219</v>
          </cell>
          <cell r="G128">
            <v>28850.546168627869</v>
          </cell>
          <cell r="H128">
            <v>3562.7670089793496</v>
          </cell>
          <cell r="I128">
            <v>474128.32568728027</v>
          </cell>
        </row>
        <row r="129">
          <cell r="A129">
            <v>105</v>
          </cell>
          <cell r="B129">
            <v>48172</v>
          </cell>
          <cell r="C129">
            <v>474128.32568728027</v>
          </cell>
          <cell r="D129">
            <v>32413.313177607219</v>
          </cell>
          <cell r="E129"/>
          <cell r="F129">
            <v>32413.313177607219</v>
          </cell>
          <cell r="G129">
            <v>29054.904203988983</v>
          </cell>
          <cell r="H129">
            <v>3358.4089736182354</v>
          </cell>
          <cell r="I129">
            <v>445073.42148329131</v>
          </cell>
        </row>
        <row r="130">
          <cell r="A130">
            <v>106</v>
          </cell>
          <cell r="B130">
            <v>48202</v>
          </cell>
          <cell r="C130">
            <v>445073.42148329131</v>
          </cell>
          <cell r="D130">
            <v>32413.313177607219</v>
          </cell>
          <cell r="E130"/>
          <cell r="F130">
            <v>32413.313177607219</v>
          </cell>
          <cell r="G130">
            <v>29260.709775433905</v>
          </cell>
          <cell r="H130">
            <v>3152.603402173314</v>
          </cell>
          <cell r="I130">
            <v>415812.71170785744</v>
          </cell>
        </row>
        <row r="131">
          <cell r="A131">
            <v>107</v>
          </cell>
          <cell r="B131">
            <v>48233</v>
          </cell>
          <cell r="C131">
            <v>415812.71170785744</v>
          </cell>
          <cell r="D131">
            <v>32413.313177607219</v>
          </cell>
          <cell r="E131"/>
          <cell r="F131">
            <v>32413.313177607219</v>
          </cell>
          <cell r="G131">
            <v>29467.973136343229</v>
          </cell>
          <cell r="H131">
            <v>2945.3400412639908</v>
          </cell>
          <cell r="I131">
            <v>386344.7385715142</v>
          </cell>
        </row>
        <row r="132">
          <cell r="A132">
            <v>108</v>
          </cell>
          <cell r="B132">
            <v>48264</v>
          </cell>
          <cell r="C132">
            <v>386344.7385715142</v>
          </cell>
          <cell r="D132">
            <v>32413.313177607219</v>
          </cell>
          <cell r="E132"/>
          <cell r="F132">
            <v>32413.313177607219</v>
          </cell>
          <cell r="G132">
            <v>29676.704612725658</v>
          </cell>
          <cell r="H132">
            <v>2736.6085648815592</v>
          </cell>
          <cell r="I132">
            <v>356668.03395878855</v>
          </cell>
        </row>
        <row r="133">
          <cell r="A133">
            <v>109</v>
          </cell>
          <cell r="B133">
            <v>48293</v>
          </cell>
          <cell r="C133">
            <v>356668.03395878855</v>
          </cell>
          <cell r="D133">
            <v>32413.313177607219</v>
          </cell>
          <cell r="E133"/>
          <cell r="F133">
            <v>32413.313177607219</v>
          </cell>
          <cell r="G133">
            <v>29886.914603732468</v>
          </cell>
          <cell r="H133">
            <v>2526.3985738747524</v>
          </cell>
          <cell r="I133">
            <v>326781.11935505609</v>
          </cell>
        </row>
        <row r="134">
          <cell r="A134">
            <v>110</v>
          </cell>
          <cell r="B134">
            <v>48324</v>
          </cell>
          <cell r="C134">
            <v>326781.11935505609</v>
          </cell>
          <cell r="D134">
            <v>32413.313177607219</v>
          </cell>
          <cell r="E134"/>
          <cell r="F134">
            <v>32413.313177607219</v>
          </cell>
          <cell r="G134">
            <v>30098.613582175571</v>
          </cell>
          <cell r="H134">
            <v>2314.6995954316476</v>
          </cell>
          <cell r="I134">
            <v>296682.50577288051</v>
          </cell>
        </row>
        <row r="135">
          <cell r="A135">
            <v>111</v>
          </cell>
          <cell r="B135">
            <v>48354</v>
          </cell>
          <cell r="C135">
            <v>296682.50577288051</v>
          </cell>
          <cell r="D135">
            <v>32413.313177607219</v>
          </cell>
          <cell r="E135"/>
          <cell r="F135">
            <v>32413.313177607219</v>
          </cell>
          <cell r="G135">
            <v>30311.812095049314</v>
          </cell>
          <cell r="H135">
            <v>2101.5010825579038</v>
          </cell>
          <cell r="I135">
            <v>266370.69367783121</v>
          </cell>
        </row>
        <row r="136">
          <cell r="A136">
            <v>112</v>
          </cell>
          <cell r="B136">
            <v>48385</v>
          </cell>
          <cell r="C136">
            <v>266370.69367783121</v>
          </cell>
          <cell r="D136">
            <v>32413.313177607219</v>
          </cell>
          <cell r="E136"/>
          <cell r="F136">
            <v>32413.313177607219</v>
          </cell>
          <cell r="G136">
            <v>30526.520764055913</v>
          </cell>
          <cell r="H136">
            <v>1886.7924135513047</v>
          </cell>
          <cell r="I136">
            <v>235844.17291377528</v>
          </cell>
        </row>
        <row r="137">
          <cell r="A137">
            <v>113</v>
          </cell>
          <cell r="B137">
            <v>48415</v>
          </cell>
          <cell r="C137">
            <v>235844.17291377528</v>
          </cell>
          <cell r="D137">
            <v>32413.313177607219</v>
          </cell>
          <cell r="E137"/>
          <cell r="F137">
            <v>32413.313177607219</v>
          </cell>
          <cell r="G137">
            <v>30742.750286134644</v>
          </cell>
          <cell r="H137">
            <v>1670.5628914725751</v>
          </cell>
          <cell r="I137">
            <v>205101.42262764066</v>
          </cell>
        </row>
        <row r="138">
          <cell r="A138">
            <v>114</v>
          </cell>
          <cell r="B138">
            <v>48446</v>
          </cell>
          <cell r="C138">
            <v>205101.42262764066</v>
          </cell>
          <cell r="D138">
            <v>32413.313177607219</v>
          </cell>
          <cell r="E138"/>
          <cell r="F138">
            <v>32413.313177607219</v>
          </cell>
          <cell r="G138">
            <v>30960.511433994765</v>
          </cell>
          <cell r="H138">
            <v>1452.8017436124546</v>
          </cell>
          <cell r="I138">
            <v>174140.91119364588</v>
          </cell>
        </row>
        <row r="139">
          <cell r="A139">
            <v>115</v>
          </cell>
          <cell r="B139">
            <v>48477</v>
          </cell>
          <cell r="C139">
            <v>174140.91119364588</v>
          </cell>
          <cell r="D139">
            <v>32413.313177607219</v>
          </cell>
          <cell r="E139"/>
          <cell r="F139">
            <v>32413.313177607219</v>
          </cell>
          <cell r="G139">
            <v>31179.815056652227</v>
          </cell>
          <cell r="H139">
            <v>1233.4981209549917</v>
          </cell>
          <cell r="I139">
            <v>142961.09613699364</v>
          </cell>
        </row>
        <row r="140">
          <cell r="A140">
            <v>116</v>
          </cell>
          <cell r="B140">
            <v>48507</v>
          </cell>
          <cell r="C140">
            <v>142961.09613699364</v>
          </cell>
          <cell r="D140">
            <v>32413.313177607219</v>
          </cell>
          <cell r="E140"/>
          <cell r="F140">
            <v>32413.313177607219</v>
          </cell>
          <cell r="G140">
            <v>31400.67207997018</v>
          </cell>
          <cell r="H140">
            <v>1012.6410976370383</v>
          </cell>
          <cell r="I140">
            <v>111560.42405702345</v>
          </cell>
        </row>
        <row r="141">
          <cell r="A141">
            <v>117</v>
          </cell>
          <cell r="B141">
            <v>48538</v>
          </cell>
          <cell r="C141">
            <v>111560.42405702345</v>
          </cell>
          <cell r="D141">
            <v>32413.313177607219</v>
          </cell>
          <cell r="E141"/>
          <cell r="F141">
            <v>32413.313177607219</v>
          </cell>
          <cell r="G141">
            <v>31623.093507203303</v>
          </cell>
          <cell r="H141">
            <v>790.21967040391621</v>
          </cell>
          <cell r="I141">
            <v>79937.330549820152</v>
          </cell>
        </row>
        <row r="142">
          <cell r="A142">
            <v>118</v>
          </cell>
          <cell r="B142">
            <v>48568</v>
          </cell>
          <cell r="C142">
            <v>79937.330549820152</v>
          </cell>
          <cell r="D142">
            <v>32413.313177607219</v>
          </cell>
          <cell r="E142"/>
          <cell r="F142">
            <v>32413.313177607219</v>
          </cell>
          <cell r="G142">
            <v>31847.090419545992</v>
          </cell>
          <cell r="H142">
            <v>566.22275806122605</v>
          </cell>
          <cell r="I142">
            <v>48090.240130274164</v>
          </cell>
        </row>
        <row r="143">
          <cell r="A143">
            <v>119</v>
          </cell>
          <cell r="B143">
            <v>48599</v>
          </cell>
          <cell r="C143">
            <v>48090.240130274164</v>
          </cell>
          <cell r="D143">
            <v>32413.313177607219</v>
          </cell>
          <cell r="E143"/>
          <cell r="F143">
            <v>32413.313177607219</v>
          </cell>
          <cell r="G143">
            <v>32072.673976684444</v>
          </cell>
          <cell r="H143">
            <v>340.63920092277539</v>
          </cell>
          <cell r="I143">
            <v>16017.56615358972</v>
          </cell>
        </row>
        <row r="144">
          <cell r="A144">
            <v>120</v>
          </cell>
          <cell r="B144">
            <v>48630</v>
          </cell>
          <cell r="C144">
            <v>16017.56615358972</v>
          </cell>
          <cell r="D144">
            <v>32413.313177607219</v>
          </cell>
          <cell r="E144"/>
          <cell r="F144">
            <v>16017.56615358972</v>
          </cell>
          <cell r="G144">
            <v>15904.108393335126</v>
          </cell>
          <cell r="H144">
            <v>113.45776025459385</v>
          </cell>
          <cell r="I144">
            <v>0</v>
          </cell>
        </row>
        <row r="145">
          <cell r="A145">
            <v>121</v>
          </cell>
          <cell r="B145">
            <v>42032</v>
          </cell>
          <cell r="C145">
            <v>0</v>
          </cell>
          <cell r="D145">
            <v>32413.313177607219</v>
          </cell>
          <cell r="E145"/>
          <cell r="F145">
            <v>0</v>
          </cell>
          <cell r="G145">
            <v>0</v>
          </cell>
          <cell r="H145">
            <v>0</v>
          </cell>
          <cell r="I145">
            <v>0</v>
          </cell>
        </row>
        <row r="146">
          <cell r="A146">
            <v>122</v>
          </cell>
          <cell r="B146">
            <v>48719</v>
          </cell>
          <cell r="C146">
            <v>0</v>
          </cell>
          <cell r="D146">
            <v>32413.313177607219</v>
          </cell>
          <cell r="E146">
            <v>0</v>
          </cell>
          <cell r="F146">
            <v>0</v>
          </cell>
          <cell r="G146">
            <v>0</v>
          </cell>
          <cell r="H146">
            <v>0</v>
          </cell>
          <cell r="I146">
            <v>0</v>
          </cell>
        </row>
        <row r="147">
          <cell r="A147">
            <v>123</v>
          </cell>
          <cell r="B147">
            <v>48750</v>
          </cell>
          <cell r="C147">
            <v>0</v>
          </cell>
          <cell r="D147">
            <v>32413.313177607219</v>
          </cell>
          <cell r="E147">
            <v>0</v>
          </cell>
          <cell r="F147">
            <v>0</v>
          </cell>
          <cell r="G147">
            <v>0</v>
          </cell>
          <cell r="H147">
            <v>0</v>
          </cell>
          <cell r="I147">
            <v>0</v>
          </cell>
        </row>
        <row r="148">
          <cell r="A148">
            <v>124</v>
          </cell>
          <cell r="B148">
            <v>48780</v>
          </cell>
          <cell r="C148">
            <v>0</v>
          </cell>
          <cell r="D148">
            <v>32413.313177607219</v>
          </cell>
          <cell r="E148">
            <v>0</v>
          </cell>
          <cell r="F148">
            <v>0</v>
          </cell>
          <cell r="G148">
            <v>0</v>
          </cell>
          <cell r="H148">
            <v>0</v>
          </cell>
          <cell r="I148">
            <v>0</v>
          </cell>
        </row>
        <row r="149">
          <cell r="A149">
            <v>125</v>
          </cell>
          <cell r="B149">
            <v>48811</v>
          </cell>
          <cell r="C149">
            <v>0</v>
          </cell>
          <cell r="D149">
            <v>32413.313177607219</v>
          </cell>
          <cell r="E149">
            <v>0</v>
          </cell>
          <cell r="F149">
            <v>0</v>
          </cell>
          <cell r="G149">
            <v>0</v>
          </cell>
          <cell r="H149">
            <v>0</v>
          </cell>
          <cell r="I149">
            <v>0</v>
          </cell>
        </row>
        <row r="150">
          <cell r="A150">
            <v>126</v>
          </cell>
          <cell r="B150">
            <v>48842</v>
          </cell>
          <cell r="C150">
            <v>0</v>
          </cell>
          <cell r="D150">
            <v>32413.313177607219</v>
          </cell>
          <cell r="E150">
            <v>0</v>
          </cell>
          <cell r="F150">
            <v>0</v>
          </cell>
          <cell r="G150">
            <v>0</v>
          </cell>
          <cell r="H150">
            <v>0</v>
          </cell>
          <cell r="I150">
            <v>0</v>
          </cell>
        </row>
        <row r="151">
          <cell r="A151">
            <v>127</v>
          </cell>
          <cell r="B151">
            <v>48872</v>
          </cell>
          <cell r="C151">
            <v>0</v>
          </cell>
          <cell r="D151">
            <v>32413.313177607219</v>
          </cell>
          <cell r="E151">
            <v>0</v>
          </cell>
          <cell r="F151">
            <v>0</v>
          </cell>
          <cell r="G151">
            <v>0</v>
          </cell>
          <cell r="H151">
            <v>0</v>
          </cell>
          <cell r="I151">
            <v>0</v>
          </cell>
        </row>
        <row r="152">
          <cell r="A152">
            <v>128</v>
          </cell>
          <cell r="B152">
            <v>48903</v>
          </cell>
          <cell r="C152">
            <v>0</v>
          </cell>
          <cell r="D152">
            <v>32413.313177607219</v>
          </cell>
          <cell r="E152">
            <v>0</v>
          </cell>
          <cell r="F152">
            <v>0</v>
          </cell>
          <cell r="G152">
            <v>0</v>
          </cell>
          <cell r="H152">
            <v>0</v>
          </cell>
          <cell r="I152">
            <v>0</v>
          </cell>
        </row>
        <row r="153">
          <cell r="A153">
            <v>129</v>
          </cell>
          <cell r="B153">
            <v>48933</v>
          </cell>
          <cell r="C153">
            <v>0</v>
          </cell>
          <cell r="D153">
            <v>32413.313177607219</v>
          </cell>
          <cell r="E153">
            <v>0</v>
          </cell>
          <cell r="F153">
            <v>0</v>
          </cell>
          <cell r="G153">
            <v>0</v>
          </cell>
          <cell r="H153">
            <v>0</v>
          </cell>
          <cell r="I153">
            <v>0</v>
          </cell>
        </row>
        <row r="154">
          <cell r="A154">
            <v>130</v>
          </cell>
          <cell r="B154">
            <v>48964</v>
          </cell>
          <cell r="C154">
            <v>0</v>
          </cell>
          <cell r="D154">
            <v>32413.313177607219</v>
          </cell>
          <cell r="E154">
            <v>0</v>
          </cell>
          <cell r="F154">
            <v>0</v>
          </cell>
          <cell r="G154">
            <v>0</v>
          </cell>
          <cell r="H154">
            <v>0</v>
          </cell>
          <cell r="I154">
            <v>0</v>
          </cell>
        </row>
        <row r="155">
          <cell r="A155">
            <v>131</v>
          </cell>
          <cell r="B155">
            <v>48995</v>
          </cell>
          <cell r="C155">
            <v>0</v>
          </cell>
          <cell r="D155">
            <v>32413.313177607219</v>
          </cell>
          <cell r="E155">
            <v>0</v>
          </cell>
          <cell r="F155">
            <v>0</v>
          </cell>
          <cell r="G155">
            <v>0</v>
          </cell>
          <cell r="H155">
            <v>0</v>
          </cell>
          <cell r="I155">
            <v>0</v>
          </cell>
        </row>
        <row r="156">
          <cell r="A156">
            <v>132</v>
          </cell>
          <cell r="B156">
            <v>49023</v>
          </cell>
          <cell r="C156">
            <v>0</v>
          </cell>
          <cell r="D156">
            <v>32413.313177607219</v>
          </cell>
          <cell r="E156">
            <v>0</v>
          </cell>
          <cell r="F156">
            <v>0</v>
          </cell>
          <cell r="G156">
            <v>0</v>
          </cell>
          <cell r="H156">
            <v>0</v>
          </cell>
          <cell r="I156">
            <v>0</v>
          </cell>
        </row>
        <row r="157">
          <cell r="A157">
            <v>133</v>
          </cell>
          <cell r="B157">
            <v>49054</v>
          </cell>
          <cell r="C157">
            <v>0</v>
          </cell>
          <cell r="D157">
            <v>32413.313177607219</v>
          </cell>
          <cell r="E157">
            <v>0</v>
          </cell>
          <cell r="F157">
            <v>0</v>
          </cell>
          <cell r="G157">
            <v>0</v>
          </cell>
          <cell r="H157">
            <v>0</v>
          </cell>
          <cell r="I157">
            <v>0</v>
          </cell>
        </row>
        <row r="158">
          <cell r="A158">
            <v>134</v>
          </cell>
          <cell r="B158">
            <v>49084</v>
          </cell>
          <cell r="C158">
            <v>0</v>
          </cell>
          <cell r="D158">
            <v>32413.313177607219</v>
          </cell>
          <cell r="E158">
            <v>0</v>
          </cell>
          <cell r="F158">
            <v>0</v>
          </cell>
          <cell r="G158">
            <v>0</v>
          </cell>
          <cell r="H158">
            <v>0</v>
          </cell>
          <cell r="I158">
            <v>0</v>
          </cell>
        </row>
        <row r="159">
          <cell r="A159">
            <v>135</v>
          </cell>
          <cell r="B159">
            <v>49115</v>
          </cell>
          <cell r="C159">
            <v>0</v>
          </cell>
          <cell r="D159">
            <v>32413.313177607219</v>
          </cell>
          <cell r="E159">
            <v>0</v>
          </cell>
          <cell r="F159">
            <v>0</v>
          </cell>
          <cell r="G159">
            <v>0</v>
          </cell>
          <cell r="H159">
            <v>0</v>
          </cell>
          <cell r="I159">
            <v>0</v>
          </cell>
        </row>
        <row r="160">
          <cell r="A160">
            <v>136</v>
          </cell>
          <cell r="B160">
            <v>49145</v>
          </cell>
          <cell r="C160">
            <v>0</v>
          </cell>
          <cell r="D160">
            <v>32413.313177607219</v>
          </cell>
          <cell r="E160">
            <v>0</v>
          </cell>
          <cell r="F160">
            <v>0</v>
          </cell>
          <cell r="G160">
            <v>0</v>
          </cell>
          <cell r="H160">
            <v>0</v>
          </cell>
          <cell r="I160">
            <v>0</v>
          </cell>
        </row>
        <row r="161">
          <cell r="A161">
            <v>137</v>
          </cell>
          <cell r="B161">
            <v>49176</v>
          </cell>
          <cell r="C161">
            <v>0</v>
          </cell>
          <cell r="D161">
            <v>32413.313177607219</v>
          </cell>
          <cell r="E161">
            <v>0</v>
          </cell>
          <cell r="F161">
            <v>0</v>
          </cell>
          <cell r="G161">
            <v>0</v>
          </cell>
          <cell r="H161">
            <v>0</v>
          </cell>
          <cell r="I161">
            <v>0</v>
          </cell>
        </row>
        <row r="162">
          <cell r="A162">
            <v>138</v>
          </cell>
          <cell r="B162">
            <v>49207</v>
          </cell>
          <cell r="C162">
            <v>0</v>
          </cell>
          <cell r="D162">
            <v>32413.313177607219</v>
          </cell>
          <cell r="E162">
            <v>0</v>
          </cell>
          <cell r="F162">
            <v>0</v>
          </cell>
          <cell r="G162">
            <v>0</v>
          </cell>
          <cell r="H162">
            <v>0</v>
          </cell>
          <cell r="I162">
            <v>0</v>
          </cell>
        </row>
        <row r="163">
          <cell r="A163">
            <v>139</v>
          </cell>
          <cell r="B163">
            <v>49237</v>
          </cell>
          <cell r="C163">
            <v>0</v>
          </cell>
          <cell r="D163">
            <v>32413.313177607219</v>
          </cell>
          <cell r="E163">
            <v>0</v>
          </cell>
          <cell r="F163">
            <v>0</v>
          </cell>
          <cell r="G163">
            <v>0</v>
          </cell>
          <cell r="H163">
            <v>0</v>
          </cell>
          <cell r="I163">
            <v>0</v>
          </cell>
        </row>
        <row r="164">
          <cell r="A164">
            <v>140</v>
          </cell>
          <cell r="B164">
            <v>49268</v>
          </cell>
          <cell r="C164">
            <v>0</v>
          </cell>
          <cell r="D164">
            <v>32413.313177607219</v>
          </cell>
          <cell r="E164">
            <v>0</v>
          </cell>
          <cell r="F164">
            <v>0</v>
          </cell>
          <cell r="G164">
            <v>0</v>
          </cell>
          <cell r="H164">
            <v>0</v>
          </cell>
          <cell r="I164">
            <v>0</v>
          </cell>
        </row>
        <row r="165">
          <cell r="A165">
            <v>141</v>
          </cell>
          <cell r="B165">
            <v>49298</v>
          </cell>
          <cell r="C165">
            <v>0</v>
          </cell>
          <cell r="D165">
            <v>32413.313177607219</v>
          </cell>
          <cell r="E165">
            <v>0</v>
          </cell>
          <cell r="F165">
            <v>0</v>
          </cell>
          <cell r="G165">
            <v>0</v>
          </cell>
          <cell r="H165">
            <v>0</v>
          </cell>
          <cell r="I165">
            <v>0</v>
          </cell>
        </row>
        <row r="166">
          <cell r="A166">
            <v>142</v>
          </cell>
          <cell r="B166">
            <v>49329</v>
          </cell>
          <cell r="C166">
            <v>0</v>
          </cell>
          <cell r="D166">
            <v>32413.313177607219</v>
          </cell>
          <cell r="E166">
            <v>0</v>
          </cell>
          <cell r="F166">
            <v>0</v>
          </cell>
          <cell r="G166">
            <v>0</v>
          </cell>
          <cell r="H166">
            <v>0</v>
          </cell>
          <cell r="I166">
            <v>0</v>
          </cell>
        </row>
        <row r="167">
          <cell r="A167">
            <v>143</v>
          </cell>
          <cell r="B167">
            <v>49360</v>
          </cell>
          <cell r="C167">
            <v>0</v>
          </cell>
          <cell r="D167">
            <v>32413.313177607219</v>
          </cell>
          <cell r="E167">
            <v>0</v>
          </cell>
          <cell r="F167">
            <v>0</v>
          </cell>
          <cell r="G167">
            <v>0</v>
          </cell>
          <cell r="H167">
            <v>0</v>
          </cell>
          <cell r="I167">
            <v>0</v>
          </cell>
        </row>
        <row r="168">
          <cell r="A168">
            <v>144</v>
          </cell>
          <cell r="B168">
            <v>49388</v>
          </cell>
          <cell r="C168">
            <v>0</v>
          </cell>
          <cell r="D168">
            <v>32413.313177607219</v>
          </cell>
          <cell r="E168">
            <v>0</v>
          </cell>
          <cell r="F168">
            <v>0</v>
          </cell>
          <cell r="G168">
            <v>0</v>
          </cell>
          <cell r="H168">
            <v>0</v>
          </cell>
          <cell r="I168">
            <v>0</v>
          </cell>
        </row>
        <row r="169">
          <cell r="A169">
            <v>145</v>
          </cell>
          <cell r="B169">
            <v>49419</v>
          </cell>
          <cell r="C169">
            <v>0</v>
          </cell>
          <cell r="D169">
            <v>32413.313177607219</v>
          </cell>
          <cell r="E169">
            <v>0</v>
          </cell>
          <cell r="F169">
            <v>0</v>
          </cell>
          <cell r="G169">
            <v>0</v>
          </cell>
          <cell r="H169">
            <v>0</v>
          </cell>
          <cell r="I169">
            <v>0</v>
          </cell>
        </row>
        <row r="170">
          <cell r="A170">
            <v>146</v>
          </cell>
          <cell r="B170">
            <v>49449</v>
          </cell>
          <cell r="C170">
            <v>0</v>
          </cell>
          <cell r="D170">
            <v>32413.313177607219</v>
          </cell>
          <cell r="E170">
            <v>0</v>
          </cell>
          <cell r="F170">
            <v>0</v>
          </cell>
          <cell r="G170">
            <v>0</v>
          </cell>
          <cell r="H170">
            <v>0</v>
          </cell>
          <cell r="I170">
            <v>0</v>
          </cell>
        </row>
        <row r="171">
          <cell r="A171">
            <v>147</v>
          </cell>
          <cell r="B171">
            <v>49480</v>
          </cell>
          <cell r="C171">
            <v>0</v>
          </cell>
          <cell r="D171">
            <v>32413.313177607219</v>
          </cell>
          <cell r="E171">
            <v>0</v>
          </cell>
          <cell r="F171">
            <v>0</v>
          </cell>
          <cell r="G171">
            <v>0</v>
          </cell>
          <cell r="H171">
            <v>0</v>
          </cell>
          <cell r="I171">
            <v>0</v>
          </cell>
        </row>
        <row r="172">
          <cell r="A172">
            <v>148</v>
          </cell>
          <cell r="B172">
            <v>49510</v>
          </cell>
          <cell r="C172">
            <v>0</v>
          </cell>
          <cell r="D172">
            <v>32413.313177607219</v>
          </cell>
          <cell r="E172">
            <v>0</v>
          </cell>
          <cell r="F172">
            <v>0</v>
          </cell>
          <cell r="G172">
            <v>0</v>
          </cell>
          <cell r="H172">
            <v>0</v>
          </cell>
          <cell r="I172">
            <v>0</v>
          </cell>
        </row>
        <row r="173">
          <cell r="A173">
            <v>149</v>
          </cell>
          <cell r="B173">
            <v>49541</v>
          </cell>
          <cell r="C173">
            <v>0</v>
          </cell>
          <cell r="D173">
            <v>32413.313177607219</v>
          </cell>
          <cell r="E173">
            <v>0</v>
          </cell>
          <cell r="F173">
            <v>0</v>
          </cell>
          <cell r="G173">
            <v>0</v>
          </cell>
          <cell r="H173">
            <v>0</v>
          </cell>
          <cell r="I173">
            <v>0</v>
          </cell>
        </row>
        <row r="174">
          <cell r="A174">
            <v>150</v>
          </cell>
          <cell r="B174">
            <v>49572</v>
          </cell>
          <cell r="C174">
            <v>0</v>
          </cell>
          <cell r="D174">
            <v>32413.313177607219</v>
          </cell>
          <cell r="E174">
            <v>0</v>
          </cell>
          <cell r="F174">
            <v>0</v>
          </cell>
          <cell r="G174">
            <v>0</v>
          </cell>
          <cell r="H174">
            <v>0</v>
          </cell>
          <cell r="I174">
            <v>0</v>
          </cell>
        </row>
        <row r="175">
          <cell r="A175">
            <v>151</v>
          </cell>
          <cell r="B175">
            <v>49602</v>
          </cell>
          <cell r="C175">
            <v>0</v>
          </cell>
          <cell r="D175">
            <v>32413.313177607219</v>
          </cell>
          <cell r="E175">
            <v>0</v>
          </cell>
          <cell r="F175">
            <v>0</v>
          </cell>
          <cell r="G175">
            <v>0</v>
          </cell>
          <cell r="H175">
            <v>0</v>
          </cell>
          <cell r="I175">
            <v>0</v>
          </cell>
        </row>
        <row r="176">
          <cell r="A176">
            <v>152</v>
          </cell>
          <cell r="B176">
            <v>49633</v>
          </cell>
          <cell r="C176">
            <v>0</v>
          </cell>
          <cell r="D176">
            <v>32413.313177607219</v>
          </cell>
          <cell r="E176">
            <v>0</v>
          </cell>
          <cell r="F176">
            <v>0</v>
          </cell>
          <cell r="G176">
            <v>0</v>
          </cell>
          <cell r="H176">
            <v>0</v>
          </cell>
          <cell r="I176">
            <v>0</v>
          </cell>
        </row>
        <row r="177">
          <cell r="A177">
            <v>153</v>
          </cell>
          <cell r="B177">
            <v>49663</v>
          </cell>
          <cell r="C177">
            <v>0</v>
          </cell>
          <cell r="D177">
            <v>32413.313177607219</v>
          </cell>
          <cell r="E177">
            <v>0</v>
          </cell>
          <cell r="F177">
            <v>0</v>
          </cell>
          <cell r="G177">
            <v>0</v>
          </cell>
          <cell r="H177">
            <v>0</v>
          </cell>
          <cell r="I177">
            <v>0</v>
          </cell>
        </row>
        <row r="178">
          <cell r="A178">
            <v>154</v>
          </cell>
          <cell r="B178">
            <v>49694</v>
          </cell>
          <cell r="C178">
            <v>0</v>
          </cell>
          <cell r="D178">
            <v>32413.313177607219</v>
          </cell>
          <cell r="E178">
            <v>0</v>
          </cell>
          <cell r="F178">
            <v>0</v>
          </cell>
          <cell r="G178">
            <v>0</v>
          </cell>
          <cell r="H178">
            <v>0</v>
          </cell>
          <cell r="I178">
            <v>0</v>
          </cell>
        </row>
        <row r="179">
          <cell r="A179">
            <v>155</v>
          </cell>
          <cell r="B179">
            <v>49725</v>
          </cell>
          <cell r="C179">
            <v>0</v>
          </cell>
          <cell r="D179">
            <v>32413.313177607219</v>
          </cell>
          <cell r="E179">
            <v>0</v>
          </cell>
          <cell r="F179">
            <v>0</v>
          </cell>
          <cell r="G179">
            <v>0</v>
          </cell>
          <cell r="H179">
            <v>0</v>
          </cell>
          <cell r="I179">
            <v>0</v>
          </cell>
        </row>
        <row r="180">
          <cell r="A180">
            <v>156</v>
          </cell>
          <cell r="B180">
            <v>49754</v>
          </cell>
          <cell r="C180">
            <v>0</v>
          </cell>
          <cell r="D180">
            <v>32413.313177607219</v>
          </cell>
          <cell r="E180">
            <v>0</v>
          </cell>
          <cell r="F180">
            <v>0</v>
          </cell>
          <cell r="G180">
            <v>0</v>
          </cell>
          <cell r="H180">
            <v>0</v>
          </cell>
          <cell r="I180">
            <v>0</v>
          </cell>
        </row>
        <row r="181">
          <cell r="A181">
            <v>157</v>
          </cell>
          <cell r="B181">
            <v>49785</v>
          </cell>
          <cell r="C181">
            <v>0</v>
          </cell>
          <cell r="D181">
            <v>32413.313177607219</v>
          </cell>
          <cell r="E181">
            <v>0</v>
          </cell>
          <cell r="F181">
            <v>0</v>
          </cell>
          <cell r="G181">
            <v>0</v>
          </cell>
          <cell r="H181">
            <v>0</v>
          </cell>
          <cell r="I181">
            <v>0</v>
          </cell>
        </row>
        <row r="182">
          <cell r="A182">
            <v>158</v>
          </cell>
          <cell r="B182">
            <v>49815</v>
          </cell>
          <cell r="C182">
            <v>0</v>
          </cell>
          <cell r="D182">
            <v>32413.313177607219</v>
          </cell>
          <cell r="E182">
            <v>0</v>
          </cell>
          <cell r="F182">
            <v>0</v>
          </cell>
          <cell r="G182">
            <v>0</v>
          </cell>
          <cell r="H182">
            <v>0</v>
          </cell>
          <cell r="I182">
            <v>0</v>
          </cell>
        </row>
        <row r="183">
          <cell r="A183">
            <v>159</v>
          </cell>
          <cell r="B183">
            <v>49846</v>
          </cell>
          <cell r="C183">
            <v>0</v>
          </cell>
          <cell r="D183">
            <v>32413.313177607219</v>
          </cell>
          <cell r="E183">
            <v>0</v>
          </cell>
          <cell r="F183">
            <v>0</v>
          </cell>
          <cell r="G183">
            <v>0</v>
          </cell>
          <cell r="H183">
            <v>0</v>
          </cell>
          <cell r="I183">
            <v>0</v>
          </cell>
        </row>
        <row r="184">
          <cell r="A184">
            <v>160</v>
          </cell>
          <cell r="B184">
            <v>49876</v>
          </cell>
          <cell r="C184">
            <v>0</v>
          </cell>
          <cell r="D184">
            <v>32413.313177607219</v>
          </cell>
          <cell r="E184">
            <v>0</v>
          </cell>
          <cell r="F184">
            <v>0</v>
          </cell>
          <cell r="G184">
            <v>0</v>
          </cell>
          <cell r="H184">
            <v>0</v>
          </cell>
          <cell r="I184">
            <v>0</v>
          </cell>
        </row>
        <row r="185">
          <cell r="A185">
            <v>161</v>
          </cell>
          <cell r="B185">
            <v>49907</v>
          </cell>
          <cell r="C185">
            <v>0</v>
          </cell>
          <cell r="D185">
            <v>32413.313177607219</v>
          </cell>
          <cell r="E185">
            <v>0</v>
          </cell>
          <cell r="F185">
            <v>0</v>
          </cell>
          <cell r="G185">
            <v>0</v>
          </cell>
          <cell r="H185">
            <v>0</v>
          </cell>
          <cell r="I185">
            <v>0</v>
          </cell>
        </row>
        <row r="186">
          <cell r="A186">
            <v>162</v>
          </cell>
          <cell r="B186">
            <v>49938</v>
          </cell>
          <cell r="C186">
            <v>0</v>
          </cell>
          <cell r="D186">
            <v>32413.313177607219</v>
          </cell>
          <cell r="E186">
            <v>0</v>
          </cell>
          <cell r="F186">
            <v>0</v>
          </cell>
          <cell r="G186">
            <v>0</v>
          </cell>
          <cell r="H186">
            <v>0</v>
          </cell>
          <cell r="I186">
            <v>0</v>
          </cell>
        </row>
        <row r="187">
          <cell r="A187">
            <v>163</v>
          </cell>
          <cell r="B187">
            <v>49968</v>
          </cell>
          <cell r="C187">
            <v>0</v>
          </cell>
          <cell r="D187">
            <v>32413.313177607219</v>
          </cell>
          <cell r="E187">
            <v>0</v>
          </cell>
          <cell r="F187">
            <v>0</v>
          </cell>
          <cell r="G187">
            <v>0</v>
          </cell>
          <cell r="H187">
            <v>0</v>
          </cell>
          <cell r="I187">
            <v>0</v>
          </cell>
        </row>
        <row r="188">
          <cell r="A188">
            <v>164</v>
          </cell>
          <cell r="B188">
            <v>49999</v>
          </cell>
          <cell r="C188">
            <v>0</v>
          </cell>
          <cell r="D188">
            <v>32413.313177607219</v>
          </cell>
          <cell r="E188">
            <v>0</v>
          </cell>
          <cell r="F188">
            <v>0</v>
          </cell>
          <cell r="G188">
            <v>0</v>
          </cell>
          <cell r="H188">
            <v>0</v>
          </cell>
          <cell r="I188">
            <v>0</v>
          </cell>
        </row>
        <row r="189">
          <cell r="A189">
            <v>165</v>
          </cell>
          <cell r="B189">
            <v>50029</v>
          </cell>
          <cell r="C189">
            <v>0</v>
          </cell>
          <cell r="D189">
            <v>32413.313177607219</v>
          </cell>
          <cell r="E189">
            <v>0</v>
          </cell>
          <cell r="F189">
            <v>0</v>
          </cell>
          <cell r="G189">
            <v>0</v>
          </cell>
          <cell r="H189">
            <v>0</v>
          </cell>
          <cell r="I189">
            <v>0</v>
          </cell>
        </row>
        <row r="190">
          <cell r="A190">
            <v>166</v>
          </cell>
          <cell r="B190">
            <v>50060</v>
          </cell>
          <cell r="C190">
            <v>0</v>
          </cell>
          <cell r="D190">
            <v>32413.313177607219</v>
          </cell>
          <cell r="E190">
            <v>0</v>
          </cell>
          <cell r="F190">
            <v>0</v>
          </cell>
          <cell r="G190">
            <v>0</v>
          </cell>
          <cell r="H190">
            <v>0</v>
          </cell>
          <cell r="I190">
            <v>0</v>
          </cell>
        </row>
        <row r="191">
          <cell r="A191">
            <v>167</v>
          </cell>
          <cell r="B191">
            <v>50091</v>
          </cell>
          <cell r="C191">
            <v>0</v>
          </cell>
          <cell r="D191">
            <v>32413.313177607219</v>
          </cell>
          <cell r="E191">
            <v>0</v>
          </cell>
          <cell r="F191">
            <v>0</v>
          </cell>
          <cell r="G191">
            <v>0</v>
          </cell>
          <cell r="H191">
            <v>0</v>
          </cell>
          <cell r="I191">
            <v>0</v>
          </cell>
        </row>
        <row r="192">
          <cell r="A192">
            <v>168</v>
          </cell>
          <cell r="B192">
            <v>50119</v>
          </cell>
          <cell r="C192">
            <v>0</v>
          </cell>
          <cell r="D192">
            <v>32413.313177607219</v>
          </cell>
          <cell r="E192">
            <v>0</v>
          </cell>
          <cell r="F192">
            <v>0</v>
          </cell>
          <cell r="G192">
            <v>0</v>
          </cell>
          <cell r="H192">
            <v>0</v>
          </cell>
          <cell r="I192">
            <v>0</v>
          </cell>
        </row>
        <row r="193">
          <cell r="A193">
            <v>169</v>
          </cell>
          <cell r="B193">
            <v>50150</v>
          </cell>
          <cell r="C193">
            <v>0</v>
          </cell>
          <cell r="D193">
            <v>32413.313177607219</v>
          </cell>
          <cell r="E193">
            <v>0</v>
          </cell>
          <cell r="F193">
            <v>0</v>
          </cell>
          <cell r="G193">
            <v>0</v>
          </cell>
          <cell r="H193">
            <v>0</v>
          </cell>
          <cell r="I193">
            <v>0</v>
          </cell>
        </row>
        <row r="194">
          <cell r="A194">
            <v>170</v>
          </cell>
          <cell r="B194">
            <v>50180</v>
          </cell>
          <cell r="C194">
            <v>0</v>
          </cell>
          <cell r="D194">
            <v>32413.313177607219</v>
          </cell>
          <cell r="E194">
            <v>0</v>
          </cell>
          <cell r="F194">
            <v>0</v>
          </cell>
          <cell r="G194">
            <v>0</v>
          </cell>
          <cell r="H194">
            <v>0</v>
          </cell>
          <cell r="I194">
            <v>0</v>
          </cell>
        </row>
        <row r="195">
          <cell r="A195">
            <v>171</v>
          </cell>
          <cell r="B195">
            <v>50211</v>
          </cell>
          <cell r="C195">
            <v>0</v>
          </cell>
          <cell r="D195">
            <v>32413.313177607219</v>
          </cell>
          <cell r="E195">
            <v>0</v>
          </cell>
          <cell r="F195">
            <v>0</v>
          </cell>
          <cell r="G195">
            <v>0</v>
          </cell>
          <cell r="H195">
            <v>0</v>
          </cell>
          <cell r="I195">
            <v>0</v>
          </cell>
        </row>
        <row r="196">
          <cell r="A196">
            <v>172</v>
          </cell>
          <cell r="B196">
            <v>50241</v>
          </cell>
          <cell r="C196">
            <v>0</v>
          </cell>
          <cell r="D196">
            <v>32413.313177607219</v>
          </cell>
          <cell r="E196">
            <v>0</v>
          </cell>
          <cell r="F196">
            <v>0</v>
          </cell>
          <cell r="G196">
            <v>0</v>
          </cell>
          <cell r="H196">
            <v>0</v>
          </cell>
          <cell r="I196">
            <v>0</v>
          </cell>
        </row>
        <row r="197">
          <cell r="A197">
            <v>173</v>
          </cell>
          <cell r="B197">
            <v>50272</v>
          </cell>
          <cell r="C197">
            <v>0</v>
          </cell>
          <cell r="D197">
            <v>32413.313177607219</v>
          </cell>
          <cell r="E197">
            <v>0</v>
          </cell>
          <cell r="F197">
            <v>0</v>
          </cell>
          <cell r="G197">
            <v>0</v>
          </cell>
          <cell r="H197">
            <v>0</v>
          </cell>
          <cell r="I197">
            <v>0</v>
          </cell>
        </row>
        <row r="198">
          <cell r="A198">
            <v>174</v>
          </cell>
          <cell r="B198">
            <v>50303</v>
          </cell>
          <cell r="C198">
            <v>0</v>
          </cell>
          <cell r="D198">
            <v>32413.313177607219</v>
          </cell>
          <cell r="E198">
            <v>0</v>
          </cell>
          <cell r="F198">
            <v>0</v>
          </cell>
          <cell r="G198">
            <v>0</v>
          </cell>
          <cell r="H198">
            <v>0</v>
          </cell>
          <cell r="I198">
            <v>0</v>
          </cell>
        </row>
        <row r="199">
          <cell r="A199">
            <v>175</v>
          </cell>
          <cell r="B199">
            <v>50333</v>
          </cell>
          <cell r="C199">
            <v>0</v>
          </cell>
          <cell r="D199">
            <v>32413.313177607219</v>
          </cell>
          <cell r="E199">
            <v>0</v>
          </cell>
          <cell r="F199">
            <v>0</v>
          </cell>
          <cell r="G199">
            <v>0</v>
          </cell>
          <cell r="H199">
            <v>0</v>
          </cell>
          <cell r="I199">
            <v>0</v>
          </cell>
        </row>
        <row r="200">
          <cell r="A200">
            <v>176</v>
          </cell>
          <cell r="B200">
            <v>50364</v>
          </cell>
          <cell r="C200">
            <v>0</v>
          </cell>
          <cell r="D200">
            <v>32413.313177607219</v>
          </cell>
          <cell r="E200">
            <v>0</v>
          </cell>
          <cell r="F200">
            <v>0</v>
          </cell>
          <cell r="G200">
            <v>0</v>
          </cell>
          <cell r="H200">
            <v>0</v>
          </cell>
          <cell r="I200">
            <v>0</v>
          </cell>
        </row>
        <row r="201">
          <cell r="A201">
            <v>177</v>
          </cell>
          <cell r="B201">
            <v>50394</v>
          </cell>
          <cell r="C201">
            <v>0</v>
          </cell>
          <cell r="D201">
            <v>32413.313177607219</v>
          </cell>
          <cell r="E201">
            <v>0</v>
          </cell>
          <cell r="F201">
            <v>0</v>
          </cell>
          <cell r="G201">
            <v>0</v>
          </cell>
          <cell r="H201">
            <v>0</v>
          </cell>
          <cell r="I201">
            <v>0</v>
          </cell>
        </row>
        <row r="202">
          <cell r="A202">
            <v>178</v>
          </cell>
          <cell r="B202">
            <v>50425</v>
          </cell>
          <cell r="C202">
            <v>0</v>
          </cell>
          <cell r="D202">
            <v>32413.313177607219</v>
          </cell>
          <cell r="E202">
            <v>0</v>
          </cell>
          <cell r="F202">
            <v>0</v>
          </cell>
          <cell r="G202">
            <v>0</v>
          </cell>
          <cell r="H202">
            <v>0</v>
          </cell>
          <cell r="I202">
            <v>0</v>
          </cell>
        </row>
        <row r="203">
          <cell r="A203">
            <v>179</v>
          </cell>
          <cell r="B203">
            <v>50456</v>
          </cell>
          <cell r="C203">
            <v>0</v>
          </cell>
          <cell r="D203">
            <v>32413.313177607219</v>
          </cell>
          <cell r="E203">
            <v>0</v>
          </cell>
          <cell r="F203">
            <v>0</v>
          </cell>
          <cell r="G203">
            <v>0</v>
          </cell>
          <cell r="H203">
            <v>0</v>
          </cell>
          <cell r="I203">
            <v>0</v>
          </cell>
        </row>
        <row r="204">
          <cell r="A204">
            <v>180</v>
          </cell>
          <cell r="B204">
            <v>50484</v>
          </cell>
          <cell r="C204">
            <v>0</v>
          </cell>
          <cell r="D204">
            <v>32413.313177607219</v>
          </cell>
          <cell r="E204">
            <v>0</v>
          </cell>
          <cell r="F204">
            <v>0</v>
          </cell>
          <cell r="G204">
            <v>0</v>
          </cell>
          <cell r="H204">
            <v>0</v>
          </cell>
          <cell r="I204">
            <v>0</v>
          </cell>
        </row>
        <row r="205">
          <cell r="A205">
            <v>181</v>
          </cell>
          <cell r="B205">
            <v>50515</v>
          </cell>
          <cell r="C205">
            <v>0</v>
          </cell>
          <cell r="D205">
            <v>32413.313177607219</v>
          </cell>
          <cell r="E205">
            <v>0</v>
          </cell>
          <cell r="F205">
            <v>0</v>
          </cell>
          <cell r="G205">
            <v>0</v>
          </cell>
          <cell r="H205">
            <v>0</v>
          </cell>
          <cell r="I205">
            <v>0</v>
          </cell>
        </row>
        <row r="206">
          <cell r="A206">
            <v>182</v>
          </cell>
          <cell r="B206">
            <v>50545</v>
          </cell>
          <cell r="C206">
            <v>0</v>
          </cell>
          <cell r="D206">
            <v>32413.313177607219</v>
          </cell>
          <cell r="E206">
            <v>0</v>
          </cell>
          <cell r="F206">
            <v>0</v>
          </cell>
          <cell r="G206">
            <v>0</v>
          </cell>
          <cell r="H206">
            <v>0</v>
          </cell>
          <cell r="I206">
            <v>0</v>
          </cell>
        </row>
        <row r="207">
          <cell r="A207">
            <v>183</v>
          </cell>
          <cell r="B207">
            <v>50576</v>
          </cell>
          <cell r="C207">
            <v>0</v>
          </cell>
          <cell r="D207">
            <v>32413.313177607219</v>
          </cell>
          <cell r="E207">
            <v>0</v>
          </cell>
          <cell r="F207">
            <v>0</v>
          </cell>
          <cell r="G207">
            <v>0</v>
          </cell>
          <cell r="H207">
            <v>0</v>
          </cell>
          <cell r="I207">
            <v>0</v>
          </cell>
        </row>
        <row r="208">
          <cell r="A208">
            <v>184</v>
          </cell>
          <cell r="B208">
            <v>50606</v>
          </cell>
          <cell r="C208">
            <v>0</v>
          </cell>
          <cell r="D208">
            <v>32413.313177607219</v>
          </cell>
          <cell r="E208">
            <v>0</v>
          </cell>
          <cell r="F208">
            <v>0</v>
          </cell>
          <cell r="G208">
            <v>0</v>
          </cell>
          <cell r="H208">
            <v>0</v>
          </cell>
          <cell r="I208">
            <v>0</v>
          </cell>
        </row>
        <row r="209">
          <cell r="A209">
            <v>185</v>
          </cell>
          <cell r="B209">
            <v>50637</v>
          </cell>
          <cell r="C209">
            <v>0</v>
          </cell>
          <cell r="D209">
            <v>32413.313177607219</v>
          </cell>
          <cell r="E209">
            <v>0</v>
          </cell>
          <cell r="F209">
            <v>0</v>
          </cell>
          <cell r="G209">
            <v>0</v>
          </cell>
          <cell r="H209">
            <v>0</v>
          </cell>
          <cell r="I209">
            <v>0</v>
          </cell>
        </row>
        <row r="210">
          <cell r="A210">
            <v>186</v>
          </cell>
          <cell r="B210">
            <v>50668</v>
          </cell>
          <cell r="C210">
            <v>0</v>
          </cell>
          <cell r="D210">
            <v>32413.313177607219</v>
          </cell>
          <cell r="E210">
            <v>0</v>
          </cell>
          <cell r="F210">
            <v>0</v>
          </cell>
          <cell r="G210">
            <v>0</v>
          </cell>
          <cell r="H210">
            <v>0</v>
          </cell>
          <cell r="I210">
            <v>0</v>
          </cell>
        </row>
        <row r="211">
          <cell r="A211">
            <v>187</v>
          </cell>
          <cell r="B211">
            <v>50698</v>
          </cell>
          <cell r="C211">
            <v>0</v>
          </cell>
          <cell r="D211">
            <v>32413.313177607219</v>
          </cell>
          <cell r="E211">
            <v>0</v>
          </cell>
          <cell r="F211">
            <v>0</v>
          </cell>
          <cell r="G211">
            <v>0</v>
          </cell>
          <cell r="H211">
            <v>0</v>
          </cell>
          <cell r="I211">
            <v>0</v>
          </cell>
        </row>
        <row r="212">
          <cell r="A212">
            <v>188</v>
          </cell>
          <cell r="B212">
            <v>50729</v>
          </cell>
          <cell r="C212">
            <v>0</v>
          </cell>
          <cell r="D212">
            <v>32413.313177607219</v>
          </cell>
          <cell r="E212">
            <v>0</v>
          </cell>
          <cell r="F212">
            <v>0</v>
          </cell>
          <cell r="G212">
            <v>0</v>
          </cell>
          <cell r="H212">
            <v>0</v>
          </cell>
          <cell r="I212">
            <v>0</v>
          </cell>
        </row>
        <row r="213">
          <cell r="A213">
            <v>189</v>
          </cell>
          <cell r="B213">
            <v>50759</v>
          </cell>
          <cell r="C213">
            <v>0</v>
          </cell>
          <cell r="D213">
            <v>32413.313177607219</v>
          </cell>
          <cell r="E213">
            <v>0</v>
          </cell>
          <cell r="F213">
            <v>0</v>
          </cell>
          <cell r="G213">
            <v>0</v>
          </cell>
          <cell r="H213">
            <v>0</v>
          </cell>
          <cell r="I213">
            <v>0</v>
          </cell>
        </row>
        <row r="214">
          <cell r="A214">
            <v>190</v>
          </cell>
          <cell r="B214">
            <v>50790</v>
          </cell>
          <cell r="C214">
            <v>0</v>
          </cell>
          <cell r="D214">
            <v>32413.313177607219</v>
          </cell>
          <cell r="E214">
            <v>0</v>
          </cell>
          <cell r="F214">
            <v>0</v>
          </cell>
          <cell r="G214">
            <v>0</v>
          </cell>
          <cell r="H214">
            <v>0</v>
          </cell>
          <cell r="I214">
            <v>0</v>
          </cell>
        </row>
        <row r="215">
          <cell r="A215">
            <v>191</v>
          </cell>
          <cell r="B215">
            <v>50821</v>
          </cell>
          <cell r="C215">
            <v>0</v>
          </cell>
          <cell r="D215">
            <v>32413.313177607219</v>
          </cell>
          <cell r="E215">
            <v>0</v>
          </cell>
          <cell r="F215">
            <v>0</v>
          </cell>
          <cell r="G215">
            <v>0</v>
          </cell>
          <cell r="H215">
            <v>0</v>
          </cell>
          <cell r="I215">
            <v>0</v>
          </cell>
        </row>
        <row r="216">
          <cell r="A216">
            <v>192</v>
          </cell>
          <cell r="B216">
            <v>50849</v>
          </cell>
          <cell r="C216">
            <v>0</v>
          </cell>
          <cell r="D216">
            <v>32413.313177607219</v>
          </cell>
          <cell r="E216">
            <v>0</v>
          </cell>
          <cell r="F216">
            <v>0</v>
          </cell>
          <cell r="G216">
            <v>0</v>
          </cell>
          <cell r="H216">
            <v>0</v>
          </cell>
          <cell r="I216">
            <v>0</v>
          </cell>
        </row>
        <row r="217">
          <cell r="A217">
            <v>193</v>
          </cell>
          <cell r="B217">
            <v>50880</v>
          </cell>
          <cell r="C217">
            <v>0</v>
          </cell>
          <cell r="D217">
            <v>32413.313177607219</v>
          </cell>
          <cell r="E217">
            <v>0</v>
          </cell>
          <cell r="F217">
            <v>0</v>
          </cell>
          <cell r="G217">
            <v>0</v>
          </cell>
          <cell r="H217">
            <v>0</v>
          </cell>
          <cell r="I217">
            <v>0</v>
          </cell>
        </row>
        <row r="218">
          <cell r="A218">
            <v>194</v>
          </cell>
          <cell r="B218">
            <v>50910</v>
          </cell>
          <cell r="C218">
            <v>0</v>
          </cell>
          <cell r="D218">
            <v>32413.313177607219</v>
          </cell>
          <cell r="E218">
            <v>0</v>
          </cell>
          <cell r="F218">
            <v>0</v>
          </cell>
          <cell r="G218">
            <v>0</v>
          </cell>
          <cell r="H218">
            <v>0</v>
          </cell>
          <cell r="I218">
            <v>0</v>
          </cell>
        </row>
        <row r="219">
          <cell r="A219">
            <v>195</v>
          </cell>
          <cell r="B219">
            <v>50941</v>
          </cell>
          <cell r="C219">
            <v>0</v>
          </cell>
          <cell r="D219">
            <v>32413.313177607219</v>
          </cell>
          <cell r="E219">
            <v>0</v>
          </cell>
          <cell r="F219">
            <v>0</v>
          </cell>
          <cell r="G219">
            <v>0</v>
          </cell>
          <cell r="H219">
            <v>0</v>
          </cell>
          <cell r="I219">
            <v>0</v>
          </cell>
        </row>
        <row r="220">
          <cell r="A220">
            <v>196</v>
          </cell>
          <cell r="B220">
            <v>50971</v>
          </cell>
          <cell r="C220">
            <v>0</v>
          </cell>
          <cell r="D220">
            <v>32413.313177607219</v>
          </cell>
          <cell r="E220">
            <v>0</v>
          </cell>
          <cell r="F220">
            <v>0</v>
          </cell>
          <cell r="G220">
            <v>0</v>
          </cell>
          <cell r="H220">
            <v>0</v>
          </cell>
          <cell r="I220">
            <v>0</v>
          </cell>
        </row>
        <row r="221">
          <cell r="A221">
            <v>197</v>
          </cell>
          <cell r="B221">
            <v>51002</v>
          </cell>
          <cell r="C221">
            <v>0</v>
          </cell>
          <cell r="D221">
            <v>32413.313177607219</v>
          </cell>
          <cell r="E221">
            <v>0</v>
          </cell>
          <cell r="F221">
            <v>0</v>
          </cell>
          <cell r="G221">
            <v>0</v>
          </cell>
          <cell r="H221">
            <v>0</v>
          </cell>
          <cell r="I221">
            <v>0</v>
          </cell>
        </row>
        <row r="222">
          <cell r="A222">
            <v>198</v>
          </cell>
          <cell r="B222">
            <v>51033</v>
          </cell>
          <cell r="C222">
            <v>0</v>
          </cell>
          <cell r="D222">
            <v>32413.313177607219</v>
          </cell>
          <cell r="E222">
            <v>0</v>
          </cell>
          <cell r="F222">
            <v>0</v>
          </cell>
          <cell r="G222">
            <v>0</v>
          </cell>
          <cell r="H222">
            <v>0</v>
          </cell>
          <cell r="I222">
            <v>0</v>
          </cell>
        </row>
        <row r="223">
          <cell r="A223">
            <v>199</v>
          </cell>
          <cell r="B223">
            <v>51063</v>
          </cell>
          <cell r="C223">
            <v>0</v>
          </cell>
          <cell r="D223">
            <v>32413.313177607219</v>
          </cell>
          <cell r="E223">
            <v>0</v>
          </cell>
          <cell r="F223">
            <v>0</v>
          </cell>
          <cell r="G223">
            <v>0</v>
          </cell>
          <cell r="H223">
            <v>0</v>
          </cell>
          <cell r="I223">
            <v>0</v>
          </cell>
        </row>
        <row r="224">
          <cell r="A224">
            <v>200</v>
          </cell>
          <cell r="B224">
            <v>51094</v>
          </cell>
          <cell r="C224">
            <v>0</v>
          </cell>
          <cell r="D224">
            <v>32413.313177607219</v>
          </cell>
          <cell r="E224">
            <v>0</v>
          </cell>
          <cell r="F224">
            <v>0</v>
          </cell>
          <cell r="G224">
            <v>0</v>
          </cell>
          <cell r="H224">
            <v>0</v>
          </cell>
          <cell r="I224">
            <v>0</v>
          </cell>
        </row>
        <row r="225">
          <cell r="A225">
            <v>201</v>
          </cell>
          <cell r="B225">
            <v>51124</v>
          </cell>
          <cell r="C225">
            <v>0</v>
          </cell>
          <cell r="D225">
            <v>32413.313177607219</v>
          </cell>
          <cell r="E225">
            <v>0</v>
          </cell>
          <cell r="F225">
            <v>0</v>
          </cell>
          <cell r="G225">
            <v>0</v>
          </cell>
          <cell r="H225">
            <v>0</v>
          </cell>
          <cell r="I225">
            <v>0</v>
          </cell>
        </row>
        <row r="226">
          <cell r="A226">
            <v>202</v>
          </cell>
          <cell r="B226">
            <v>51155</v>
          </cell>
          <cell r="C226">
            <v>0</v>
          </cell>
          <cell r="D226">
            <v>32413.313177607219</v>
          </cell>
          <cell r="E226">
            <v>0</v>
          </cell>
          <cell r="F226">
            <v>0</v>
          </cell>
          <cell r="G226">
            <v>0</v>
          </cell>
          <cell r="H226">
            <v>0</v>
          </cell>
          <cell r="I226">
            <v>0</v>
          </cell>
        </row>
        <row r="227">
          <cell r="A227">
            <v>203</v>
          </cell>
          <cell r="B227">
            <v>51186</v>
          </cell>
          <cell r="C227">
            <v>0</v>
          </cell>
          <cell r="D227">
            <v>32413.313177607219</v>
          </cell>
          <cell r="E227">
            <v>0</v>
          </cell>
          <cell r="F227">
            <v>0</v>
          </cell>
          <cell r="G227">
            <v>0</v>
          </cell>
          <cell r="H227">
            <v>0</v>
          </cell>
          <cell r="I227">
            <v>0</v>
          </cell>
        </row>
        <row r="228">
          <cell r="A228">
            <v>204</v>
          </cell>
          <cell r="B228">
            <v>51215</v>
          </cell>
          <cell r="C228">
            <v>0</v>
          </cell>
          <cell r="D228">
            <v>32413.313177607219</v>
          </cell>
          <cell r="E228">
            <v>0</v>
          </cell>
          <cell r="F228">
            <v>0</v>
          </cell>
          <cell r="G228">
            <v>0</v>
          </cell>
          <cell r="H228">
            <v>0</v>
          </cell>
          <cell r="I228">
            <v>0</v>
          </cell>
        </row>
        <row r="229">
          <cell r="A229">
            <v>205</v>
          </cell>
          <cell r="B229">
            <v>51246</v>
          </cell>
          <cell r="C229">
            <v>0</v>
          </cell>
          <cell r="D229">
            <v>32413.313177607219</v>
          </cell>
          <cell r="E229">
            <v>0</v>
          </cell>
          <cell r="F229">
            <v>0</v>
          </cell>
          <cell r="G229">
            <v>0</v>
          </cell>
          <cell r="H229">
            <v>0</v>
          </cell>
          <cell r="I229">
            <v>0</v>
          </cell>
        </row>
        <row r="230">
          <cell r="A230">
            <v>206</v>
          </cell>
          <cell r="B230">
            <v>51276</v>
          </cell>
          <cell r="C230">
            <v>0</v>
          </cell>
          <cell r="D230">
            <v>32413.313177607219</v>
          </cell>
          <cell r="E230">
            <v>0</v>
          </cell>
          <cell r="F230">
            <v>0</v>
          </cell>
          <cell r="G230">
            <v>0</v>
          </cell>
          <cell r="H230">
            <v>0</v>
          </cell>
          <cell r="I230">
            <v>0</v>
          </cell>
        </row>
        <row r="231">
          <cell r="A231">
            <v>207</v>
          </cell>
          <cell r="B231">
            <v>51307</v>
          </cell>
          <cell r="C231">
            <v>0</v>
          </cell>
          <cell r="D231">
            <v>32413.313177607219</v>
          </cell>
          <cell r="E231">
            <v>0</v>
          </cell>
          <cell r="F231">
            <v>0</v>
          </cell>
          <cell r="G231">
            <v>0</v>
          </cell>
          <cell r="H231">
            <v>0</v>
          </cell>
          <cell r="I231">
            <v>0</v>
          </cell>
        </row>
        <row r="232">
          <cell r="A232">
            <v>208</v>
          </cell>
          <cell r="B232">
            <v>51337</v>
          </cell>
          <cell r="C232">
            <v>0</v>
          </cell>
          <cell r="D232">
            <v>32413.313177607219</v>
          </cell>
          <cell r="E232">
            <v>0</v>
          </cell>
          <cell r="F232">
            <v>0</v>
          </cell>
          <cell r="G232">
            <v>0</v>
          </cell>
          <cell r="H232">
            <v>0</v>
          </cell>
          <cell r="I232">
            <v>0</v>
          </cell>
        </row>
        <row r="233">
          <cell r="A233">
            <v>209</v>
          </cell>
          <cell r="B233">
            <v>51368</v>
          </cell>
          <cell r="C233">
            <v>0</v>
          </cell>
          <cell r="D233">
            <v>32413.313177607219</v>
          </cell>
          <cell r="E233">
            <v>0</v>
          </cell>
          <cell r="F233">
            <v>0</v>
          </cell>
          <cell r="G233">
            <v>0</v>
          </cell>
          <cell r="H233">
            <v>0</v>
          </cell>
          <cell r="I233">
            <v>0</v>
          </cell>
        </row>
        <row r="234">
          <cell r="A234">
            <v>210</v>
          </cell>
          <cell r="B234">
            <v>51399</v>
          </cell>
          <cell r="C234">
            <v>0</v>
          </cell>
          <cell r="D234">
            <v>32413.313177607219</v>
          </cell>
          <cell r="E234">
            <v>0</v>
          </cell>
          <cell r="F234">
            <v>0</v>
          </cell>
          <cell r="G234">
            <v>0</v>
          </cell>
          <cell r="H234">
            <v>0</v>
          </cell>
          <cell r="I234">
            <v>0</v>
          </cell>
        </row>
        <row r="235">
          <cell r="A235">
            <v>211</v>
          </cell>
          <cell r="B235">
            <v>51429</v>
          </cell>
          <cell r="C235">
            <v>0</v>
          </cell>
          <cell r="D235">
            <v>32413.313177607219</v>
          </cell>
          <cell r="E235">
            <v>0</v>
          </cell>
          <cell r="F235">
            <v>0</v>
          </cell>
          <cell r="G235">
            <v>0</v>
          </cell>
          <cell r="H235">
            <v>0</v>
          </cell>
          <cell r="I235">
            <v>0</v>
          </cell>
        </row>
        <row r="236">
          <cell r="A236">
            <v>212</v>
          </cell>
          <cell r="B236">
            <v>51460</v>
          </cell>
          <cell r="C236">
            <v>0</v>
          </cell>
          <cell r="D236">
            <v>32413.313177607219</v>
          </cell>
          <cell r="E236">
            <v>0</v>
          </cell>
          <cell r="F236">
            <v>0</v>
          </cell>
          <cell r="G236">
            <v>0</v>
          </cell>
          <cell r="H236">
            <v>0</v>
          </cell>
          <cell r="I236">
            <v>0</v>
          </cell>
        </row>
        <row r="237">
          <cell r="A237">
            <v>213</v>
          </cell>
          <cell r="B237">
            <v>51490</v>
          </cell>
          <cell r="C237">
            <v>0</v>
          </cell>
          <cell r="D237">
            <v>32413.313177607219</v>
          </cell>
          <cell r="E237">
            <v>0</v>
          </cell>
          <cell r="F237">
            <v>0</v>
          </cell>
          <cell r="G237">
            <v>0</v>
          </cell>
          <cell r="H237">
            <v>0</v>
          </cell>
          <cell r="I237">
            <v>0</v>
          </cell>
        </row>
        <row r="238">
          <cell r="A238">
            <v>214</v>
          </cell>
          <cell r="B238">
            <v>51521</v>
          </cell>
          <cell r="C238">
            <v>0</v>
          </cell>
          <cell r="D238">
            <v>32413.313177607219</v>
          </cell>
          <cell r="E238">
            <v>0</v>
          </cell>
          <cell r="F238">
            <v>0</v>
          </cell>
          <cell r="G238">
            <v>0</v>
          </cell>
          <cell r="H238">
            <v>0</v>
          </cell>
          <cell r="I238">
            <v>0</v>
          </cell>
        </row>
        <row r="239">
          <cell r="A239">
            <v>215</v>
          </cell>
          <cell r="B239">
            <v>51552</v>
          </cell>
          <cell r="C239">
            <v>0</v>
          </cell>
          <cell r="D239">
            <v>32413.313177607219</v>
          </cell>
          <cell r="E239">
            <v>0</v>
          </cell>
          <cell r="F239">
            <v>0</v>
          </cell>
          <cell r="G239">
            <v>0</v>
          </cell>
          <cell r="H239">
            <v>0</v>
          </cell>
          <cell r="I239">
            <v>0</v>
          </cell>
        </row>
        <row r="240">
          <cell r="A240">
            <v>216</v>
          </cell>
          <cell r="B240">
            <v>51580</v>
          </cell>
          <cell r="C240">
            <v>0</v>
          </cell>
          <cell r="D240">
            <v>32413.313177607219</v>
          </cell>
          <cell r="E240">
            <v>0</v>
          </cell>
          <cell r="F240">
            <v>0</v>
          </cell>
          <cell r="G240">
            <v>0</v>
          </cell>
          <cell r="H240">
            <v>0</v>
          </cell>
          <cell r="I240">
            <v>0</v>
          </cell>
        </row>
        <row r="241">
          <cell r="A241">
            <v>217</v>
          </cell>
          <cell r="B241">
            <v>51611</v>
          </cell>
          <cell r="C241">
            <v>0</v>
          </cell>
          <cell r="D241">
            <v>32413.313177607219</v>
          </cell>
          <cell r="E241">
            <v>0</v>
          </cell>
          <cell r="F241">
            <v>0</v>
          </cell>
          <cell r="G241">
            <v>0</v>
          </cell>
          <cell r="H241">
            <v>0</v>
          </cell>
          <cell r="I241">
            <v>0</v>
          </cell>
        </row>
        <row r="242">
          <cell r="A242">
            <v>218</v>
          </cell>
          <cell r="B242">
            <v>51641</v>
          </cell>
          <cell r="C242">
            <v>0</v>
          </cell>
          <cell r="D242">
            <v>32413.313177607219</v>
          </cell>
          <cell r="E242">
            <v>0</v>
          </cell>
          <cell r="F242">
            <v>0</v>
          </cell>
          <cell r="G242">
            <v>0</v>
          </cell>
          <cell r="H242">
            <v>0</v>
          </cell>
          <cell r="I242">
            <v>0</v>
          </cell>
        </row>
        <row r="243">
          <cell r="A243">
            <v>219</v>
          </cell>
          <cell r="B243">
            <v>51672</v>
          </cell>
          <cell r="C243">
            <v>0</v>
          </cell>
          <cell r="D243">
            <v>32413.313177607219</v>
          </cell>
          <cell r="E243">
            <v>0</v>
          </cell>
          <cell r="F243">
            <v>0</v>
          </cell>
          <cell r="G243">
            <v>0</v>
          </cell>
          <cell r="H243">
            <v>0</v>
          </cell>
          <cell r="I243">
            <v>0</v>
          </cell>
        </row>
        <row r="244">
          <cell r="A244">
            <v>220</v>
          </cell>
          <cell r="B244">
            <v>51702</v>
          </cell>
          <cell r="C244">
            <v>0</v>
          </cell>
          <cell r="D244">
            <v>32413.313177607219</v>
          </cell>
          <cell r="E244">
            <v>0</v>
          </cell>
          <cell r="F244">
            <v>0</v>
          </cell>
          <cell r="G244">
            <v>0</v>
          </cell>
          <cell r="H244">
            <v>0</v>
          </cell>
          <cell r="I244">
            <v>0</v>
          </cell>
        </row>
        <row r="245">
          <cell r="A245">
            <v>221</v>
          </cell>
          <cell r="B245">
            <v>51733</v>
          </cell>
          <cell r="C245">
            <v>0</v>
          </cell>
          <cell r="D245">
            <v>32413.313177607219</v>
          </cell>
          <cell r="E245">
            <v>0</v>
          </cell>
          <cell r="F245">
            <v>0</v>
          </cell>
          <cell r="G245">
            <v>0</v>
          </cell>
          <cell r="H245">
            <v>0</v>
          </cell>
          <cell r="I245">
            <v>0</v>
          </cell>
        </row>
        <row r="246">
          <cell r="A246">
            <v>222</v>
          </cell>
          <cell r="B246">
            <v>51764</v>
          </cell>
          <cell r="C246">
            <v>0</v>
          </cell>
          <cell r="D246">
            <v>32413.313177607219</v>
          </cell>
          <cell r="E246">
            <v>0</v>
          </cell>
          <cell r="F246">
            <v>0</v>
          </cell>
          <cell r="G246">
            <v>0</v>
          </cell>
          <cell r="H246">
            <v>0</v>
          </cell>
          <cell r="I246">
            <v>0</v>
          </cell>
        </row>
        <row r="247">
          <cell r="A247">
            <v>223</v>
          </cell>
          <cell r="B247">
            <v>51794</v>
          </cell>
          <cell r="C247">
            <v>0</v>
          </cell>
          <cell r="D247">
            <v>32413.313177607219</v>
          </cell>
          <cell r="E247">
            <v>0</v>
          </cell>
          <cell r="F247">
            <v>0</v>
          </cell>
          <cell r="G247">
            <v>0</v>
          </cell>
          <cell r="H247">
            <v>0</v>
          </cell>
          <cell r="I247">
            <v>0</v>
          </cell>
        </row>
        <row r="248">
          <cell r="A248">
            <v>224</v>
          </cell>
          <cell r="B248">
            <v>51825</v>
          </cell>
          <cell r="C248">
            <v>0</v>
          </cell>
          <cell r="D248">
            <v>32413.313177607219</v>
          </cell>
          <cell r="E248">
            <v>0</v>
          </cell>
          <cell r="F248">
            <v>0</v>
          </cell>
          <cell r="G248">
            <v>0</v>
          </cell>
          <cell r="H248">
            <v>0</v>
          </cell>
          <cell r="I248">
            <v>0</v>
          </cell>
        </row>
        <row r="249">
          <cell r="A249">
            <v>225</v>
          </cell>
          <cell r="B249">
            <v>51855</v>
          </cell>
          <cell r="C249">
            <v>0</v>
          </cell>
          <cell r="D249">
            <v>32413.313177607219</v>
          </cell>
          <cell r="E249">
            <v>0</v>
          </cell>
          <cell r="F249">
            <v>0</v>
          </cell>
          <cell r="G249">
            <v>0</v>
          </cell>
          <cell r="H249">
            <v>0</v>
          </cell>
          <cell r="I249">
            <v>0</v>
          </cell>
        </row>
        <row r="250">
          <cell r="A250">
            <v>226</v>
          </cell>
          <cell r="B250">
            <v>51886</v>
          </cell>
          <cell r="C250">
            <v>0</v>
          </cell>
          <cell r="D250">
            <v>32413.313177607219</v>
          </cell>
          <cell r="E250">
            <v>0</v>
          </cell>
          <cell r="F250">
            <v>0</v>
          </cell>
          <cell r="G250">
            <v>0</v>
          </cell>
          <cell r="H250">
            <v>0</v>
          </cell>
          <cell r="I250">
            <v>0</v>
          </cell>
        </row>
        <row r="251">
          <cell r="A251">
            <v>227</v>
          </cell>
          <cell r="B251">
            <v>51917</v>
          </cell>
          <cell r="C251">
            <v>0</v>
          </cell>
          <cell r="D251">
            <v>32413.313177607219</v>
          </cell>
          <cell r="E251">
            <v>0</v>
          </cell>
          <cell r="F251">
            <v>0</v>
          </cell>
          <cell r="G251">
            <v>0</v>
          </cell>
          <cell r="H251">
            <v>0</v>
          </cell>
          <cell r="I251">
            <v>0</v>
          </cell>
        </row>
        <row r="252">
          <cell r="A252">
            <v>228</v>
          </cell>
          <cell r="B252">
            <v>51945</v>
          </cell>
          <cell r="C252">
            <v>0</v>
          </cell>
          <cell r="D252">
            <v>32413.313177607219</v>
          </cell>
          <cell r="E252">
            <v>0</v>
          </cell>
          <cell r="F252">
            <v>0</v>
          </cell>
          <cell r="G252">
            <v>0</v>
          </cell>
          <cell r="H252">
            <v>0</v>
          </cell>
          <cell r="I252">
            <v>0</v>
          </cell>
        </row>
        <row r="253">
          <cell r="A253">
            <v>229</v>
          </cell>
          <cell r="B253">
            <v>51976</v>
          </cell>
          <cell r="C253">
            <v>0</v>
          </cell>
          <cell r="D253">
            <v>32413.313177607219</v>
          </cell>
          <cell r="E253">
            <v>0</v>
          </cell>
          <cell r="F253">
            <v>0</v>
          </cell>
          <cell r="G253">
            <v>0</v>
          </cell>
          <cell r="H253">
            <v>0</v>
          </cell>
          <cell r="I253">
            <v>0</v>
          </cell>
        </row>
        <row r="254">
          <cell r="A254">
            <v>230</v>
          </cell>
          <cell r="B254">
            <v>52006</v>
          </cell>
          <cell r="C254">
            <v>0</v>
          </cell>
          <cell r="D254">
            <v>32413.313177607219</v>
          </cell>
          <cell r="E254">
            <v>0</v>
          </cell>
          <cell r="F254">
            <v>0</v>
          </cell>
          <cell r="G254">
            <v>0</v>
          </cell>
          <cell r="H254">
            <v>0</v>
          </cell>
          <cell r="I254">
            <v>0</v>
          </cell>
        </row>
        <row r="255">
          <cell r="A255">
            <v>231</v>
          </cell>
          <cell r="B255">
            <v>52037</v>
          </cell>
          <cell r="C255">
            <v>0</v>
          </cell>
          <cell r="D255">
            <v>32413.313177607219</v>
          </cell>
          <cell r="E255">
            <v>0</v>
          </cell>
          <cell r="F255">
            <v>0</v>
          </cell>
          <cell r="G255">
            <v>0</v>
          </cell>
          <cell r="H255">
            <v>0</v>
          </cell>
          <cell r="I255">
            <v>0</v>
          </cell>
        </row>
        <row r="256">
          <cell r="A256">
            <v>232</v>
          </cell>
          <cell r="B256">
            <v>52067</v>
          </cell>
          <cell r="C256">
            <v>0</v>
          </cell>
          <cell r="D256">
            <v>32413.313177607219</v>
          </cell>
          <cell r="E256">
            <v>0</v>
          </cell>
          <cell r="F256">
            <v>0</v>
          </cell>
          <cell r="G256">
            <v>0</v>
          </cell>
          <cell r="H256">
            <v>0</v>
          </cell>
          <cell r="I256">
            <v>0</v>
          </cell>
        </row>
        <row r="257">
          <cell r="A257">
            <v>233</v>
          </cell>
          <cell r="B257">
            <v>52098</v>
          </cell>
          <cell r="C257">
            <v>0</v>
          </cell>
          <cell r="D257">
            <v>32413.313177607219</v>
          </cell>
          <cell r="E257">
            <v>0</v>
          </cell>
          <cell r="F257">
            <v>0</v>
          </cell>
          <cell r="G257">
            <v>0</v>
          </cell>
          <cell r="H257">
            <v>0</v>
          </cell>
          <cell r="I257">
            <v>0</v>
          </cell>
        </row>
        <row r="258">
          <cell r="A258">
            <v>234</v>
          </cell>
          <cell r="B258">
            <v>52129</v>
          </cell>
          <cell r="C258">
            <v>0</v>
          </cell>
          <cell r="D258">
            <v>32413.313177607219</v>
          </cell>
          <cell r="E258">
            <v>0</v>
          </cell>
          <cell r="F258">
            <v>0</v>
          </cell>
          <cell r="G258">
            <v>0</v>
          </cell>
          <cell r="H258">
            <v>0</v>
          </cell>
          <cell r="I258">
            <v>0</v>
          </cell>
        </row>
        <row r="259">
          <cell r="A259">
            <v>235</v>
          </cell>
          <cell r="B259">
            <v>52159</v>
          </cell>
          <cell r="C259">
            <v>0</v>
          </cell>
          <cell r="D259">
            <v>32413.313177607219</v>
          </cell>
          <cell r="E259">
            <v>0</v>
          </cell>
          <cell r="F259">
            <v>0</v>
          </cell>
          <cell r="G259">
            <v>0</v>
          </cell>
          <cell r="H259">
            <v>0</v>
          </cell>
          <cell r="I259">
            <v>0</v>
          </cell>
        </row>
        <row r="260">
          <cell r="A260">
            <v>236</v>
          </cell>
          <cell r="B260">
            <v>52190</v>
          </cell>
          <cell r="C260">
            <v>0</v>
          </cell>
          <cell r="D260">
            <v>32413.313177607219</v>
          </cell>
          <cell r="E260">
            <v>0</v>
          </cell>
          <cell r="F260">
            <v>0</v>
          </cell>
          <cell r="G260">
            <v>0</v>
          </cell>
          <cell r="H260">
            <v>0</v>
          </cell>
          <cell r="I260">
            <v>0</v>
          </cell>
        </row>
        <row r="261">
          <cell r="A261">
            <v>237</v>
          </cell>
          <cell r="B261">
            <v>52220</v>
          </cell>
          <cell r="C261">
            <v>0</v>
          </cell>
          <cell r="D261">
            <v>32413.313177607219</v>
          </cell>
          <cell r="E261">
            <v>0</v>
          </cell>
          <cell r="F261">
            <v>0</v>
          </cell>
          <cell r="G261">
            <v>0</v>
          </cell>
          <cell r="H261">
            <v>0</v>
          </cell>
          <cell r="I261">
            <v>0</v>
          </cell>
        </row>
        <row r="262">
          <cell r="A262">
            <v>238</v>
          </cell>
          <cell r="B262">
            <v>52251</v>
          </cell>
          <cell r="C262">
            <v>0</v>
          </cell>
          <cell r="D262">
            <v>32413.313177607219</v>
          </cell>
          <cell r="E262">
            <v>0</v>
          </cell>
          <cell r="F262">
            <v>0</v>
          </cell>
          <cell r="G262">
            <v>0</v>
          </cell>
          <cell r="H262">
            <v>0</v>
          </cell>
          <cell r="I262">
            <v>0</v>
          </cell>
        </row>
        <row r="263">
          <cell r="A263">
            <v>239</v>
          </cell>
          <cell r="B263">
            <v>52282</v>
          </cell>
          <cell r="C263">
            <v>0</v>
          </cell>
          <cell r="D263">
            <v>32413.313177607219</v>
          </cell>
          <cell r="E263">
            <v>0</v>
          </cell>
          <cell r="F263">
            <v>0</v>
          </cell>
          <cell r="G263">
            <v>0</v>
          </cell>
          <cell r="H263">
            <v>0</v>
          </cell>
          <cell r="I263">
            <v>0</v>
          </cell>
        </row>
        <row r="264">
          <cell r="A264">
            <v>240</v>
          </cell>
          <cell r="B264">
            <v>52310</v>
          </cell>
          <cell r="C264">
            <v>0</v>
          </cell>
          <cell r="D264">
            <v>32413.313177607219</v>
          </cell>
          <cell r="E264">
            <v>0</v>
          </cell>
          <cell r="F264">
            <v>0</v>
          </cell>
          <cell r="G264">
            <v>0</v>
          </cell>
          <cell r="H264">
            <v>0</v>
          </cell>
          <cell r="I264">
            <v>0</v>
          </cell>
        </row>
        <row r="265">
          <cell r="A265">
            <v>241</v>
          </cell>
          <cell r="B265">
            <v>52341</v>
          </cell>
          <cell r="C265">
            <v>0</v>
          </cell>
          <cell r="D265">
            <v>32413.313177607219</v>
          </cell>
          <cell r="E265">
            <v>0</v>
          </cell>
          <cell r="F265">
            <v>0</v>
          </cell>
          <cell r="G265">
            <v>0</v>
          </cell>
          <cell r="H265">
            <v>0</v>
          </cell>
          <cell r="I265">
            <v>0</v>
          </cell>
        </row>
        <row r="266">
          <cell r="A266">
            <v>242</v>
          </cell>
          <cell r="B266">
            <v>52371</v>
          </cell>
          <cell r="C266">
            <v>0</v>
          </cell>
          <cell r="D266">
            <v>32413.313177607219</v>
          </cell>
          <cell r="E266">
            <v>0</v>
          </cell>
          <cell r="F266">
            <v>0</v>
          </cell>
          <cell r="G266">
            <v>0</v>
          </cell>
          <cell r="H266">
            <v>0</v>
          </cell>
          <cell r="I266">
            <v>0</v>
          </cell>
        </row>
        <row r="267">
          <cell r="A267">
            <v>243</v>
          </cell>
          <cell r="B267">
            <v>52402</v>
          </cell>
          <cell r="C267">
            <v>0</v>
          </cell>
          <cell r="D267">
            <v>32413.313177607219</v>
          </cell>
          <cell r="E267">
            <v>0</v>
          </cell>
          <cell r="F267">
            <v>0</v>
          </cell>
          <cell r="G267">
            <v>0</v>
          </cell>
          <cell r="H267">
            <v>0</v>
          </cell>
          <cell r="I267">
            <v>0</v>
          </cell>
        </row>
        <row r="268">
          <cell r="A268">
            <v>244</v>
          </cell>
          <cell r="B268">
            <v>52432</v>
          </cell>
          <cell r="C268">
            <v>0</v>
          </cell>
          <cell r="D268">
            <v>32413.313177607219</v>
          </cell>
          <cell r="E268">
            <v>0</v>
          </cell>
          <cell r="F268">
            <v>0</v>
          </cell>
          <cell r="G268">
            <v>0</v>
          </cell>
          <cell r="H268">
            <v>0</v>
          </cell>
          <cell r="I268">
            <v>0</v>
          </cell>
        </row>
        <row r="269">
          <cell r="A269">
            <v>245</v>
          </cell>
          <cell r="B269">
            <v>52463</v>
          </cell>
          <cell r="C269">
            <v>0</v>
          </cell>
          <cell r="D269">
            <v>32413.313177607219</v>
          </cell>
          <cell r="E269">
            <v>0</v>
          </cell>
          <cell r="F269">
            <v>0</v>
          </cell>
          <cell r="G269">
            <v>0</v>
          </cell>
          <cell r="H269">
            <v>0</v>
          </cell>
          <cell r="I269">
            <v>0</v>
          </cell>
        </row>
        <row r="270">
          <cell r="A270">
            <v>246</v>
          </cell>
          <cell r="B270">
            <v>52494</v>
          </cell>
          <cell r="C270">
            <v>0</v>
          </cell>
          <cell r="D270">
            <v>32413.313177607219</v>
          </cell>
          <cell r="E270">
            <v>0</v>
          </cell>
          <cell r="F270">
            <v>0</v>
          </cell>
          <cell r="G270">
            <v>0</v>
          </cell>
          <cell r="H270">
            <v>0</v>
          </cell>
          <cell r="I270">
            <v>0</v>
          </cell>
        </row>
        <row r="271">
          <cell r="A271">
            <v>247</v>
          </cell>
          <cell r="B271">
            <v>52524</v>
          </cell>
          <cell r="C271">
            <v>0</v>
          </cell>
          <cell r="D271">
            <v>32413.313177607219</v>
          </cell>
          <cell r="E271">
            <v>0</v>
          </cell>
          <cell r="F271">
            <v>0</v>
          </cell>
          <cell r="G271">
            <v>0</v>
          </cell>
          <cell r="H271">
            <v>0</v>
          </cell>
          <cell r="I271">
            <v>0</v>
          </cell>
        </row>
        <row r="272">
          <cell r="A272">
            <v>248</v>
          </cell>
          <cell r="B272">
            <v>52555</v>
          </cell>
          <cell r="C272">
            <v>0</v>
          </cell>
          <cell r="D272">
            <v>32413.313177607219</v>
          </cell>
          <cell r="E272">
            <v>0</v>
          </cell>
          <cell r="F272">
            <v>0</v>
          </cell>
          <cell r="G272">
            <v>0</v>
          </cell>
          <cell r="H272">
            <v>0</v>
          </cell>
          <cell r="I272">
            <v>0</v>
          </cell>
        </row>
        <row r="273">
          <cell r="A273">
            <v>249</v>
          </cell>
          <cell r="B273">
            <v>52585</v>
          </cell>
          <cell r="C273">
            <v>0</v>
          </cell>
          <cell r="D273">
            <v>32413.313177607219</v>
          </cell>
          <cell r="E273">
            <v>0</v>
          </cell>
          <cell r="F273">
            <v>0</v>
          </cell>
          <cell r="G273">
            <v>0</v>
          </cell>
          <cell r="H273">
            <v>0</v>
          </cell>
          <cell r="I273">
            <v>0</v>
          </cell>
        </row>
        <row r="274">
          <cell r="A274">
            <v>250</v>
          </cell>
          <cell r="B274">
            <v>52616</v>
          </cell>
          <cell r="C274">
            <v>0</v>
          </cell>
          <cell r="D274">
            <v>32413.313177607219</v>
          </cell>
          <cell r="E274">
            <v>0</v>
          </cell>
          <cell r="F274">
            <v>0</v>
          </cell>
          <cell r="G274">
            <v>0</v>
          </cell>
          <cell r="H274">
            <v>0</v>
          </cell>
          <cell r="I274">
            <v>0</v>
          </cell>
        </row>
        <row r="275">
          <cell r="A275">
            <v>251</v>
          </cell>
          <cell r="B275">
            <v>52647</v>
          </cell>
          <cell r="C275">
            <v>0</v>
          </cell>
          <cell r="D275">
            <v>32413.313177607219</v>
          </cell>
          <cell r="E275">
            <v>0</v>
          </cell>
          <cell r="F275">
            <v>0</v>
          </cell>
          <cell r="G275">
            <v>0</v>
          </cell>
          <cell r="H275">
            <v>0</v>
          </cell>
          <cell r="I275">
            <v>0</v>
          </cell>
        </row>
        <row r="276">
          <cell r="A276">
            <v>252</v>
          </cell>
          <cell r="B276">
            <v>52676</v>
          </cell>
          <cell r="C276">
            <v>0</v>
          </cell>
          <cell r="D276">
            <v>32413.313177607219</v>
          </cell>
          <cell r="E276">
            <v>0</v>
          </cell>
          <cell r="F276">
            <v>0</v>
          </cell>
          <cell r="G276">
            <v>0</v>
          </cell>
          <cell r="H276">
            <v>0</v>
          </cell>
          <cell r="I276">
            <v>0</v>
          </cell>
        </row>
        <row r="277">
          <cell r="A277">
            <v>253</v>
          </cell>
          <cell r="B277">
            <v>52707</v>
          </cell>
          <cell r="C277">
            <v>0</v>
          </cell>
          <cell r="D277">
            <v>32413.313177607219</v>
          </cell>
          <cell r="E277">
            <v>0</v>
          </cell>
          <cell r="F277">
            <v>0</v>
          </cell>
          <cell r="G277">
            <v>0</v>
          </cell>
          <cell r="H277">
            <v>0</v>
          </cell>
          <cell r="I277">
            <v>0</v>
          </cell>
        </row>
        <row r="278">
          <cell r="A278">
            <v>254</v>
          </cell>
          <cell r="B278">
            <v>52737</v>
          </cell>
          <cell r="C278">
            <v>0</v>
          </cell>
          <cell r="D278">
            <v>32413.313177607219</v>
          </cell>
          <cell r="E278">
            <v>0</v>
          </cell>
          <cell r="F278">
            <v>0</v>
          </cell>
          <cell r="G278">
            <v>0</v>
          </cell>
          <cell r="H278">
            <v>0</v>
          </cell>
          <cell r="I278">
            <v>0</v>
          </cell>
        </row>
        <row r="279">
          <cell r="A279">
            <v>255</v>
          </cell>
          <cell r="B279">
            <v>52768</v>
          </cell>
          <cell r="C279">
            <v>0</v>
          </cell>
          <cell r="D279">
            <v>32413.313177607219</v>
          </cell>
          <cell r="E279">
            <v>0</v>
          </cell>
          <cell r="F279">
            <v>0</v>
          </cell>
          <cell r="G279">
            <v>0</v>
          </cell>
          <cell r="H279">
            <v>0</v>
          </cell>
          <cell r="I279">
            <v>0</v>
          </cell>
        </row>
        <row r="280">
          <cell r="A280">
            <v>256</v>
          </cell>
          <cell r="B280">
            <v>52798</v>
          </cell>
          <cell r="C280">
            <v>0</v>
          </cell>
          <cell r="D280">
            <v>32413.313177607219</v>
          </cell>
          <cell r="E280">
            <v>0</v>
          </cell>
          <cell r="F280">
            <v>0</v>
          </cell>
          <cell r="G280">
            <v>0</v>
          </cell>
          <cell r="H280">
            <v>0</v>
          </cell>
          <cell r="I280">
            <v>0</v>
          </cell>
        </row>
        <row r="281">
          <cell r="A281">
            <v>257</v>
          </cell>
          <cell r="B281">
            <v>52829</v>
          </cell>
          <cell r="C281">
            <v>0</v>
          </cell>
          <cell r="D281">
            <v>32413.313177607219</v>
          </cell>
          <cell r="E281">
            <v>0</v>
          </cell>
          <cell r="F281">
            <v>0</v>
          </cell>
          <cell r="G281">
            <v>0</v>
          </cell>
          <cell r="H281">
            <v>0</v>
          </cell>
          <cell r="I281">
            <v>0</v>
          </cell>
        </row>
        <row r="282">
          <cell r="A282">
            <v>258</v>
          </cell>
          <cell r="B282">
            <v>52860</v>
          </cell>
          <cell r="C282">
            <v>0</v>
          </cell>
          <cell r="D282">
            <v>32413.313177607219</v>
          </cell>
          <cell r="E282">
            <v>0</v>
          </cell>
          <cell r="F282">
            <v>0</v>
          </cell>
          <cell r="G282">
            <v>0</v>
          </cell>
          <cell r="H282">
            <v>0</v>
          </cell>
          <cell r="I282">
            <v>0</v>
          </cell>
        </row>
        <row r="283">
          <cell r="A283">
            <v>259</v>
          </cell>
          <cell r="B283">
            <v>52890</v>
          </cell>
          <cell r="C283">
            <v>0</v>
          </cell>
          <cell r="D283">
            <v>32413.313177607219</v>
          </cell>
          <cell r="E283">
            <v>0</v>
          </cell>
          <cell r="F283">
            <v>0</v>
          </cell>
          <cell r="G283">
            <v>0</v>
          </cell>
          <cell r="H283">
            <v>0</v>
          </cell>
          <cell r="I283">
            <v>0</v>
          </cell>
        </row>
        <row r="284">
          <cell r="A284">
            <v>260</v>
          </cell>
          <cell r="B284">
            <v>52921</v>
          </cell>
          <cell r="C284">
            <v>0</v>
          </cell>
          <cell r="D284">
            <v>32413.313177607219</v>
          </cell>
          <cell r="E284">
            <v>0</v>
          </cell>
          <cell r="F284">
            <v>0</v>
          </cell>
          <cell r="G284">
            <v>0</v>
          </cell>
          <cell r="H284">
            <v>0</v>
          </cell>
          <cell r="I284">
            <v>0</v>
          </cell>
        </row>
        <row r="285">
          <cell r="A285">
            <v>261</v>
          </cell>
          <cell r="B285">
            <v>52951</v>
          </cell>
          <cell r="C285">
            <v>0</v>
          </cell>
          <cell r="D285">
            <v>32413.313177607219</v>
          </cell>
          <cell r="E285">
            <v>0</v>
          </cell>
          <cell r="F285">
            <v>0</v>
          </cell>
          <cell r="G285">
            <v>0</v>
          </cell>
          <cell r="H285">
            <v>0</v>
          </cell>
          <cell r="I285">
            <v>0</v>
          </cell>
        </row>
        <row r="286">
          <cell r="A286">
            <v>262</v>
          </cell>
          <cell r="B286">
            <v>52982</v>
          </cell>
          <cell r="C286">
            <v>0</v>
          </cell>
          <cell r="D286">
            <v>32413.313177607219</v>
          </cell>
          <cell r="E286">
            <v>0</v>
          </cell>
          <cell r="F286">
            <v>0</v>
          </cell>
          <cell r="G286">
            <v>0</v>
          </cell>
          <cell r="H286">
            <v>0</v>
          </cell>
          <cell r="I286">
            <v>0</v>
          </cell>
        </row>
        <row r="287">
          <cell r="A287">
            <v>263</v>
          </cell>
          <cell r="B287">
            <v>53013</v>
          </cell>
          <cell r="C287">
            <v>0</v>
          </cell>
          <cell r="D287">
            <v>32413.313177607219</v>
          </cell>
          <cell r="E287">
            <v>0</v>
          </cell>
          <cell r="F287">
            <v>0</v>
          </cell>
          <cell r="G287">
            <v>0</v>
          </cell>
          <cell r="H287">
            <v>0</v>
          </cell>
          <cell r="I287">
            <v>0</v>
          </cell>
        </row>
        <row r="288">
          <cell r="A288">
            <v>264</v>
          </cell>
          <cell r="B288">
            <v>53041</v>
          </cell>
          <cell r="C288">
            <v>0</v>
          </cell>
          <cell r="D288">
            <v>32413.313177607219</v>
          </cell>
          <cell r="E288">
            <v>0</v>
          </cell>
          <cell r="F288">
            <v>0</v>
          </cell>
          <cell r="G288">
            <v>0</v>
          </cell>
          <cell r="H288">
            <v>0</v>
          </cell>
          <cell r="I288">
            <v>0</v>
          </cell>
        </row>
        <row r="289">
          <cell r="A289">
            <v>265</v>
          </cell>
          <cell r="B289">
            <v>53072</v>
          </cell>
          <cell r="C289">
            <v>0</v>
          </cell>
          <cell r="D289">
            <v>32413.313177607219</v>
          </cell>
          <cell r="E289">
            <v>0</v>
          </cell>
          <cell r="F289">
            <v>0</v>
          </cell>
          <cell r="G289">
            <v>0</v>
          </cell>
          <cell r="H289">
            <v>0</v>
          </cell>
          <cell r="I289">
            <v>0</v>
          </cell>
        </row>
        <row r="290">
          <cell r="A290">
            <v>266</v>
          </cell>
          <cell r="B290">
            <v>53102</v>
          </cell>
          <cell r="C290">
            <v>0</v>
          </cell>
          <cell r="D290">
            <v>32413.313177607219</v>
          </cell>
          <cell r="E290">
            <v>0</v>
          </cell>
          <cell r="F290">
            <v>0</v>
          </cell>
          <cell r="G290">
            <v>0</v>
          </cell>
          <cell r="H290">
            <v>0</v>
          </cell>
          <cell r="I290">
            <v>0</v>
          </cell>
        </row>
        <row r="291">
          <cell r="A291">
            <v>267</v>
          </cell>
          <cell r="B291">
            <v>53133</v>
          </cell>
          <cell r="C291">
            <v>0</v>
          </cell>
          <cell r="D291">
            <v>32413.313177607219</v>
          </cell>
          <cell r="E291">
            <v>0</v>
          </cell>
          <cell r="F291">
            <v>0</v>
          </cell>
          <cell r="G291">
            <v>0</v>
          </cell>
          <cell r="H291">
            <v>0</v>
          </cell>
          <cell r="I291">
            <v>0</v>
          </cell>
        </row>
        <row r="292">
          <cell r="A292">
            <v>268</v>
          </cell>
          <cell r="B292">
            <v>53163</v>
          </cell>
          <cell r="C292">
            <v>0</v>
          </cell>
          <cell r="D292">
            <v>32413.313177607219</v>
          </cell>
          <cell r="E292">
            <v>0</v>
          </cell>
          <cell r="F292">
            <v>0</v>
          </cell>
          <cell r="G292">
            <v>2614165.1313125151</v>
          </cell>
          <cell r="H292">
            <v>0</v>
          </cell>
          <cell r="I292">
            <v>0</v>
          </cell>
        </row>
        <row r="293">
          <cell r="A293">
            <v>269</v>
          </cell>
          <cell r="B293">
            <v>53194</v>
          </cell>
          <cell r="C293">
            <v>0</v>
          </cell>
          <cell r="D293">
            <v>32413.313177607219</v>
          </cell>
          <cell r="E293">
            <v>0</v>
          </cell>
          <cell r="F293">
            <v>0</v>
          </cell>
          <cell r="G293">
            <v>0</v>
          </cell>
          <cell r="H293">
            <v>0</v>
          </cell>
          <cell r="I293">
            <v>0</v>
          </cell>
        </row>
        <row r="294">
          <cell r="A294">
            <v>270</v>
          </cell>
          <cell r="B294">
            <v>53225</v>
          </cell>
          <cell r="C294">
            <v>0</v>
          </cell>
          <cell r="D294">
            <v>32413.313177607219</v>
          </cell>
          <cell r="E294">
            <v>0</v>
          </cell>
          <cell r="F294">
            <v>0</v>
          </cell>
          <cell r="G294">
            <v>0</v>
          </cell>
          <cell r="H294">
            <v>0</v>
          </cell>
          <cell r="I294">
            <v>0</v>
          </cell>
        </row>
        <row r="295">
          <cell r="A295">
            <v>271</v>
          </cell>
          <cell r="B295">
            <v>53255</v>
          </cell>
          <cell r="C295">
            <v>0</v>
          </cell>
          <cell r="D295">
            <v>32413.313177607219</v>
          </cell>
          <cell r="E295">
            <v>0</v>
          </cell>
          <cell r="F295">
            <v>0</v>
          </cell>
          <cell r="G295">
            <v>0</v>
          </cell>
          <cell r="H295">
            <v>0</v>
          </cell>
          <cell r="I295">
            <v>0</v>
          </cell>
        </row>
        <row r="296">
          <cell r="A296">
            <v>272</v>
          </cell>
          <cell r="B296">
            <v>53286</v>
          </cell>
          <cell r="C296">
            <v>0</v>
          </cell>
          <cell r="D296">
            <v>32413.313177607219</v>
          </cell>
          <cell r="E296">
            <v>0</v>
          </cell>
          <cell r="F296">
            <v>0</v>
          </cell>
          <cell r="G296">
            <v>0</v>
          </cell>
          <cell r="H296">
            <v>0</v>
          </cell>
          <cell r="I296">
            <v>0</v>
          </cell>
        </row>
        <row r="297">
          <cell r="A297">
            <v>273</v>
          </cell>
          <cell r="B297">
            <v>53316</v>
          </cell>
          <cell r="C297">
            <v>0</v>
          </cell>
          <cell r="D297">
            <v>32413.313177607219</v>
          </cell>
          <cell r="E297">
            <v>0</v>
          </cell>
          <cell r="F297">
            <v>0</v>
          </cell>
          <cell r="G297">
            <v>0</v>
          </cell>
          <cell r="H297">
            <v>0</v>
          </cell>
          <cell r="I297">
            <v>0</v>
          </cell>
        </row>
        <row r="298">
          <cell r="A298">
            <v>274</v>
          </cell>
          <cell r="B298">
            <v>53347</v>
          </cell>
          <cell r="C298">
            <v>0</v>
          </cell>
          <cell r="D298">
            <v>32413.313177607219</v>
          </cell>
          <cell r="E298">
            <v>0</v>
          </cell>
          <cell r="F298">
            <v>0</v>
          </cell>
          <cell r="G298">
            <v>0</v>
          </cell>
          <cell r="H298">
            <v>0</v>
          </cell>
          <cell r="I298">
            <v>0</v>
          </cell>
        </row>
        <row r="299">
          <cell r="A299">
            <v>275</v>
          </cell>
          <cell r="B299">
            <v>53378</v>
          </cell>
          <cell r="C299">
            <v>0</v>
          </cell>
          <cell r="D299">
            <v>32413.313177607219</v>
          </cell>
          <cell r="E299">
            <v>0</v>
          </cell>
          <cell r="F299">
            <v>0</v>
          </cell>
          <cell r="G299">
            <v>0</v>
          </cell>
          <cell r="H299">
            <v>0</v>
          </cell>
          <cell r="I299">
            <v>0</v>
          </cell>
        </row>
        <row r="300">
          <cell r="A300">
            <v>276</v>
          </cell>
          <cell r="B300">
            <v>53406</v>
          </cell>
          <cell r="C300">
            <v>0</v>
          </cell>
          <cell r="D300">
            <v>32413.313177607219</v>
          </cell>
          <cell r="E300">
            <v>0</v>
          </cell>
          <cell r="F300">
            <v>0</v>
          </cell>
          <cell r="G300">
            <v>0</v>
          </cell>
          <cell r="H300">
            <v>0</v>
          </cell>
          <cell r="I300">
            <v>0</v>
          </cell>
        </row>
        <row r="301">
          <cell r="A301">
            <v>277</v>
          </cell>
          <cell r="B301">
            <v>53437</v>
          </cell>
          <cell r="C301">
            <v>0</v>
          </cell>
          <cell r="D301">
            <v>32413.313177607219</v>
          </cell>
          <cell r="E301">
            <v>0</v>
          </cell>
          <cell r="F301">
            <v>0</v>
          </cell>
          <cell r="G301">
            <v>0</v>
          </cell>
          <cell r="H301">
            <v>0</v>
          </cell>
          <cell r="I301">
            <v>0</v>
          </cell>
        </row>
        <row r="302">
          <cell r="A302">
            <v>278</v>
          </cell>
          <cell r="B302">
            <v>53467</v>
          </cell>
          <cell r="C302">
            <v>0</v>
          </cell>
          <cell r="D302">
            <v>32413.313177607219</v>
          </cell>
          <cell r="E302">
            <v>0</v>
          </cell>
          <cell r="F302">
            <v>0</v>
          </cell>
          <cell r="G302">
            <v>0</v>
          </cell>
          <cell r="H302">
            <v>0</v>
          </cell>
          <cell r="I302">
            <v>0</v>
          </cell>
        </row>
        <row r="303">
          <cell r="A303">
            <v>279</v>
          </cell>
          <cell r="B303">
            <v>53498</v>
          </cell>
          <cell r="C303">
            <v>0</v>
          </cell>
          <cell r="D303">
            <v>32413.313177607219</v>
          </cell>
          <cell r="E303">
            <v>0</v>
          </cell>
          <cell r="F303">
            <v>0</v>
          </cell>
          <cell r="G303">
            <v>0</v>
          </cell>
          <cell r="H303">
            <v>0</v>
          </cell>
          <cell r="I303">
            <v>0</v>
          </cell>
        </row>
        <row r="304">
          <cell r="A304">
            <v>280</v>
          </cell>
          <cell r="B304">
            <v>53528</v>
          </cell>
          <cell r="C304">
            <v>0</v>
          </cell>
          <cell r="D304">
            <v>32413.313177607219</v>
          </cell>
          <cell r="E304">
            <v>0</v>
          </cell>
          <cell r="F304">
            <v>0</v>
          </cell>
          <cell r="G304">
            <v>0</v>
          </cell>
          <cell r="H304">
            <v>0</v>
          </cell>
          <cell r="I304">
            <v>0</v>
          </cell>
        </row>
        <row r="305">
          <cell r="A305">
            <v>281</v>
          </cell>
          <cell r="B305">
            <v>53559</v>
          </cell>
          <cell r="C305">
            <v>0</v>
          </cell>
          <cell r="D305">
            <v>32413.313177607219</v>
          </cell>
          <cell r="E305">
            <v>0</v>
          </cell>
          <cell r="F305">
            <v>0</v>
          </cell>
          <cell r="G305">
            <v>0</v>
          </cell>
          <cell r="H305">
            <v>0</v>
          </cell>
          <cell r="I305">
            <v>0</v>
          </cell>
        </row>
        <row r="306">
          <cell r="A306">
            <v>282</v>
          </cell>
          <cell r="B306">
            <v>53590</v>
          </cell>
          <cell r="C306">
            <v>0</v>
          </cell>
          <cell r="D306">
            <v>32413.313177607219</v>
          </cell>
          <cell r="E306">
            <v>0</v>
          </cell>
          <cell r="F306">
            <v>0</v>
          </cell>
          <cell r="G306">
            <v>0</v>
          </cell>
          <cell r="H306">
            <v>0</v>
          </cell>
          <cell r="I306">
            <v>0</v>
          </cell>
        </row>
        <row r="307">
          <cell r="A307">
            <v>283</v>
          </cell>
          <cell r="B307">
            <v>53620</v>
          </cell>
          <cell r="C307">
            <v>0</v>
          </cell>
          <cell r="D307">
            <v>32413.313177607219</v>
          </cell>
          <cell r="E307">
            <v>0</v>
          </cell>
          <cell r="F307">
            <v>0</v>
          </cell>
          <cell r="G307">
            <v>0</v>
          </cell>
          <cell r="H307">
            <v>0</v>
          </cell>
          <cell r="I307">
            <v>0</v>
          </cell>
        </row>
        <row r="308">
          <cell r="A308">
            <v>284</v>
          </cell>
          <cell r="B308">
            <v>53651</v>
          </cell>
          <cell r="C308">
            <v>0</v>
          </cell>
          <cell r="D308">
            <v>32413.313177607219</v>
          </cell>
          <cell r="E308">
            <v>0</v>
          </cell>
          <cell r="F308">
            <v>0</v>
          </cell>
          <cell r="G308">
            <v>0</v>
          </cell>
          <cell r="H308">
            <v>0</v>
          </cell>
          <cell r="I308">
            <v>0</v>
          </cell>
        </row>
        <row r="309">
          <cell r="A309">
            <v>285</v>
          </cell>
          <cell r="B309">
            <v>53681</v>
          </cell>
          <cell r="C309">
            <v>0</v>
          </cell>
          <cell r="D309">
            <v>32413.313177607219</v>
          </cell>
          <cell r="E309">
            <v>0</v>
          </cell>
          <cell r="F309">
            <v>0</v>
          </cell>
          <cell r="G309">
            <v>0</v>
          </cell>
          <cell r="H309">
            <v>0</v>
          </cell>
          <cell r="I309">
            <v>0</v>
          </cell>
        </row>
        <row r="310">
          <cell r="A310">
            <v>286</v>
          </cell>
          <cell r="B310">
            <v>53712</v>
          </cell>
          <cell r="C310">
            <v>0</v>
          </cell>
          <cell r="D310">
            <v>32413.313177607219</v>
          </cell>
          <cell r="E310">
            <v>0</v>
          </cell>
          <cell r="F310">
            <v>0</v>
          </cell>
          <cell r="G310">
            <v>0</v>
          </cell>
          <cell r="H310">
            <v>0</v>
          </cell>
          <cell r="I310">
            <v>0</v>
          </cell>
        </row>
        <row r="311">
          <cell r="A311">
            <v>287</v>
          </cell>
          <cell r="B311">
            <v>53743</v>
          </cell>
          <cell r="C311">
            <v>0</v>
          </cell>
          <cell r="D311">
            <v>32413.313177607219</v>
          </cell>
          <cell r="E311">
            <v>0</v>
          </cell>
          <cell r="F311">
            <v>0</v>
          </cell>
          <cell r="G311">
            <v>0</v>
          </cell>
          <cell r="H311">
            <v>0</v>
          </cell>
          <cell r="I311">
            <v>0</v>
          </cell>
        </row>
        <row r="312">
          <cell r="A312">
            <v>288</v>
          </cell>
          <cell r="B312">
            <v>53771</v>
          </cell>
          <cell r="C312">
            <v>0</v>
          </cell>
          <cell r="D312">
            <v>32413.313177607219</v>
          </cell>
          <cell r="E312">
            <v>0</v>
          </cell>
          <cell r="F312">
            <v>0</v>
          </cell>
          <cell r="G312">
            <v>0</v>
          </cell>
          <cell r="H312">
            <v>0</v>
          </cell>
          <cell r="I312">
            <v>0</v>
          </cell>
        </row>
        <row r="313">
          <cell r="A313">
            <v>289</v>
          </cell>
          <cell r="B313">
            <v>53802</v>
          </cell>
          <cell r="C313">
            <v>0</v>
          </cell>
          <cell r="D313">
            <v>32413.313177607219</v>
          </cell>
          <cell r="E313">
            <v>0</v>
          </cell>
          <cell r="F313">
            <v>0</v>
          </cell>
          <cell r="G313">
            <v>0</v>
          </cell>
          <cell r="H313">
            <v>0</v>
          </cell>
          <cell r="I313">
            <v>0</v>
          </cell>
        </row>
        <row r="314">
          <cell r="A314">
            <v>290</v>
          </cell>
          <cell r="B314">
            <v>53832</v>
          </cell>
          <cell r="C314">
            <v>0</v>
          </cell>
          <cell r="D314">
            <v>32413.313177607219</v>
          </cell>
          <cell r="E314">
            <v>0</v>
          </cell>
          <cell r="F314">
            <v>0</v>
          </cell>
          <cell r="G314">
            <v>0</v>
          </cell>
          <cell r="H314">
            <v>0</v>
          </cell>
          <cell r="I314">
            <v>0</v>
          </cell>
        </row>
        <row r="315">
          <cell r="A315">
            <v>291</v>
          </cell>
          <cell r="B315">
            <v>53863</v>
          </cell>
          <cell r="C315">
            <v>0</v>
          </cell>
          <cell r="D315">
            <v>32413.313177607219</v>
          </cell>
          <cell r="E315">
            <v>0</v>
          </cell>
          <cell r="F315">
            <v>0</v>
          </cell>
          <cell r="G315">
            <v>0</v>
          </cell>
          <cell r="H315">
            <v>0</v>
          </cell>
          <cell r="I315">
            <v>0</v>
          </cell>
        </row>
        <row r="316">
          <cell r="A316">
            <v>292</v>
          </cell>
          <cell r="B316">
            <v>53893</v>
          </cell>
          <cell r="C316">
            <v>0</v>
          </cell>
          <cell r="D316">
            <v>32413.313177607219</v>
          </cell>
          <cell r="E316">
            <v>0</v>
          </cell>
          <cell r="F316">
            <v>0</v>
          </cell>
          <cell r="G316">
            <v>0</v>
          </cell>
          <cell r="H316">
            <v>0</v>
          </cell>
          <cell r="I316">
            <v>0</v>
          </cell>
        </row>
        <row r="317">
          <cell r="A317">
            <v>293</v>
          </cell>
          <cell r="B317">
            <v>53924</v>
          </cell>
          <cell r="C317">
            <v>0</v>
          </cell>
          <cell r="D317">
            <v>32413.313177607219</v>
          </cell>
          <cell r="E317">
            <v>0</v>
          </cell>
          <cell r="F317">
            <v>0</v>
          </cell>
          <cell r="G317">
            <v>0</v>
          </cell>
          <cell r="H317">
            <v>0</v>
          </cell>
          <cell r="I317">
            <v>0</v>
          </cell>
        </row>
        <row r="318">
          <cell r="A318">
            <v>294</v>
          </cell>
          <cell r="B318">
            <v>53955</v>
          </cell>
          <cell r="C318">
            <v>0</v>
          </cell>
          <cell r="D318">
            <v>32413.313177607219</v>
          </cell>
          <cell r="E318">
            <v>0</v>
          </cell>
          <cell r="F318">
            <v>0</v>
          </cell>
          <cell r="G318">
            <v>0</v>
          </cell>
          <cell r="H318">
            <v>0</v>
          </cell>
          <cell r="I318">
            <v>0</v>
          </cell>
        </row>
        <row r="319">
          <cell r="A319">
            <v>295</v>
          </cell>
          <cell r="B319">
            <v>53985</v>
          </cell>
          <cell r="C319">
            <v>0</v>
          </cell>
          <cell r="D319">
            <v>32413.313177607219</v>
          </cell>
          <cell r="E319">
            <v>0</v>
          </cell>
          <cell r="F319">
            <v>0</v>
          </cell>
          <cell r="G319">
            <v>0</v>
          </cell>
          <cell r="H319">
            <v>0</v>
          </cell>
          <cell r="I319">
            <v>0</v>
          </cell>
        </row>
        <row r="320">
          <cell r="A320">
            <v>296</v>
          </cell>
          <cell r="B320">
            <v>54016</v>
          </cell>
          <cell r="C320">
            <v>0</v>
          </cell>
          <cell r="D320">
            <v>32413.313177607219</v>
          </cell>
          <cell r="E320">
            <v>0</v>
          </cell>
          <cell r="F320">
            <v>0</v>
          </cell>
          <cell r="G320">
            <v>0</v>
          </cell>
          <cell r="H320">
            <v>0</v>
          </cell>
          <cell r="I320">
            <v>0</v>
          </cell>
        </row>
        <row r="321">
          <cell r="A321">
            <v>297</v>
          </cell>
          <cell r="B321">
            <v>54046</v>
          </cell>
          <cell r="C321">
            <v>0</v>
          </cell>
          <cell r="D321">
            <v>32413.313177607219</v>
          </cell>
          <cell r="E321">
            <v>0</v>
          </cell>
          <cell r="F321">
            <v>0</v>
          </cell>
          <cell r="G321">
            <v>0</v>
          </cell>
          <cell r="H321">
            <v>0</v>
          </cell>
          <cell r="I321">
            <v>0</v>
          </cell>
        </row>
        <row r="322">
          <cell r="A322">
            <v>298</v>
          </cell>
          <cell r="B322">
            <v>54077</v>
          </cell>
          <cell r="C322">
            <v>0</v>
          </cell>
          <cell r="D322">
            <v>32413.313177607219</v>
          </cell>
          <cell r="E322">
            <v>0</v>
          </cell>
          <cell r="F322">
            <v>0</v>
          </cell>
          <cell r="G322">
            <v>0</v>
          </cell>
          <cell r="H322">
            <v>0</v>
          </cell>
          <cell r="I322">
            <v>0</v>
          </cell>
        </row>
        <row r="323">
          <cell r="A323">
            <v>299</v>
          </cell>
          <cell r="B323">
            <v>54108</v>
          </cell>
          <cell r="C323">
            <v>0</v>
          </cell>
          <cell r="D323">
            <v>32413.313177607219</v>
          </cell>
          <cell r="E323">
            <v>0</v>
          </cell>
          <cell r="F323">
            <v>0</v>
          </cell>
          <cell r="G323">
            <v>0</v>
          </cell>
          <cell r="H323">
            <v>0</v>
          </cell>
          <cell r="I323">
            <v>0</v>
          </cell>
        </row>
        <row r="324">
          <cell r="A324">
            <v>300</v>
          </cell>
          <cell r="B324">
            <v>54137</v>
          </cell>
          <cell r="C324">
            <v>0</v>
          </cell>
          <cell r="D324">
            <v>32413.313177607219</v>
          </cell>
          <cell r="E324">
            <v>0</v>
          </cell>
          <cell r="F324">
            <v>0</v>
          </cell>
          <cell r="G324">
            <v>0</v>
          </cell>
          <cell r="H324">
            <v>0</v>
          </cell>
          <cell r="I324">
            <v>0</v>
          </cell>
        </row>
        <row r="325">
          <cell r="A325">
            <v>301</v>
          </cell>
          <cell r="B325">
            <v>54168</v>
          </cell>
          <cell r="C325">
            <v>0</v>
          </cell>
          <cell r="D325">
            <v>32413.313177607219</v>
          </cell>
          <cell r="E325">
            <v>0</v>
          </cell>
          <cell r="F325">
            <v>0</v>
          </cell>
          <cell r="G325">
            <v>0</v>
          </cell>
          <cell r="H325">
            <v>0</v>
          </cell>
          <cell r="I325">
            <v>0</v>
          </cell>
        </row>
        <row r="326">
          <cell r="A326">
            <v>302</v>
          </cell>
          <cell r="B326">
            <v>54198</v>
          </cell>
          <cell r="C326">
            <v>0</v>
          </cell>
          <cell r="D326">
            <v>32413.313177607219</v>
          </cell>
          <cell r="E326">
            <v>0</v>
          </cell>
          <cell r="F326">
            <v>0</v>
          </cell>
          <cell r="G326">
            <v>0</v>
          </cell>
          <cell r="H326">
            <v>0</v>
          </cell>
          <cell r="I326">
            <v>0</v>
          </cell>
        </row>
        <row r="327">
          <cell r="A327">
            <v>303</v>
          </cell>
          <cell r="B327">
            <v>54229</v>
          </cell>
          <cell r="C327">
            <v>0</v>
          </cell>
          <cell r="D327">
            <v>32413.313177607219</v>
          </cell>
          <cell r="E327">
            <v>0</v>
          </cell>
          <cell r="F327">
            <v>0</v>
          </cell>
          <cell r="G327">
            <v>0</v>
          </cell>
          <cell r="H327">
            <v>0</v>
          </cell>
          <cell r="I327">
            <v>0</v>
          </cell>
        </row>
        <row r="328">
          <cell r="A328">
            <v>304</v>
          </cell>
          <cell r="B328">
            <v>54259</v>
          </cell>
          <cell r="C328">
            <v>0</v>
          </cell>
          <cell r="D328">
            <v>32413.313177607219</v>
          </cell>
          <cell r="E328">
            <v>0</v>
          </cell>
          <cell r="F328">
            <v>0</v>
          </cell>
          <cell r="G328">
            <v>0</v>
          </cell>
          <cell r="H328">
            <v>0</v>
          </cell>
          <cell r="I328">
            <v>0</v>
          </cell>
        </row>
        <row r="329">
          <cell r="A329">
            <v>305</v>
          </cell>
          <cell r="B329">
            <v>54290</v>
          </cell>
          <cell r="C329">
            <v>0</v>
          </cell>
          <cell r="D329">
            <v>32413.313177607219</v>
          </cell>
          <cell r="E329">
            <v>0</v>
          </cell>
          <cell r="F329">
            <v>0</v>
          </cell>
          <cell r="G329">
            <v>0</v>
          </cell>
          <cell r="H329">
            <v>0</v>
          </cell>
          <cell r="I329">
            <v>0</v>
          </cell>
        </row>
        <row r="330">
          <cell r="A330">
            <v>306</v>
          </cell>
          <cell r="B330">
            <v>54321</v>
          </cell>
          <cell r="C330">
            <v>0</v>
          </cell>
          <cell r="D330">
            <v>32413.313177607219</v>
          </cell>
          <cell r="E330">
            <v>0</v>
          </cell>
          <cell r="F330">
            <v>0</v>
          </cell>
          <cell r="G330">
            <v>0</v>
          </cell>
          <cell r="H330">
            <v>0</v>
          </cell>
          <cell r="I330">
            <v>0</v>
          </cell>
        </row>
        <row r="331">
          <cell r="A331">
            <v>307</v>
          </cell>
          <cell r="B331">
            <v>54351</v>
          </cell>
          <cell r="C331">
            <v>0</v>
          </cell>
          <cell r="D331">
            <v>32413.313177607219</v>
          </cell>
          <cell r="E331">
            <v>0</v>
          </cell>
          <cell r="F331">
            <v>0</v>
          </cell>
          <cell r="G331">
            <v>0</v>
          </cell>
          <cell r="H331">
            <v>0</v>
          </cell>
          <cell r="I331">
            <v>0</v>
          </cell>
        </row>
        <row r="332">
          <cell r="A332">
            <v>308</v>
          </cell>
          <cell r="B332">
            <v>54382</v>
          </cell>
          <cell r="C332">
            <v>0</v>
          </cell>
          <cell r="D332">
            <v>32413.313177607219</v>
          </cell>
          <cell r="E332">
            <v>0</v>
          </cell>
          <cell r="F332">
            <v>0</v>
          </cell>
          <cell r="G332">
            <v>0</v>
          </cell>
          <cell r="H332">
            <v>0</v>
          </cell>
          <cell r="I332">
            <v>0</v>
          </cell>
        </row>
        <row r="333">
          <cell r="A333">
            <v>309</v>
          </cell>
          <cell r="B333">
            <v>54412</v>
          </cell>
          <cell r="C333">
            <v>0</v>
          </cell>
          <cell r="D333">
            <v>32413.313177607219</v>
          </cell>
          <cell r="E333">
            <v>0</v>
          </cell>
          <cell r="F333">
            <v>0</v>
          </cell>
          <cell r="G333">
            <v>0</v>
          </cell>
          <cell r="H333">
            <v>0</v>
          </cell>
          <cell r="I333">
            <v>0</v>
          </cell>
        </row>
        <row r="334">
          <cell r="A334">
            <v>310</v>
          </cell>
          <cell r="B334">
            <v>54443</v>
          </cell>
          <cell r="C334">
            <v>0</v>
          </cell>
          <cell r="D334">
            <v>32413.313177607219</v>
          </cell>
          <cell r="E334">
            <v>0</v>
          </cell>
          <cell r="F334">
            <v>0</v>
          </cell>
          <cell r="G334">
            <v>0</v>
          </cell>
          <cell r="H334">
            <v>0</v>
          </cell>
          <cell r="I334">
            <v>0</v>
          </cell>
        </row>
        <row r="335">
          <cell r="A335">
            <v>311</v>
          </cell>
          <cell r="B335">
            <v>54474</v>
          </cell>
          <cell r="C335">
            <v>0</v>
          </cell>
          <cell r="D335">
            <v>32413.313177607219</v>
          </cell>
          <cell r="E335">
            <v>0</v>
          </cell>
          <cell r="F335">
            <v>0</v>
          </cell>
          <cell r="G335">
            <v>0</v>
          </cell>
          <cell r="H335">
            <v>0</v>
          </cell>
          <cell r="I335">
            <v>0</v>
          </cell>
        </row>
        <row r="336">
          <cell r="A336">
            <v>312</v>
          </cell>
          <cell r="B336">
            <v>54502</v>
          </cell>
          <cell r="C336">
            <v>0</v>
          </cell>
          <cell r="D336">
            <v>32413.313177607219</v>
          </cell>
          <cell r="E336">
            <v>0</v>
          </cell>
          <cell r="F336">
            <v>0</v>
          </cell>
          <cell r="G336">
            <v>0</v>
          </cell>
          <cell r="H336">
            <v>0</v>
          </cell>
          <cell r="I336">
            <v>0</v>
          </cell>
        </row>
        <row r="337">
          <cell r="A337">
            <v>313</v>
          </cell>
          <cell r="B337">
            <v>54533</v>
          </cell>
          <cell r="C337">
            <v>0</v>
          </cell>
          <cell r="D337">
            <v>32413.313177607219</v>
          </cell>
          <cell r="E337">
            <v>0</v>
          </cell>
          <cell r="F337">
            <v>0</v>
          </cell>
          <cell r="G337">
            <v>0</v>
          </cell>
          <cell r="H337">
            <v>0</v>
          </cell>
          <cell r="I337">
            <v>0</v>
          </cell>
        </row>
        <row r="338">
          <cell r="A338">
            <v>314</v>
          </cell>
          <cell r="B338">
            <v>54563</v>
          </cell>
          <cell r="C338">
            <v>0</v>
          </cell>
          <cell r="D338">
            <v>32413.313177607219</v>
          </cell>
          <cell r="E338">
            <v>0</v>
          </cell>
          <cell r="F338">
            <v>0</v>
          </cell>
          <cell r="G338">
            <v>0</v>
          </cell>
          <cell r="H338">
            <v>0</v>
          </cell>
          <cell r="I338">
            <v>0</v>
          </cell>
        </row>
        <row r="339">
          <cell r="A339">
            <v>315</v>
          </cell>
          <cell r="B339">
            <v>54594</v>
          </cell>
          <cell r="C339">
            <v>0</v>
          </cell>
          <cell r="D339">
            <v>32413.313177607219</v>
          </cell>
          <cell r="E339">
            <v>0</v>
          </cell>
          <cell r="F339">
            <v>0</v>
          </cell>
          <cell r="G339">
            <v>0</v>
          </cell>
          <cell r="H339">
            <v>0</v>
          </cell>
          <cell r="I339">
            <v>0</v>
          </cell>
        </row>
        <row r="340">
          <cell r="A340">
            <v>316</v>
          </cell>
          <cell r="B340">
            <v>54624</v>
          </cell>
          <cell r="C340">
            <v>0</v>
          </cell>
          <cell r="D340">
            <v>32413.313177607219</v>
          </cell>
          <cell r="E340">
            <v>0</v>
          </cell>
          <cell r="F340">
            <v>0</v>
          </cell>
          <cell r="G340">
            <v>0</v>
          </cell>
          <cell r="H340">
            <v>0</v>
          </cell>
          <cell r="I340">
            <v>0</v>
          </cell>
        </row>
        <row r="341">
          <cell r="A341">
            <v>317</v>
          </cell>
          <cell r="B341">
            <v>54655</v>
          </cell>
          <cell r="C341">
            <v>0</v>
          </cell>
          <cell r="D341">
            <v>32413.313177607219</v>
          </cell>
          <cell r="E341">
            <v>0</v>
          </cell>
          <cell r="F341">
            <v>0</v>
          </cell>
          <cell r="G341">
            <v>0</v>
          </cell>
          <cell r="H341">
            <v>0</v>
          </cell>
          <cell r="I341">
            <v>0</v>
          </cell>
        </row>
        <row r="342">
          <cell r="A342">
            <v>318</v>
          </cell>
          <cell r="B342">
            <v>54686</v>
          </cell>
          <cell r="C342">
            <v>0</v>
          </cell>
          <cell r="D342">
            <v>32413.313177607219</v>
          </cell>
          <cell r="E342">
            <v>0</v>
          </cell>
          <cell r="F342">
            <v>0</v>
          </cell>
          <cell r="G342">
            <v>0</v>
          </cell>
          <cell r="H342">
            <v>0</v>
          </cell>
          <cell r="I342">
            <v>0</v>
          </cell>
        </row>
        <row r="343">
          <cell r="A343">
            <v>319</v>
          </cell>
          <cell r="B343">
            <v>54716</v>
          </cell>
          <cell r="C343">
            <v>0</v>
          </cell>
          <cell r="D343">
            <v>32413.313177607219</v>
          </cell>
          <cell r="E343">
            <v>0</v>
          </cell>
          <cell r="F343">
            <v>0</v>
          </cell>
          <cell r="G343">
            <v>0</v>
          </cell>
          <cell r="H343">
            <v>0</v>
          </cell>
          <cell r="I343">
            <v>0</v>
          </cell>
        </row>
        <row r="344">
          <cell r="A344">
            <v>320</v>
          </cell>
          <cell r="B344">
            <v>54747</v>
          </cell>
          <cell r="C344">
            <v>0</v>
          </cell>
          <cell r="D344">
            <v>32413.313177607219</v>
          </cell>
          <cell r="E344">
            <v>0</v>
          </cell>
          <cell r="F344">
            <v>0</v>
          </cell>
          <cell r="G344">
            <v>0</v>
          </cell>
          <cell r="H344">
            <v>0</v>
          </cell>
          <cell r="I344">
            <v>0</v>
          </cell>
        </row>
        <row r="345">
          <cell r="A345">
            <v>321</v>
          </cell>
          <cell r="B345">
            <v>54777</v>
          </cell>
          <cell r="C345">
            <v>0</v>
          </cell>
          <cell r="D345">
            <v>32413.313177607219</v>
          </cell>
          <cell r="E345">
            <v>0</v>
          </cell>
          <cell r="F345">
            <v>0</v>
          </cell>
          <cell r="G345">
            <v>0</v>
          </cell>
          <cell r="H345">
            <v>0</v>
          </cell>
          <cell r="I345">
            <v>0</v>
          </cell>
        </row>
        <row r="346">
          <cell r="A346">
            <v>322</v>
          </cell>
          <cell r="B346">
            <v>54808</v>
          </cell>
          <cell r="C346">
            <v>0</v>
          </cell>
          <cell r="D346">
            <v>32413.313177607219</v>
          </cell>
          <cell r="E346">
            <v>0</v>
          </cell>
          <cell r="F346">
            <v>0</v>
          </cell>
          <cell r="G346">
            <v>0</v>
          </cell>
          <cell r="H346">
            <v>0</v>
          </cell>
          <cell r="I346">
            <v>0</v>
          </cell>
        </row>
        <row r="347">
          <cell r="A347">
            <v>323</v>
          </cell>
          <cell r="B347">
            <v>54839</v>
          </cell>
          <cell r="C347">
            <v>0</v>
          </cell>
          <cell r="D347">
            <v>32413.313177607219</v>
          </cell>
          <cell r="E347">
            <v>0</v>
          </cell>
          <cell r="F347">
            <v>0</v>
          </cell>
          <cell r="G347">
            <v>0</v>
          </cell>
          <cell r="H347">
            <v>0</v>
          </cell>
          <cell r="I347">
            <v>0</v>
          </cell>
        </row>
        <row r="348">
          <cell r="A348">
            <v>324</v>
          </cell>
          <cell r="B348">
            <v>54867</v>
          </cell>
          <cell r="C348">
            <v>0</v>
          </cell>
          <cell r="D348">
            <v>32413.313177607219</v>
          </cell>
          <cell r="E348">
            <v>0</v>
          </cell>
          <cell r="F348">
            <v>0</v>
          </cell>
          <cell r="G348">
            <v>0</v>
          </cell>
          <cell r="H348">
            <v>0</v>
          </cell>
          <cell r="I348">
            <v>0</v>
          </cell>
        </row>
        <row r="349">
          <cell r="A349">
            <v>325</v>
          </cell>
          <cell r="B349">
            <v>54898</v>
          </cell>
          <cell r="C349">
            <v>0</v>
          </cell>
          <cell r="D349">
            <v>32413.313177607219</v>
          </cell>
          <cell r="E349">
            <v>0</v>
          </cell>
          <cell r="F349">
            <v>0</v>
          </cell>
          <cell r="G349">
            <v>0</v>
          </cell>
          <cell r="H349">
            <v>0</v>
          </cell>
          <cell r="I349">
            <v>0</v>
          </cell>
        </row>
        <row r="350">
          <cell r="A350">
            <v>326</v>
          </cell>
          <cell r="B350">
            <v>54928</v>
          </cell>
          <cell r="C350">
            <v>0</v>
          </cell>
          <cell r="D350">
            <v>32413.313177607219</v>
          </cell>
          <cell r="E350">
            <v>0</v>
          </cell>
          <cell r="F350">
            <v>0</v>
          </cell>
          <cell r="G350">
            <v>0</v>
          </cell>
          <cell r="H350">
            <v>0</v>
          </cell>
          <cell r="I350">
            <v>0</v>
          </cell>
        </row>
        <row r="351">
          <cell r="A351">
            <v>327</v>
          </cell>
          <cell r="B351">
            <v>54959</v>
          </cell>
          <cell r="C351">
            <v>0</v>
          </cell>
          <cell r="D351">
            <v>32413.313177607219</v>
          </cell>
          <cell r="E351">
            <v>0</v>
          </cell>
          <cell r="F351">
            <v>0</v>
          </cell>
          <cell r="G351">
            <v>0</v>
          </cell>
          <cell r="H351">
            <v>0</v>
          </cell>
          <cell r="I351">
            <v>0</v>
          </cell>
        </row>
        <row r="352">
          <cell r="A352">
            <v>328</v>
          </cell>
          <cell r="B352">
            <v>54989</v>
          </cell>
          <cell r="C352">
            <v>0</v>
          </cell>
          <cell r="D352">
            <v>32413.313177607219</v>
          </cell>
          <cell r="E352">
            <v>0</v>
          </cell>
          <cell r="F352">
            <v>0</v>
          </cell>
          <cell r="G352">
            <v>0</v>
          </cell>
          <cell r="H352">
            <v>0</v>
          </cell>
          <cell r="I352">
            <v>0</v>
          </cell>
        </row>
        <row r="353">
          <cell r="A353">
            <v>329</v>
          </cell>
          <cell r="B353">
            <v>55020</v>
          </cell>
          <cell r="C353">
            <v>0</v>
          </cell>
          <cell r="D353">
            <v>32413.313177607219</v>
          </cell>
          <cell r="E353">
            <v>0</v>
          </cell>
          <cell r="F353">
            <v>0</v>
          </cell>
          <cell r="G353">
            <v>0</v>
          </cell>
          <cell r="H353">
            <v>0</v>
          </cell>
          <cell r="I353">
            <v>0</v>
          </cell>
        </row>
        <row r="354">
          <cell r="A354">
            <v>330</v>
          </cell>
          <cell r="B354">
            <v>55051</v>
          </cell>
          <cell r="C354">
            <v>0</v>
          </cell>
          <cell r="D354">
            <v>32413.313177607219</v>
          </cell>
          <cell r="E354">
            <v>0</v>
          </cell>
          <cell r="F354">
            <v>0</v>
          </cell>
          <cell r="G354">
            <v>0</v>
          </cell>
          <cell r="H354">
            <v>0</v>
          </cell>
          <cell r="I354">
            <v>0</v>
          </cell>
        </row>
        <row r="355">
          <cell r="A355">
            <v>331</v>
          </cell>
          <cell r="B355">
            <v>55081</v>
          </cell>
          <cell r="C355">
            <v>0</v>
          </cell>
          <cell r="D355">
            <v>32413.313177607219</v>
          </cell>
          <cell r="E355">
            <v>0</v>
          </cell>
          <cell r="F355">
            <v>0</v>
          </cell>
          <cell r="G355">
            <v>0</v>
          </cell>
          <cell r="H355">
            <v>0</v>
          </cell>
          <cell r="I355">
            <v>0</v>
          </cell>
        </row>
        <row r="356">
          <cell r="A356">
            <v>332</v>
          </cell>
          <cell r="B356">
            <v>55112</v>
          </cell>
          <cell r="C356">
            <v>0</v>
          </cell>
          <cell r="D356">
            <v>32413.313177607219</v>
          </cell>
          <cell r="E356">
            <v>0</v>
          </cell>
          <cell r="F356">
            <v>0</v>
          </cell>
          <cell r="G356">
            <v>0</v>
          </cell>
          <cell r="H356">
            <v>0</v>
          </cell>
          <cell r="I356">
            <v>0</v>
          </cell>
        </row>
        <row r="357">
          <cell r="A357">
            <v>333</v>
          </cell>
          <cell r="B357">
            <v>55142</v>
          </cell>
          <cell r="C357">
            <v>0</v>
          </cell>
          <cell r="D357">
            <v>32413.313177607219</v>
          </cell>
          <cell r="E357">
            <v>0</v>
          </cell>
          <cell r="F357">
            <v>0</v>
          </cell>
          <cell r="G357">
            <v>0</v>
          </cell>
          <cell r="H357">
            <v>0</v>
          </cell>
          <cell r="I357">
            <v>0</v>
          </cell>
        </row>
        <row r="358">
          <cell r="A358">
            <v>334</v>
          </cell>
          <cell r="B358">
            <v>55173</v>
          </cell>
          <cell r="C358">
            <v>0</v>
          </cell>
          <cell r="D358">
            <v>32413.313177607219</v>
          </cell>
          <cell r="E358">
            <v>0</v>
          </cell>
          <cell r="F358">
            <v>0</v>
          </cell>
          <cell r="G358">
            <v>0</v>
          </cell>
          <cell r="H358">
            <v>0</v>
          </cell>
          <cell r="I358">
            <v>0</v>
          </cell>
        </row>
        <row r="359">
          <cell r="A359">
            <v>335</v>
          </cell>
          <cell r="B359">
            <v>55204</v>
          </cell>
          <cell r="C359">
            <v>0</v>
          </cell>
          <cell r="D359">
            <v>32413.313177607219</v>
          </cell>
          <cell r="E359">
            <v>0</v>
          </cell>
          <cell r="F359">
            <v>0</v>
          </cell>
          <cell r="G359">
            <v>0</v>
          </cell>
          <cell r="H359">
            <v>0</v>
          </cell>
          <cell r="I359">
            <v>0</v>
          </cell>
        </row>
        <row r="360">
          <cell r="A360">
            <v>336</v>
          </cell>
          <cell r="B360">
            <v>55232</v>
          </cell>
          <cell r="C360">
            <v>0</v>
          </cell>
          <cell r="D360">
            <v>32413.313177607219</v>
          </cell>
          <cell r="E360">
            <v>0</v>
          </cell>
          <cell r="F360">
            <v>0</v>
          </cell>
          <cell r="G360">
            <v>0</v>
          </cell>
          <cell r="H360">
            <v>0</v>
          </cell>
          <cell r="I360">
            <v>0</v>
          </cell>
        </row>
        <row r="361">
          <cell r="A361">
            <v>337</v>
          </cell>
          <cell r="B361">
            <v>55263</v>
          </cell>
          <cell r="C361">
            <v>0</v>
          </cell>
          <cell r="D361">
            <v>32413.313177607219</v>
          </cell>
          <cell r="E361">
            <v>0</v>
          </cell>
          <cell r="F361">
            <v>0</v>
          </cell>
          <cell r="G361">
            <v>0</v>
          </cell>
          <cell r="H361">
            <v>0</v>
          </cell>
          <cell r="I361">
            <v>0</v>
          </cell>
        </row>
        <row r="362">
          <cell r="A362">
            <v>338</v>
          </cell>
          <cell r="B362">
            <v>55293</v>
          </cell>
          <cell r="C362">
            <v>0</v>
          </cell>
          <cell r="D362">
            <v>32413.313177607219</v>
          </cell>
          <cell r="E362">
            <v>0</v>
          </cell>
          <cell r="F362">
            <v>0</v>
          </cell>
          <cell r="G362">
            <v>0</v>
          </cell>
          <cell r="H362">
            <v>0</v>
          </cell>
          <cell r="I362">
            <v>0</v>
          </cell>
        </row>
        <row r="363">
          <cell r="A363">
            <v>339</v>
          </cell>
          <cell r="B363">
            <v>55324</v>
          </cell>
          <cell r="C363">
            <v>0</v>
          </cell>
          <cell r="D363">
            <v>32413.313177607219</v>
          </cell>
          <cell r="E363">
            <v>0</v>
          </cell>
          <cell r="F363">
            <v>0</v>
          </cell>
          <cell r="G363">
            <v>0</v>
          </cell>
          <cell r="H363">
            <v>0</v>
          </cell>
          <cell r="I363">
            <v>0</v>
          </cell>
        </row>
        <row r="364">
          <cell r="A364">
            <v>340</v>
          </cell>
          <cell r="B364">
            <v>55354</v>
          </cell>
          <cell r="C364">
            <v>0</v>
          </cell>
          <cell r="D364">
            <v>32413.313177607219</v>
          </cell>
          <cell r="E364">
            <v>0</v>
          </cell>
          <cell r="F364">
            <v>0</v>
          </cell>
          <cell r="G364">
            <v>0</v>
          </cell>
          <cell r="H364">
            <v>0</v>
          </cell>
          <cell r="I364">
            <v>0</v>
          </cell>
        </row>
        <row r="365">
          <cell r="A365">
            <v>341</v>
          </cell>
          <cell r="B365">
            <v>55385</v>
          </cell>
          <cell r="C365">
            <v>0</v>
          </cell>
          <cell r="D365">
            <v>32413.313177607219</v>
          </cell>
          <cell r="E365">
            <v>0</v>
          </cell>
          <cell r="F365">
            <v>0</v>
          </cell>
          <cell r="G365">
            <v>0</v>
          </cell>
          <cell r="H365">
            <v>0</v>
          </cell>
          <cell r="I365">
            <v>0</v>
          </cell>
        </row>
        <row r="366">
          <cell r="A366">
            <v>342</v>
          </cell>
          <cell r="B366">
            <v>55416</v>
          </cell>
          <cell r="C366">
            <v>0</v>
          </cell>
          <cell r="D366">
            <v>32413.313177607219</v>
          </cell>
          <cell r="E366">
            <v>0</v>
          </cell>
          <cell r="F366">
            <v>0</v>
          </cell>
          <cell r="G366">
            <v>0</v>
          </cell>
          <cell r="H366">
            <v>0</v>
          </cell>
          <cell r="I366">
            <v>0</v>
          </cell>
        </row>
        <row r="367">
          <cell r="A367">
            <v>343</v>
          </cell>
          <cell r="B367">
            <v>55446</v>
          </cell>
          <cell r="C367">
            <v>0</v>
          </cell>
          <cell r="D367">
            <v>32413.313177607219</v>
          </cell>
          <cell r="E367">
            <v>0</v>
          </cell>
          <cell r="F367">
            <v>0</v>
          </cell>
          <cell r="G367">
            <v>0</v>
          </cell>
          <cell r="H367">
            <v>0</v>
          </cell>
          <cell r="I367">
            <v>0</v>
          </cell>
        </row>
        <row r="368">
          <cell r="A368">
            <v>344</v>
          </cell>
          <cell r="B368">
            <v>55477</v>
          </cell>
          <cell r="C368">
            <v>0</v>
          </cell>
          <cell r="D368">
            <v>32413.313177607219</v>
          </cell>
          <cell r="E368">
            <v>0</v>
          </cell>
          <cell r="F368">
            <v>0</v>
          </cell>
          <cell r="G368">
            <v>0</v>
          </cell>
          <cell r="H368">
            <v>0</v>
          </cell>
          <cell r="I368">
            <v>0</v>
          </cell>
        </row>
        <row r="369">
          <cell r="A369">
            <v>345</v>
          </cell>
          <cell r="B369">
            <v>55507</v>
          </cell>
          <cell r="C369">
            <v>0</v>
          </cell>
          <cell r="D369">
            <v>32413.313177607219</v>
          </cell>
          <cell r="E369">
            <v>0</v>
          </cell>
          <cell r="F369">
            <v>0</v>
          </cell>
          <cell r="G369">
            <v>0</v>
          </cell>
          <cell r="H369">
            <v>0</v>
          </cell>
          <cell r="I369">
            <v>0</v>
          </cell>
        </row>
        <row r="370">
          <cell r="A370">
            <v>346</v>
          </cell>
          <cell r="B370">
            <v>55538</v>
          </cell>
          <cell r="C370">
            <v>0</v>
          </cell>
          <cell r="D370">
            <v>32413.313177607219</v>
          </cell>
          <cell r="E370">
            <v>0</v>
          </cell>
          <cell r="F370">
            <v>0</v>
          </cell>
          <cell r="G370">
            <v>0</v>
          </cell>
          <cell r="H370">
            <v>0</v>
          </cell>
          <cell r="I370">
            <v>0</v>
          </cell>
        </row>
        <row r="371">
          <cell r="A371">
            <v>347</v>
          </cell>
          <cell r="B371">
            <v>55569</v>
          </cell>
          <cell r="C371">
            <v>0</v>
          </cell>
          <cell r="D371">
            <v>32413.313177607219</v>
          </cell>
          <cell r="E371">
            <v>0</v>
          </cell>
          <cell r="F371">
            <v>0</v>
          </cell>
          <cell r="G371">
            <v>0</v>
          </cell>
          <cell r="H371">
            <v>0</v>
          </cell>
          <cell r="I371">
            <v>0</v>
          </cell>
        </row>
        <row r="372">
          <cell r="A372">
            <v>348</v>
          </cell>
          <cell r="B372">
            <v>55598</v>
          </cell>
          <cell r="C372">
            <v>0</v>
          </cell>
          <cell r="D372">
            <v>32413.313177607219</v>
          </cell>
          <cell r="E372">
            <v>0</v>
          </cell>
          <cell r="F372">
            <v>0</v>
          </cell>
          <cell r="G372">
            <v>0</v>
          </cell>
          <cell r="H372">
            <v>0</v>
          </cell>
          <cell r="I372">
            <v>0</v>
          </cell>
        </row>
        <row r="373">
          <cell r="A373">
            <v>349</v>
          </cell>
          <cell r="B373">
            <v>55629</v>
          </cell>
          <cell r="C373">
            <v>0</v>
          </cell>
          <cell r="D373">
            <v>32413.313177607219</v>
          </cell>
          <cell r="E373">
            <v>0</v>
          </cell>
          <cell r="F373">
            <v>0</v>
          </cell>
          <cell r="G373">
            <v>0</v>
          </cell>
          <cell r="H373">
            <v>0</v>
          </cell>
          <cell r="I373">
            <v>0</v>
          </cell>
        </row>
        <row r="374">
          <cell r="A374">
            <v>350</v>
          </cell>
          <cell r="B374">
            <v>55659</v>
          </cell>
          <cell r="C374">
            <v>0</v>
          </cell>
          <cell r="D374">
            <v>32413.313177607219</v>
          </cell>
          <cell r="E374">
            <v>0</v>
          </cell>
          <cell r="F374">
            <v>0</v>
          </cell>
          <cell r="G374">
            <v>0</v>
          </cell>
          <cell r="H374">
            <v>0</v>
          </cell>
          <cell r="I374">
            <v>0</v>
          </cell>
        </row>
        <row r="375">
          <cell r="A375">
            <v>351</v>
          </cell>
          <cell r="B375">
            <v>55690</v>
          </cell>
          <cell r="C375">
            <v>0</v>
          </cell>
          <cell r="D375">
            <v>32413.313177607219</v>
          </cell>
          <cell r="E375">
            <v>0</v>
          </cell>
          <cell r="F375">
            <v>0</v>
          </cell>
          <cell r="G375">
            <v>0</v>
          </cell>
          <cell r="H375">
            <v>0</v>
          </cell>
          <cell r="I375">
            <v>0</v>
          </cell>
        </row>
        <row r="376">
          <cell r="A376">
            <v>352</v>
          </cell>
          <cell r="B376">
            <v>55720</v>
          </cell>
          <cell r="C376">
            <v>0</v>
          </cell>
          <cell r="D376">
            <v>32413.313177607219</v>
          </cell>
          <cell r="E376">
            <v>0</v>
          </cell>
          <cell r="F376">
            <v>0</v>
          </cell>
          <cell r="G376">
            <v>0</v>
          </cell>
          <cell r="H376">
            <v>0</v>
          </cell>
          <cell r="I376">
            <v>0</v>
          </cell>
        </row>
        <row r="377">
          <cell r="A377">
            <v>353</v>
          </cell>
          <cell r="B377">
            <v>55751</v>
          </cell>
          <cell r="C377">
            <v>0</v>
          </cell>
          <cell r="D377">
            <v>32413.313177607219</v>
          </cell>
          <cell r="E377">
            <v>0</v>
          </cell>
          <cell r="F377">
            <v>0</v>
          </cell>
          <cell r="G377">
            <v>0</v>
          </cell>
          <cell r="H377">
            <v>0</v>
          </cell>
          <cell r="I377">
            <v>0</v>
          </cell>
        </row>
        <row r="378">
          <cell r="A378">
            <v>354</v>
          </cell>
          <cell r="B378">
            <v>55782</v>
          </cell>
          <cell r="C378">
            <v>0</v>
          </cell>
          <cell r="D378">
            <v>32413.313177607219</v>
          </cell>
          <cell r="E378">
            <v>0</v>
          </cell>
          <cell r="F378">
            <v>0</v>
          </cell>
          <cell r="G378">
            <v>0</v>
          </cell>
          <cell r="H378">
            <v>0</v>
          </cell>
          <cell r="I378">
            <v>0</v>
          </cell>
        </row>
        <row r="379">
          <cell r="A379">
            <v>355</v>
          </cell>
          <cell r="B379">
            <v>55812</v>
          </cell>
          <cell r="C379">
            <v>0</v>
          </cell>
          <cell r="D379">
            <v>32413.313177607219</v>
          </cell>
          <cell r="E379">
            <v>0</v>
          </cell>
          <cell r="F379">
            <v>0</v>
          </cell>
          <cell r="G379">
            <v>0</v>
          </cell>
          <cell r="H379">
            <v>0</v>
          </cell>
          <cell r="I379">
            <v>0</v>
          </cell>
        </row>
        <row r="380">
          <cell r="A380">
            <v>356</v>
          </cell>
          <cell r="B380">
            <v>55843</v>
          </cell>
          <cell r="C380">
            <v>0</v>
          </cell>
          <cell r="D380">
            <v>32413.313177607219</v>
          </cell>
          <cell r="E380">
            <v>0</v>
          </cell>
          <cell r="F380">
            <v>0</v>
          </cell>
          <cell r="G380">
            <v>0</v>
          </cell>
          <cell r="H380">
            <v>0</v>
          </cell>
          <cell r="I380">
            <v>0</v>
          </cell>
        </row>
        <row r="381">
          <cell r="A381">
            <v>357</v>
          </cell>
          <cell r="B381">
            <v>55873</v>
          </cell>
          <cell r="C381">
            <v>0</v>
          </cell>
          <cell r="D381">
            <v>32413.313177607219</v>
          </cell>
          <cell r="E381">
            <v>0</v>
          </cell>
          <cell r="F381">
            <v>0</v>
          </cell>
          <cell r="G381">
            <v>0</v>
          </cell>
          <cell r="H381">
            <v>0</v>
          </cell>
          <cell r="I381">
            <v>0</v>
          </cell>
        </row>
        <row r="382">
          <cell r="A382">
            <v>358</v>
          </cell>
          <cell r="B382">
            <v>55904</v>
          </cell>
          <cell r="C382">
            <v>0</v>
          </cell>
          <cell r="D382">
            <v>32413.313177607219</v>
          </cell>
          <cell r="E382">
            <v>0</v>
          </cell>
          <cell r="F382">
            <v>0</v>
          </cell>
          <cell r="G382">
            <v>0</v>
          </cell>
          <cell r="H382">
            <v>0</v>
          </cell>
          <cell r="I382">
            <v>0</v>
          </cell>
        </row>
        <row r="383">
          <cell r="A383">
            <v>359</v>
          </cell>
          <cell r="B383">
            <v>55935</v>
          </cell>
          <cell r="C383">
            <v>0</v>
          </cell>
          <cell r="D383">
            <v>32413.313177607219</v>
          </cell>
          <cell r="E383">
            <v>0</v>
          </cell>
          <cell r="F383">
            <v>0</v>
          </cell>
          <cell r="G383">
            <v>0</v>
          </cell>
          <cell r="H383">
            <v>0</v>
          </cell>
          <cell r="I383">
            <v>0</v>
          </cell>
        </row>
        <row r="384">
          <cell r="A384">
            <v>360</v>
          </cell>
          <cell r="B384">
            <v>55963</v>
          </cell>
          <cell r="C384">
            <v>0</v>
          </cell>
          <cell r="D384">
            <v>32413.313177607219</v>
          </cell>
          <cell r="E384">
            <v>0</v>
          </cell>
          <cell r="F384">
            <v>0</v>
          </cell>
          <cell r="G384">
            <v>0</v>
          </cell>
          <cell r="H384">
            <v>0</v>
          </cell>
          <cell r="I384">
            <v>0</v>
          </cell>
        </row>
      </sheetData>
      <sheetData sheetId="2" refreshError="1"/>
      <sheetData sheetId="3" refreshError="1"/>
      <sheetData sheetId="4" refreshError="1"/>
      <sheetData sheetId="5" refreshError="1"/>
      <sheetData sheetId="6" refreshError="1"/>
      <sheetData sheetId="7">
        <row r="14">
          <cell r="I14" t="str">
            <v>B1</v>
          </cell>
        </row>
        <row r="19">
          <cell r="O19"/>
          <cell r="S19"/>
          <cell r="V19"/>
        </row>
        <row r="21">
          <cell r="O21"/>
          <cell r="S21"/>
          <cell r="V21"/>
        </row>
        <row r="25">
          <cell r="O25"/>
          <cell r="S25"/>
          <cell r="V25"/>
        </row>
        <row r="26">
          <cell r="I26" t="str">
            <v>buyer</v>
          </cell>
        </row>
        <row r="27">
          <cell r="O27"/>
          <cell r="S27"/>
          <cell r="V27"/>
        </row>
        <row r="28">
          <cell r="I28" t="str">
            <v xml:space="preserve">agent </v>
          </cell>
        </row>
        <row r="31">
          <cell r="O31"/>
          <cell r="S31"/>
          <cell r="V31"/>
        </row>
        <row r="33">
          <cell r="O33"/>
          <cell r="S33"/>
          <cell r="V33"/>
        </row>
      </sheetData>
      <sheetData sheetId="8" refreshError="1"/>
      <sheetData sheetId="9" refreshError="1"/>
      <sheetData sheetId="10" refreshError="1"/>
      <sheetData sheetId="11" refreshError="1"/>
      <sheetData sheetId="12" refreshError="1"/>
      <sheetData sheetId="13" refreshError="1"/>
      <sheetData sheetId="14">
        <row r="9">
          <cell r="E9" t="e">
            <v>#REF!</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truction Sched 2023"/>
      <sheetName val="Amort Computation"/>
      <sheetName val="INTERNAL PRICELIST"/>
      <sheetName val="Corrected and Updated TSF 2"/>
      <sheetName val="RECOVERIES"/>
      <sheetName val="Pricelist Link"/>
      <sheetName val="FORM"/>
      <sheetName val="STEP UP"/>
      <sheetName val="RA_Step Up"/>
      <sheetName val="Step-up with Lumpsum"/>
      <sheetName val="2.5% Lumpsum"/>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10% spread plus 5% lumpsum"/>
      <sheetName val="10% step up plus 5% lumpsum"/>
      <sheetName val="7% Step-up plus 3% Lumpsum"/>
      <sheetName val="SPECIAL PACKAGE"/>
      <sheetName val="RA_Special"/>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18-L2-HISTORICAL"/>
      <sheetName val="ATD"/>
      <sheetName val="LOG"/>
      <sheetName val="LOAN DIFFERENCE COMPUTATION"/>
      <sheetName val="B18-L2_DELACRUZ_BANK SOA"/>
      <sheetName val="Amortization Table"/>
      <sheetName val="Sheet1"/>
      <sheetName val="B18-L2_DELACRUZ_FINAL"/>
    </sheetNames>
    <sheetDataSet>
      <sheetData sheetId="0"/>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ULATION"/>
      <sheetName val="STATUS_EE"/>
      <sheetName val="MASTERLIST"/>
      <sheetName val="ACTUAL COLLECTIONS_EE"/>
      <sheetName val="EFFICIENCY REPORT_EE"/>
      <sheetName val="B1 L1_MODELHOUSE"/>
      <sheetName val="B1 L2_MODEL HOUSE"/>
      <sheetName val="B1 L3_MODELHOUSE"/>
      <sheetName val="B1 L4_MODELHOUSE"/>
      <sheetName val="B1 L5_MODELHOUSE"/>
      <sheetName val="B1 L6_MODELHOUSE"/>
      <sheetName val="SHOULD BE COLLECTIONS_EE"/>
      <sheetName val="B1 L7T.O"/>
      <sheetName val="B1 L8T.O"/>
      <sheetName val="B1 L9T.O"/>
      <sheetName val="B1 L10T.O"/>
      <sheetName val="B1 L11"/>
      <sheetName val="B2-L1"/>
      <sheetName val="B2-L2T.O"/>
      <sheetName val="B2-L3T.O"/>
      <sheetName val="B2-L4"/>
      <sheetName val="B2-L5T.O"/>
      <sheetName val="B2-L6T.O"/>
      <sheetName val="B3-L1T.O"/>
      <sheetName val="B3-L2T.O"/>
      <sheetName val="B3-L3T.O"/>
      <sheetName val="B3-L4"/>
      <sheetName val="B5-L1"/>
      <sheetName val="B5-L2"/>
      <sheetName val="B5-L3"/>
      <sheetName val="B5-L4T.O"/>
      <sheetName val="B5-L5T.O"/>
      <sheetName val="B5-L6T.O"/>
      <sheetName val="B5-L7T.O"/>
      <sheetName val="B5-L8T.O"/>
      <sheetName val="B5-L9T.O"/>
      <sheetName val="B5-L10"/>
      <sheetName val="B5-L11"/>
      <sheetName val="B5-L12"/>
      <sheetName val="Loan Diff Computation_B5L12"/>
      <sheetName val="B5-L13T.O"/>
      <sheetName val="B5-L14T.O"/>
      <sheetName val="B5-L15"/>
      <sheetName val="B6-L1"/>
      <sheetName val="B6-L2T.O"/>
      <sheetName val="B6-L3T.O"/>
      <sheetName val="B6-L4T.O"/>
      <sheetName val="B7-L1"/>
      <sheetName val="B7-L2"/>
      <sheetName val="B7-L3"/>
      <sheetName val="B7-L4"/>
      <sheetName val="B7-L5"/>
      <sheetName val="B7-L6"/>
      <sheetName val="B7-L7"/>
      <sheetName val="B7-L8"/>
      <sheetName val="B7-L9T.O"/>
      <sheetName val="B7-L10"/>
      <sheetName val="B7-L11T.O"/>
      <sheetName val="B7-L12T.O"/>
      <sheetName val="B7-L13T.O"/>
      <sheetName val="B7-L14T.O"/>
      <sheetName val="B7-L15T.O"/>
      <sheetName val="B7-L16T.O"/>
      <sheetName val="B7-L17"/>
      <sheetName val="B7-L18T.O"/>
      <sheetName val="B7-L19T.O"/>
      <sheetName val="B7-L20T.O"/>
      <sheetName val="B7-L21T.O"/>
      <sheetName val="B7-L22T.O"/>
      <sheetName val="B7-L23T.O"/>
      <sheetName val="B7-L24T.O"/>
      <sheetName val="B7-L25"/>
      <sheetName val="B7-L26"/>
      <sheetName val="B7-L27"/>
      <sheetName val="B7-L28"/>
      <sheetName val="B7-L29"/>
      <sheetName val="B7-L30"/>
      <sheetName val="B7-L31"/>
      <sheetName val="B8-L1.T.O"/>
      <sheetName val="B8-L2T.O"/>
      <sheetName val="B8-L3T.O"/>
      <sheetName val="B8-L4T.O"/>
      <sheetName val="B8-L5"/>
      <sheetName val="B8-L6T.O"/>
      <sheetName val="Loan Diff Comp_B8L6"/>
      <sheetName val="B8-L7T.O"/>
      <sheetName val="B8-L8T.O"/>
      <sheetName val="B8-L9T.O"/>
      <sheetName val="B8-L10T.O"/>
      <sheetName val="B9-L1T.O"/>
      <sheetName val="B9-L2T.O"/>
      <sheetName val="B9-L3T.O"/>
      <sheetName val="Loan Diff Comp_B9L3"/>
      <sheetName val="B9-L4T.O"/>
      <sheetName val="B9-L5T.O"/>
      <sheetName val="B9-L6T.O"/>
      <sheetName val="B9-L7T.O"/>
      <sheetName val="B9-L8T.O"/>
      <sheetName val="B9-L9T.O"/>
      <sheetName val="B9-L10T.O"/>
      <sheetName val="B9-L11T.O"/>
      <sheetName val="B9-L12"/>
      <sheetName val="B9-L13T.O"/>
      <sheetName val="B9-L14T.O"/>
      <sheetName val="B9-L15T.O"/>
      <sheetName val="B9-L16T.O"/>
      <sheetName val="B9-L17T.O"/>
      <sheetName val="B9-L18T.O"/>
      <sheetName val="B9-L19T.O"/>
      <sheetName val="B9-L20T.O"/>
      <sheetName val="B10-L1T.O"/>
      <sheetName val="B10-L2"/>
      <sheetName val="B10-L3T.O"/>
      <sheetName val="B10-L4T.O"/>
      <sheetName val="B10-L5T.O"/>
      <sheetName val="B10-L6T.O"/>
      <sheetName val="B10-L7T.O"/>
      <sheetName val="B10-L8 INHS"/>
      <sheetName val="B10_L8 Inhouse Comp_Interest"/>
      <sheetName val="B10-L9T.O"/>
      <sheetName val="B10-L10T.O"/>
      <sheetName val="B10-L11T.O"/>
      <sheetName val="B10-L12T.O"/>
      <sheetName val="B10-L13T.O"/>
      <sheetName val="B10-L14T.O"/>
      <sheetName val="B10-L15"/>
      <sheetName val="B10-L16T.O"/>
      <sheetName val="B10-L17T.O"/>
      <sheetName val="B10-L18"/>
      <sheetName val="B10L18_LD"/>
      <sheetName val="B11-L1T.O"/>
      <sheetName val="B11-L2 T.O"/>
      <sheetName val="B11-L3T.O"/>
      <sheetName val="B11-L4T.O"/>
      <sheetName val="B11-L5"/>
      <sheetName val="B11-L6T.O"/>
      <sheetName val="B11-L7 T.O"/>
      <sheetName val="B11-L8"/>
      <sheetName val="INHS B11L8"/>
      <sheetName val="B11-L9"/>
      <sheetName val="B11-L10 T.O"/>
      <sheetName val="B11-L11"/>
      <sheetName val="B11-L12"/>
      <sheetName val="B11-L13 T.O"/>
      <sheetName val="B11-L14"/>
      <sheetName val="B11-L15T.O"/>
      <sheetName val="B11-L16T.O"/>
      <sheetName val="B11-L17T.O"/>
      <sheetName val="LD B11L17"/>
      <sheetName val="B11-L18"/>
      <sheetName val="B12-L1 T.O"/>
      <sheetName val="B12-L2T.O"/>
      <sheetName val="B12-L3T.O"/>
      <sheetName val="LD B12L3"/>
      <sheetName val="B12-L4T.O"/>
      <sheetName val="B12-L5T.O"/>
      <sheetName val="B12-L6T.O"/>
      <sheetName val="B12-L7T.O"/>
      <sheetName val="B12-L8T.O"/>
      <sheetName val="LD_B12 L8"/>
      <sheetName val="B12-L9"/>
      <sheetName val="INS B12L9"/>
      <sheetName val="B12-L10T.O"/>
      <sheetName val="B12-L11T.O"/>
      <sheetName val="B12-L12"/>
      <sheetName val="B12-L13T.O"/>
      <sheetName val="B12-L14T.O"/>
      <sheetName val="LD B12-L14 "/>
      <sheetName val="B12-L15T.O"/>
      <sheetName val="B12-L16T.O"/>
      <sheetName val="B13-L1T.O"/>
      <sheetName val="B13-L2"/>
      <sheetName val="B13-L3"/>
      <sheetName val="B13-L4"/>
      <sheetName val="B13-L4_INHOUSE"/>
      <sheetName val="B13-L5T.O"/>
      <sheetName val="B13-L6T.O"/>
      <sheetName val="B13-L7T.O"/>
      <sheetName val="B13-L8T.O"/>
      <sheetName val="B13-L9T.O"/>
      <sheetName val="B13-L10T.O"/>
      <sheetName val="B13-L11"/>
      <sheetName val="B13-L12T.O"/>
      <sheetName val="B13-L13"/>
      <sheetName val="B13-L14 T.O"/>
      <sheetName val="B13-L15 T.O"/>
      <sheetName val="B13-L16 T.O"/>
      <sheetName val="B13-L17 T.O"/>
      <sheetName val="B13-L18T.O"/>
      <sheetName val="B13-L19T.O"/>
      <sheetName val="LD B13L19"/>
      <sheetName val="B13-L20T.O"/>
      <sheetName val="B13-L21T.O"/>
      <sheetName val="B13-L22T.O"/>
      <sheetName val="B13-L23T.O"/>
      <sheetName val="B13-L24T.O"/>
      <sheetName val="B13-L25T.O"/>
      <sheetName val="B13-L26T.O"/>
      <sheetName val="LD B13L26"/>
      <sheetName val="B13-L27T.O"/>
      <sheetName val="B13-L28T.O"/>
      <sheetName val="LD B13L28"/>
      <sheetName val="B13-L29T.O"/>
      <sheetName val="LD B13 L29"/>
      <sheetName val="B13-L30T.O"/>
      <sheetName val="B13-L31T.O"/>
      <sheetName val="B13-L32T.O"/>
      <sheetName val="B13-L33T.O"/>
      <sheetName val="B13-L34T.O"/>
      <sheetName val="B13-L35T.O"/>
      <sheetName val="LD B13L35"/>
      <sheetName val="B13-L36T.O"/>
      <sheetName val="B13-L37T.O"/>
      <sheetName val="B13-L38"/>
      <sheetName val="B13-L39T.O"/>
      <sheetName val="B13-L40"/>
      <sheetName val="B13-L41T.O"/>
      <sheetName val="B13-L42"/>
      <sheetName val="INH_B13 L42"/>
      <sheetName val="B13-L43"/>
      <sheetName val="B14-L1"/>
      <sheetName val="B14-L2"/>
      <sheetName val="B14-L3T.O"/>
      <sheetName val="B14-L4T.O"/>
      <sheetName val="B14-L5"/>
      <sheetName val="INHS_B14L5"/>
      <sheetName val="B15-L1T.O"/>
      <sheetName val="B15-L2T.O"/>
      <sheetName val="B15-L3"/>
      <sheetName val="B15-L4T.O"/>
      <sheetName val="B15-L5T.O"/>
      <sheetName val="B15-L6"/>
      <sheetName val="B15-L7 T.O"/>
      <sheetName val="B15-L8T.O"/>
      <sheetName val="B15-L9T.O"/>
      <sheetName val="B15-L10T.O"/>
      <sheetName val="B15-L11"/>
      <sheetName val="B15-L12"/>
      <sheetName val="B15-L13 T.O"/>
      <sheetName val="B15-L14 T.O"/>
      <sheetName val="B15-L15"/>
      <sheetName val="B15-L16 T.O"/>
      <sheetName val="B15-L16_LOAN Diff"/>
      <sheetName val="B15-L17T.O"/>
      <sheetName val="B15-L18 T.O"/>
      <sheetName val="B15-L19T.O"/>
      <sheetName val="B15-L20T.O"/>
      <sheetName val="B15-L21T.O"/>
      <sheetName val="B15-L22T.O"/>
      <sheetName val="B15-L23T.O"/>
      <sheetName val="B15-L24T.O"/>
      <sheetName val="B15-L25T.O"/>
      <sheetName val="INHS B15L25"/>
      <sheetName val="B15-L26"/>
      <sheetName val="B15-L27T.O"/>
      <sheetName val="B15-L28"/>
      <sheetName val="B15-L29T.O"/>
      <sheetName val="B15-L30T.O"/>
      <sheetName val="B15-L31T.O"/>
      <sheetName val="LD_B15L31"/>
      <sheetName val="B15-L32"/>
      <sheetName val="B15-L33T.O"/>
      <sheetName val="B15-L34T.O"/>
      <sheetName val="B16-L1T.O"/>
      <sheetName val="B16-L2T.O"/>
      <sheetName val="B16-L3T.O"/>
      <sheetName val="B16-L4T.O"/>
      <sheetName val="B16-L5 T.O"/>
      <sheetName val="B16-L6T.O"/>
      <sheetName val="B16-L7T.O"/>
      <sheetName val="B16-L8T.O"/>
      <sheetName val="B16-L9T.O"/>
      <sheetName val="LD B16L9"/>
      <sheetName val="B16-L10T.O"/>
      <sheetName val="B16-L11T.O"/>
      <sheetName val="B16-L12T.O"/>
      <sheetName val="B16-L13T.O"/>
      <sheetName val="B16-L14T.O"/>
      <sheetName val="LD B16L14"/>
      <sheetName val="B16-L15 T.O"/>
      <sheetName val="B16-L16 T.O"/>
      <sheetName val="B16-L17T.O"/>
      <sheetName val="B16-L18T.O"/>
      <sheetName val="B16-L19T.O"/>
      <sheetName val="B16-L20T.O"/>
      <sheetName val="B16-L21T.O"/>
      <sheetName val="B16-L22 T.O"/>
      <sheetName val="B16-L23T.O"/>
      <sheetName val="LD B16L23"/>
      <sheetName val="B16-L24T.O"/>
      <sheetName val="B16-L25T.O"/>
      <sheetName val="LD B16L25"/>
      <sheetName val="B16-L26T.O"/>
      <sheetName val="LD B16L26"/>
      <sheetName val="B16-L27T.O"/>
      <sheetName val="B16-L28T.O"/>
      <sheetName val="B16-L29T.O"/>
      <sheetName val="LD B16 L29"/>
      <sheetName val="B16-L30T.O"/>
      <sheetName val="B16-L31T.O"/>
      <sheetName val="LD B16L31"/>
      <sheetName val="B16-L32T.O"/>
      <sheetName val="B16-L33T.O"/>
      <sheetName val="B16-L34T.O"/>
      <sheetName val="LD_B16L34"/>
      <sheetName val="B17-L1T.O"/>
      <sheetName val="B17-L2T.O"/>
      <sheetName val="B17-L3T.O"/>
      <sheetName val="B17-L4T.O"/>
      <sheetName val="B17-L5T.O"/>
      <sheetName val="B17-L6T.O"/>
      <sheetName val="B17-L7T.O"/>
      <sheetName val="LD COMP_Gallofin"/>
      <sheetName val="B17-L8T.O"/>
      <sheetName val="B17-L9T.O"/>
      <sheetName val="B17-L10T.O"/>
      <sheetName val="B17-L11T.O"/>
      <sheetName val="LD B17L11"/>
      <sheetName val="B17-L12T.O"/>
      <sheetName val="LD B17L12"/>
      <sheetName val="B17-L13T.O"/>
      <sheetName val="B17-L14T.O"/>
      <sheetName val="LD B17L14"/>
      <sheetName val="B18-L1T.O"/>
      <sheetName val="B18-L2T.O"/>
      <sheetName val="LD B18L2"/>
      <sheetName val="B18-L3"/>
      <sheetName val="B18-L4 T.O"/>
      <sheetName val="B18-L5T.O"/>
      <sheetName val="B18-L6T.O"/>
      <sheetName val="LD B18L6 "/>
      <sheetName val="B18-L7T.O"/>
      <sheetName val="B18-L8T.O"/>
      <sheetName val="B18-L9T.O"/>
      <sheetName val="B18-L10T.O"/>
      <sheetName val="B18-L11 T.O"/>
      <sheetName val="B18-L12 T.O"/>
      <sheetName val="B18-L13"/>
      <sheetName val="INHS B18L13"/>
      <sheetName val="B18-L14 T.O"/>
      <sheetName val="B18-L15 T.O"/>
      <sheetName val="B18-L16T.O"/>
      <sheetName val="B18-L17T.O"/>
      <sheetName val="LD_B18L17"/>
      <sheetName val="B18-L18"/>
      <sheetName val="B18-L19T.O"/>
      <sheetName val="EOB18L19"/>
      <sheetName val="B18-L20"/>
      <sheetName val="B18-L21T.O"/>
      <sheetName val="B18-L22T.O"/>
      <sheetName val="B18-L23T.O"/>
      <sheetName val="B18-L24T.O"/>
      <sheetName val="B18-L25T.O"/>
      <sheetName val="B18-L26T.O"/>
      <sheetName val="B18-L27T.O"/>
      <sheetName val="B18-L28T.O"/>
      <sheetName val="B19-L1T.O"/>
      <sheetName val="B19-L2T.O"/>
      <sheetName val="B19-L3T.O"/>
      <sheetName val="B19-L4T.O"/>
      <sheetName val="B19-L5T.O"/>
      <sheetName val="B19-L6"/>
      <sheetName val="B19-L7T.O"/>
      <sheetName val="B19-L8T.O"/>
      <sheetName val="B20-L1"/>
      <sheetName val="B20-L2T.O"/>
      <sheetName val="B20-L3T.O"/>
      <sheetName val="B20-L4T.O"/>
      <sheetName val="B20-L5T.O"/>
      <sheetName val="B20-L6T.O"/>
      <sheetName val="B20-L7T.O"/>
      <sheetName val="B20-L8T.O"/>
      <sheetName val="B20-L9T.O"/>
      <sheetName val="B20-L10T.O"/>
      <sheetName val="B20-L11T.O"/>
      <sheetName val="B21-L1T.O"/>
      <sheetName val="B21-L2T.O"/>
      <sheetName val="B21-L3T.O"/>
      <sheetName val="B21-L4"/>
      <sheetName val="B21-L5T.O"/>
      <sheetName val="B21-L6T.O"/>
      <sheetName val="B21-L7"/>
      <sheetName val="B21-L8T.O"/>
      <sheetName val="B21-L9T.O"/>
      <sheetName val="B21-L10T.O"/>
      <sheetName val="B21-L11T.O"/>
      <sheetName val="B21-L12T.O"/>
      <sheetName val="B21-L13T.O"/>
      <sheetName val="B21-L14T.O"/>
      <sheetName val="B21-L15"/>
      <sheetName val="INHOUSE B21L15"/>
      <sheetName val="B21-L16T.O"/>
      <sheetName val="B21-L17T.O"/>
      <sheetName val="B21-L18T.O"/>
      <sheetName val="B21-L19T.O"/>
      <sheetName val="B21-L20T.O"/>
      <sheetName val="B22-L1_T.O"/>
      <sheetName val="B22-L2T.O"/>
      <sheetName val="B22-L3T.O"/>
      <sheetName val="B22-L4T.O"/>
      <sheetName val="B22-L5T.O"/>
      <sheetName val="B22-L6T.O"/>
      <sheetName val="B22-L7T.O"/>
      <sheetName val="B22-L8T.O"/>
      <sheetName val="B22-L9T.O"/>
      <sheetName val="B22-L10T.O"/>
      <sheetName val="Loan Diff Computation_Guasin"/>
      <sheetName val="B22-L11"/>
      <sheetName val="B22-L12T.O"/>
      <sheetName val="B22-L13T.O"/>
      <sheetName val="B22-L14T.O"/>
      <sheetName val="B22-L15"/>
      <sheetName val="B22-L16T.O"/>
      <sheetName val="B22-L17T.O"/>
      <sheetName val="B22-L18T.O"/>
      <sheetName val="B23-L1T.O"/>
      <sheetName val="B23-L2"/>
      <sheetName val="B23-L3T.O"/>
      <sheetName val="B23-L4"/>
      <sheetName val="B23-L5"/>
      <sheetName val="B23-L6T.O"/>
      <sheetName val="B23-L7T.O"/>
      <sheetName val="B23-L8T.O"/>
      <sheetName val="B23-L9T.O"/>
      <sheetName val="B23-L10T.O"/>
      <sheetName val="B23-L11T.O"/>
      <sheetName val="B23-L12T.O"/>
      <sheetName val="B23-L13T.O"/>
      <sheetName val="B23-L14T.O"/>
      <sheetName val="B23-L15T.O"/>
      <sheetName val="B23-L16T.O"/>
      <sheetName val="B23-L17T.O"/>
      <sheetName val="B24-L1"/>
      <sheetName val="B24-L2T.O"/>
      <sheetName val="B24-L3T.O"/>
      <sheetName val="B24-L4T.O"/>
      <sheetName val="B24-L5T.O"/>
      <sheetName val="B24-L6T.O"/>
      <sheetName val="B24-L7T.O"/>
      <sheetName val="B24-L8T.O"/>
      <sheetName val="B24-L9T.O"/>
      <sheetName val="B24-L10T.O"/>
      <sheetName val="B24-L11_INHS"/>
      <sheetName val="INHS_Computation"/>
      <sheetName val="B24-L12"/>
      <sheetName val="B25-L1T.O"/>
      <sheetName val="B25-L2T.O"/>
      <sheetName val="B25-L3T.O"/>
      <sheetName val="B25-L4T.O"/>
      <sheetName val="B25-L5T.O"/>
      <sheetName val="B25-L6T.O"/>
      <sheetName val="B25-L7T.O"/>
      <sheetName val="B25-L8T.O"/>
      <sheetName val="B27-L1"/>
      <sheetName val="B27-L2T.O"/>
      <sheetName val="B27-L3T.O"/>
      <sheetName val="B27-L4T.O"/>
      <sheetName val="B27-L5T.O"/>
      <sheetName val="B27-L6T.O"/>
      <sheetName val="B27-L7"/>
      <sheetName val="B27-L8"/>
      <sheetName val="B27-L9T.O"/>
      <sheetName val="B27-L10T.O"/>
      <sheetName val="B27-L11T.O"/>
      <sheetName val="B27-L12T.O"/>
      <sheetName val="B28-L1T.O"/>
      <sheetName val="B28-L2"/>
      <sheetName val="B28-L3"/>
      <sheetName val="B28-L4T.O"/>
      <sheetName val="B28-L5T.O"/>
      <sheetName val="B28-L6T.O"/>
      <sheetName val="B28-L7T.O"/>
      <sheetName val="B28-L8T.O"/>
      <sheetName val="B28-L9T.O"/>
      <sheetName val="B28-L10"/>
      <sheetName val="B28-L11T.O"/>
      <sheetName val="B28-L12T.O"/>
      <sheetName val="B28-L13T.O"/>
      <sheetName val="B28-L14T.O"/>
      <sheetName val="B28-L15T.O"/>
      <sheetName val="B28-L16T.O"/>
      <sheetName val="B28-L17"/>
      <sheetName val="B28-L18T.O"/>
      <sheetName val="B28-L19"/>
      <sheetName val="B28-L20"/>
      <sheetName val="B28-L21T.O"/>
      <sheetName val="B28-L22T.O"/>
      <sheetName val="B28-L23"/>
      <sheetName val="B28-L24"/>
      <sheetName val="B28-L25T.O"/>
      <sheetName val="B28-L26T.O"/>
      <sheetName val="B28-L27T.O"/>
      <sheetName val="B28-L28T.O"/>
      <sheetName val="B29-L1T.O"/>
      <sheetName val="B29-L2T.O"/>
      <sheetName val="B29-L3T.O"/>
      <sheetName val="B29-L4T.O"/>
      <sheetName val="B29-L5T.O"/>
      <sheetName val="B29-L6T.O"/>
      <sheetName val="B29-L7T.O"/>
      <sheetName val="LD B29L7"/>
      <sheetName val="B29-L8T.O"/>
      <sheetName val="B29-L9T.O"/>
      <sheetName val="B29-L10T.O"/>
      <sheetName val="LD B29L10"/>
      <sheetName val="B29-L11"/>
      <sheetName val="B29-L12T.O"/>
      <sheetName val="B29 L13T.O"/>
      <sheetName val="B29-L14T.O"/>
      <sheetName val="B29-L15T.O"/>
      <sheetName val="LD B29L15"/>
      <sheetName val="B29-L16T.O"/>
      <sheetName val="B29-L17T.O"/>
      <sheetName val="B29-L18T.O"/>
      <sheetName val="B29-L19T.O"/>
      <sheetName val="B29-L20T.O"/>
      <sheetName val="B30-L1"/>
      <sheetName val="B30-L2T.O"/>
      <sheetName val="B30-L3T.O"/>
      <sheetName val="B30-L4"/>
      <sheetName val="B30-L5"/>
      <sheetName val="B30-L6T.O"/>
      <sheetName val="B30-L7T.O"/>
      <sheetName val="B30-L8T.O"/>
      <sheetName val="B30-L9T.O"/>
      <sheetName val="B30-L10"/>
      <sheetName val="B30-L11T.O"/>
      <sheetName val="B30-L12T.O"/>
      <sheetName val="B30-L13T.O"/>
      <sheetName val="B30-L14T.O"/>
      <sheetName val="B30-L15T.O"/>
      <sheetName val="B30-L16T.O"/>
      <sheetName val="B30-L17T.O"/>
      <sheetName val="B30-L18T.O"/>
      <sheetName val="B30-L19T.O"/>
      <sheetName val="B31-L1T.O"/>
      <sheetName val="B31-L2T.O"/>
      <sheetName val="LD B31L2_Blones"/>
      <sheetName val="B31-L3T.O"/>
      <sheetName val="B31-L4T.O"/>
      <sheetName val="B31-L5T.O"/>
      <sheetName val="B31-L6T.O"/>
      <sheetName val="B31-L7T.O"/>
      <sheetName val="B31-L8T.O"/>
      <sheetName val="B31-L9T.O"/>
      <sheetName val="B31-L10T.O"/>
      <sheetName val="B31-L11T.O"/>
      <sheetName val="B31-L12T.O"/>
      <sheetName val="B31-L13T.O"/>
      <sheetName val="B31-L14T.O"/>
      <sheetName val="B31-L15T.O"/>
      <sheetName val="B31-L16T.O"/>
      <sheetName val="B31-L17T.O"/>
      <sheetName val="B31-L18T.O"/>
      <sheetName val="B31-L19T.O"/>
      <sheetName val="B31-L20T.O"/>
      <sheetName val="B32-L1T.O"/>
      <sheetName val="B32-L2"/>
      <sheetName val="INHS_B32L2"/>
      <sheetName val="B32-L3T.O"/>
      <sheetName val="B32-L4T.O"/>
      <sheetName val="B32-L5T.O"/>
      <sheetName val="B32-L6"/>
      <sheetName val="B32-L7"/>
      <sheetName val="B32-L8"/>
      <sheetName val="B32-L9T.O"/>
      <sheetName val="B32-L10T.O"/>
      <sheetName val="B32-L11T.O"/>
      <sheetName val="B32-L12T.O"/>
      <sheetName val="B32-L13"/>
      <sheetName val="B32-L14T.O"/>
      <sheetName val="B32-L15T.O"/>
      <sheetName val="B32-L16T.O"/>
      <sheetName val="B32-L17T.O"/>
      <sheetName val="B32-L18T.O"/>
      <sheetName val="Loan Diff Computation_B32L18"/>
      <sheetName val="B32-L19T.O"/>
      <sheetName val="B32-L20"/>
      <sheetName val="B33-L1T.O"/>
      <sheetName val="B33-L2"/>
      <sheetName val="B33-L3"/>
      <sheetName val="B33-L4T.O"/>
      <sheetName val="B33-L5T.O"/>
      <sheetName val="B33-L6T.O"/>
      <sheetName val="B33-L7T.O"/>
      <sheetName val="B33-L8T.O"/>
      <sheetName val="LD B33 L8_Quisido"/>
      <sheetName val="B33-L9T.O"/>
      <sheetName val="B33-L10T.O"/>
      <sheetName val="B33-L11T.O"/>
      <sheetName val="B33-L12"/>
      <sheetName val="B33-L13T.O"/>
      <sheetName val="B33-L14T.O"/>
      <sheetName val="B33-L15T.O"/>
      <sheetName val="B33-L16"/>
      <sheetName val="B33-L17T.O"/>
      <sheetName val="B33-L18T.O"/>
      <sheetName val="B33-L19T.O"/>
      <sheetName val="B33-L20T.O"/>
      <sheetName val="B33-L21T.O"/>
      <sheetName val="B33-L22T.O"/>
      <sheetName val="B34-L1T.O"/>
      <sheetName val="B34-L2T.O"/>
      <sheetName val="B34-L3T.O"/>
      <sheetName val="B34-L4T.O"/>
      <sheetName val="B34-L5T.O"/>
      <sheetName val="B34-L6T.O"/>
      <sheetName val="B34-L7T.O"/>
      <sheetName val="B34-L8T.O"/>
      <sheetName val="B34-L9T.O"/>
      <sheetName val="B34-L10T.O"/>
      <sheetName val="B34-L11T.O"/>
      <sheetName val="B34-L12T.O"/>
      <sheetName val="B34-L13T.O"/>
      <sheetName val="B34-L14T.O"/>
      <sheetName val="B34-L15T.O"/>
      <sheetName val="B34-L16T.O"/>
      <sheetName val="B34-L17T.O"/>
      <sheetName val="B34-L18"/>
      <sheetName val="B34-L19T.O"/>
      <sheetName val="B34-L20T.O"/>
      <sheetName val="B34-L21T.O"/>
      <sheetName val="B34-L22T.O"/>
      <sheetName val="B35-L1"/>
      <sheetName val="B35-L2"/>
      <sheetName val="B35-L3T.O"/>
      <sheetName val="B35-L4T.O"/>
      <sheetName val="B35-L5"/>
      <sheetName val="B35-L6T.O"/>
      <sheetName val="B35-L7T.O"/>
      <sheetName val="B35-L8T.O"/>
      <sheetName val="B35-L9"/>
      <sheetName val="B35-L10"/>
      <sheetName val="B35-L11"/>
      <sheetName val="B35-L12"/>
      <sheetName val="B35-L13"/>
      <sheetName val="B35-L14"/>
      <sheetName val="B36-L1"/>
      <sheetName val="B36-L2T.O"/>
      <sheetName val="B36-L3"/>
      <sheetName val="B36-L4"/>
      <sheetName val="B36-L5T.O"/>
      <sheetName val="B36-L6"/>
      <sheetName val="B36-L7T.O"/>
      <sheetName val="B36-L8"/>
      <sheetName val="B36-L9"/>
      <sheetName val="B36-L10T.O"/>
      <sheetName val="B36-L11T.O"/>
      <sheetName val="B36-L12T.O"/>
      <sheetName val="B36-L13T.O"/>
      <sheetName val="B36-L14T.O"/>
      <sheetName val="B36-L15T.O"/>
      <sheetName val="B36-L16T.O"/>
      <sheetName val="B36-L17T.O"/>
      <sheetName val="Loan Diff Computation_3months"/>
      <sheetName val="B36-L18T.O"/>
      <sheetName val="B36-L19T.O"/>
      <sheetName val="B36-L20"/>
      <sheetName val="OTHER INCOME"/>
      <sheetName val="CANCELLED ACCOUNT"/>
      <sheetName val="PENALTY"/>
      <sheetName val="TRANSFERCOST"/>
      <sheetName val="MONTHLY EFFICIENCY"/>
      <sheetName val="PER ACCT_EFFICIENC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ow r="32">
          <cell r="J32" t="str">
            <v>PAID</v>
          </cell>
        </row>
        <row r="33">
          <cell r="J33" t="str">
            <v>PAID</v>
          </cell>
        </row>
        <row r="34">
          <cell r="J34" t="str">
            <v>PAID</v>
          </cell>
        </row>
        <row r="35">
          <cell r="J35" t="str">
            <v>PAID</v>
          </cell>
        </row>
        <row r="36">
          <cell r="J36" t="str">
            <v>PAID</v>
          </cell>
        </row>
        <row r="37">
          <cell r="J37" t="str">
            <v>PAID</v>
          </cell>
        </row>
        <row r="38">
          <cell r="J38" t="str">
            <v>PAID</v>
          </cell>
        </row>
        <row r="39">
          <cell r="J39" t="str">
            <v>PAID</v>
          </cell>
        </row>
        <row r="40">
          <cell r="J40" t="str">
            <v>PAID</v>
          </cell>
        </row>
        <row r="41">
          <cell r="J41" t="str">
            <v>PAID</v>
          </cell>
        </row>
        <row r="42">
          <cell r="J42" t="str">
            <v>PAID</v>
          </cell>
        </row>
        <row r="43">
          <cell r="J43" t="str">
            <v>PAID</v>
          </cell>
        </row>
        <row r="44">
          <cell r="J44" t="str">
            <v>PAID</v>
          </cell>
        </row>
        <row r="45">
          <cell r="J45" t="str">
            <v>PAID</v>
          </cell>
        </row>
        <row r="46">
          <cell r="J46" t="str">
            <v>PAID</v>
          </cell>
        </row>
        <row r="47">
          <cell r="J47" t="str">
            <v>PAID</v>
          </cell>
        </row>
        <row r="48">
          <cell r="J48" t="str">
            <v>PAID</v>
          </cell>
        </row>
        <row r="49">
          <cell r="J49" t="str">
            <v>PAID</v>
          </cell>
        </row>
        <row r="50">
          <cell r="J50" t="str">
            <v>PAID</v>
          </cell>
        </row>
        <row r="51">
          <cell r="J51" t="str">
            <v>PAID</v>
          </cell>
        </row>
        <row r="52">
          <cell r="J52" t="str">
            <v>PAID</v>
          </cell>
        </row>
        <row r="53">
          <cell r="J53" t="str">
            <v>PAID</v>
          </cell>
        </row>
        <row r="54">
          <cell r="J54" t="str">
            <v>PAID</v>
          </cell>
        </row>
        <row r="55">
          <cell r="J55" t="str">
            <v>PAID</v>
          </cell>
        </row>
        <row r="56">
          <cell r="J56" t="str">
            <v>PAID</v>
          </cell>
        </row>
        <row r="57">
          <cell r="J57" t="str">
            <v>PAID</v>
          </cell>
        </row>
        <row r="58">
          <cell r="J58" t="str">
            <v>PAID</v>
          </cell>
        </row>
        <row r="59">
          <cell r="J59" t="str">
            <v>PAID</v>
          </cell>
        </row>
        <row r="60">
          <cell r="J60" t="str">
            <v>PAID</v>
          </cell>
        </row>
        <row r="61">
          <cell r="J61" t="str">
            <v>PAID</v>
          </cell>
        </row>
        <row r="62">
          <cell r="J62" t="str">
            <v>PAID</v>
          </cell>
        </row>
        <row r="63">
          <cell r="J63" t="str">
            <v>PAID</v>
          </cell>
        </row>
        <row r="64">
          <cell r="J64" t="str">
            <v>PAID</v>
          </cell>
        </row>
        <row r="65">
          <cell r="J65" t="str">
            <v>PAID</v>
          </cell>
        </row>
        <row r="66">
          <cell r="J66" t="str">
            <v>PAID</v>
          </cell>
        </row>
        <row r="67">
          <cell r="J67" t="str">
            <v>PAID</v>
          </cell>
        </row>
        <row r="68">
          <cell r="J68" t="str">
            <v>PAID</v>
          </cell>
        </row>
        <row r="69">
          <cell r="J69" t="str">
            <v>BOUNCED CHECK 2.28.2024</v>
          </cell>
        </row>
        <row r="71">
          <cell r="J71" t="str">
            <v>PAID</v>
          </cell>
        </row>
        <row r="72">
          <cell r="J72" t="str">
            <v>PAID</v>
          </cell>
        </row>
        <row r="73">
          <cell r="J73" t="str">
            <v>PAID</v>
          </cell>
        </row>
        <row r="74">
          <cell r="J74" t="str">
            <v>PAID</v>
          </cell>
        </row>
        <row r="75">
          <cell r="J75" t="str">
            <v>PAID</v>
          </cell>
        </row>
        <row r="76">
          <cell r="J76" t="str">
            <v>PAID</v>
          </cell>
        </row>
        <row r="77">
          <cell r="J77" t="str">
            <v>PAID</v>
          </cell>
        </row>
        <row r="78">
          <cell r="J78" t="str">
            <v>PAID</v>
          </cell>
        </row>
        <row r="79">
          <cell r="J79" t="str">
            <v>PAID</v>
          </cell>
        </row>
        <row r="80">
          <cell r="J80" t="str">
            <v>PAID</v>
          </cell>
        </row>
        <row r="81">
          <cell r="J81" t="str">
            <v>PAID</v>
          </cell>
        </row>
        <row r="82">
          <cell r="J82" t="str">
            <v>PAID</v>
          </cell>
        </row>
        <row r="83">
          <cell r="J83" t="str">
            <v>PAID</v>
          </cell>
        </row>
        <row r="84">
          <cell r="J84" t="str">
            <v>PAID</v>
          </cell>
        </row>
        <row r="85">
          <cell r="J85" t="str">
            <v>PAID</v>
          </cell>
        </row>
        <row r="86">
          <cell r="J86" t="str">
            <v>PAID</v>
          </cell>
        </row>
      </sheetData>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
      <sheetName val="Building Increase"/>
      <sheetName val="Tab"/>
      <sheetName val="Construction Schedule"/>
      <sheetName val="TSF 1 Price study with Additive"/>
      <sheetName val="Corrected and Updated TSF 1"/>
      <sheetName val="TSF 2 Price study with Additive"/>
      <sheetName val="Corrected and Updated TSF 2"/>
      <sheetName val="TSF 3 Price study with Additive"/>
      <sheetName val="Corrected and Updated TSF 3"/>
      <sheetName val="Parking Pricelist B123"/>
    </sheetNames>
    <sheetDataSet>
      <sheetData sheetId="0"/>
      <sheetData sheetId="1">
        <row r="6">
          <cell r="H6">
            <v>45566</v>
          </cell>
        </row>
      </sheetData>
      <sheetData sheetId="2"/>
      <sheetData sheetId="3"/>
      <sheetData sheetId="4"/>
      <sheetData sheetId="5">
        <row r="7">
          <cell r="BG7">
            <v>45566</v>
          </cell>
        </row>
      </sheetData>
      <sheetData sheetId="6">
        <row r="3">
          <cell r="L3">
            <v>100909.09090909091</v>
          </cell>
        </row>
      </sheetData>
      <sheetData sheetId="7"/>
      <sheetData sheetId="8">
        <row r="5">
          <cell r="L5">
            <v>106005.26567735759</v>
          </cell>
        </row>
      </sheetData>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d Turn over date"/>
      <sheetName val="INTERNAL PRICELIST"/>
      <sheetName val="T1_Pricelist Link"/>
      <sheetName val="FORM"/>
      <sheetName val="STEP UP"/>
      <sheetName val="RA_STEPUP"/>
      <sheetName val="STANDARD COMP."/>
      <sheetName val="RA_Standard"/>
      <sheetName val="SPOT EQUITY_7DAYS"/>
      <sheetName val="RA_SE7D"/>
      <sheetName val="SPOT EQUITY_30DAYS"/>
      <sheetName val="RA_SE30D"/>
      <sheetName val="SPOT CASH_30 DAYS"/>
      <sheetName val="RA_SC30D"/>
      <sheetName val="SPOT CASH_60 DAYS"/>
      <sheetName val="RA_SC60D"/>
      <sheetName val="DEFERRED"/>
      <sheetName val="RA_DEFERRED"/>
      <sheetName val="SPECIAL PACKAGE"/>
      <sheetName val="RA_SPECIAL"/>
      <sheetName val="Docs Req"/>
    </sheetNames>
    <sheetDataSet>
      <sheetData sheetId="0"/>
      <sheetData sheetId="1"/>
      <sheetData sheetId="2"/>
      <sheetData sheetId="3">
        <row r="11">
          <cell r="I11" t="str">
            <v>HARBOUR PARK RESIDENCES</v>
          </cell>
        </row>
        <row r="14">
          <cell r="I14" t="str">
            <v>TOWER 1</v>
          </cell>
        </row>
      </sheetData>
      <sheetData sheetId="4"/>
      <sheetData sheetId="5"/>
      <sheetData sheetId="6"/>
      <sheetData sheetId="7">
        <row r="95">
          <cell r="A95" t="str">
            <v>Brokerage/Realty</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PRICELIST"/>
      <sheetName val="Sheet1"/>
      <sheetName val="Pricelist Link"/>
      <sheetName val="FORM"/>
      <sheetName val="STEP UP"/>
      <sheetName val="RA_Step Up"/>
      <sheetName val="7% Step-up plus 3% Lumpsum"/>
      <sheetName val="12.5% Step-up plus 2.5% lumpsum"/>
      <sheetName val="STEP UP_(10% Equity only)_2"/>
      <sheetName val="STEP UP_2.5%LS(15% EQUITY only)"/>
      <sheetName val="2.5% Lumpsum(15% EQUITY only)"/>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SPECIAL PACKAGE"/>
      <sheetName val="RA_Special"/>
    </sheetNames>
    <sheetDataSet>
      <sheetData sheetId="0">
        <row r="24">
          <cell r="AH24" t="str">
            <v>7% Step-up plus 3% Lumpsum</v>
          </cell>
        </row>
      </sheetData>
      <sheetData sheetId="1"/>
      <sheetData sheetId="2"/>
      <sheetData sheetId="3">
        <row r="14">
          <cell r="I14" t="str">
            <v>B1</v>
          </cell>
        </row>
        <row r="19">
          <cell r="O19"/>
          <cell r="S19"/>
          <cell r="V19"/>
        </row>
        <row r="21">
          <cell r="O21"/>
          <cell r="S21"/>
          <cell r="V21"/>
        </row>
        <row r="25">
          <cell r="O25"/>
          <cell r="S25"/>
          <cell r="V25"/>
        </row>
        <row r="27">
          <cell r="O27"/>
          <cell r="S27"/>
          <cell r="V27"/>
        </row>
        <row r="31">
          <cell r="O31"/>
          <cell r="S31"/>
          <cell r="V31"/>
        </row>
        <row r="33">
          <cell r="O33"/>
          <cell r="S33"/>
          <cell r="V33"/>
        </row>
        <row r="39">
          <cell r="T39">
            <v>0.25</v>
          </cell>
        </row>
        <row r="40">
          <cell r="T40">
            <v>0.35</v>
          </cell>
        </row>
        <row r="41">
          <cell r="T41">
            <v>0.4</v>
          </cell>
        </row>
      </sheetData>
      <sheetData sheetId="4"/>
      <sheetData sheetId="5"/>
      <sheetData sheetId="6"/>
      <sheetData sheetId="7"/>
      <sheetData sheetId="8"/>
      <sheetData sheetId="9"/>
      <sheetData sheetId="10"/>
      <sheetData sheetId="11">
        <row r="9">
          <cell r="E9" t="e">
            <v>#REF!</v>
          </cell>
          <cell r="F9"/>
          <cell r="G9"/>
          <cell r="H9"/>
          <cell r="I9"/>
        </row>
        <row r="69">
          <cell r="B69" t="str">
            <v xml:space="preserve">agent </v>
          </cell>
          <cell r="C69"/>
          <cell r="D69"/>
          <cell r="F69" t="str">
            <v>buyer</v>
          </cell>
          <cell r="G69"/>
          <cell r="H69"/>
          <cell r="I69"/>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5.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4.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7.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8.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5.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11.bin"/><Relationship Id="rId6" Type="http://schemas.openxmlformats.org/officeDocument/2006/relationships/ctrlProp" Target="../ctrlProps/ctrlProp22.xml"/><Relationship Id="rId11" Type="http://schemas.openxmlformats.org/officeDocument/2006/relationships/ctrlProp" Target="../ctrlProps/ctrlProp27.xml"/><Relationship Id="rId5" Type="http://schemas.openxmlformats.org/officeDocument/2006/relationships/ctrlProp" Target="../ctrlProps/ctrlProp21.xml"/><Relationship Id="rId15" Type="http://schemas.openxmlformats.org/officeDocument/2006/relationships/ctrlProp" Target="../ctrlProps/ctrlProp31.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18" Type="http://schemas.openxmlformats.org/officeDocument/2006/relationships/ctrlProp" Target="../ctrlProps/ctrlProp53.xml"/><Relationship Id="rId3" Type="http://schemas.openxmlformats.org/officeDocument/2006/relationships/vmlDrawing" Target="../drawings/vmlDrawing9.vml"/><Relationship Id="rId21" Type="http://schemas.openxmlformats.org/officeDocument/2006/relationships/ctrlProp" Target="../ctrlProps/ctrlProp56.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 Type="http://schemas.openxmlformats.org/officeDocument/2006/relationships/drawing" Target="../drawings/drawing6.xml"/><Relationship Id="rId16" Type="http://schemas.openxmlformats.org/officeDocument/2006/relationships/ctrlProp" Target="../ctrlProps/ctrlProp51.xml"/><Relationship Id="rId20" Type="http://schemas.openxmlformats.org/officeDocument/2006/relationships/ctrlProp" Target="../ctrlProps/ctrlProp55.xml"/><Relationship Id="rId1" Type="http://schemas.openxmlformats.org/officeDocument/2006/relationships/printerSettings" Target="../printerSettings/printerSettings13.bin"/><Relationship Id="rId6" Type="http://schemas.openxmlformats.org/officeDocument/2006/relationships/ctrlProp" Target="../ctrlProps/ctrlProp41.xml"/><Relationship Id="rId11" Type="http://schemas.openxmlformats.org/officeDocument/2006/relationships/ctrlProp" Target="../ctrlProps/ctrlProp46.xml"/><Relationship Id="rId5" Type="http://schemas.openxmlformats.org/officeDocument/2006/relationships/ctrlProp" Target="../ctrlProps/ctrlProp40.xml"/><Relationship Id="rId15" Type="http://schemas.openxmlformats.org/officeDocument/2006/relationships/ctrlProp" Target="../ctrlProps/ctrlProp50.xml"/><Relationship Id="rId10" Type="http://schemas.openxmlformats.org/officeDocument/2006/relationships/ctrlProp" Target="../ctrlProps/ctrlProp45.xml"/><Relationship Id="rId19" Type="http://schemas.openxmlformats.org/officeDocument/2006/relationships/ctrlProp" Target="../ctrlProps/ctrlProp54.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8" Type="http://schemas.openxmlformats.org/officeDocument/2006/relationships/ctrlProp" Target="../ctrlProps/ctrlProp62.xml"/><Relationship Id="rId13" Type="http://schemas.openxmlformats.org/officeDocument/2006/relationships/ctrlProp" Target="../ctrlProps/ctrlProp67.xml"/><Relationship Id="rId18" Type="http://schemas.openxmlformats.org/officeDocument/2006/relationships/ctrlProp" Target="../ctrlProps/ctrlProp72.xml"/><Relationship Id="rId3" Type="http://schemas.openxmlformats.org/officeDocument/2006/relationships/vmlDrawing" Target="../drawings/vmlDrawing10.vml"/><Relationship Id="rId21" Type="http://schemas.openxmlformats.org/officeDocument/2006/relationships/ctrlProp" Target="../ctrlProps/ctrlProp75.xml"/><Relationship Id="rId7" Type="http://schemas.openxmlformats.org/officeDocument/2006/relationships/ctrlProp" Target="../ctrlProps/ctrlProp61.xml"/><Relationship Id="rId12" Type="http://schemas.openxmlformats.org/officeDocument/2006/relationships/ctrlProp" Target="../ctrlProps/ctrlProp66.xml"/><Relationship Id="rId17" Type="http://schemas.openxmlformats.org/officeDocument/2006/relationships/ctrlProp" Target="../ctrlProps/ctrlProp71.xml"/><Relationship Id="rId2" Type="http://schemas.openxmlformats.org/officeDocument/2006/relationships/drawing" Target="../drawings/drawing7.xml"/><Relationship Id="rId16" Type="http://schemas.openxmlformats.org/officeDocument/2006/relationships/ctrlProp" Target="../ctrlProps/ctrlProp70.xml"/><Relationship Id="rId20" Type="http://schemas.openxmlformats.org/officeDocument/2006/relationships/ctrlProp" Target="../ctrlProps/ctrlProp74.xml"/><Relationship Id="rId1" Type="http://schemas.openxmlformats.org/officeDocument/2006/relationships/printerSettings" Target="../printerSettings/printerSettings15.bin"/><Relationship Id="rId6" Type="http://schemas.openxmlformats.org/officeDocument/2006/relationships/ctrlProp" Target="../ctrlProps/ctrlProp60.xml"/><Relationship Id="rId11" Type="http://schemas.openxmlformats.org/officeDocument/2006/relationships/ctrlProp" Target="../ctrlProps/ctrlProp65.xml"/><Relationship Id="rId5" Type="http://schemas.openxmlformats.org/officeDocument/2006/relationships/ctrlProp" Target="../ctrlProps/ctrlProp59.xml"/><Relationship Id="rId15" Type="http://schemas.openxmlformats.org/officeDocument/2006/relationships/ctrlProp" Target="../ctrlProps/ctrlProp69.xml"/><Relationship Id="rId10" Type="http://schemas.openxmlformats.org/officeDocument/2006/relationships/ctrlProp" Target="../ctrlProps/ctrlProp64.xml"/><Relationship Id="rId19" Type="http://schemas.openxmlformats.org/officeDocument/2006/relationships/ctrlProp" Target="../ctrlProps/ctrlProp73.xml"/><Relationship Id="rId4" Type="http://schemas.openxmlformats.org/officeDocument/2006/relationships/ctrlProp" Target="../ctrlProps/ctrlProp58.xml"/><Relationship Id="rId9" Type="http://schemas.openxmlformats.org/officeDocument/2006/relationships/ctrlProp" Target="../ctrlProps/ctrlProp63.xml"/><Relationship Id="rId14" Type="http://schemas.openxmlformats.org/officeDocument/2006/relationships/ctrlProp" Target="../ctrlProps/ctrlProp68.xml"/><Relationship Id="rId22" Type="http://schemas.openxmlformats.org/officeDocument/2006/relationships/ctrlProp" Target="../ctrlProps/ctrlProp76.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18" Type="http://schemas.openxmlformats.org/officeDocument/2006/relationships/ctrlProp" Target="../ctrlProps/ctrlProp91.xml"/><Relationship Id="rId3" Type="http://schemas.openxmlformats.org/officeDocument/2006/relationships/vmlDrawing" Target="../drawings/vmlDrawing11.vml"/><Relationship Id="rId21" Type="http://schemas.openxmlformats.org/officeDocument/2006/relationships/ctrlProp" Target="../ctrlProps/ctrlProp94.x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trlProp" Target="../ctrlProps/ctrlProp90.xml"/><Relationship Id="rId2" Type="http://schemas.openxmlformats.org/officeDocument/2006/relationships/drawing" Target="../drawings/drawing8.xml"/><Relationship Id="rId16" Type="http://schemas.openxmlformats.org/officeDocument/2006/relationships/ctrlProp" Target="../ctrlProps/ctrlProp89.xml"/><Relationship Id="rId20" Type="http://schemas.openxmlformats.org/officeDocument/2006/relationships/ctrlProp" Target="../ctrlProps/ctrlProp93.xml"/><Relationship Id="rId1" Type="http://schemas.openxmlformats.org/officeDocument/2006/relationships/printerSettings" Target="../printerSettings/printerSettings17.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19" Type="http://schemas.openxmlformats.org/officeDocument/2006/relationships/ctrlProp" Target="../ctrlProps/ctrlProp92.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 Id="rId22" Type="http://schemas.openxmlformats.org/officeDocument/2006/relationships/ctrlProp" Target="../ctrlProps/ctrlProp95.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8" Type="http://schemas.openxmlformats.org/officeDocument/2006/relationships/ctrlProp" Target="../ctrlProps/ctrlProp100.xml"/><Relationship Id="rId13" Type="http://schemas.openxmlformats.org/officeDocument/2006/relationships/ctrlProp" Target="../ctrlProps/ctrlProp105.xml"/><Relationship Id="rId18" Type="http://schemas.openxmlformats.org/officeDocument/2006/relationships/ctrlProp" Target="../ctrlProps/ctrlProp110.xml"/><Relationship Id="rId3" Type="http://schemas.openxmlformats.org/officeDocument/2006/relationships/vmlDrawing" Target="../drawings/vmlDrawing12.vml"/><Relationship Id="rId21" Type="http://schemas.openxmlformats.org/officeDocument/2006/relationships/ctrlProp" Target="../ctrlProps/ctrlProp113.xml"/><Relationship Id="rId7" Type="http://schemas.openxmlformats.org/officeDocument/2006/relationships/ctrlProp" Target="../ctrlProps/ctrlProp99.xml"/><Relationship Id="rId12" Type="http://schemas.openxmlformats.org/officeDocument/2006/relationships/ctrlProp" Target="../ctrlProps/ctrlProp104.xml"/><Relationship Id="rId17" Type="http://schemas.openxmlformats.org/officeDocument/2006/relationships/ctrlProp" Target="../ctrlProps/ctrlProp109.xml"/><Relationship Id="rId2" Type="http://schemas.openxmlformats.org/officeDocument/2006/relationships/drawing" Target="../drawings/drawing9.xml"/><Relationship Id="rId16" Type="http://schemas.openxmlformats.org/officeDocument/2006/relationships/ctrlProp" Target="../ctrlProps/ctrlProp108.xml"/><Relationship Id="rId20" Type="http://schemas.openxmlformats.org/officeDocument/2006/relationships/ctrlProp" Target="../ctrlProps/ctrlProp112.xml"/><Relationship Id="rId1" Type="http://schemas.openxmlformats.org/officeDocument/2006/relationships/printerSettings" Target="../printerSettings/printerSettings20.bin"/><Relationship Id="rId6" Type="http://schemas.openxmlformats.org/officeDocument/2006/relationships/ctrlProp" Target="../ctrlProps/ctrlProp98.xml"/><Relationship Id="rId11" Type="http://schemas.openxmlformats.org/officeDocument/2006/relationships/ctrlProp" Target="../ctrlProps/ctrlProp103.xml"/><Relationship Id="rId5" Type="http://schemas.openxmlformats.org/officeDocument/2006/relationships/ctrlProp" Target="../ctrlProps/ctrlProp97.xml"/><Relationship Id="rId15" Type="http://schemas.openxmlformats.org/officeDocument/2006/relationships/ctrlProp" Target="../ctrlProps/ctrlProp107.xml"/><Relationship Id="rId10" Type="http://schemas.openxmlformats.org/officeDocument/2006/relationships/ctrlProp" Target="../ctrlProps/ctrlProp102.xml"/><Relationship Id="rId19" Type="http://schemas.openxmlformats.org/officeDocument/2006/relationships/ctrlProp" Target="../ctrlProps/ctrlProp111.xml"/><Relationship Id="rId4" Type="http://schemas.openxmlformats.org/officeDocument/2006/relationships/ctrlProp" Target="../ctrlProps/ctrlProp96.xml"/><Relationship Id="rId9" Type="http://schemas.openxmlformats.org/officeDocument/2006/relationships/ctrlProp" Target="../ctrlProps/ctrlProp101.xml"/><Relationship Id="rId14" Type="http://schemas.openxmlformats.org/officeDocument/2006/relationships/ctrlProp" Target="../ctrlProps/ctrlProp106.xml"/><Relationship Id="rId22" Type="http://schemas.openxmlformats.org/officeDocument/2006/relationships/ctrlProp" Target="../ctrlProps/ctrlProp114.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8" Type="http://schemas.openxmlformats.org/officeDocument/2006/relationships/ctrlProp" Target="../ctrlProps/ctrlProp119.xml"/><Relationship Id="rId13" Type="http://schemas.openxmlformats.org/officeDocument/2006/relationships/ctrlProp" Target="../ctrlProps/ctrlProp124.xml"/><Relationship Id="rId18" Type="http://schemas.openxmlformats.org/officeDocument/2006/relationships/ctrlProp" Target="../ctrlProps/ctrlProp129.xml"/><Relationship Id="rId3" Type="http://schemas.openxmlformats.org/officeDocument/2006/relationships/vmlDrawing" Target="../drawings/vmlDrawing13.vml"/><Relationship Id="rId21" Type="http://schemas.openxmlformats.org/officeDocument/2006/relationships/ctrlProp" Target="../ctrlProps/ctrlProp132.xml"/><Relationship Id="rId7" Type="http://schemas.openxmlformats.org/officeDocument/2006/relationships/ctrlProp" Target="../ctrlProps/ctrlProp118.xml"/><Relationship Id="rId12" Type="http://schemas.openxmlformats.org/officeDocument/2006/relationships/ctrlProp" Target="../ctrlProps/ctrlProp123.xml"/><Relationship Id="rId17" Type="http://schemas.openxmlformats.org/officeDocument/2006/relationships/ctrlProp" Target="../ctrlProps/ctrlProp128.xml"/><Relationship Id="rId2" Type="http://schemas.openxmlformats.org/officeDocument/2006/relationships/drawing" Target="../drawings/drawing10.xml"/><Relationship Id="rId16" Type="http://schemas.openxmlformats.org/officeDocument/2006/relationships/ctrlProp" Target="../ctrlProps/ctrlProp127.xml"/><Relationship Id="rId20" Type="http://schemas.openxmlformats.org/officeDocument/2006/relationships/ctrlProp" Target="../ctrlProps/ctrlProp131.xml"/><Relationship Id="rId1" Type="http://schemas.openxmlformats.org/officeDocument/2006/relationships/printerSettings" Target="../printerSettings/printerSettings22.bin"/><Relationship Id="rId6" Type="http://schemas.openxmlformats.org/officeDocument/2006/relationships/ctrlProp" Target="../ctrlProps/ctrlProp117.xml"/><Relationship Id="rId11" Type="http://schemas.openxmlformats.org/officeDocument/2006/relationships/ctrlProp" Target="../ctrlProps/ctrlProp122.xml"/><Relationship Id="rId5" Type="http://schemas.openxmlformats.org/officeDocument/2006/relationships/ctrlProp" Target="../ctrlProps/ctrlProp116.xml"/><Relationship Id="rId15" Type="http://schemas.openxmlformats.org/officeDocument/2006/relationships/ctrlProp" Target="../ctrlProps/ctrlProp126.xml"/><Relationship Id="rId10" Type="http://schemas.openxmlformats.org/officeDocument/2006/relationships/ctrlProp" Target="../ctrlProps/ctrlProp121.xml"/><Relationship Id="rId19" Type="http://schemas.openxmlformats.org/officeDocument/2006/relationships/ctrlProp" Target="../ctrlProps/ctrlProp130.xml"/><Relationship Id="rId4" Type="http://schemas.openxmlformats.org/officeDocument/2006/relationships/ctrlProp" Target="../ctrlProps/ctrlProp115.xml"/><Relationship Id="rId9" Type="http://schemas.openxmlformats.org/officeDocument/2006/relationships/ctrlProp" Target="../ctrlProps/ctrlProp120.xml"/><Relationship Id="rId14" Type="http://schemas.openxmlformats.org/officeDocument/2006/relationships/ctrlProp" Target="../ctrlProps/ctrlProp125.xml"/><Relationship Id="rId22" Type="http://schemas.openxmlformats.org/officeDocument/2006/relationships/ctrlProp" Target="../ctrlProps/ctrlProp133.xm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8" Type="http://schemas.openxmlformats.org/officeDocument/2006/relationships/ctrlProp" Target="../ctrlProps/ctrlProp138.xml"/><Relationship Id="rId3" Type="http://schemas.openxmlformats.org/officeDocument/2006/relationships/vmlDrawing" Target="../drawings/vmlDrawing14.vml"/><Relationship Id="rId7" Type="http://schemas.openxmlformats.org/officeDocument/2006/relationships/ctrlProp" Target="../ctrlProps/ctrlProp137.xml"/><Relationship Id="rId2" Type="http://schemas.openxmlformats.org/officeDocument/2006/relationships/drawing" Target="../drawings/drawing11.xml"/><Relationship Id="rId1" Type="http://schemas.openxmlformats.org/officeDocument/2006/relationships/printerSettings" Target="../printerSettings/printerSettings24.bin"/><Relationship Id="rId6" Type="http://schemas.openxmlformats.org/officeDocument/2006/relationships/ctrlProp" Target="../ctrlProps/ctrlProp136.xml"/><Relationship Id="rId5" Type="http://schemas.openxmlformats.org/officeDocument/2006/relationships/ctrlProp" Target="../ctrlProps/ctrlProp135.xml"/><Relationship Id="rId10" Type="http://schemas.openxmlformats.org/officeDocument/2006/relationships/comments" Target="../comments7.xml"/><Relationship Id="rId4" Type="http://schemas.openxmlformats.org/officeDocument/2006/relationships/ctrlProp" Target="../ctrlProps/ctrlProp134.xml"/><Relationship Id="rId9" Type="http://schemas.openxmlformats.org/officeDocument/2006/relationships/ctrlProp" Target="../ctrlProps/ctrlProp139.x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8" Type="http://schemas.openxmlformats.org/officeDocument/2006/relationships/ctrlProp" Target="../ctrlProps/ctrlProp144.xml"/><Relationship Id="rId3" Type="http://schemas.openxmlformats.org/officeDocument/2006/relationships/vmlDrawing" Target="../drawings/vmlDrawing15.vml"/><Relationship Id="rId7" Type="http://schemas.openxmlformats.org/officeDocument/2006/relationships/ctrlProp" Target="../ctrlProps/ctrlProp143.xml"/><Relationship Id="rId2" Type="http://schemas.openxmlformats.org/officeDocument/2006/relationships/drawing" Target="../drawings/drawing12.xml"/><Relationship Id="rId1" Type="http://schemas.openxmlformats.org/officeDocument/2006/relationships/printerSettings" Target="../printerSettings/printerSettings26.bin"/><Relationship Id="rId6" Type="http://schemas.openxmlformats.org/officeDocument/2006/relationships/ctrlProp" Target="../ctrlProps/ctrlProp142.xml"/><Relationship Id="rId5" Type="http://schemas.openxmlformats.org/officeDocument/2006/relationships/ctrlProp" Target="../ctrlProps/ctrlProp141.xml"/><Relationship Id="rId10" Type="http://schemas.openxmlformats.org/officeDocument/2006/relationships/comments" Target="../comments8.xml"/><Relationship Id="rId4" Type="http://schemas.openxmlformats.org/officeDocument/2006/relationships/ctrlProp" Target="../ctrlProps/ctrlProp140.xml"/><Relationship Id="rId9" Type="http://schemas.openxmlformats.org/officeDocument/2006/relationships/ctrlProp" Target="../ctrlProps/ctrlProp145.xml"/></Relationships>
</file>

<file path=xl/worksheets/_rels/sheet29.xml.rels><?xml version="1.0" encoding="UTF-8" standalone="yes"?>
<Relationships xmlns="http://schemas.openxmlformats.org/package/2006/relationships"><Relationship Id="rId8" Type="http://schemas.openxmlformats.org/officeDocument/2006/relationships/ctrlProp" Target="../ctrlProps/ctrlProp150.xml"/><Relationship Id="rId13" Type="http://schemas.openxmlformats.org/officeDocument/2006/relationships/ctrlProp" Target="../ctrlProps/ctrlProp155.xml"/><Relationship Id="rId18" Type="http://schemas.openxmlformats.org/officeDocument/2006/relationships/ctrlProp" Target="../ctrlProps/ctrlProp160.xml"/><Relationship Id="rId3" Type="http://schemas.openxmlformats.org/officeDocument/2006/relationships/vmlDrawing" Target="../drawings/vmlDrawing16.vml"/><Relationship Id="rId21" Type="http://schemas.openxmlformats.org/officeDocument/2006/relationships/ctrlProp" Target="../ctrlProps/ctrlProp163.xml"/><Relationship Id="rId7" Type="http://schemas.openxmlformats.org/officeDocument/2006/relationships/ctrlProp" Target="../ctrlProps/ctrlProp149.xml"/><Relationship Id="rId12" Type="http://schemas.openxmlformats.org/officeDocument/2006/relationships/ctrlProp" Target="../ctrlProps/ctrlProp154.xml"/><Relationship Id="rId17" Type="http://schemas.openxmlformats.org/officeDocument/2006/relationships/ctrlProp" Target="../ctrlProps/ctrlProp159.xml"/><Relationship Id="rId2" Type="http://schemas.openxmlformats.org/officeDocument/2006/relationships/drawing" Target="../drawings/drawing13.xml"/><Relationship Id="rId16" Type="http://schemas.openxmlformats.org/officeDocument/2006/relationships/ctrlProp" Target="../ctrlProps/ctrlProp158.xml"/><Relationship Id="rId20" Type="http://schemas.openxmlformats.org/officeDocument/2006/relationships/ctrlProp" Target="../ctrlProps/ctrlProp162.xml"/><Relationship Id="rId1" Type="http://schemas.openxmlformats.org/officeDocument/2006/relationships/printerSettings" Target="../printerSettings/printerSettings27.bin"/><Relationship Id="rId6" Type="http://schemas.openxmlformats.org/officeDocument/2006/relationships/ctrlProp" Target="../ctrlProps/ctrlProp148.xml"/><Relationship Id="rId11" Type="http://schemas.openxmlformats.org/officeDocument/2006/relationships/ctrlProp" Target="../ctrlProps/ctrlProp153.xml"/><Relationship Id="rId5" Type="http://schemas.openxmlformats.org/officeDocument/2006/relationships/ctrlProp" Target="../ctrlProps/ctrlProp147.xml"/><Relationship Id="rId15" Type="http://schemas.openxmlformats.org/officeDocument/2006/relationships/ctrlProp" Target="../ctrlProps/ctrlProp157.xml"/><Relationship Id="rId10" Type="http://schemas.openxmlformats.org/officeDocument/2006/relationships/ctrlProp" Target="../ctrlProps/ctrlProp152.xml"/><Relationship Id="rId19" Type="http://schemas.openxmlformats.org/officeDocument/2006/relationships/ctrlProp" Target="../ctrlProps/ctrlProp161.xml"/><Relationship Id="rId4" Type="http://schemas.openxmlformats.org/officeDocument/2006/relationships/ctrlProp" Target="../ctrlProps/ctrlProp146.xml"/><Relationship Id="rId9" Type="http://schemas.openxmlformats.org/officeDocument/2006/relationships/ctrlProp" Target="../ctrlProps/ctrlProp151.xml"/><Relationship Id="rId14" Type="http://schemas.openxmlformats.org/officeDocument/2006/relationships/ctrlProp" Target="../ctrlProps/ctrlProp156.xml"/><Relationship Id="rId22" Type="http://schemas.openxmlformats.org/officeDocument/2006/relationships/ctrlProp" Target="../ctrlProps/ctrlProp16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2"/>
  <dimension ref="A7:O44"/>
  <sheetViews>
    <sheetView topLeftCell="A21" zoomScaleNormal="100" workbookViewId="0">
      <selection activeCell="B41" sqref="B41:C44"/>
    </sheetView>
  </sheetViews>
  <sheetFormatPr defaultRowHeight="14.45"/>
  <cols>
    <col min="2" max="2" width="11.5703125" bestFit="1" customWidth="1"/>
    <col min="14" max="14" width="6.5703125" customWidth="1"/>
  </cols>
  <sheetData>
    <row r="7" spans="1:15">
      <c r="O7" t="s">
        <v>0</v>
      </c>
    </row>
    <row r="12" spans="1:15">
      <c r="B12" t="s">
        <v>1</v>
      </c>
    </row>
    <row r="13" spans="1:15">
      <c r="B13" t="s">
        <v>2</v>
      </c>
      <c r="C13" t="s">
        <v>3</v>
      </c>
    </row>
    <row r="14" spans="1:15">
      <c r="A14" t="s">
        <v>4</v>
      </c>
      <c r="B14">
        <v>27</v>
      </c>
      <c r="C14">
        <v>30</v>
      </c>
    </row>
    <row r="15" spans="1:15">
      <c r="A15" t="s">
        <v>5</v>
      </c>
      <c r="B15">
        <v>32</v>
      </c>
      <c r="C15">
        <v>35</v>
      </c>
    </row>
    <row r="16" spans="1:15">
      <c r="A16" t="s">
        <v>6</v>
      </c>
      <c r="B16">
        <v>37</v>
      </c>
      <c r="C16">
        <v>40</v>
      </c>
    </row>
    <row r="19" spans="1:2" s="1024" customFormat="1"/>
    <row r="20" spans="1:2">
      <c r="A20" t="s">
        <v>7</v>
      </c>
      <c r="B20" s="209" t="s">
        <v>8</v>
      </c>
    </row>
    <row r="41" spans="2:3">
      <c r="B41" t="s">
        <v>7</v>
      </c>
    </row>
    <row r="42" spans="2:3">
      <c r="B42" t="s">
        <v>4</v>
      </c>
      <c r="C42" s="1025">
        <v>45748</v>
      </c>
    </row>
    <row r="43" spans="2:3">
      <c r="B43" t="s">
        <v>5</v>
      </c>
      <c r="C43" s="1025">
        <v>45931</v>
      </c>
    </row>
    <row r="44" spans="2:3">
      <c r="B44" t="s">
        <v>6</v>
      </c>
      <c r="C44" s="1025">
        <v>46174</v>
      </c>
    </row>
  </sheetData>
  <sheetProtection password="CC2E"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3">
    <tabColor theme="7" tint="-0.249977111117893"/>
  </sheetPr>
  <dimension ref="A1:CL385"/>
  <sheetViews>
    <sheetView showGridLines="0" topLeftCell="A7" zoomScale="90" zoomScaleNormal="90" workbookViewId="0">
      <selection activeCell="E33" sqref="E33"/>
    </sheetView>
  </sheetViews>
  <sheetFormatPr defaultColWidth="9.140625" defaultRowHeight="12.95"/>
  <cols>
    <col min="1" max="1" width="4.5703125" style="899" customWidth="1"/>
    <col min="2" max="2" width="13.42578125" style="899" customWidth="1"/>
    <col min="3" max="3" width="15.42578125" style="899" customWidth="1"/>
    <col min="4" max="4" width="17.42578125" style="899" bestFit="1" customWidth="1"/>
    <col min="5" max="5" width="13" style="899" customWidth="1"/>
    <col min="6" max="6" width="14.42578125" style="900" customWidth="1"/>
    <col min="7" max="7" width="13" style="899" customWidth="1"/>
    <col min="8" max="8" width="14.42578125" style="899" bestFit="1" customWidth="1"/>
    <col min="9" max="9" width="17.42578125" style="899" customWidth="1"/>
    <col min="10" max="10" width="15.42578125" style="901" hidden="1" customWidth="1"/>
    <col min="11" max="11" width="5.85546875" style="898" customWidth="1"/>
    <col min="12" max="12" width="24.42578125" style="900" hidden="1" customWidth="1"/>
    <col min="13" max="24" width="15.5703125" style="900" hidden="1" customWidth="1"/>
    <col min="25" max="48" width="12.42578125" style="900" hidden="1" customWidth="1"/>
    <col min="49" max="68" width="12.85546875" style="900" hidden="1" customWidth="1"/>
    <col min="69" max="72" width="12" style="900" hidden="1" customWidth="1"/>
    <col min="73" max="74" width="0" style="900" hidden="1" customWidth="1"/>
    <col min="75" max="75" width="16.140625" style="931" hidden="1" customWidth="1"/>
    <col min="76" max="76" width="10.140625" style="931" hidden="1" customWidth="1"/>
    <col min="77" max="77" width="11.5703125" style="931" hidden="1" customWidth="1"/>
    <col min="78" max="78" width="12.85546875" style="931" hidden="1" customWidth="1"/>
    <col min="79" max="79" width="11" style="900" hidden="1" customWidth="1"/>
    <col min="80" max="84" width="0" style="900" hidden="1" customWidth="1"/>
    <col min="85" max="87" width="9.140625" style="900"/>
    <col min="88" max="88" width="12.42578125" style="900" bestFit="1" customWidth="1"/>
    <col min="89" max="246" width="9.140625" style="900"/>
    <col min="247" max="247" width="4.5703125" style="900" customWidth="1"/>
    <col min="248" max="248" width="13.42578125" style="900" customWidth="1"/>
    <col min="249" max="249" width="15.42578125" style="900" customWidth="1"/>
    <col min="250" max="250" width="17.42578125" style="900" bestFit="1" customWidth="1"/>
    <col min="251" max="251" width="13" style="900" customWidth="1"/>
    <col min="252" max="252" width="14.42578125" style="900" customWidth="1"/>
    <col min="253" max="253" width="13" style="900" customWidth="1"/>
    <col min="254" max="254" width="14.42578125" style="900" bestFit="1" customWidth="1"/>
    <col min="255" max="255" width="17.42578125" style="900" customWidth="1"/>
    <col min="256" max="256" width="15.42578125" style="900" customWidth="1"/>
    <col min="257" max="257" width="5.85546875" style="900" customWidth="1"/>
    <col min="258" max="258" width="30.85546875" style="900" bestFit="1" customWidth="1"/>
    <col min="259" max="259" width="11.85546875" style="900" customWidth="1"/>
    <col min="260" max="260" width="1.5703125" style="900" customWidth="1"/>
    <col min="261" max="261" width="26.5703125" style="900" customWidth="1"/>
    <col min="262" max="262" width="14.5703125" style="900" customWidth="1"/>
    <col min="263" max="263" width="9.140625" style="900"/>
    <col min="264" max="264" width="24.42578125" style="900" customWidth="1"/>
    <col min="265" max="265" width="12.5703125" style="900" bestFit="1" customWidth="1"/>
    <col min="266" max="502" width="9.140625" style="900"/>
    <col min="503" max="503" width="4.5703125" style="900" customWidth="1"/>
    <col min="504" max="504" width="13.42578125" style="900" customWidth="1"/>
    <col min="505" max="505" width="15.42578125" style="900" customWidth="1"/>
    <col min="506" max="506" width="17.42578125" style="900" bestFit="1" customWidth="1"/>
    <col min="507" max="507" width="13" style="900" customWidth="1"/>
    <col min="508" max="508" width="14.42578125" style="900" customWidth="1"/>
    <col min="509" max="509" width="13" style="900" customWidth="1"/>
    <col min="510" max="510" width="14.42578125" style="900" bestFit="1" customWidth="1"/>
    <col min="511" max="511" width="17.42578125" style="900" customWidth="1"/>
    <col min="512" max="512" width="15.42578125" style="900" customWidth="1"/>
    <col min="513" max="513" width="5.85546875" style="900" customWidth="1"/>
    <col min="514" max="514" width="30.85546875" style="900" bestFit="1" customWidth="1"/>
    <col min="515" max="515" width="11.85546875" style="900" customWidth="1"/>
    <col min="516" max="516" width="1.5703125" style="900" customWidth="1"/>
    <col min="517" max="517" width="26.5703125" style="900" customWidth="1"/>
    <col min="518" max="518" width="14.5703125" style="900" customWidth="1"/>
    <col min="519" max="519" width="9.140625" style="900"/>
    <col min="520" max="520" width="24.42578125" style="900" customWidth="1"/>
    <col min="521" max="521" width="12.5703125" style="900" bestFit="1" customWidth="1"/>
    <col min="522" max="758" width="9.140625" style="900"/>
    <col min="759" max="759" width="4.5703125" style="900" customWidth="1"/>
    <col min="760" max="760" width="13.42578125" style="900" customWidth="1"/>
    <col min="761" max="761" width="15.42578125" style="900" customWidth="1"/>
    <col min="762" max="762" width="17.42578125" style="900" bestFit="1" customWidth="1"/>
    <col min="763" max="763" width="13" style="900" customWidth="1"/>
    <col min="764" max="764" width="14.42578125" style="900" customWidth="1"/>
    <col min="765" max="765" width="13" style="900" customWidth="1"/>
    <col min="766" max="766" width="14.42578125" style="900" bestFit="1" customWidth="1"/>
    <col min="767" max="767" width="17.42578125" style="900" customWidth="1"/>
    <col min="768" max="768" width="15.42578125" style="900" customWidth="1"/>
    <col min="769" max="769" width="5.85546875" style="900" customWidth="1"/>
    <col min="770" max="770" width="30.85546875" style="900" bestFit="1" customWidth="1"/>
    <col min="771" max="771" width="11.85546875" style="900" customWidth="1"/>
    <col min="772" max="772" width="1.5703125" style="900" customWidth="1"/>
    <col min="773" max="773" width="26.5703125" style="900" customWidth="1"/>
    <col min="774" max="774" width="14.5703125" style="900" customWidth="1"/>
    <col min="775" max="775" width="9.140625" style="900"/>
    <col min="776" max="776" width="24.42578125" style="900" customWidth="1"/>
    <col min="777" max="777" width="12.5703125" style="900" bestFit="1" customWidth="1"/>
    <col min="778" max="1014" width="9.140625" style="900"/>
    <col min="1015" max="1015" width="4.5703125" style="900" customWidth="1"/>
    <col min="1016" max="1016" width="13.42578125" style="900" customWidth="1"/>
    <col min="1017" max="1017" width="15.42578125" style="900" customWidth="1"/>
    <col min="1018" max="1018" width="17.42578125" style="900" bestFit="1" customWidth="1"/>
    <col min="1019" max="1019" width="13" style="900" customWidth="1"/>
    <col min="1020" max="1020" width="14.42578125" style="900" customWidth="1"/>
    <col min="1021" max="1021" width="13" style="900" customWidth="1"/>
    <col min="1022" max="1022" width="14.42578125" style="900" bestFit="1" customWidth="1"/>
    <col min="1023" max="1023" width="17.42578125" style="900" customWidth="1"/>
    <col min="1024" max="1024" width="15.42578125" style="900" customWidth="1"/>
    <col min="1025" max="1025" width="5.85546875" style="900" customWidth="1"/>
    <col min="1026" max="1026" width="30.85546875" style="900" bestFit="1" customWidth="1"/>
    <col min="1027" max="1027" width="11.85546875" style="900" customWidth="1"/>
    <col min="1028" max="1028" width="1.5703125" style="900" customWidth="1"/>
    <col min="1029" max="1029" width="26.5703125" style="900" customWidth="1"/>
    <col min="1030" max="1030" width="14.5703125" style="900" customWidth="1"/>
    <col min="1031" max="1031" width="9.140625" style="900"/>
    <col min="1032" max="1032" width="24.42578125" style="900" customWidth="1"/>
    <col min="1033" max="1033" width="12.5703125" style="900" bestFit="1" customWidth="1"/>
    <col min="1034" max="1270" width="9.140625" style="900"/>
    <col min="1271" max="1271" width="4.5703125" style="900" customWidth="1"/>
    <col min="1272" max="1272" width="13.42578125" style="900" customWidth="1"/>
    <col min="1273" max="1273" width="15.42578125" style="900" customWidth="1"/>
    <col min="1274" max="1274" width="17.42578125" style="900" bestFit="1" customWidth="1"/>
    <col min="1275" max="1275" width="13" style="900" customWidth="1"/>
    <col min="1276" max="1276" width="14.42578125" style="900" customWidth="1"/>
    <col min="1277" max="1277" width="13" style="900" customWidth="1"/>
    <col min="1278" max="1278" width="14.42578125" style="900" bestFit="1" customWidth="1"/>
    <col min="1279" max="1279" width="17.42578125" style="900" customWidth="1"/>
    <col min="1280" max="1280" width="15.42578125" style="900" customWidth="1"/>
    <col min="1281" max="1281" width="5.85546875" style="900" customWidth="1"/>
    <col min="1282" max="1282" width="30.85546875" style="900" bestFit="1" customWidth="1"/>
    <col min="1283" max="1283" width="11.85546875" style="900" customWidth="1"/>
    <col min="1284" max="1284" width="1.5703125" style="900" customWidth="1"/>
    <col min="1285" max="1285" width="26.5703125" style="900" customWidth="1"/>
    <col min="1286" max="1286" width="14.5703125" style="900" customWidth="1"/>
    <col min="1287" max="1287" width="9.140625" style="900"/>
    <col min="1288" max="1288" width="24.42578125" style="900" customWidth="1"/>
    <col min="1289" max="1289" width="12.5703125" style="900" bestFit="1" customWidth="1"/>
    <col min="1290" max="1526" width="9.140625" style="900"/>
    <col min="1527" max="1527" width="4.5703125" style="900" customWidth="1"/>
    <col min="1528" max="1528" width="13.42578125" style="900" customWidth="1"/>
    <col min="1529" max="1529" width="15.42578125" style="900" customWidth="1"/>
    <col min="1530" max="1530" width="17.42578125" style="900" bestFit="1" customWidth="1"/>
    <col min="1531" max="1531" width="13" style="900" customWidth="1"/>
    <col min="1532" max="1532" width="14.42578125" style="900" customWidth="1"/>
    <col min="1533" max="1533" width="13" style="900" customWidth="1"/>
    <col min="1534" max="1534" width="14.42578125" style="900" bestFit="1" customWidth="1"/>
    <col min="1535" max="1535" width="17.42578125" style="900" customWidth="1"/>
    <col min="1536" max="1536" width="15.42578125" style="900" customWidth="1"/>
    <col min="1537" max="1537" width="5.85546875" style="900" customWidth="1"/>
    <col min="1538" max="1538" width="30.85546875" style="900" bestFit="1" customWidth="1"/>
    <col min="1539" max="1539" width="11.85546875" style="900" customWidth="1"/>
    <col min="1540" max="1540" width="1.5703125" style="900" customWidth="1"/>
    <col min="1541" max="1541" width="26.5703125" style="900" customWidth="1"/>
    <col min="1542" max="1542" width="14.5703125" style="900" customWidth="1"/>
    <col min="1543" max="1543" width="9.140625" style="900"/>
    <col min="1544" max="1544" width="24.42578125" style="900" customWidth="1"/>
    <col min="1545" max="1545" width="12.5703125" style="900" bestFit="1" customWidth="1"/>
    <col min="1546" max="1782" width="9.140625" style="900"/>
    <col min="1783" max="1783" width="4.5703125" style="900" customWidth="1"/>
    <col min="1784" max="1784" width="13.42578125" style="900" customWidth="1"/>
    <col min="1785" max="1785" width="15.42578125" style="900" customWidth="1"/>
    <col min="1786" max="1786" width="17.42578125" style="900" bestFit="1" customWidth="1"/>
    <col min="1787" max="1787" width="13" style="900" customWidth="1"/>
    <col min="1788" max="1788" width="14.42578125" style="900" customWidth="1"/>
    <col min="1789" max="1789" width="13" style="900" customWidth="1"/>
    <col min="1790" max="1790" width="14.42578125" style="900" bestFit="1" customWidth="1"/>
    <col min="1791" max="1791" width="17.42578125" style="900" customWidth="1"/>
    <col min="1792" max="1792" width="15.42578125" style="900" customWidth="1"/>
    <col min="1793" max="1793" width="5.85546875" style="900" customWidth="1"/>
    <col min="1794" max="1794" width="30.85546875" style="900" bestFit="1" customWidth="1"/>
    <col min="1795" max="1795" width="11.85546875" style="900" customWidth="1"/>
    <col min="1796" max="1796" width="1.5703125" style="900" customWidth="1"/>
    <col min="1797" max="1797" width="26.5703125" style="900" customWidth="1"/>
    <col min="1798" max="1798" width="14.5703125" style="900" customWidth="1"/>
    <col min="1799" max="1799" width="9.140625" style="900"/>
    <col min="1800" max="1800" width="24.42578125" style="900" customWidth="1"/>
    <col min="1801" max="1801" width="12.5703125" style="900" bestFit="1" customWidth="1"/>
    <col min="1802" max="2038" width="9.140625" style="900"/>
    <col min="2039" max="2039" width="4.5703125" style="900" customWidth="1"/>
    <col min="2040" max="2040" width="13.42578125" style="900" customWidth="1"/>
    <col min="2041" max="2041" width="15.42578125" style="900" customWidth="1"/>
    <col min="2042" max="2042" width="17.42578125" style="900" bestFit="1" customWidth="1"/>
    <col min="2043" max="2043" width="13" style="900" customWidth="1"/>
    <col min="2044" max="2044" width="14.42578125" style="900" customWidth="1"/>
    <col min="2045" max="2045" width="13" style="900" customWidth="1"/>
    <col min="2046" max="2046" width="14.42578125" style="900" bestFit="1" customWidth="1"/>
    <col min="2047" max="2047" width="17.42578125" style="900" customWidth="1"/>
    <col min="2048" max="2048" width="15.42578125" style="900" customWidth="1"/>
    <col min="2049" max="2049" width="5.85546875" style="900" customWidth="1"/>
    <col min="2050" max="2050" width="30.85546875" style="900" bestFit="1" customWidth="1"/>
    <col min="2051" max="2051" width="11.85546875" style="900" customWidth="1"/>
    <col min="2052" max="2052" width="1.5703125" style="900" customWidth="1"/>
    <col min="2053" max="2053" width="26.5703125" style="900" customWidth="1"/>
    <col min="2054" max="2054" width="14.5703125" style="900" customWidth="1"/>
    <col min="2055" max="2055" width="9.140625" style="900"/>
    <col min="2056" max="2056" width="24.42578125" style="900" customWidth="1"/>
    <col min="2057" max="2057" width="12.5703125" style="900" bestFit="1" customWidth="1"/>
    <col min="2058" max="2294" width="9.140625" style="900"/>
    <col min="2295" max="2295" width="4.5703125" style="900" customWidth="1"/>
    <col min="2296" max="2296" width="13.42578125" style="900" customWidth="1"/>
    <col min="2297" max="2297" width="15.42578125" style="900" customWidth="1"/>
    <col min="2298" max="2298" width="17.42578125" style="900" bestFit="1" customWidth="1"/>
    <col min="2299" max="2299" width="13" style="900" customWidth="1"/>
    <col min="2300" max="2300" width="14.42578125" style="900" customWidth="1"/>
    <col min="2301" max="2301" width="13" style="900" customWidth="1"/>
    <col min="2302" max="2302" width="14.42578125" style="900" bestFit="1" customWidth="1"/>
    <col min="2303" max="2303" width="17.42578125" style="900" customWidth="1"/>
    <col min="2304" max="2304" width="15.42578125" style="900" customWidth="1"/>
    <col min="2305" max="2305" width="5.85546875" style="900" customWidth="1"/>
    <col min="2306" max="2306" width="30.85546875" style="900" bestFit="1" customWidth="1"/>
    <col min="2307" max="2307" width="11.85546875" style="900" customWidth="1"/>
    <col min="2308" max="2308" width="1.5703125" style="900" customWidth="1"/>
    <col min="2309" max="2309" width="26.5703125" style="900" customWidth="1"/>
    <col min="2310" max="2310" width="14.5703125" style="900" customWidth="1"/>
    <col min="2311" max="2311" width="9.140625" style="900"/>
    <col min="2312" max="2312" width="24.42578125" style="900" customWidth="1"/>
    <col min="2313" max="2313" width="12.5703125" style="900" bestFit="1" customWidth="1"/>
    <col min="2314" max="2550" width="9.140625" style="900"/>
    <col min="2551" max="2551" width="4.5703125" style="900" customWidth="1"/>
    <col min="2552" max="2552" width="13.42578125" style="900" customWidth="1"/>
    <col min="2553" max="2553" width="15.42578125" style="900" customWidth="1"/>
    <col min="2554" max="2554" width="17.42578125" style="900" bestFit="1" customWidth="1"/>
    <col min="2555" max="2555" width="13" style="900" customWidth="1"/>
    <col min="2556" max="2556" width="14.42578125" style="900" customWidth="1"/>
    <col min="2557" max="2557" width="13" style="900" customWidth="1"/>
    <col min="2558" max="2558" width="14.42578125" style="900" bestFit="1" customWidth="1"/>
    <col min="2559" max="2559" width="17.42578125" style="900" customWidth="1"/>
    <col min="2560" max="2560" width="15.42578125" style="900" customWidth="1"/>
    <col min="2561" max="2561" width="5.85546875" style="900" customWidth="1"/>
    <col min="2562" max="2562" width="30.85546875" style="900" bestFit="1" customWidth="1"/>
    <col min="2563" max="2563" width="11.85546875" style="900" customWidth="1"/>
    <col min="2564" max="2564" width="1.5703125" style="900" customWidth="1"/>
    <col min="2565" max="2565" width="26.5703125" style="900" customWidth="1"/>
    <col min="2566" max="2566" width="14.5703125" style="900" customWidth="1"/>
    <col min="2567" max="2567" width="9.140625" style="900"/>
    <col min="2568" max="2568" width="24.42578125" style="900" customWidth="1"/>
    <col min="2569" max="2569" width="12.5703125" style="900" bestFit="1" customWidth="1"/>
    <col min="2570" max="2806" width="9.140625" style="900"/>
    <col min="2807" max="2807" width="4.5703125" style="900" customWidth="1"/>
    <col min="2808" max="2808" width="13.42578125" style="900" customWidth="1"/>
    <col min="2809" max="2809" width="15.42578125" style="900" customWidth="1"/>
    <col min="2810" max="2810" width="17.42578125" style="900" bestFit="1" customWidth="1"/>
    <col min="2811" max="2811" width="13" style="900" customWidth="1"/>
    <col min="2812" max="2812" width="14.42578125" style="900" customWidth="1"/>
    <col min="2813" max="2813" width="13" style="900" customWidth="1"/>
    <col min="2814" max="2814" width="14.42578125" style="900" bestFit="1" customWidth="1"/>
    <col min="2815" max="2815" width="17.42578125" style="900" customWidth="1"/>
    <col min="2816" max="2816" width="15.42578125" style="900" customWidth="1"/>
    <col min="2817" max="2817" width="5.85546875" style="900" customWidth="1"/>
    <col min="2818" max="2818" width="30.85546875" style="900" bestFit="1" customWidth="1"/>
    <col min="2819" max="2819" width="11.85546875" style="900" customWidth="1"/>
    <col min="2820" max="2820" width="1.5703125" style="900" customWidth="1"/>
    <col min="2821" max="2821" width="26.5703125" style="900" customWidth="1"/>
    <col min="2822" max="2822" width="14.5703125" style="900" customWidth="1"/>
    <col min="2823" max="2823" width="9.140625" style="900"/>
    <col min="2824" max="2824" width="24.42578125" style="900" customWidth="1"/>
    <col min="2825" max="2825" width="12.5703125" style="900" bestFit="1" customWidth="1"/>
    <col min="2826" max="3062" width="9.140625" style="900"/>
    <col min="3063" max="3063" width="4.5703125" style="900" customWidth="1"/>
    <col min="3064" max="3064" width="13.42578125" style="900" customWidth="1"/>
    <col min="3065" max="3065" width="15.42578125" style="900" customWidth="1"/>
    <col min="3066" max="3066" width="17.42578125" style="900" bestFit="1" customWidth="1"/>
    <col min="3067" max="3067" width="13" style="900" customWidth="1"/>
    <col min="3068" max="3068" width="14.42578125" style="900" customWidth="1"/>
    <col min="3069" max="3069" width="13" style="900" customWidth="1"/>
    <col min="3070" max="3070" width="14.42578125" style="900" bestFit="1" customWidth="1"/>
    <col min="3071" max="3071" width="17.42578125" style="900" customWidth="1"/>
    <col min="3072" max="3072" width="15.42578125" style="900" customWidth="1"/>
    <col min="3073" max="3073" width="5.85546875" style="900" customWidth="1"/>
    <col min="3074" max="3074" width="30.85546875" style="900" bestFit="1" customWidth="1"/>
    <col min="3075" max="3075" width="11.85546875" style="900" customWidth="1"/>
    <col min="3076" max="3076" width="1.5703125" style="900" customWidth="1"/>
    <col min="3077" max="3077" width="26.5703125" style="900" customWidth="1"/>
    <col min="3078" max="3078" width="14.5703125" style="900" customWidth="1"/>
    <col min="3079" max="3079" width="9.140625" style="900"/>
    <col min="3080" max="3080" width="24.42578125" style="900" customWidth="1"/>
    <col min="3081" max="3081" width="12.5703125" style="900" bestFit="1" customWidth="1"/>
    <col min="3082" max="3318" width="9.140625" style="900"/>
    <col min="3319" max="3319" width="4.5703125" style="900" customWidth="1"/>
    <col min="3320" max="3320" width="13.42578125" style="900" customWidth="1"/>
    <col min="3321" max="3321" width="15.42578125" style="900" customWidth="1"/>
    <col min="3322" max="3322" width="17.42578125" style="900" bestFit="1" customWidth="1"/>
    <col min="3323" max="3323" width="13" style="900" customWidth="1"/>
    <col min="3324" max="3324" width="14.42578125" style="900" customWidth="1"/>
    <col min="3325" max="3325" width="13" style="900" customWidth="1"/>
    <col min="3326" max="3326" width="14.42578125" style="900" bestFit="1" customWidth="1"/>
    <col min="3327" max="3327" width="17.42578125" style="900" customWidth="1"/>
    <col min="3328" max="3328" width="15.42578125" style="900" customWidth="1"/>
    <col min="3329" max="3329" width="5.85546875" style="900" customWidth="1"/>
    <col min="3330" max="3330" width="30.85546875" style="900" bestFit="1" customWidth="1"/>
    <col min="3331" max="3331" width="11.85546875" style="900" customWidth="1"/>
    <col min="3332" max="3332" width="1.5703125" style="900" customWidth="1"/>
    <col min="3333" max="3333" width="26.5703125" style="900" customWidth="1"/>
    <col min="3334" max="3334" width="14.5703125" style="900" customWidth="1"/>
    <col min="3335" max="3335" width="9.140625" style="900"/>
    <col min="3336" max="3336" width="24.42578125" style="900" customWidth="1"/>
    <col min="3337" max="3337" width="12.5703125" style="900" bestFit="1" customWidth="1"/>
    <col min="3338" max="3574" width="9.140625" style="900"/>
    <col min="3575" max="3575" width="4.5703125" style="900" customWidth="1"/>
    <col min="3576" max="3576" width="13.42578125" style="900" customWidth="1"/>
    <col min="3577" max="3577" width="15.42578125" style="900" customWidth="1"/>
    <col min="3578" max="3578" width="17.42578125" style="900" bestFit="1" customWidth="1"/>
    <col min="3579" max="3579" width="13" style="900" customWidth="1"/>
    <col min="3580" max="3580" width="14.42578125" style="900" customWidth="1"/>
    <col min="3581" max="3581" width="13" style="900" customWidth="1"/>
    <col min="3582" max="3582" width="14.42578125" style="900" bestFit="1" customWidth="1"/>
    <col min="3583" max="3583" width="17.42578125" style="900" customWidth="1"/>
    <col min="3584" max="3584" width="15.42578125" style="900" customWidth="1"/>
    <col min="3585" max="3585" width="5.85546875" style="900" customWidth="1"/>
    <col min="3586" max="3586" width="30.85546875" style="900" bestFit="1" customWidth="1"/>
    <col min="3587" max="3587" width="11.85546875" style="900" customWidth="1"/>
    <col min="3588" max="3588" width="1.5703125" style="900" customWidth="1"/>
    <col min="3589" max="3589" width="26.5703125" style="900" customWidth="1"/>
    <col min="3590" max="3590" width="14.5703125" style="900" customWidth="1"/>
    <col min="3591" max="3591" width="9.140625" style="900"/>
    <col min="3592" max="3592" width="24.42578125" style="900" customWidth="1"/>
    <col min="3593" max="3593" width="12.5703125" style="900" bestFit="1" customWidth="1"/>
    <col min="3594" max="3830" width="9.140625" style="900"/>
    <col min="3831" max="3831" width="4.5703125" style="900" customWidth="1"/>
    <col min="3832" max="3832" width="13.42578125" style="900" customWidth="1"/>
    <col min="3833" max="3833" width="15.42578125" style="900" customWidth="1"/>
    <col min="3834" max="3834" width="17.42578125" style="900" bestFit="1" customWidth="1"/>
    <col min="3835" max="3835" width="13" style="900" customWidth="1"/>
    <col min="3836" max="3836" width="14.42578125" style="900" customWidth="1"/>
    <col min="3837" max="3837" width="13" style="900" customWidth="1"/>
    <col min="3838" max="3838" width="14.42578125" style="900" bestFit="1" customWidth="1"/>
    <col min="3839" max="3839" width="17.42578125" style="900" customWidth="1"/>
    <col min="3840" max="3840" width="15.42578125" style="900" customWidth="1"/>
    <col min="3841" max="3841" width="5.85546875" style="900" customWidth="1"/>
    <col min="3842" max="3842" width="30.85546875" style="900" bestFit="1" customWidth="1"/>
    <col min="3843" max="3843" width="11.85546875" style="900" customWidth="1"/>
    <col min="3844" max="3844" width="1.5703125" style="900" customWidth="1"/>
    <col min="3845" max="3845" width="26.5703125" style="900" customWidth="1"/>
    <col min="3846" max="3846" width="14.5703125" style="900" customWidth="1"/>
    <col min="3847" max="3847" width="9.140625" style="900"/>
    <col min="3848" max="3848" width="24.42578125" style="900" customWidth="1"/>
    <col min="3849" max="3849" width="12.5703125" style="900" bestFit="1" customWidth="1"/>
    <col min="3850" max="4086" width="9.140625" style="900"/>
    <col min="4087" max="4087" width="4.5703125" style="900" customWidth="1"/>
    <col min="4088" max="4088" width="13.42578125" style="900" customWidth="1"/>
    <col min="4089" max="4089" width="15.42578125" style="900" customWidth="1"/>
    <col min="4090" max="4090" width="17.42578125" style="900" bestFit="1" customWidth="1"/>
    <col min="4091" max="4091" width="13" style="900" customWidth="1"/>
    <col min="4092" max="4092" width="14.42578125" style="900" customWidth="1"/>
    <col min="4093" max="4093" width="13" style="900" customWidth="1"/>
    <col min="4094" max="4094" width="14.42578125" style="900" bestFit="1" customWidth="1"/>
    <col min="4095" max="4095" width="17.42578125" style="900" customWidth="1"/>
    <col min="4096" max="4096" width="15.42578125" style="900" customWidth="1"/>
    <col min="4097" max="4097" width="5.85546875" style="900" customWidth="1"/>
    <col min="4098" max="4098" width="30.85546875" style="900" bestFit="1" customWidth="1"/>
    <col min="4099" max="4099" width="11.85546875" style="900" customWidth="1"/>
    <col min="4100" max="4100" width="1.5703125" style="900" customWidth="1"/>
    <col min="4101" max="4101" width="26.5703125" style="900" customWidth="1"/>
    <col min="4102" max="4102" width="14.5703125" style="900" customWidth="1"/>
    <col min="4103" max="4103" width="9.140625" style="900"/>
    <col min="4104" max="4104" width="24.42578125" style="900" customWidth="1"/>
    <col min="4105" max="4105" width="12.5703125" style="900" bestFit="1" customWidth="1"/>
    <col min="4106" max="4342" width="9.140625" style="900"/>
    <col min="4343" max="4343" width="4.5703125" style="900" customWidth="1"/>
    <col min="4344" max="4344" width="13.42578125" style="900" customWidth="1"/>
    <col min="4345" max="4345" width="15.42578125" style="900" customWidth="1"/>
    <col min="4346" max="4346" width="17.42578125" style="900" bestFit="1" customWidth="1"/>
    <col min="4347" max="4347" width="13" style="900" customWidth="1"/>
    <col min="4348" max="4348" width="14.42578125" style="900" customWidth="1"/>
    <col min="4349" max="4349" width="13" style="900" customWidth="1"/>
    <col min="4350" max="4350" width="14.42578125" style="900" bestFit="1" customWidth="1"/>
    <col min="4351" max="4351" width="17.42578125" style="900" customWidth="1"/>
    <col min="4352" max="4352" width="15.42578125" style="900" customWidth="1"/>
    <col min="4353" max="4353" width="5.85546875" style="900" customWidth="1"/>
    <col min="4354" max="4354" width="30.85546875" style="900" bestFit="1" customWidth="1"/>
    <col min="4355" max="4355" width="11.85546875" style="900" customWidth="1"/>
    <col min="4356" max="4356" width="1.5703125" style="900" customWidth="1"/>
    <col min="4357" max="4357" width="26.5703125" style="900" customWidth="1"/>
    <col min="4358" max="4358" width="14.5703125" style="900" customWidth="1"/>
    <col min="4359" max="4359" width="9.140625" style="900"/>
    <col min="4360" max="4360" width="24.42578125" style="900" customWidth="1"/>
    <col min="4361" max="4361" width="12.5703125" style="900" bestFit="1" customWidth="1"/>
    <col min="4362" max="4598" width="9.140625" style="900"/>
    <col min="4599" max="4599" width="4.5703125" style="900" customWidth="1"/>
    <col min="4600" max="4600" width="13.42578125" style="900" customWidth="1"/>
    <col min="4601" max="4601" width="15.42578125" style="900" customWidth="1"/>
    <col min="4602" max="4602" width="17.42578125" style="900" bestFit="1" customWidth="1"/>
    <col min="4603" max="4603" width="13" style="900" customWidth="1"/>
    <col min="4604" max="4604" width="14.42578125" style="900" customWidth="1"/>
    <col min="4605" max="4605" width="13" style="900" customWidth="1"/>
    <col min="4606" max="4606" width="14.42578125" style="900" bestFit="1" customWidth="1"/>
    <col min="4607" max="4607" width="17.42578125" style="900" customWidth="1"/>
    <col min="4608" max="4608" width="15.42578125" style="900" customWidth="1"/>
    <col min="4609" max="4609" width="5.85546875" style="900" customWidth="1"/>
    <col min="4610" max="4610" width="30.85546875" style="900" bestFit="1" customWidth="1"/>
    <col min="4611" max="4611" width="11.85546875" style="900" customWidth="1"/>
    <col min="4612" max="4612" width="1.5703125" style="900" customWidth="1"/>
    <col min="4613" max="4613" width="26.5703125" style="900" customWidth="1"/>
    <col min="4614" max="4614" width="14.5703125" style="900" customWidth="1"/>
    <col min="4615" max="4615" width="9.140625" style="900"/>
    <col min="4616" max="4616" width="24.42578125" style="900" customWidth="1"/>
    <col min="4617" max="4617" width="12.5703125" style="900" bestFit="1" customWidth="1"/>
    <col min="4618" max="4854" width="9.140625" style="900"/>
    <col min="4855" max="4855" width="4.5703125" style="900" customWidth="1"/>
    <col min="4856" max="4856" width="13.42578125" style="900" customWidth="1"/>
    <col min="4857" max="4857" width="15.42578125" style="900" customWidth="1"/>
    <col min="4858" max="4858" width="17.42578125" style="900" bestFit="1" customWidth="1"/>
    <col min="4859" max="4859" width="13" style="900" customWidth="1"/>
    <col min="4860" max="4860" width="14.42578125" style="900" customWidth="1"/>
    <col min="4861" max="4861" width="13" style="900" customWidth="1"/>
    <col min="4862" max="4862" width="14.42578125" style="900" bestFit="1" customWidth="1"/>
    <col min="4863" max="4863" width="17.42578125" style="900" customWidth="1"/>
    <col min="4864" max="4864" width="15.42578125" style="900" customWidth="1"/>
    <col min="4865" max="4865" width="5.85546875" style="900" customWidth="1"/>
    <col min="4866" max="4866" width="30.85546875" style="900" bestFit="1" customWidth="1"/>
    <col min="4867" max="4867" width="11.85546875" style="900" customWidth="1"/>
    <col min="4868" max="4868" width="1.5703125" style="900" customWidth="1"/>
    <col min="4869" max="4869" width="26.5703125" style="900" customWidth="1"/>
    <col min="4870" max="4870" width="14.5703125" style="900" customWidth="1"/>
    <col min="4871" max="4871" width="9.140625" style="900"/>
    <col min="4872" max="4872" width="24.42578125" style="900" customWidth="1"/>
    <col min="4873" max="4873" width="12.5703125" style="900" bestFit="1" customWidth="1"/>
    <col min="4874" max="5110" width="9.140625" style="900"/>
    <col min="5111" max="5111" width="4.5703125" style="900" customWidth="1"/>
    <col min="5112" max="5112" width="13.42578125" style="900" customWidth="1"/>
    <col min="5113" max="5113" width="15.42578125" style="900" customWidth="1"/>
    <col min="5114" max="5114" width="17.42578125" style="900" bestFit="1" customWidth="1"/>
    <col min="5115" max="5115" width="13" style="900" customWidth="1"/>
    <col min="5116" max="5116" width="14.42578125" style="900" customWidth="1"/>
    <col min="5117" max="5117" width="13" style="900" customWidth="1"/>
    <col min="5118" max="5118" width="14.42578125" style="900" bestFit="1" customWidth="1"/>
    <col min="5119" max="5119" width="17.42578125" style="900" customWidth="1"/>
    <col min="5120" max="5120" width="15.42578125" style="900" customWidth="1"/>
    <col min="5121" max="5121" width="5.85546875" style="900" customWidth="1"/>
    <col min="5122" max="5122" width="30.85546875" style="900" bestFit="1" customWidth="1"/>
    <col min="5123" max="5123" width="11.85546875" style="900" customWidth="1"/>
    <col min="5124" max="5124" width="1.5703125" style="900" customWidth="1"/>
    <col min="5125" max="5125" width="26.5703125" style="900" customWidth="1"/>
    <col min="5126" max="5126" width="14.5703125" style="900" customWidth="1"/>
    <col min="5127" max="5127" width="9.140625" style="900"/>
    <col min="5128" max="5128" width="24.42578125" style="900" customWidth="1"/>
    <col min="5129" max="5129" width="12.5703125" style="900" bestFit="1" customWidth="1"/>
    <col min="5130" max="5366" width="9.140625" style="900"/>
    <col min="5367" max="5367" width="4.5703125" style="900" customWidth="1"/>
    <col min="5368" max="5368" width="13.42578125" style="900" customWidth="1"/>
    <col min="5369" max="5369" width="15.42578125" style="900" customWidth="1"/>
    <col min="5370" max="5370" width="17.42578125" style="900" bestFit="1" customWidth="1"/>
    <col min="5371" max="5371" width="13" style="900" customWidth="1"/>
    <col min="5372" max="5372" width="14.42578125" style="900" customWidth="1"/>
    <col min="5373" max="5373" width="13" style="900" customWidth="1"/>
    <col min="5374" max="5374" width="14.42578125" style="900" bestFit="1" customWidth="1"/>
    <col min="5375" max="5375" width="17.42578125" style="900" customWidth="1"/>
    <col min="5376" max="5376" width="15.42578125" style="900" customWidth="1"/>
    <col min="5377" max="5377" width="5.85546875" style="900" customWidth="1"/>
    <col min="5378" max="5378" width="30.85546875" style="900" bestFit="1" customWidth="1"/>
    <col min="5379" max="5379" width="11.85546875" style="900" customWidth="1"/>
    <col min="5380" max="5380" width="1.5703125" style="900" customWidth="1"/>
    <col min="5381" max="5381" width="26.5703125" style="900" customWidth="1"/>
    <col min="5382" max="5382" width="14.5703125" style="900" customWidth="1"/>
    <col min="5383" max="5383" width="9.140625" style="900"/>
    <col min="5384" max="5384" width="24.42578125" style="900" customWidth="1"/>
    <col min="5385" max="5385" width="12.5703125" style="900" bestFit="1" customWidth="1"/>
    <col min="5386" max="5622" width="9.140625" style="900"/>
    <col min="5623" max="5623" width="4.5703125" style="900" customWidth="1"/>
    <col min="5624" max="5624" width="13.42578125" style="900" customWidth="1"/>
    <col min="5625" max="5625" width="15.42578125" style="900" customWidth="1"/>
    <col min="5626" max="5626" width="17.42578125" style="900" bestFit="1" customWidth="1"/>
    <col min="5627" max="5627" width="13" style="900" customWidth="1"/>
    <col min="5628" max="5628" width="14.42578125" style="900" customWidth="1"/>
    <col min="5629" max="5629" width="13" style="900" customWidth="1"/>
    <col min="5630" max="5630" width="14.42578125" style="900" bestFit="1" customWidth="1"/>
    <col min="5631" max="5631" width="17.42578125" style="900" customWidth="1"/>
    <col min="5632" max="5632" width="15.42578125" style="900" customWidth="1"/>
    <col min="5633" max="5633" width="5.85546875" style="900" customWidth="1"/>
    <col min="5634" max="5634" width="30.85546875" style="900" bestFit="1" customWidth="1"/>
    <col min="5635" max="5635" width="11.85546875" style="900" customWidth="1"/>
    <col min="5636" max="5636" width="1.5703125" style="900" customWidth="1"/>
    <col min="5637" max="5637" width="26.5703125" style="900" customWidth="1"/>
    <col min="5638" max="5638" width="14.5703125" style="900" customWidth="1"/>
    <col min="5639" max="5639" width="9.140625" style="900"/>
    <col min="5640" max="5640" width="24.42578125" style="900" customWidth="1"/>
    <col min="5641" max="5641" width="12.5703125" style="900" bestFit="1" customWidth="1"/>
    <col min="5642" max="5878" width="9.140625" style="900"/>
    <col min="5879" max="5879" width="4.5703125" style="900" customWidth="1"/>
    <col min="5880" max="5880" width="13.42578125" style="900" customWidth="1"/>
    <col min="5881" max="5881" width="15.42578125" style="900" customWidth="1"/>
    <col min="5882" max="5882" width="17.42578125" style="900" bestFit="1" customWidth="1"/>
    <col min="5883" max="5883" width="13" style="900" customWidth="1"/>
    <col min="5884" max="5884" width="14.42578125" style="900" customWidth="1"/>
    <col min="5885" max="5885" width="13" style="900" customWidth="1"/>
    <col min="5886" max="5886" width="14.42578125" style="900" bestFit="1" customWidth="1"/>
    <col min="5887" max="5887" width="17.42578125" style="900" customWidth="1"/>
    <col min="5888" max="5888" width="15.42578125" style="900" customWidth="1"/>
    <col min="5889" max="5889" width="5.85546875" style="900" customWidth="1"/>
    <col min="5890" max="5890" width="30.85546875" style="900" bestFit="1" customWidth="1"/>
    <col min="5891" max="5891" width="11.85546875" style="900" customWidth="1"/>
    <col min="5892" max="5892" width="1.5703125" style="900" customWidth="1"/>
    <col min="5893" max="5893" width="26.5703125" style="900" customWidth="1"/>
    <col min="5894" max="5894" width="14.5703125" style="900" customWidth="1"/>
    <col min="5895" max="5895" width="9.140625" style="900"/>
    <col min="5896" max="5896" width="24.42578125" style="900" customWidth="1"/>
    <col min="5897" max="5897" width="12.5703125" style="900" bestFit="1" customWidth="1"/>
    <col min="5898" max="6134" width="9.140625" style="900"/>
    <col min="6135" max="6135" width="4.5703125" style="900" customWidth="1"/>
    <col min="6136" max="6136" width="13.42578125" style="900" customWidth="1"/>
    <col min="6137" max="6137" width="15.42578125" style="900" customWidth="1"/>
    <col min="6138" max="6138" width="17.42578125" style="900" bestFit="1" customWidth="1"/>
    <col min="6139" max="6139" width="13" style="900" customWidth="1"/>
    <col min="6140" max="6140" width="14.42578125" style="900" customWidth="1"/>
    <col min="6141" max="6141" width="13" style="900" customWidth="1"/>
    <col min="6142" max="6142" width="14.42578125" style="900" bestFit="1" customWidth="1"/>
    <col min="6143" max="6143" width="17.42578125" style="900" customWidth="1"/>
    <col min="6144" max="6144" width="15.42578125" style="900" customWidth="1"/>
    <col min="6145" max="6145" width="5.85546875" style="900" customWidth="1"/>
    <col min="6146" max="6146" width="30.85546875" style="900" bestFit="1" customWidth="1"/>
    <col min="6147" max="6147" width="11.85546875" style="900" customWidth="1"/>
    <col min="6148" max="6148" width="1.5703125" style="900" customWidth="1"/>
    <col min="6149" max="6149" width="26.5703125" style="900" customWidth="1"/>
    <col min="6150" max="6150" width="14.5703125" style="900" customWidth="1"/>
    <col min="6151" max="6151" width="9.140625" style="900"/>
    <col min="6152" max="6152" width="24.42578125" style="900" customWidth="1"/>
    <col min="6153" max="6153" width="12.5703125" style="900" bestFit="1" customWidth="1"/>
    <col min="6154" max="6390" width="9.140625" style="900"/>
    <col min="6391" max="6391" width="4.5703125" style="900" customWidth="1"/>
    <col min="6392" max="6392" width="13.42578125" style="900" customWidth="1"/>
    <col min="6393" max="6393" width="15.42578125" style="900" customWidth="1"/>
    <col min="6394" max="6394" width="17.42578125" style="900" bestFit="1" customWidth="1"/>
    <col min="6395" max="6395" width="13" style="900" customWidth="1"/>
    <col min="6396" max="6396" width="14.42578125" style="900" customWidth="1"/>
    <col min="6397" max="6397" width="13" style="900" customWidth="1"/>
    <col min="6398" max="6398" width="14.42578125" style="900" bestFit="1" customWidth="1"/>
    <col min="6399" max="6399" width="17.42578125" style="900" customWidth="1"/>
    <col min="6400" max="6400" width="15.42578125" style="900" customWidth="1"/>
    <col min="6401" max="6401" width="5.85546875" style="900" customWidth="1"/>
    <col min="6402" max="6402" width="30.85546875" style="900" bestFit="1" customWidth="1"/>
    <col min="6403" max="6403" width="11.85546875" style="900" customWidth="1"/>
    <col min="6404" max="6404" width="1.5703125" style="900" customWidth="1"/>
    <col min="6405" max="6405" width="26.5703125" style="900" customWidth="1"/>
    <col min="6406" max="6406" width="14.5703125" style="900" customWidth="1"/>
    <col min="6407" max="6407" width="9.140625" style="900"/>
    <col min="6408" max="6408" width="24.42578125" style="900" customWidth="1"/>
    <col min="6409" max="6409" width="12.5703125" style="900" bestFit="1" customWidth="1"/>
    <col min="6410" max="6646" width="9.140625" style="900"/>
    <col min="6647" max="6647" width="4.5703125" style="900" customWidth="1"/>
    <col min="6648" max="6648" width="13.42578125" style="900" customWidth="1"/>
    <col min="6649" max="6649" width="15.42578125" style="900" customWidth="1"/>
    <col min="6650" max="6650" width="17.42578125" style="900" bestFit="1" customWidth="1"/>
    <col min="6651" max="6651" width="13" style="900" customWidth="1"/>
    <col min="6652" max="6652" width="14.42578125" style="900" customWidth="1"/>
    <col min="6653" max="6653" width="13" style="900" customWidth="1"/>
    <col min="6654" max="6654" width="14.42578125" style="900" bestFit="1" customWidth="1"/>
    <col min="6655" max="6655" width="17.42578125" style="900" customWidth="1"/>
    <col min="6656" max="6656" width="15.42578125" style="900" customWidth="1"/>
    <col min="6657" max="6657" width="5.85546875" style="900" customWidth="1"/>
    <col min="6658" max="6658" width="30.85546875" style="900" bestFit="1" customWidth="1"/>
    <col min="6659" max="6659" width="11.85546875" style="900" customWidth="1"/>
    <col min="6660" max="6660" width="1.5703125" style="900" customWidth="1"/>
    <col min="6661" max="6661" width="26.5703125" style="900" customWidth="1"/>
    <col min="6662" max="6662" width="14.5703125" style="900" customWidth="1"/>
    <col min="6663" max="6663" width="9.140625" style="900"/>
    <col min="6664" max="6664" width="24.42578125" style="900" customWidth="1"/>
    <col min="6665" max="6665" width="12.5703125" style="900" bestFit="1" customWidth="1"/>
    <col min="6666" max="6902" width="9.140625" style="900"/>
    <col min="6903" max="6903" width="4.5703125" style="900" customWidth="1"/>
    <col min="6904" max="6904" width="13.42578125" style="900" customWidth="1"/>
    <col min="6905" max="6905" width="15.42578125" style="900" customWidth="1"/>
    <col min="6906" max="6906" width="17.42578125" style="900" bestFit="1" customWidth="1"/>
    <col min="6907" max="6907" width="13" style="900" customWidth="1"/>
    <col min="6908" max="6908" width="14.42578125" style="900" customWidth="1"/>
    <col min="6909" max="6909" width="13" style="900" customWidth="1"/>
    <col min="6910" max="6910" width="14.42578125" style="900" bestFit="1" customWidth="1"/>
    <col min="6911" max="6911" width="17.42578125" style="900" customWidth="1"/>
    <col min="6912" max="6912" width="15.42578125" style="900" customWidth="1"/>
    <col min="6913" max="6913" width="5.85546875" style="900" customWidth="1"/>
    <col min="6914" max="6914" width="30.85546875" style="900" bestFit="1" customWidth="1"/>
    <col min="6915" max="6915" width="11.85546875" style="900" customWidth="1"/>
    <col min="6916" max="6916" width="1.5703125" style="900" customWidth="1"/>
    <col min="6917" max="6917" width="26.5703125" style="900" customWidth="1"/>
    <col min="6918" max="6918" width="14.5703125" style="900" customWidth="1"/>
    <col min="6919" max="6919" width="9.140625" style="900"/>
    <col min="6920" max="6920" width="24.42578125" style="900" customWidth="1"/>
    <col min="6921" max="6921" width="12.5703125" style="900" bestFit="1" customWidth="1"/>
    <col min="6922" max="7158" width="9.140625" style="900"/>
    <col min="7159" max="7159" width="4.5703125" style="900" customWidth="1"/>
    <col min="7160" max="7160" width="13.42578125" style="900" customWidth="1"/>
    <col min="7161" max="7161" width="15.42578125" style="900" customWidth="1"/>
    <col min="7162" max="7162" width="17.42578125" style="900" bestFit="1" customWidth="1"/>
    <col min="7163" max="7163" width="13" style="900" customWidth="1"/>
    <col min="7164" max="7164" width="14.42578125" style="900" customWidth="1"/>
    <col min="7165" max="7165" width="13" style="900" customWidth="1"/>
    <col min="7166" max="7166" width="14.42578125" style="900" bestFit="1" customWidth="1"/>
    <col min="7167" max="7167" width="17.42578125" style="900" customWidth="1"/>
    <col min="7168" max="7168" width="15.42578125" style="900" customWidth="1"/>
    <col min="7169" max="7169" width="5.85546875" style="900" customWidth="1"/>
    <col min="7170" max="7170" width="30.85546875" style="900" bestFit="1" customWidth="1"/>
    <col min="7171" max="7171" width="11.85546875" style="900" customWidth="1"/>
    <col min="7172" max="7172" width="1.5703125" style="900" customWidth="1"/>
    <col min="7173" max="7173" width="26.5703125" style="900" customWidth="1"/>
    <col min="7174" max="7174" width="14.5703125" style="900" customWidth="1"/>
    <col min="7175" max="7175" width="9.140625" style="900"/>
    <col min="7176" max="7176" width="24.42578125" style="900" customWidth="1"/>
    <col min="7177" max="7177" width="12.5703125" style="900" bestFit="1" customWidth="1"/>
    <col min="7178" max="7414" width="9.140625" style="900"/>
    <col min="7415" max="7415" width="4.5703125" style="900" customWidth="1"/>
    <col min="7416" max="7416" width="13.42578125" style="900" customWidth="1"/>
    <col min="7417" max="7417" width="15.42578125" style="900" customWidth="1"/>
    <col min="7418" max="7418" width="17.42578125" style="900" bestFit="1" customWidth="1"/>
    <col min="7419" max="7419" width="13" style="900" customWidth="1"/>
    <col min="7420" max="7420" width="14.42578125" style="900" customWidth="1"/>
    <col min="7421" max="7421" width="13" style="900" customWidth="1"/>
    <col min="7422" max="7422" width="14.42578125" style="900" bestFit="1" customWidth="1"/>
    <col min="7423" max="7423" width="17.42578125" style="900" customWidth="1"/>
    <col min="7424" max="7424" width="15.42578125" style="900" customWidth="1"/>
    <col min="7425" max="7425" width="5.85546875" style="900" customWidth="1"/>
    <col min="7426" max="7426" width="30.85546875" style="900" bestFit="1" customWidth="1"/>
    <col min="7427" max="7427" width="11.85546875" style="900" customWidth="1"/>
    <col min="7428" max="7428" width="1.5703125" style="900" customWidth="1"/>
    <col min="7429" max="7429" width="26.5703125" style="900" customWidth="1"/>
    <col min="7430" max="7430" width="14.5703125" style="900" customWidth="1"/>
    <col min="7431" max="7431" width="9.140625" style="900"/>
    <col min="7432" max="7432" width="24.42578125" style="900" customWidth="1"/>
    <col min="7433" max="7433" width="12.5703125" style="900" bestFit="1" customWidth="1"/>
    <col min="7434" max="7670" width="9.140625" style="900"/>
    <col min="7671" max="7671" width="4.5703125" style="900" customWidth="1"/>
    <col min="7672" max="7672" width="13.42578125" style="900" customWidth="1"/>
    <col min="7673" max="7673" width="15.42578125" style="900" customWidth="1"/>
    <col min="7674" max="7674" width="17.42578125" style="900" bestFit="1" customWidth="1"/>
    <col min="7675" max="7675" width="13" style="900" customWidth="1"/>
    <col min="7676" max="7676" width="14.42578125" style="900" customWidth="1"/>
    <col min="7677" max="7677" width="13" style="900" customWidth="1"/>
    <col min="7678" max="7678" width="14.42578125" style="900" bestFit="1" customWidth="1"/>
    <col min="7679" max="7679" width="17.42578125" style="900" customWidth="1"/>
    <col min="7680" max="7680" width="15.42578125" style="900" customWidth="1"/>
    <col min="7681" max="7681" width="5.85546875" style="900" customWidth="1"/>
    <col min="7682" max="7682" width="30.85546875" style="900" bestFit="1" customWidth="1"/>
    <col min="7683" max="7683" width="11.85546875" style="900" customWidth="1"/>
    <col min="7684" max="7684" width="1.5703125" style="900" customWidth="1"/>
    <col min="7685" max="7685" width="26.5703125" style="900" customWidth="1"/>
    <col min="7686" max="7686" width="14.5703125" style="900" customWidth="1"/>
    <col min="7687" max="7687" width="9.140625" style="900"/>
    <col min="7688" max="7688" width="24.42578125" style="900" customWidth="1"/>
    <col min="7689" max="7689" width="12.5703125" style="900" bestFit="1" customWidth="1"/>
    <col min="7690" max="7926" width="9.140625" style="900"/>
    <col min="7927" max="7927" width="4.5703125" style="900" customWidth="1"/>
    <col min="7928" max="7928" width="13.42578125" style="900" customWidth="1"/>
    <col min="7929" max="7929" width="15.42578125" style="900" customWidth="1"/>
    <col min="7930" max="7930" width="17.42578125" style="900" bestFit="1" customWidth="1"/>
    <col min="7931" max="7931" width="13" style="900" customWidth="1"/>
    <col min="7932" max="7932" width="14.42578125" style="900" customWidth="1"/>
    <col min="7933" max="7933" width="13" style="900" customWidth="1"/>
    <col min="7934" max="7934" width="14.42578125" style="900" bestFit="1" customWidth="1"/>
    <col min="7935" max="7935" width="17.42578125" style="900" customWidth="1"/>
    <col min="7936" max="7936" width="15.42578125" style="900" customWidth="1"/>
    <col min="7937" max="7937" width="5.85546875" style="900" customWidth="1"/>
    <col min="7938" max="7938" width="30.85546875" style="900" bestFit="1" customWidth="1"/>
    <col min="7939" max="7939" width="11.85546875" style="900" customWidth="1"/>
    <col min="7940" max="7940" width="1.5703125" style="900" customWidth="1"/>
    <col min="7941" max="7941" width="26.5703125" style="900" customWidth="1"/>
    <col min="7942" max="7942" width="14.5703125" style="900" customWidth="1"/>
    <col min="7943" max="7943" width="9.140625" style="900"/>
    <col min="7944" max="7944" width="24.42578125" style="900" customWidth="1"/>
    <col min="7945" max="7945" width="12.5703125" style="900" bestFit="1" customWidth="1"/>
    <col min="7946" max="8182" width="9.140625" style="900"/>
    <col min="8183" max="8183" width="4.5703125" style="900" customWidth="1"/>
    <col min="8184" max="8184" width="13.42578125" style="900" customWidth="1"/>
    <col min="8185" max="8185" width="15.42578125" style="900" customWidth="1"/>
    <col min="8186" max="8186" width="17.42578125" style="900" bestFit="1" customWidth="1"/>
    <col min="8187" max="8187" width="13" style="900" customWidth="1"/>
    <col min="8188" max="8188" width="14.42578125" style="900" customWidth="1"/>
    <col min="8189" max="8189" width="13" style="900" customWidth="1"/>
    <col min="8190" max="8190" width="14.42578125" style="900" bestFit="1" customWidth="1"/>
    <col min="8191" max="8191" width="17.42578125" style="900" customWidth="1"/>
    <col min="8192" max="8192" width="15.42578125" style="900" customWidth="1"/>
    <col min="8193" max="8193" width="5.85546875" style="900" customWidth="1"/>
    <col min="8194" max="8194" width="30.85546875" style="900" bestFit="1" customWidth="1"/>
    <col min="8195" max="8195" width="11.85546875" style="900" customWidth="1"/>
    <col min="8196" max="8196" width="1.5703125" style="900" customWidth="1"/>
    <col min="8197" max="8197" width="26.5703125" style="900" customWidth="1"/>
    <col min="8198" max="8198" width="14.5703125" style="900" customWidth="1"/>
    <col min="8199" max="8199" width="9.140625" style="900"/>
    <col min="8200" max="8200" width="24.42578125" style="900" customWidth="1"/>
    <col min="8201" max="8201" width="12.5703125" style="900" bestFit="1" customWidth="1"/>
    <col min="8202" max="8438" width="9.140625" style="900"/>
    <col min="8439" max="8439" width="4.5703125" style="900" customWidth="1"/>
    <col min="8440" max="8440" width="13.42578125" style="900" customWidth="1"/>
    <col min="8441" max="8441" width="15.42578125" style="900" customWidth="1"/>
    <col min="8442" max="8442" width="17.42578125" style="900" bestFit="1" customWidth="1"/>
    <col min="8443" max="8443" width="13" style="900" customWidth="1"/>
    <col min="8444" max="8444" width="14.42578125" style="900" customWidth="1"/>
    <col min="8445" max="8445" width="13" style="900" customWidth="1"/>
    <col min="8446" max="8446" width="14.42578125" style="900" bestFit="1" customWidth="1"/>
    <col min="8447" max="8447" width="17.42578125" style="900" customWidth="1"/>
    <col min="8448" max="8448" width="15.42578125" style="900" customWidth="1"/>
    <col min="8449" max="8449" width="5.85546875" style="900" customWidth="1"/>
    <col min="8450" max="8450" width="30.85546875" style="900" bestFit="1" customWidth="1"/>
    <col min="8451" max="8451" width="11.85546875" style="900" customWidth="1"/>
    <col min="8452" max="8452" width="1.5703125" style="900" customWidth="1"/>
    <col min="8453" max="8453" width="26.5703125" style="900" customWidth="1"/>
    <col min="8454" max="8454" width="14.5703125" style="900" customWidth="1"/>
    <col min="8455" max="8455" width="9.140625" style="900"/>
    <col min="8456" max="8456" width="24.42578125" style="900" customWidth="1"/>
    <col min="8457" max="8457" width="12.5703125" style="900" bestFit="1" customWidth="1"/>
    <col min="8458" max="8694" width="9.140625" style="900"/>
    <col min="8695" max="8695" width="4.5703125" style="900" customWidth="1"/>
    <col min="8696" max="8696" width="13.42578125" style="900" customWidth="1"/>
    <col min="8697" max="8697" width="15.42578125" style="900" customWidth="1"/>
    <col min="8698" max="8698" width="17.42578125" style="900" bestFit="1" customWidth="1"/>
    <col min="8699" max="8699" width="13" style="900" customWidth="1"/>
    <col min="8700" max="8700" width="14.42578125" style="900" customWidth="1"/>
    <col min="8701" max="8701" width="13" style="900" customWidth="1"/>
    <col min="8702" max="8702" width="14.42578125" style="900" bestFit="1" customWidth="1"/>
    <col min="8703" max="8703" width="17.42578125" style="900" customWidth="1"/>
    <col min="8704" max="8704" width="15.42578125" style="900" customWidth="1"/>
    <col min="8705" max="8705" width="5.85546875" style="900" customWidth="1"/>
    <col min="8706" max="8706" width="30.85546875" style="900" bestFit="1" customWidth="1"/>
    <col min="8707" max="8707" width="11.85546875" style="900" customWidth="1"/>
    <col min="8708" max="8708" width="1.5703125" style="900" customWidth="1"/>
    <col min="8709" max="8709" width="26.5703125" style="900" customWidth="1"/>
    <col min="8710" max="8710" width="14.5703125" style="900" customWidth="1"/>
    <col min="8711" max="8711" width="9.140625" style="900"/>
    <col min="8712" max="8712" width="24.42578125" style="900" customWidth="1"/>
    <col min="8713" max="8713" width="12.5703125" style="900" bestFit="1" customWidth="1"/>
    <col min="8714" max="8950" width="9.140625" style="900"/>
    <col min="8951" max="8951" width="4.5703125" style="900" customWidth="1"/>
    <col min="8952" max="8952" width="13.42578125" style="900" customWidth="1"/>
    <col min="8953" max="8953" width="15.42578125" style="900" customWidth="1"/>
    <col min="8954" max="8954" width="17.42578125" style="900" bestFit="1" customWidth="1"/>
    <col min="8955" max="8955" width="13" style="900" customWidth="1"/>
    <col min="8956" max="8956" width="14.42578125" style="900" customWidth="1"/>
    <col min="8957" max="8957" width="13" style="900" customWidth="1"/>
    <col min="8958" max="8958" width="14.42578125" style="900" bestFit="1" customWidth="1"/>
    <col min="8959" max="8959" width="17.42578125" style="900" customWidth="1"/>
    <col min="8960" max="8960" width="15.42578125" style="900" customWidth="1"/>
    <col min="8961" max="8961" width="5.85546875" style="900" customWidth="1"/>
    <col min="8962" max="8962" width="30.85546875" style="900" bestFit="1" customWidth="1"/>
    <col min="8963" max="8963" width="11.85546875" style="900" customWidth="1"/>
    <col min="8964" max="8964" width="1.5703125" style="900" customWidth="1"/>
    <col min="8965" max="8965" width="26.5703125" style="900" customWidth="1"/>
    <col min="8966" max="8966" width="14.5703125" style="900" customWidth="1"/>
    <col min="8967" max="8967" width="9.140625" style="900"/>
    <col min="8968" max="8968" width="24.42578125" style="900" customWidth="1"/>
    <col min="8969" max="8969" width="12.5703125" style="900" bestFit="1" customWidth="1"/>
    <col min="8970" max="9206" width="9.140625" style="900"/>
    <col min="9207" max="9207" width="4.5703125" style="900" customWidth="1"/>
    <col min="9208" max="9208" width="13.42578125" style="900" customWidth="1"/>
    <col min="9209" max="9209" width="15.42578125" style="900" customWidth="1"/>
    <col min="9210" max="9210" width="17.42578125" style="900" bestFit="1" customWidth="1"/>
    <col min="9211" max="9211" width="13" style="900" customWidth="1"/>
    <col min="9212" max="9212" width="14.42578125" style="900" customWidth="1"/>
    <col min="9213" max="9213" width="13" style="900" customWidth="1"/>
    <col min="9214" max="9214" width="14.42578125" style="900" bestFit="1" customWidth="1"/>
    <col min="9215" max="9215" width="17.42578125" style="900" customWidth="1"/>
    <col min="9216" max="9216" width="15.42578125" style="900" customWidth="1"/>
    <col min="9217" max="9217" width="5.85546875" style="900" customWidth="1"/>
    <col min="9218" max="9218" width="30.85546875" style="900" bestFit="1" customWidth="1"/>
    <col min="9219" max="9219" width="11.85546875" style="900" customWidth="1"/>
    <col min="9220" max="9220" width="1.5703125" style="900" customWidth="1"/>
    <col min="9221" max="9221" width="26.5703125" style="900" customWidth="1"/>
    <col min="9222" max="9222" width="14.5703125" style="900" customWidth="1"/>
    <col min="9223" max="9223" width="9.140625" style="900"/>
    <col min="9224" max="9224" width="24.42578125" style="900" customWidth="1"/>
    <col min="9225" max="9225" width="12.5703125" style="900" bestFit="1" customWidth="1"/>
    <col min="9226" max="9462" width="9.140625" style="900"/>
    <col min="9463" max="9463" width="4.5703125" style="900" customWidth="1"/>
    <col min="9464" max="9464" width="13.42578125" style="900" customWidth="1"/>
    <col min="9465" max="9465" width="15.42578125" style="900" customWidth="1"/>
    <col min="9466" max="9466" width="17.42578125" style="900" bestFit="1" customWidth="1"/>
    <col min="9467" max="9467" width="13" style="900" customWidth="1"/>
    <col min="9468" max="9468" width="14.42578125" style="900" customWidth="1"/>
    <col min="9469" max="9469" width="13" style="900" customWidth="1"/>
    <col min="9470" max="9470" width="14.42578125" style="900" bestFit="1" customWidth="1"/>
    <col min="9471" max="9471" width="17.42578125" style="900" customWidth="1"/>
    <col min="9472" max="9472" width="15.42578125" style="900" customWidth="1"/>
    <col min="9473" max="9473" width="5.85546875" style="900" customWidth="1"/>
    <col min="9474" max="9474" width="30.85546875" style="900" bestFit="1" customWidth="1"/>
    <col min="9475" max="9475" width="11.85546875" style="900" customWidth="1"/>
    <col min="9476" max="9476" width="1.5703125" style="900" customWidth="1"/>
    <col min="9477" max="9477" width="26.5703125" style="900" customWidth="1"/>
    <col min="9478" max="9478" width="14.5703125" style="900" customWidth="1"/>
    <col min="9479" max="9479" width="9.140625" style="900"/>
    <col min="9480" max="9480" width="24.42578125" style="900" customWidth="1"/>
    <col min="9481" max="9481" width="12.5703125" style="900" bestFit="1" customWidth="1"/>
    <col min="9482" max="9718" width="9.140625" style="900"/>
    <col min="9719" max="9719" width="4.5703125" style="900" customWidth="1"/>
    <col min="9720" max="9720" width="13.42578125" style="900" customWidth="1"/>
    <col min="9721" max="9721" width="15.42578125" style="900" customWidth="1"/>
    <col min="9722" max="9722" width="17.42578125" style="900" bestFit="1" customWidth="1"/>
    <col min="9723" max="9723" width="13" style="900" customWidth="1"/>
    <col min="9724" max="9724" width="14.42578125" style="900" customWidth="1"/>
    <col min="9725" max="9725" width="13" style="900" customWidth="1"/>
    <col min="9726" max="9726" width="14.42578125" style="900" bestFit="1" customWidth="1"/>
    <col min="9727" max="9727" width="17.42578125" style="900" customWidth="1"/>
    <col min="9728" max="9728" width="15.42578125" style="900" customWidth="1"/>
    <col min="9729" max="9729" width="5.85546875" style="900" customWidth="1"/>
    <col min="9730" max="9730" width="30.85546875" style="900" bestFit="1" customWidth="1"/>
    <col min="9731" max="9731" width="11.85546875" style="900" customWidth="1"/>
    <col min="9732" max="9732" width="1.5703125" style="900" customWidth="1"/>
    <col min="9733" max="9733" width="26.5703125" style="900" customWidth="1"/>
    <col min="9734" max="9734" width="14.5703125" style="900" customWidth="1"/>
    <col min="9735" max="9735" width="9.140625" style="900"/>
    <col min="9736" max="9736" width="24.42578125" style="900" customWidth="1"/>
    <col min="9737" max="9737" width="12.5703125" style="900" bestFit="1" customWidth="1"/>
    <col min="9738" max="9974" width="9.140625" style="900"/>
    <col min="9975" max="9975" width="4.5703125" style="900" customWidth="1"/>
    <col min="9976" max="9976" width="13.42578125" style="900" customWidth="1"/>
    <col min="9977" max="9977" width="15.42578125" style="900" customWidth="1"/>
    <col min="9978" max="9978" width="17.42578125" style="900" bestFit="1" customWidth="1"/>
    <col min="9979" max="9979" width="13" style="900" customWidth="1"/>
    <col min="9980" max="9980" width="14.42578125" style="900" customWidth="1"/>
    <col min="9981" max="9981" width="13" style="900" customWidth="1"/>
    <col min="9982" max="9982" width="14.42578125" style="900" bestFit="1" customWidth="1"/>
    <col min="9983" max="9983" width="17.42578125" style="900" customWidth="1"/>
    <col min="9984" max="9984" width="15.42578125" style="900" customWidth="1"/>
    <col min="9985" max="9985" width="5.85546875" style="900" customWidth="1"/>
    <col min="9986" max="9986" width="30.85546875" style="900" bestFit="1" customWidth="1"/>
    <col min="9987" max="9987" width="11.85546875" style="900" customWidth="1"/>
    <col min="9988" max="9988" width="1.5703125" style="900" customWidth="1"/>
    <col min="9989" max="9989" width="26.5703125" style="900" customWidth="1"/>
    <col min="9990" max="9990" width="14.5703125" style="900" customWidth="1"/>
    <col min="9991" max="9991" width="9.140625" style="900"/>
    <col min="9992" max="9992" width="24.42578125" style="900" customWidth="1"/>
    <col min="9993" max="9993" width="12.5703125" style="900" bestFit="1" customWidth="1"/>
    <col min="9994" max="10230" width="9.140625" style="900"/>
    <col min="10231" max="10231" width="4.5703125" style="900" customWidth="1"/>
    <col min="10232" max="10232" width="13.42578125" style="900" customWidth="1"/>
    <col min="10233" max="10233" width="15.42578125" style="900" customWidth="1"/>
    <col min="10234" max="10234" width="17.42578125" style="900" bestFit="1" customWidth="1"/>
    <col min="10235" max="10235" width="13" style="900" customWidth="1"/>
    <col min="10236" max="10236" width="14.42578125" style="900" customWidth="1"/>
    <col min="10237" max="10237" width="13" style="900" customWidth="1"/>
    <col min="10238" max="10238" width="14.42578125" style="900" bestFit="1" customWidth="1"/>
    <col min="10239" max="10239" width="17.42578125" style="900" customWidth="1"/>
    <col min="10240" max="10240" width="15.42578125" style="900" customWidth="1"/>
    <col min="10241" max="10241" width="5.85546875" style="900" customWidth="1"/>
    <col min="10242" max="10242" width="30.85546875" style="900" bestFit="1" customWidth="1"/>
    <col min="10243" max="10243" width="11.85546875" style="900" customWidth="1"/>
    <col min="10244" max="10244" width="1.5703125" style="900" customWidth="1"/>
    <col min="10245" max="10245" width="26.5703125" style="900" customWidth="1"/>
    <col min="10246" max="10246" width="14.5703125" style="900" customWidth="1"/>
    <col min="10247" max="10247" width="9.140625" style="900"/>
    <col min="10248" max="10248" width="24.42578125" style="900" customWidth="1"/>
    <col min="10249" max="10249" width="12.5703125" style="900" bestFit="1" customWidth="1"/>
    <col min="10250" max="10486" width="9.140625" style="900"/>
    <col min="10487" max="10487" width="4.5703125" style="900" customWidth="1"/>
    <col min="10488" max="10488" width="13.42578125" style="900" customWidth="1"/>
    <col min="10489" max="10489" width="15.42578125" style="900" customWidth="1"/>
    <col min="10490" max="10490" width="17.42578125" style="900" bestFit="1" customWidth="1"/>
    <col min="10491" max="10491" width="13" style="900" customWidth="1"/>
    <col min="10492" max="10492" width="14.42578125" style="900" customWidth="1"/>
    <col min="10493" max="10493" width="13" style="900" customWidth="1"/>
    <col min="10494" max="10494" width="14.42578125" style="900" bestFit="1" customWidth="1"/>
    <col min="10495" max="10495" width="17.42578125" style="900" customWidth="1"/>
    <col min="10496" max="10496" width="15.42578125" style="900" customWidth="1"/>
    <col min="10497" max="10497" width="5.85546875" style="900" customWidth="1"/>
    <col min="10498" max="10498" width="30.85546875" style="900" bestFit="1" customWidth="1"/>
    <col min="10499" max="10499" width="11.85546875" style="900" customWidth="1"/>
    <col min="10500" max="10500" width="1.5703125" style="900" customWidth="1"/>
    <col min="10501" max="10501" width="26.5703125" style="900" customWidth="1"/>
    <col min="10502" max="10502" width="14.5703125" style="900" customWidth="1"/>
    <col min="10503" max="10503" width="9.140625" style="900"/>
    <col min="10504" max="10504" width="24.42578125" style="900" customWidth="1"/>
    <col min="10505" max="10505" width="12.5703125" style="900" bestFit="1" customWidth="1"/>
    <col min="10506" max="10742" width="9.140625" style="900"/>
    <col min="10743" max="10743" width="4.5703125" style="900" customWidth="1"/>
    <col min="10744" max="10744" width="13.42578125" style="900" customWidth="1"/>
    <col min="10745" max="10745" width="15.42578125" style="900" customWidth="1"/>
    <col min="10746" max="10746" width="17.42578125" style="900" bestFit="1" customWidth="1"/>
    <col min="10747" max="10747" width="13" style="900" customWidth="1"/>
    <col min="10748" max="10748" width="14.42578125" style="900" customWidth="1"/>
    <col min="10749" max="10749" width="13" style="900" customWidth="1"/>
    <col min="10750" max="10750" width="14.42578125" style="900" bestFit="1" customWidth="1"/>
    <col min="10751" max="10751" width="17.42578125" style="900" customWidth="1"/>
    <col min="10752" max="10752" width="15.42578125" style="900" customWidth="1"/>
    <col min="10753" max="10753" width="5.85546875" style="900" customWidth="1"/>
    <col min="10754" max="10754" width="30.85546875" style="900" bestFit="1" customWidth="1"/>
    <col min="10755" max="10755" width="11.85546875" style="900" customWidth="1"/>
    <col min="10756" max="10756" width="1.5703125" style="900" customWidth="1"/>
    <col min="10757" max="10757" width="26.5703125" style="900" customWidth="1"/>
    <col min="10758" max="10758" width="14.5703125" style="900" customWidth="1"/>
    <col min="10759" max="10759" width="9.140625" style="900"/>
    <col min="10760" max="10760" width="24.42578125" style="900" customWidth="1"/>
    <col min="10761" max="10761" width="12.5703125" style="900" bestFit="1" customWidth="1"/>
    <col min="10762" max="10998" width="9.140625" style="900"/>
    <col min="10999" max="10999" width="4.5703125" style="900" customWidth="1"/>
    <col min="11000" max="11000" width="13.42578125" style="900" customWidth="1"/>
    <col min="11001" max="11001" width="15.42578125" style="900" customWidth="1"/>
    <col min="11002" max="11002" width="17.42578125" style="900" bestFit="1" customWidth="1"/>
    <col min="11003" max="11003" width="13" style="900" customWidth="1"/>
    <col min="11004" max="11004" width="14.42578125" style="900" customWidth="1"/>
    <col min="11005" max="11005" width="13" style="900" customWidth="1"/>
    <col min="11006" max="11006" width="14.42578125" style="900" bestFit="1" customWidth="1"/>
    <col min="11007" max="11007" width="17.42578125" style="900" customWidth="1"/>
    <col min="11008" max="11008" width="15.42578125" style="900" customWidth="1"/>
    <col min="11009" max="11009" width="5.85546875" style="900" customWidth="1"/>
    <col min="11010" max="11010" width="30.85546875" style="900" bestFit="1" customWidth="1"/>
    <col min="11011" max="11011" width="11.85546875" style="900" customWidth="1"/>
    <col min="11012" max="11012" width="1.5703125" style="900" customWidth="1"/>
    <col min="11013" max="11013" width="26.5703125" style="900" customWidth="1"/>
    <col min="11014" max="11014" width="14.5703125" style="900" customWidth="1"/>
    <col min="11015" max="11015" width="9.140625" style="900"/>
    <col min="11016" max="11016" width="24.42578125" style="900" customWidth="1"/>
    <col min="11017" max="11017" width="12.5703125" style="900" bestFit="1" customWidth="1"/>
    <col min="11018" max="11254" width="9.140625" style="900"/>
    <col min="11255" max="11255" width="4.5703125" style="900" customWidth="1"/>
    <col min="11256" max="11256" width="13.42578125" style="900" customWidth="1"/>
    <col min="11257" max="11257" width="15.42578125" style="900" customWidth="1"/>
    <col min="11258" max="11258" width="17.42578125" style="900" bestFit="1" customWidth="1"/>
    <col min="11259" max="11259" width="13" style="900" customWidth="1"/>
    <col min="11260" max="11260" width="14.42578125" style="900" customWidth="1"/>
    <col min="11261" max="11261" width="13" style="900" customWidth="1"/>
    <col min="11262" max="11262" width="14.42578125" style="900" bestFit="1" customWidth="1"/>
    <col min="11263" max="11263" width="17.42578125" style="900" customWidth="1"/>
    <col min="11264" max="11264" width="15.42578125" style="900" customWidth="1"/>
    <col min="11265" max="11265" width="5.85546875" style="900" customWidth="1"/>
    <col min="11266" max="11266" width="30.85546875" style="900" bestFit="1" customWidth="1"/>
    <col min="11267" max="11267" width="11.85546875" style="900" customWidth="1"/>
    <col min="11268" max="11268" width="1.5703125" style="900" customWidth="1"/>
    <col min="11269" max="11269" width="26.5703125" style="900" customWidth="1"/>
    <col min="11270" max="11270" width="14.5703125" style="900" customWidth="1"/>
    <col min="11271" max="11271" width="9.140625" style="900"/>
    <col min="11272" max="11272" width="24.42578125" style="900" customWidth="1"/>
    <col min="11273" max="11273" width="12.5703125" style="900" bestFit="1" customWidth="1"/>
    <col min="11274" max="11510" width="9.140625" style="900"/>
    <col min="11511" max="11511" width="4.5703125" style="900" customWidth="1"/>
    <col min="11512" max="11512" width="13.42578125" style="900" customWidth="1"/>
    <col min="11513" max="11513" width="15.42578125" style="900" customWidth="1"/>
    <col min="11514" max="11514" width="17.42578125" style="900" bestFit="1" customWidth="1"/>
    <col min="11515" max="11515" width="13" style="900" customWidth="1"/>
    <col min="11516" max="11516" width="14.42578125" style="900" customWidth="1"/>
    <col min="11517" max="11517" width="13" style="900" customWidth="1"/>
    <col min="11518" max="11518" width="14.42578125" style="900" bestFit="1" customWidth="1"/>
    <col min="11519" max="11519" width="17.42578125" style="900" customWidth="1"/>
    <col min="11520" max="11520" width="15.42578125" style="900" customWidth="1"/>
    <col min="11521" max="11521" width="5.85546875" style="900" customWidth="1"/>
    <col min="11522" max="11522" width="30.85546875" style="900" bestFit="1" customWidth="1"/>
    <col min="11523" max="11523" width="11.85546875" style="900" customWidth="1"/>
    <col min="11524" max="11524" width="1.5703125" style="900" customWidth="1"/>
    <col min="11525" max="11525" width="26.5703125" style="900" customWidth="1"/>
    <col min="11526" max="11526" width="14.5703125" style="900" customWidth="1"/>
    <col min="11527" max="11527" width="9.140625" style="900"/>
    <col min="11528" max="11528" width="24.42578125" style="900" customWidth="1"/>
    <col min="11529" max="11529" width="12.5703125" style="900" bestFit="1" customWidth="1"/>
    <col min="11530" max="11766" width="9.140625" style="900"/>
    <col min="11767" max="11767" width="4.5703125" style="900" customWidth="1"/>
    <col min="11768" max="11768" width="13.42578125" style="900" customWidth="1"/>
    <col min="11769" max="11769" width="15.42578125" style="900" customWidth="1"/>
    <col min="11770" max="11770" width="17.42578125" style="900" bestFit="1" customWidth="1"/>
    <col min="11771" max="11771" width="13" style="900" customWidth="1"/>
    <col min="11772" max="11772" width="14.42578125" style="900" customWidth="1"/>
    <col min="11773" max="11773" width="13" style="900" customWidth="1"/>
    <col min="11774" max="11774" width="14.42578125" style="900" bestFit="1" customWidth="1"/>
    <col min="11775" max="11775" width="17.42578125" style="900" customWidth="1"/>
    <col min="11776" max="11776" width="15.42578125" style="900" customWidth="1"/>
    <col min="11777" max="11777" width="5.85546875" style="900" customWidth="1"/>
    <col min="11778" max="11778" width="30.85546875" style="900" bestFit="1" customWidth="1"/>
    <col min="11779" max="11779" width="11.85546875" style="900" customWidth="1"/>
    <col min="11780" max="11780" width="1.5703125" style="900" customWidth="1"/>
    <col min="11781" max="11781" width="26.5703125" style="900" customWidth="1"/>
    <col min="11782" max="11782" width="14.5703125" style="900" customWidth="1"/>
    <col min="11783" max="11783" width="9.140625" style="900"/>
    <col min="11784" max="11784" width="24.42578125" style="900" customWidth="1"/>
    <col min="11785" max="11785" width="12.5703125" style="900" bestFit="1" customWidth="1"/>
    <col min="11786" max="12022" width="9.140625" style="900"/>
    <col min="12023" max="12023" width="4.5703125" style="900" customWidth="1"/>
    <col min="12024" max="12024" width="13.42578125" style="900" customWidth="1"/>
    <col min="12025" max="12025" width="15.42578125" style="900" customWidth="1"/>
    <col min="12026" max="12026" width="17.42578125" style="900" bestFit="1" customWidth="1"/>
    <col min="12027" max="12027" width="13" style="900" customWidth="1"/>
    <col min="12028" max="12028" width="14.42578125" style="900" customWidth="1"/>
    <col min="12029" max="12029" width="13" style="900" customWidth="1"/>
    <col min="12030" max="12030" width="14.42578125" style="900" bestFit="1" customWidth="1"/>
    <col min="12031" max="12031" width="17.42578125" style="900" customWidth="1"/>
    <col min="12032" max="12032" width="15.42578125" style="900" customWidth="1"/>
    <col min="12033" max="12033" width="5.85546875" style="900" customWidth="1"/>
    <col min="12034" max="12034" width="30.85546875" style="900" bestFit="1" customWidth="1"/>
    <col min="12035" max="12035" width="11.85546875" style="900" customWidth="1"/>
    <col min="12036" max="12036" width="1.5703125" style="900" customWidth="1"/>
    <col min="12037" max="12037" width="26.5703125" style="900" customWidth="1"/>
    <col min="12038" max="12038" width="14.5703125" style="900" customWidth="1"/>
    <col min="12039" max="12039" width="9.140625" style="900"/>
    <col min="12040" max="12040" width="24.42578125" style="900" customWidth="1"/>
    <col min="12041" max="12041" width="12.5703125" style="900" bestFit="1" customWidth="1"/>
    <col min="12042" max="12278" width="9.140625" style="900"/>
    <col min="12279" max="12279" width="4.5703125" style="900" customWidth="1"/>
    <col min="12280" max="12280" width="13.42578125" style="900" customWidth="1"/>
    <col min="12281" max="12281" width="15.42578125" style="900" customWidth="1"/>
    <col min="12282" max="12282" width="17.42578125" style="900" bestFit="1" customWidth="1"/>
    <col min="12283" max="12283" width="13" style="900" customWidth="1"/>
    <col min="12284" max="12284" width="14.42578125" style="900" customWidth="1"/>
    <col min="12285" max="12285" width="13" style="900" customWidth="1"/>
    <col min="12286" max="12286" width="14.42578125" style="900" bestFit="1" customWidth="1"/>
    <col min="12287" max="12287" width="17.42578125" style="900" customWidth="1"/>
    <col min="12288" max="12288" width="15.42578125" style="900" customWidth="1"/>
    <col min="12289" max="12289" width="5.85546875" style="900" customWidth="1"/>
    <col min="12290" max="12290" width="30.85546875" style="900" bestFit="1" customWidth="1"/>
    <col min="12291" max="12291" width="11.85546875" style="900" customWidth="1"/>
    <col min="12292" max="12292" width="1.5703125" style="900" customWidth="1"/>
    <col min="12293" max="12293" width="26.5703125" style="900" customWidth="1"/>
    <col min="12294" max="12294" width="14.5703125" style="900" customWidth="1"/>
    <col min="12295" max="12295" width="9.140625" style="900"/>
    <col min="12296" max="12296" width="24.42578125" style="900" customWidth="1"/>
    <col min="12297" max="12297" width="12.5703125" style="900" bestFit="1" customWidth="1"/>
    <col min="12298" max="12534" width="9.140625" style="900"/>
    <col min="12535" max="12535" width="4.5703125" style="900" customWidth="1"/>
    <col min="12536" max="12536" width="13.42578125" style="900" customWidth="1"/>
    <col min="12537" max="12537" width="15.42578125" style="900" customWidth="1"/>
    <col min="12538" max="12538" width="17.42578125" style="900" bestFit="1" customWidth="1"/>
    <col min="12539" max="12539" width="13" style="900" customWidth="1"/>
    <col min="12540" max="12540" width="14.42578125" style="900" customWidth="1"/>
    <col min="12541" max="12541" width="13" style="900" customWidth="1"/>
    <col min="12542" max="12542" width="14.42578125" style="900" bestFit="1" customWidth="1"/>
    <col min="12543" max="12543" width="17.42578125" style="900" customWidth="1"/>
    <col min="12544" max="12544" width="15.42578125" style="900" customWidth="1"/>
    <col min="12545" max="12545" width="5.85546875" style="900" customWidth="1"/>
    <col min="12546" max="12546" width="30.85546875" style="900" bestFit="1" customWidth="1"/>
    <col min="12547" max="12547" width="11.85546875" style="900" customWidth="1"/>
    <col min="12548" max="12548" width="1.5703125" style="900" customWidth="1"/>
    <col min="12549" max="12549" width="26.5703125" style="900" customWidth="1"/>
    <col min="12550" max="12550" width="14.5703125" style="900" customWidth="1"/>
    <col min="12551" max="12551" width="9.140625" style="900"/>
    <col min="12552" max="12552" width="24.42578125" style="900" customWidth="1"/>
    <col min="12553" max="12553" width="12.5703125" style="900" bestFit="1" customWidth="1"/>
    <col min="12554" max="12790" width="9.140625" style="900"/>
    <col min="12791" max="12791" width="4.5703125" style="900" customWidth="1"/>
    <col min="12792" max="12792" width="13.42578125" style="900" customWidth="1"/>
    <col min="12793" max="12793" width="15.42578125" style="900" customWidth="1"/>
    <col min="12794" max="12794" width="17.42578125" style="900" bestFit="1" customWidth="1"/>
    <col min="12795" max="12795" width="13" style="900" customWidth="1"/>
    <col min="12796" max="12796" width="14.42578125" style="900" customWidth="1"/>
    <col min="12797" max="12797" width="13" style="900" customWidth="1"/>
    <col min="12798" max="12798" width="14.42578125" style="900" bestFit="1" customWidth="1"/>
    <col min="12799" max="12799" width="17.42578125" style="900" customWidth="1"/>
    <col min="12800" max="12800" width="15.42578125" style="900" customWidth="1"/>
    <col min="12801" max="12801" width="5.85546875" style="900" customWidth="1"/>
    <col min="12802" max="12802" width="30.85546875" style="900" bestFit="1" customWidth="1"/>
    <col min="12803" max="12803" width="11.85546875" style="900" customWidth="1"/>
    <col min="12804" max="12804" width="1.5703125" style="900" customWidth="1"/>
    <col min="12805" max="12805" width="26.5703125" style="900" customWidth="1"/>
    <col min="12806" max="12806" width="14.5703125" style="900" customWidth="1"/>
    <col min="12807" max="12807" width="9.140625" style="900"/>
    <col min="12808" max="12808" width="24.42578125" style="900" customWidth="1"/>
    <col min="12809" max="12809" width="12.5703125" style="900" bestFit="1" customWidth="1"/>
    <col min="12810" max="13046" width="9.140625" style="900"/>
    <col min="13047" max="13047" width="4.5703125" style="900" customWidth="1"/>
    <col min="13048" max="13048" width="13.42578125" style="900" customWidth="1"/>
    <col min="13049" max="13049" width="15.42578125" style="900" customWidth="1"/>
    <col min="13050" max="13050" width="17.42578125" style="900" bestFit="1" customWidth="1"/>
    <col min="13051" max="13051" width="13" style="900" customWidth="1"/>
    <col min="13052" max="13052" width="14.42578125" style="900" customWidth="1"/>
    <col min="13053" max="13053" width="13" style="900" customWidth="1"/>
    <col min="13054" max="13054" width="14.42578125" style="900" bestFit="1" customWidth="1"/>
    <col min="13055" max="13055" width="17.42578125" style="900" customWidth="1"/>
    <col min="13056" max="13056" width="15.42578125" style="900" customWidth="1"/>
    <col min="13057" max="13057" width="5.85546875" style="900" customWidth="1"/>
    <col min="13058" max="13058" width="30.85546875" style="900" bestFit="1" customWidth="1"/>
    <col min="13059" max="13059" width="11.85546875" style="900" customWidth="1"/>
    <col min="13060" max="13060" width="1.5703125" style="900" customWidth="1"/>
    <col min="13061" max="13061" width="26.5703125" style="900" customWidth="1"/>
    <col min="13062" max="13062" width="14.5703125" style="900" customWidth="1"/>
    <col min="13063" max="13063" width="9.140625" style="900"/>
    <col min="13064" max="13064" width="24.42578125" style="900" customWidth="1"/>
    <col min="13065" max="13065" width="12.5703125" style="900" bestFit="1" customWidth="1"/>
    <col min="13066" max="13302" width="9.140625" style="900"/>
    <col min="13303" max="13303" width="4.5703125" style="900" customWidth="1"/>
    <col min="13304" max="13304" width="13.42578125" style="900" customWidth="1"/>
    <col min="13305" max="13305" width="15.42578125" style="900" customWidth="1"/>
    <col min="13306" max="13306" width="17.42578125" style="900" bestFit="1" customWidth="1"/>
    <col min="13307" max="13307" width="13" style="900" customWidth="1"/>
    <col min="13308" max="13308" width="14.42578125" style="900" customWidth="1"/>
    <col min="13309" max="13309" width="13" style="900" customWidth="1"/>
    <col min="13310" max="13310" width="14.42578125" style="900" bestFit="1" customWidth="1"/>
    <col min="13311" max="13311" width="17.42578125" style="900" customWidth="1"/>
    <col min="13312" max="13312" width="15.42578125" style="900" customWidth="1"/>
    <col min="13313" max="13313" width="5.85546875" style="900" customWidth="1"/>
    <col min="13314" max="13314" width="30.85546875" style="900" bestFit="1" customWidth="1"/>
    <col min="13315" max="13315" width="11.85546875" style="900" customWidth="1"/>
    <col min="13316" max="13316" width="1.5703125" style="900" customWidth="1"/>
    <col min="13317" max="13317" width="26.5703125" style="900" customWidth="1"/>
    <col min="13318" max="13318" width="14.5703125" style="900" customWidth="1"/>
    <col min="13319" max="13319" width="9.140625" style="900"/>
    <col min="13320" max="13320" width="24.42578125" style="900" customWidth="1"/>
    <col min="13321" max="13321" width="12.5703125" style="900" bestFit="1" customWidth="1"/>
    <col min="13322" max="13558" width="9.140625" style="900"/>
    <col min="13559" max="13559" width="4.5703125" style="900" customWidth="1"/>
    <col min="13560" max="13560" width="13.42578125" style="900" customWidth="1"/>
    <col min="13561" max="13561" width="15.42578125" style="900" customWidth="1"/>
    <col min="13562" max="13562" width="17.42578125" style="900" bestFit="1" customWidth="1"/>
    <col min="13563" max="13563" width="13" style="900" customWidth="1"/>
    <col min="13564" max="13564" width="14.42578125" style="900" customWidth="1"/>
    <col min="13565" max="13565" width="13" style="900" customWidth="1"/>
    <col min="13566" max="13566" width="14.42578125" style="900" bestFit="1" customWidth="1"/>
    <col min="13567" max="13567" width="17.42578125" style="900" customWidth="1"/>
    <col min="13568" max="13568" width="15.42578125" style="900" customWidth="1"/>
    <col min="13569" max="13569" width="5.85546875" style="900" customWidth="1"/>
    <col min="13570" max="13570" width="30.85546875" style="900" bestFit="1" customWidth="1"/>
    <col min="13571" max="13571" width="11.85546875" style="900" customWidth="1"/>
    <col min="13572" max="13572" width="1.5703125" style="900" customWidth="1"/>
    <col min="13573" max="13573" width="26.5703125" style="900" customWidth="1"/>
    <col min="13574" max="13574" width="14.5703125" style="900" customWidth="1"/>
    <col min="13575" max="13575" width="9.140625" style="900"/>
    <col min="13576" max="13576" width="24.42578125" style="900" customWidth="1"/>
    <col min="13577" max="13577" width="12.5703125" style="900" bestFit="1" customWidth="1"/>
    <col min="13578" max="13814" width="9.140625" style="900"/>
    <col min="13815" max="13815" width="4.5703125" style="900" customWidth="1"/>
    <col min="13816" max="13816" width="13.42578125" style="900" customWidth="1"/>
    <col min="13817" max="13817" width="15.42578125" style="900" customWidth="1"/>
    <col min="13818" max="13818" width="17.42578125" style="900" bestFit="1" customWidth="1"/>
    <col min="13819" max="13819" width="13" style="900" customWidth="1"/>
    <col min="13820" max="13820" width="14.42578125" style="900" customWidth="1"/>
    <col min="13821" max="13821" width="13" style="900" customWidth="1"/>
    <col min="13822" max="13822" width="14.42578125" style="900" bestFit="1" customWidth="1"/>
    <col min="13823" max="13823" width="17.42578125" style="900" customWidth="1"/>
    <col min="13824" max="13824" width="15.42578125" style="900" customWidth="1"/>
    <col min="13825" max="13825" width="5.85546875" style="900" customWidth="1"/>
    <col min="13826" max="13826" width="30.85546875" style="900" bestFit="1" customWidth="1"/>
    <col min="13827" max="13827" width="11.85546875" style="900" customWidth="1"/>
    <col min="13828" max="13828" width="1.5703125" style="900" customWidth="1"/>
    <col min="13829" max="13829" width="26.5703125" style="900" customWidth="1"/>
    <col min="13830" max="13830" width="14.5703125" style="900" customWidth="1"/>
    <col min="13831" max="13831" width="9.140625" style="900"/>
    <col min="13832" max="13832" width="24.42578125" style="900" customWidth="1"/>
    <col min="13833" max="13833" width="12.5703125" style="900" bestFit="1" customWidth="1"/>
    <col min="13834" max="14070" width="9.140625" style="900"/>
    <col min="14071" max="14071" width="4.5703125" style="900" customWidth="1"/>
    <col min="14072" max="14072" width="13.42578125" style="900" customWidth="1"/>
    <col min="14073" max="14073" width="15.42578125" style="900" customWidth="1"/>
    <col min="14074" max="14074" width="17.42578125" style="900" bestFit="1" customWidth="1"/>
    <col min="14075" max="14075" width="13" style="900" customWidth="1"/>
    <col min="14076" max="14076" width="14.42578125" style="900" customWidth="1"/>
    <col min="14077" max="14077" width="13" style="900" customWidth="1"/>
    <col min="14078" max="14078" width="14.42578125" style="900" bestFit="1" customWidth="1"/>
    <col min="14079" max="14079" width="17.42578125" style="900" customWidth="1"/>
    <col min="14080" max="14080" width="15.42578125" style="900" customWidth="1"/>
    <col min="14081" max="14081" width="5.85546875" style="900" customWidth="1"/>
    <col min="14082" max="14082" width="30.85546875" style="900" bestFit="1" customWidth="1"/>
    <col min="14083" max="14083" width="11.85546875" style="900" customWidth="1"/>
    <col min="14084" max="14084" width="1.5703125" style="900" customWidth="1"/>
    <col min="14085" max="14085" width="26.5703125" style="900" customWidth="1"/>
    <col min="14086" max="14086" width="14.5703125" style="900" customWidth="1"/>
    <col min="14087" max="14087" width="9.140625" style="900"/>
    <col min="14088" max="14088" width="24.42578125" style="900" customWidth="1"/>
    <col min="14089" max="14089" width="12.5703125" style="900" bestFit="1" customWidth="1"/>
    <col min="14090" max="14326" width="9.140625" style="900"/>
    <col min="14327" max="14327" width="4.5703125" style="900" customWidth="1"/>
    <col min="14328" max="14328" width="13.42578125" style="900" customWidth="1"/>
    <col min="14329" max="14329" width="15.42578125" style="900" customWidth="1"/>
    <col min="14330" max="14330" width="17.42578125" style="900" bestFit="1" customWidth="1"/>
    <col min="14331" max="14331" width="13" style="900" customWidth="1"/>
    <col min="14332" max="14332" width="14.42578125" style="900" customWidth="1"/>
    <col min="14333" max="14333" width="13" style="900" customWidth="1"/>
    <col min="14334" max="14334" width="14.42578125" style="900" bestFit="1" customWidth="1"/>
    <col min="14335" max="14335" width="17.42578125" style="900" customWidth="1"/>
    <col min="14336" max="14336" width="15.42578125" style="900" customWidth="1"/>
    <col min="14337" max="14337" width="5.85546875" style="900" customWidth="1"/>
    <col min="14338" max="14338" width="30.85546875" style="900" bestFit="1" customWidth="1"/>
    <col min="14339" max="14339" width="11.85546875" style="900" customWidth="1"/>
    <col min="14340" max="14340" width="1.5703125" style="900" customWidth="1"/>
    <col min="14341" max="14341" width="26.5703125" style="900" customWidth="1"/>
    <col min="14342" max="14342" width="14.5703125" style="900" customWidth="1"/>
    <col min="14343" max="14343" width="9.140625" style="900"/>
    <col min="14344" max="14344" width="24.42578125" style="900" customWidth="1"/>
    <col min="14345" max="14345" width="12.5703125" style="900" bestFit="1" customWidth="1"/>
    <col min="14346" max="14582" width="9.140625" style="900"/>
    <col min="14583" max="14583" width="4.5703125" style="900" customWidth="1"/>
    <col min="14584" max="14584" width="13.42578125" style="900" customWidth="1"/>
    <col min="14585" max="14585" width="15.42578125" style="900" customWidth="1"/>
    <col min="14586" max="14586" width="17.42578125" style="900" bestFit="1" customWidth="1"/>
    <col min="14587" max="14587" width="13" style="900" customWidth="1"/>
    <col min="14588" max="14588" width="14.42578125" style="900" customWidth="1"/>
    <col min="14589" max="14589" width="13" style="900" customWidth="1"/>
    <col min="14590" max="14590" width="14.42578125" style="900" bestFit="1" customWidth="1"/>
    <col min="14591" max="14591" width="17.42578125" style="900" customWidth="1"/>
    <col min="14592" max="14592" width="15.42578125" style="900" customWidth="1"/>
    <col min="14593" max="14593" width="5.85546875" style="900" customWidth="1"/>
    <col min="14594" max="14594" width="30.85546875" style="900" bestFit="1" customWidth="1"/>
    <col min="14595" max="14595" width="11.85546875" style="900" customWidth="1"/>
    <col min="14596" max="14596" width="1.5703125" style="900" customWidth="1"/>
    <col min="14597" max="14597" width="26.5703125" style="900" customWidth="1"/>
    <col min="14598" max="14598" width="14.5703125" style="900" customWidth="1"/>
    <col min="14599" max="14599" width="9.140625" style="900"/>
    <col min="14600" max="14600" width="24.42578125" style="900" customWidth="1"/>
    <col min="14601" max="14601" width="12.5703125" style="900" bestFit="1" customWidth="1"/>
    <col min="14602" max="14838" width="9.140625" style="900"/>
    <col min="14839" max="14839" width="4.5703125" style="900" customWidth="1"/>
    <col min="14840" max="14840" width="13.42578125" style="900" customWidth="1"/>
    <col min="14841" max="14841" width="15.42578125" style="900" customWidth="1"/>
    <col min="14842" max="14842" width="17.42578125" style="900" bestFit="1" customWidth="1"/>
    <col min="14843" max="14843" width="13" style="900" customWidth="1"/>
    <col min="14844" max="14844" width="14.42578125" style="900" customWidth="1"/>
    <col min="14845" max="14845" width="13" style="900" customWidth="1"/>
    <col min="14846" max="14846" width="14.42578125" style="900" bestFit="1" customWidth="1"/>
    <col min="14847" max="14847" width="17.42578125" style="900" customWidth="1"/>
    <col min="14848" max="14848" width="15.42578125" style="900" customWidth="1"/>
    <col min="14849" max="14849" width="5.85546875" style="900" customWidth="1"/>
    <col min="14850" max="14850" width="30.85546875" style="900" bestFit="1" customWidth="1"/>
    <col min="14851" max="14851" width="11.85546875" style="900" customWidth="1"/>
    <col min="14852" max="14852" width="1.5703125" style="900" customWidth="1"/>
    <col min="14853" max="14853" width="26.5703125" style="900" customWidth="1"/>
    <col min="14854" max="14854" width="14.5703125" style="900" customWidth="1"/>
    <col min="14855" max="14855" width="9.140625" style="900"/>
    <col min="14856" max="14856" width="24.42578125" style="900" customWidth="1"/>
    <col min="14857" max="14857" width="12.5703125" style="900" bestFit="1" customWidth="1"/>
    <col min="14858" max="15094" width="9.140625" style="900"/>
    <col min="15095" max="15095" width="4.5703125" style="900" customWidth="1"/>
    <col min="15096" max="15096" width="13.42578125" style="900" customWidth="1"/>
    <col min="15097" max="15097" width="15.42578125" style="900" customWidth="1"/>
    <col min="15098" max="15098" width="17.42578125" style="900" bestFit="1" customWidth="1"/>
    <col min="15099" max="15099" width="13" style="900" customWidth="1"/>
    <col min="15100" max="15100" width="14.42578125" style="900" customWidth="1"/>
    <col min="15101" max="15101" width="13" style="900" customWidth="1"/>
    <col min="15102" max="15102" width="14.42578125" style="900" bestFit="1" customWidth="1"/>
    <col min="15103" max="15103" width="17.42578125" style="900" customWidth="1"/>
    <col min="15104" max="15104" width="15.42578125" style="900" customWidth="1"/>
    <col min="15105" max="15105" width="5.85546875" style="900" customWidth="1"/>
    <col min="15106" max="15106" width="30.85546875" style="900" bestFit="1" customWidth="1"/>
    <col min="15107" max="15107" width="11.85546875" style="900" customWidth="1"/>
    <col min="15108" max="15108" width="1.5703125" style="900" customWidth="1"/>
    <col min="15109" max="15109" width="26.5703125" style="900" customWidth="1"/>
    <col min="15110" max="15110" width="14.5703125" style="900" customWidth="1"/>
    <col min="15111" max="15111" width="9.140625" style="900"/>
    <col min="15112" max="15112" width="24.42578125" style="900" customWidth="1"/>
    <col min="15113" max="15113" width="12.5703125" style="900" bestFit="1" customWidth="1"/>
    <col min="15114" max="15350" width="9.140625" style="900"/>
    <col min="15351" max="15351" width="4.5703125" style="900" customWidth="1"/>
    <col min="15352" max="15352" width="13.42578125" style="900" customWidth="1"/>
    <col min="15353" max="15353" width="15.42578125" style="900" customWidth="1"/>
    <col min="15354" max="15354" width="17.42578125" style="900" bestFit="1" customWidth="1"/>
    <col min="15355" max="15355" width="13" style="900" customWidth="1"/>
    <col min="15356" max="15356" width="14.42578125" style="900" customWidth="1"/>
    <col min="15357" max="15357" width="13" style="900" customWidth="1"/>
    <col min="15358" max="15358" width="14.42578125" style="900" bestFit="1" customWidth="1"/>
    <col min="15359" max="15359" width="17.42578125" style="900" customWidth="1"/>
    <col min="15360" max="15360" width="15.42578125" style="900" customWidth="1"/>
    <col min="15361" max="15361" width="5.85546875" style="900" customWidth="1"/>
    <col min="15362" max="15362" width="30.85546875" style="900" bestFit="1" customWidth="1"/>
    <col min="15363" max="15363" width="11.85546875" style="900" customWidth="1"/>
    <col min="15364" max="15364" width="1.5703125" style="900" customWidth="1"/>
    <col min="15365" max="15365" width="26.5703125" style="900" customWidth="1"/>
    <col min="15366" max="15366" width="14.5703125" style="900" customWidth="1"/>
    <col min="15367" max="15367" width="9.140625" style="900"/>
    <col min="15368" max="15368" width="24.42578125" style="900" customWidth="1"/>
    <col min="15369" max="15369" width="12.5703125" style="900" bestFit="1" customWidth="1"/>
    <col min="15370" max="15606" width="9.140625" style="900"/>
    <col min="15607" max="15607" width="4.5703125" style="900" customWidth="1"/>
    <col min="15608" max="15608" width="13.42578125" style="900" customWidth="1"/>
    <col min="15609" max="15609" width="15.42578125" style="900" customWidth="1"/>
    <col min="15610" max="15610" width="17.42578125" style="900" bestFit="1" customWidth="1"/>
    <col min="15611" max="15611" width="13" style="900" customWidth="1"/>
    <col min="15612" max="15612" width="14.42578125" style="900" customWidth="1"/>
    <col min="15613" max="15613" width="13" style="900" customWidth="1"/>
    <col min="15614" max="15614" width="14.42578125" style="900" bestFit="1" customWidth="1"/>
    <col min="15615" max="15615" width="17.42578125" style="900" customWidth="1"/>
    <col min="15616" max="15616" width="15.42578125" style="900" customWidth="1"/>
    <col min="15617" max="15617" width="5.85546875" style="900" customWidth="1"/>
    <col min="15618" max="15618" width="30.85546875" style="900" bestFit="1" customWidth="1"/>
    <col min="15619" max="15619" width="11.85546875" style="900" customWidth="1"/>
    <col min="15620" max="15620" width="1.5703125" style="900" customWidth="1"/>
    <col min="15621" max="15621" width="26.5703125" style="900" customWidth="1"/>
    <col min="15622" max="15622" width="14.5703125" style="900" customWidth="1"/>
    <col min="15623" max="15623" width="9.140625" style="900"/>
    <col min="15624" max="15624" width="24.42578125" style="900" customWidth="1"/>
    <col min="15625" max="15625" width="12.5703125" style="900" bestFit="1" customWidth="1"/>
    <col min="15626" max="15862" width="9.140625" style="900"/>
    <col min="15863" max="15863" width="4.5703125" style="900" customWidth="1"/>
    <col min="15864" max="15864" width="13.42578125" style="900" customWidth="1"/>
    <col min="15865" max="15865" width="15.42578125" style="900" customWidth="1"/>
    <col min="15866" max="15866" width="17.42578125" style="900" bestFit="1" customWidth="1"/>
    <col min="15867" max="15867" width="13" style="900" customWidth="1"/>
    <col min="15868" max="15868" width="14.42578125" style="900" customWidth="1"/>
    <col min="15869" max="15869" width="13" style="900" customWidth="1"/>
    <col min="15870" max="15870" width="14.42578125" style="900" bestFit="1" customWidth="1"/>
    <col min="15871" max="15871" width="17.42578125" style="900" customWidth="1"/>
    <col min="15872" max="15872" width="15.42578125" style="900" customWidth="1"/>
    <col min="15873" max="15873" width="5.85546875" style="900" customWidth="1"/>
    <col min="15874" max="15874" width="30.85546875" style="900" bestFit="1" customWidth="1"/>
    <col min="15875" max="15875" width="11.85546875" style="900" customWidth="1"/>
    <col min="15876" max="15876" width="1.5703125" style="900" customWidth="1"/>
    <col min="15877" max="15877" width="26.5703125" style="900" customWidth="1"/>
    <col min="15878" max="15878" width="14.5703125" style="900" customWidth="1"/>
    <col min="15879" max="15879" width="9.140625" style="900"/>
    <col min="15880" max="15880" width="24.42578125" style="900" customWidth="1"/>
    <col min="15881" max="15881" width="12.5703125" style="900" bestFit="1" customWidth="1"/>
    <col min="15882" max="16118" width="9.140625" style="900"/>
    <col min="16119" max="16119" width="4.5703125" style="900" customWidth="1"/>
    <col min="16120" max="16120" width="13.42578125" style="900" customWidth="1"/>
    <col min="16121" max="16121" width="15.42578125" style="900" customWidth="1"/>
    <col min="16122" max="16122" width="17.42578125" style="900" bestFit="1" customWidth="1"/>
    <col min="16123" max="16123" width="13" style="900" customWidth="1"/>
    <col min="16124" max="16124" width="14.42578125" style="900" customWidth="1"/>
    <col min="16125" max="16125" width="13" style="900" customWidth="1"/>
    <col min="16126" max="16126" width="14.42578125" style="900" bestFit="1" customWidth="1"/>
    <col min="16127" max="16127" width="17.42578125" style="900" customWidth="1"/>
    <col min="16128" max="16128" width="15.42578125" style="900" customWidth="1"/>
    <col min="16129" max="16129" width="5.85546875" style="900" customWidth="1"/>
    <col min="16130" max="16130" width="30.85546875" style="900" bestFit="1" customWidth="1"/>
    <col min="16131" max="16131" width="11.85546875" style="900" customWidth="1"/>
    <col min="16132" max="16132" width="1.5703125" style="900" customWidth="1"/>
    <col min="16133" max="16133" width="26.5703125" style="900" customWidth="1"/>
    <col min="16134" max="16134" width="14.5703125" style="900" customWidth="1"/>
    <col min="16135" max="16135" width="9.140625" style="900"/>
    <col min="16136" max="16136" width="24.42578125" style="900" customWidth="1"/>
    <col min="16137" max="16137" width="12.5703125" style="900" bestFit="1" customWidth="1"/>
    <col min="16138" max="16384" width="9.140625" style="900"/>
  </cols>
  <sheetData>
    <row r="1" spans="1:10" ht="24" customHeight="1">
      <c r="A1" s="894"/>
      <c r="B1" s="895"/>
      <c r="C1" s="895"/>
      <c r="D1" s="895"/>
      <c r="E1" s="895"/>
      <c r="F1" s="896"/>
      <c r="G1" s="895"/>
      <c r="H1" s="895"/>
      <c r="I1" s="895"/>
      <c r="J1" s="897"/>
    </row>
    <row r="2" spans="1:10" ht="24" customHeight="1">
      <c r="A2" s="894"/>
      <c r="B2" s="895"/>
      <c r="C2" s="895"/>
      <c r="D2" s="895"/>
      <c r="E2" s="895"/>
      <c r="F2" s="896"/>
      <c r="G2" s="895"/>
      <c r="H2" s="1330" t="s">
        <v>9</v>
      </c>
      <c r="I2" s="1330"/>
      <c r="J2" s="1330"/>
    </row>
    <row r="3" spans="1:10" ht="21" customHeight="1"/>
    <row r="4" spans="1:10">
      <c r="A4" s="902" t="s">
        <v>10</v>
      </c>
      <c r="G4" s="903" t="s">
        <v>11</v>
      </c>
      <c r="H4" s="900"/>
      <c r="I4" s="904">
        <f ca="1">NOW()</f>
        <v>45902.530955208334</v>
      </c>
      <c r="J4" s="905"/>
    </row>
    <row r="5" spans="1:10" ht="13.5" thickBot="1">
      <c r="A5" s="906"/>
      <c r="B5" s="898"/>
      <c r="C5" s="898"/>
      <c r="D5" s="907"/>
      <c r="E5" s="898"/>
      <c r="F5" s="898"/>
      <c r="G5" s="898"/>
      <c r="H5" s="898"/>
      <c r="I5" s="898"/>
      <c r="J5" s="908"/>
    </row>
    <row r="6" spans="1:10" ht="3.75" customHeight="1">
      <c r="A6" s="909"/>
      <c r="B6" s="910"/>
      <c r="C6" s="910"/>
      <c r="D6" s="909"/>
      <c r="E6" s="910"/>
      <c r="F6" s="910"/>
      <c r="G6" s="910"/>
      <c r="H6" s="910"/>
      <c r="I6" s="910"/>
      <c r="J6" s="911"/>
    </row>
    <row r="7" spans="1:10" ht="18.75" customHeight="1">
      <c r="A7" s="912" t="s">
        <v>12</v>
      </c>
      <c r="C7" s="913"/>
      <c r="G7" s="1849"/>
      <c r="H7" s="1849"/>
      <c r="I7" s="1849"/>
    </row>
    <row r="8" spans="1:10">
      <c r="A8" s="912" t="s">
        <v>13</v>
      </c>
      <c r="C8" s="914" t="s">
        <v>14</v>
      </c>
      <c r="G8" s="1331"/>
      <c r="H8" s="1331"/>
      <c r="I8" s="1331"/>
    </row>
    <row r="9" spans="1:10">
      <c r="A9" s="915" t="s">
        <v>15</v>
      </c>
      <c r="B9" s="895"/>
      <c r="C9" s="916" t="s">
        <v>16</v>
      </c>
      <c r="D9" s="895"/>
      <c r="E9" s="895"/>
      <c r="F9" s="896"/>
      <c r="G9" s="895" t="s">
        <v>17</v>
      </c>
      <c r="H9" s="917"/>
      <c r="I9" s="895"/>
      <c r="J9" s="897"/>
    </row>
    <row r="10" spans="1:10" ht="12.75" customHeight="1" thickBot="1">
      <c r="A10" s="918"/>
      <c r="B10" s="898"/>
      <c r="C10" s="898"/>
      <c r="D10" s="907"/>
      <c r="E10" s="898"/>
      <c r="F10" s="898"/>
      <c r="G10" s="898"/>
      <c r="H10" s="898"/>
      <c r="I10" s="898"/>
      <c r="J10" s="908"/>
    </row>
    <row r="11" spans="1:10" ht="5.25" customHeight="1">
      <c r="A11" s="909"/>
      <c r="B11" s="910"/>
      <c r="C11" s="910"/>
      <c r="D11" s="909"/>
      <c r="E11" s="910"/>
      <c r="F11" s="910"/>
      <c r="G11" s="910"/>
      <c r="H11" s="910"/>
      <c r="I11" s="910"/>
      <c r="J11" s="911"/>
    </row>
    <row r="12" spans="1:10">
      <c r="A12" s="898"/>
      <c r="B12" s="898"/>
      <c r="C12" s="898"/>
      <c r="D12" s="898"/>
      <c r="E12" s="898"/>
      <c r="F12" s="898"/>
      <c r="G12" s="898"/>
      <c r="H12" s="898"/>
      <c r="I12" s="898"/>
      <c r="J12" s="897"/>
    </row>
    <row r="13" spans="1:10" ht="14.25" customHeight="1">
      <c r="A13" s="898"/>
      <c r="B13" s="1850" t="s">
        <v>18</v>
      </c>
      <c r="C13" s="1851"/>
      <c r="D13" s="1852"/>
      <c r="E13" s="895"/>
      <c r="F13" s="1332" t="s">
        <v>19</v>
      </c>
      <c r="G13" s="1332"/>
      <c r="H13" s="1332"/>
      <c r="I13" s="895"/>
      <c r="J13" s="897"/>
    </row>
    <row r="14" spans="1:10">
      <c r="A14" s="919"/>
      <c r="B14" s="920"/>
      <c r="C14" s="921" t="s">
        <v>20</v>
      </c>
      <c r="D14" s="922">
        <f>'Corrected and Updated TSF 2'!FO225</f>
        <v>0</v>
      </c>
      <c r="E14" s="895"/>
      <c r="F14" s="898"/>
      <c r="G14" s="921" t="s">
        <v>21</v>
      </c>
      <c r="H14" s="923" t="str">
        <f>IF(Values_Entered,-PMT(Interest_Rate/Num_Pmt_Per_Year,Loan_Years*Num_Pmt_Per_Year,Loan_Amount),"")</f>
        <v/>
      </c>
      <c r="I14" s="895"/>
      <c r="J14" s="897"/>
    </row>
    <row r="15" spans="1:10">
      <c r="A15" s="919"/>
      <c r="B15" s="924"/>
      <c r="C15" s="925" t="s">
        <v>22</v>
      </c>
      <c r="D15" s="1853">
        <v>8.5000000000000006E-2</v>
      </c>
      <c r="E15" s="895"/>
      <c r="F15" s="898"/>
      <c r="G15" s="921" t="s">
        <v>23</v>
      </c>
      <c r="H15" s="926"/>
      <c r="I15" s="895"/>
      <c r="J15" s="897"/>
    </row>
    <row r="16" spans="1:10">
      <c r="A16" s="919"/>
      <c r="B16" s="924"/>
      <c r="C16" s="925" t="s">
        <v>24</v>
      </c>
      <c r="D16" s="1854">
        <v>10</v>
      </c>
      <c r="E16" s="895"/>
      <c r="F16" s="898"/>
      <c r="G16" s="921" t="s">
        <v>25</v>
      </c>
      <c r="H16" s="926" t="str">
        <f>IF(Values_Entered,Number_of_Payments,"")</f>
        <v/>
      </c>
      <c r="I16" s="895"/>
      <c r="J16" s="897"/>
    </row>
    <row r="17" spans="1:90">
      <c r="A17" s="919"/>
      <c r="B17" s="924"/>
      <c r="C17" s="925" t="s">
        <v>26</v>
      </c>
      <c r="D17" s="1854">
        <v>12</v>
      </c>
      <c r="E17" s="895"/>
      <c r="F17" s="927"/>
      <c r="G17" s="928" t="s">
        <v>27</v>
      </c>
      <c r="H17" s="929">
        <v>0</v>
      </c>
      <c r="I17" s="930"/>
      <c r="J17" s="897"/>
    </row>
    <row r="18" spans="1:90">
      <c r="A18" s="919"/>
      <c r="B18" s="924"/>
      <c r="C18" s="925" t="s">
        <v>28</v>
      </c>
      <c r="D18" s="1855">
        <v>45005</v>
      </c>
      <c r="E18" s="895"/>
      <c r="F18" s="927"/>
      <c r="G18" s="928" t="s">
        <v>29</v>
      </c>
      <c r="H18" s="932" t="str">
        <f>IF(Values_Entered,SUMIF(Beg_Bal,"&gt;0",Int),"")</f>
        <v/>
      </c>
      <c r="I18" s="930"/>
      <c r="J18" s="897"/>
      <c r="M18" s="900" t="s">
        <v>30</v>
      </c>
    </row>
    <row r="19" spans="1:90">
      <c r="A19" s="919"/>
      <c r="B19" s="933"/>
      <c r="C19" s="934" t="s">
        <v>31</v>
      </c>
      <c r="D19" s="1856"/>
      <c r="E19" s="895"/>
      <c r="F19" s="927"/>
      <c r="G19" s="927"/>
      <c r="H19" s="927"/>
      <c r="I19" s="930"/>
      <c r="J19" s="897"/>
      <c r="M19" s="900" t="s">
        <v>32</v>
      </c>
    </row>
    <row r="20" spans="1:90">
      <c r="A20" s="898"/>
      <c r="B20" s="898"/>
      <c r="C20" s="898"/>
      <c r="D20" s="898"/>
      <c r="E20" s="898"/>
      <c r="F20" s="898"/>
      <c r="G20" s="898"/>
      <c r="H20" s="898"/>
      <c r="I20" s="898"/>
      <c r="J20" s="897"/>
    </row>
    <row r="21" spans="1:90" ht="19.7" customHeight="1" thickBot="1">
      <c r="A21" s="935"/>
      <c r="B21" s="907"/>
      <c r="C21" s="1857"/>
      <c r="D21" s="1858"/>
      <c r="E21" s="898"/>
      <c r="F21" s="907"/>
      <c r="G21" s="907"/>
      <c r="H21" s="907"/>
      <c r="I21" s="907"/>
      <c r="J21" s="936"/>
      <c r="L21" s="937" t="s">
        <v>33</v>
      </c>
      <c r="M21" s="938">
        <f>INDEX($B$25:$B$135,COLUMN(A1),1)</f>
        <v>45005</v>
      </c>
      <c r="N21" s="938">
        <f t="shared" ref="N21:BT21" si="0">INDEX($B$25:$B$135,COLUMN(B1),1)</f>
        <v>45036</v>
      </c>
      <c r="O21" s="938">
        <f t="shared" si="0"/>
        <v>45066</v>
      </c>
      <c r="P21" s="938">
        <f t="shared" si="0"/>
        <v>45097</v>
      </c>
      <c r="Q21" s="938">
        <f t="shared" si="0"/>
        <v>45127</v>
      </c>
      <c r="R21" s="938">
        <f t="shared" si="0"/>
        <v>45158</v>
      </c>
      <c r="S21" s="938">
        <f t="shared" si="0"/>
        <v>45189</v>
      </c>
      <c r="T21" s="938">
        <f t="shared" si="0"/>
        <v>45219</v>
      </c>
      <c r="U21" s="938">
        <f t="shared" si="0"/>
        <v>45250</v>
      </c>
      <c r="V21" s="938">
        <f t="shared" si="0"/>
        <v>45280</v>
      </c>
      <c r="W21" s="938">
        <f t="shared" si="0"/>
        <v>45311</v>
      </c>
      <c r="X21" s="938">
        <f t="shared" si="0"/>
        <v>45342</v>
      </c>
      <c r="Y21" s="938">
        <f t="shared" si="0"/>
        <v>45371</v>
      </c>
      <c r="Z21" s="938">
        <f t="shared" si="0"/>
        <v>45402</v>
      </c>
      <c r="AA21" s="938">
        <f t="shared" si="0"/>
        <v>45432</v>
      </c>
      <c r="AB21" s="938">
        <f t="shared" si="0"/>
        <v>45463</v>
      </c>
      <c r="AC21" s="938">
        <f t="shared" si="0"/>
        <v>45493</v>
      </c>
      <c r="AD21" s="938">
        <f t="shared" si="0"/>
        <v>45524</v>
      </c>
      <c r="AE21" s="938">
        <f t="shared" si="0"/>
        <v>45555</v>
      </c>
      <c r="AF21" s="938">
        <f t="shared" si="0"/>
        <v>45585</v>
      </c>
      <c r="AG21" s="938">
        <f t="shared" si="0"/>
        <v>45616</v>
      </c>
      <c r="AH21" s="938">
        <f t="shared" si="0"/>
        <v>45646</v>
      </c>
      <c r="AI21" s="938">
        <f t="shared" si="0"/>
        <v>45677</v>
      </c>
      <c r="AJ21" s="938">
        <f t="shared" si="0"/>
        <v>45708</v>
      </c>
      <c r="AK21" s="938">
        <f t="shared" si="0"/>
        <v>45736</v>
      </c>
      <c r="AL21" s="938">
        <f t="shared" si="0"/>
        <v>45767</v>
      </c>
      <c r="AM21" s="938">
        <f t="shared" si="0"/>
        <v>45797</v>
      </c>
      <c r="AN21" s="938">
        <f t="shared" si="0"/>
        <v>45828</v>
      </c>
      <c r="AO21" s="938">
        <f t="shared" si="0"/>
        <v>45858</v>
      </c>
      <c r="AP21" s="938">
        <f t="shared" si="0"/>
        <v>45889</v>
      </c>
      <c r="AQ21" s="938">
        <f t="shared" si="0"/>
        <v>45920</v>
      </c>
      <c r="AR21" s="938">
        <f t="shared" si="0"/>
        <v>45950</v>
      </c>
      <c r="AS21" s="938">
        <f t="shared" si="0"/>
        <v>45981</v>
      </c>
      <c r="AT21" s="938">
        <f t="shared" si="0"/>
        <v>46011</v>
      </c>
      <c r="AU21" s="938">
        <f t="shared" si="0"/>
        <v>46042</v>
      </c>
      <c r="AV21" s="938">
        <f t="shared" si="0"/>
        <v>46073</v>
      </c>
      <c r="AW21" s="938">
        <f t="shared" si="0"/>
        <v>46101</v>
      </c>
      <c r="AX21" s="938">
        <f t="shared" si="0"/>
        <v>46132</v>
      </c>
      <c r="AY21" s="938">
        <f t="shared" si="0"/>
        <v>46162</v>
      </c>
      <c r="AZ21" s="938">
        <f t="shared" si="0"/>
        <v>46193</v>
      </c>
      <c r="BA21" s="938">
        <f t="shared" si="0"/>
        <v>46223</v>
      </c>
      <c r="BB21" s="938">
        <f t="shared" si="0"/>
        <v>46254</v>
      </c>
      <c r="BC21" s="938">
        <f t="shared" si="0"/>
        <v>46285</v>
      </c>
      <c r="BD21" s="938">
        <f t="shared" si="0"/>
        <v>46315</v>
      </c>
      <c r="BE21" s="938">
        <f t="shared" si="0"/>
        <v>46346</v>
      </c>
      <c r="BF21" s="938">
        <f t="shared" si="0"/>
        <v>46376</v>
      </c>
      <c r="BG21" s="938">
        <f t="shared" si="0"/>
        <v>46407</v>
      </c>
      <c r="BH21" s="938">
        <f t="shared" si="0"/>
        <v>46438</v>
      </c>
      <c r="BI21" s="938">
        <f t="shared" si="0"/>
        <v>46466</v>
      </c>
      <c r="BJ21" s="938">
        <f t="shared" si="0"/>
        <v>46497</v>
      </c>
      <c r="BK21" s="938">
        <f t="shared" si="0"/>
        <v>46527</v>
      </c>
      <c r="BL21" s="938">
        <f t="shared" si="0"/>
        <v>46558</v>
      </c>
      <c r="BM21" s="938">
        <f t="shared" si="0"/>
        <v>46588</v>
      </c>
      <c r="BN21" s="938">
        <f t="shared" si="0"/>
        <v>46619</v>
      </c>
      <c r="BO21" s="938">
        <f t="shared" si="0"/>
        <v>46650</v>
      </c>
      <c r="BP21" s="938">
        <f t="shared" si="0"/>
        <v>46680</v>
      </c>
      <c r="BQ21" s="938">
        <f t="shared" si="0"/>
        <v>46711</v>
      </c>
      <c r="BR21" s="938">
        <f t="shared" si="0"/>
        <v>46741</v>
      </c>
      <c r="BS21" s="938">
        <f t="shared" si="0"/>
        <v>46772</v>
      </c>
      <c r="BT21" s="938">
        <f t="shared" si="0"/>
        <v>46803</v>
      </c>
      <c r="BW21" s="939" t="s">
        <v>34</v>
      </c>
      <c r="BX21" s="939" t="s">
        <v>35</v>
      </c>
      <c r="BY21" s="939" t="s">
        <v>36</v>
      </c>
      <c r="BZ21" s="939" t="s">
        <v>37</v>
      </c>
    </row>
    <row r="22" spans="1:90" ht="3" customHeight="1">
      <c r="A22" s="898"/>
      <c r="B22" s="898"/>
      <c r="C22" s="898"/>
      <c r="D22" s="940"/>
      <c r="E22" s="940"/>
      <c r="F22" s="898"/>
      <c r="G22" s="898"/>
      <c r="H22" s="898"/>
      <c r="I22" s="898"/>
      <c r="J22" s="897"/>
    </row>
    <row r="23" spans="1:90" s="945" customFormat="1" ht="31.5" customHeight="1">
      <c r="A23" s="941" t="s">
        <v>38</v>
      </c>
      <c r="B23" s="941" t="s">
        <v>39</v>
      </c>
      <c r="C23" s="941" t="s">
        <v>40</v>
      </c>
      <c r="D23" s="941" t="s">
        <v>21</v>
      </c>
      <c r="E23" s="941" t="s">
        <v>41</v>
      </c>
      <c r="F23" s="941" t="s">
        <v>42</v>
      </c>
      <c r="G23" s="941" t="s">
        <v>43</v>
      </c>
      <c r="H23" s="941" t="s">
        <v>44</v>
      </c>
      <c r="I23" s="941" t="s">
        <v>45</v>
      </c>
      <c r="J23" s="941" t="s">
        <v>46</v>
      </c>
      <c r="K23" s="942"/>
      <c r="L23" s="943" t="s">
        <v>47</v>
      </c>
      <c r="M23" s="944">
        <v>1</v>
      </c>
      <c r="N23" s="944">
        <f>M23+1</f>
        <v>2</v>
      </c>
      <c r="O23" s="944">
        <f t="shared" ref="O23:BS23" si="1">N23+1</f>
        <v>3</v>
      </c>
      <c r="P23" s="944">
        <f t="shared" si="1"/>
        <v>4</v>
      </c>
      <c r="Q23" s="944">
        <f t="shared" si="1"/>
        <v>5</v>
      </c>
      <c r="R23" s="944">
        <f t="shared" si="1"/>
        <v>6</v>
      </c>
      <c r="S23" s="944">
        <f t="shared" si="1"/>
        <v>7</v>
      </c>
      <c r="T23" s="944">
        <f t="shared" si="1"/>
        <v>8</v>
      </c>
      <c r="U23" s="944">
        <f t="shared" si="1"/>
        <v>9</v>
      </c>
      <c r="V23" s="944">
        <f t="shared" si="1"/>
        <v>10</v>
      </c>
      <c r="W23" s="944">
        <f t="shared" si="1"/>
        <v>11</v>
      </c>
      <c r="X23" s="944">
        <f t="shared" si="1"/>
        <v>12</v>
      </c>
      <c r="Y23" s="944">
        <f t="shared" si="1"/>
        <v>13</v>
      </c>
      <c r="Z23" s="944">
        <f t="shared" si="1"/>
        <v>14</v>
      </c>
      <c r="AA23" s="944">
        <f t="shared" si="1"/>
        <v>15</v>
      </c>
      <c r="AB23" s="944">
        <f t="shared" si="1"/>
        <v>16</v>
      </c>
      <c r="AC23" s="944">
        <f t="shared" si="1"/>
        <v>17</v>
      </c>
      <c r="AD23" s="944">
        <f t="shared" si="1"/>
        <v>18</v>
      </c>
      <c r="AE23" s="944">
        <f t="shared" si="1"/>
        <v>19</v>
      </c>
      <c r="AF23" s="944">
        <f t="shared" si="1"/>
        <v>20</v>
      </c>
      <c r="AG23" s="944">
        <f t="shared" si="1"/>
        <v>21</v>
      </c>
      <c r="AH23" s="944">
        <f t="shared" si="1"/>
        <v>22</v>
      </c>
      <c r="AI23" s="944">
        <f t="shared" si="1"/>
        <v>23</v>
      </c>
      <c r="AJ23" s="944">
        <f t="shared" si="1"/>
        <v>24</v>
      </c>
      <c r="AK23" s="944">
        <f t="shared" si="1"/>
        <v>25</v>
      </c>
      <c r="AL23" s="944">
        <f t="shared" si="1"/>
        <v>26</v>
      </c>
      <c r="AM23" s="944">
        <f t="shared" si="1"/>
        <v>27</v>
      </c>
      <c r="AN23" s="944">
        <f t="shared" si="1"/>
        <v>28</v>
      </c>
      <c r="AO23" s="944">
        <f t="shared" si="1"/>
        <v>29</v>
      </c>
      <c r="AP23" s="944">
        <f t="shared" si="1"/>
        <v>30</v>
      </c>
      <c r="AQ23" s="944">
        <f t="shared" si="1"/>
        <v>31</v>
      </c>
      <c r="AR23" s="944">
        <f t="shared" si="1"/>
        <v>32</v>
      </c>
      <c r="AS23" s="944">
        <f t="shared" si="1"/>
        <v>33</v>
      </c>
      <c r="AT23" s="944">
        <f t="shared" si="1"/>
        <v>34</v>
      </c>
      <c r="AU23" s="944">
        <f t="shared" si="1"/>
        <v>35</v>
      </c>
      <c r="AV23" s="944">
        <f t="shared" si="1"/>
        <v>36</v>
      </c>
      <c r="AW23" s="944">
        <f t="shared" si="1"/>
        <v>37</v>
      </c>
      <c r="AX23" s="944">
        <f t="shared" si="1"/>
        <v>38</v>
      </c>
      <c r="AY23" s="944">
        <f t="shared" si="1"/>
        <v>39</v>
      </c>
      <c r="AZ23" s="944">
        <f t="shared" si="1"/>
        <v>40</v>
      </c>
      <c r="BA23" s="944">
        <f t="shared" si="1"/>
        <v>41</v>
      </c>
      <c r="BB23" s="944">
        <f t="shared" si="1"/>
        <v>42</v>
      </c>
      <c r="BC23" s="944">
        <f t="shared" si="1"/>
        <v>43</v>
      </c>
      <c r="BD23" s="944">
        <f t="shared" si="1"/>
        <v>44</v>
      </c>
      <c r="BE23" s="944">
        <f t="shared" si="1"/>
        <v>45</v>
      </c>
      <c r="BF23" s="944">
        <f t="shared" si="1"/>
        <v>46</v>
      </c>
      <c r="BG23" s="944">
        <f t="shared" si="1"/>
        <v>47</v>
      </c>
      <c r="BH23" s="944">
        <f t="shared" si="1"/>
        <v>48</v>
      </c>
      <c r="BI23" s="944">
        <f t="shared" si="1"/>
        <v>49</v>
      </c>
      <c r="BJ23" s="944">
        <f t="shared" si="1"/>
        <v>50</v>
      </c>
      <c r="BK23" s="944">
        <f t="shared" si="1"/>
        <v>51</v>
      </c>
      <c r="BL23" s="944">
        <f t="shared" si="1"/>
        <v>52</v>
      </c>
      <c r="BM23" s="944">
        <f t="shared" si="1"/>
        <v>53</v>
      </c>
      <c r="BN23" s="944">
        <f t="shared" si="1"/>
        <v>54</v>
      </c>
      <c r="BO23" s="944">
        <f t="shared" si="1"/>
        <v>55</v>
      </c>
      <c r="BP23" s="944">
        <f t="shared" si="1"/>
        <v>56</v>
      </c>
      <c r="BQ23" s="944">
        <f>BP23+1</f>
        <v>57</v>
      </c>
      <c r="BR23" s="944">
        <f t="shared" si="1"/>
        <v>58</v>
      </c>
      <c r="BS23" s="944">
        <f t="shared" si="1"/>
        <v>59</v>
      </c>
      <c r="BT23" s="944">
        <f>BS23+1</f>
        <v>60</v>
      </c>
      <c r="BW23" s="939"/>
      <c r="BX23" s="939"/>
      <c r="BY23" s="939"/>
      <c r="BZ23" s="939">
        <f>Loan_Amount</f>
        <v>0</v>
      </c>
      <c r="CA23" s="946">
        <f>PMT(16%/12,60,BZ23)</f>
        <v>0</v>
      </c>
    </row>
    <row r="24" spans="1:90" s="951" customFormat="1" ht="3" customHeight="1">
      <c r="A24" s="909"/>
      <c r="B24" s="947"/>
      <c r="C24" s="947"/>
      <c r="D24" s="947"/>
      <c r="E24" s="947"/>
      <c r="F24" s="948"/>
      <c r="G24" s="947"/>
      <c r="H24" s="947"/>
      <c r="I24" s="949"/>
      <c r="J24" s="949"/>
      <c r="K24" s="950"/>
      <c r="BX24" s="952"/>
      <c r="BY24" s="952"/>
      <c r="BZ24" s="952"/>
    </row>
    <row r="25" spans="1:90" s="951" customFormat="1">
      <c r="A25" s="925" t="str">
        <f>IF(Values_Entered,1,"")</f>
        <v/>
      </c>
      <c r="B25" s="953">
        <f>Loan_Start</f>
        <v>45005</v>
      </c>
      <c r="C25" s="954" t="str">
        <f>IF(Values_Entered,Loan_Amount,"")</f>
        <v/>
      </c>
      <c r="D25" s="954" t="str">
        <f>IF(Pay_Num&lt;&gt;"",Scheduled_Monthly_Payment,"")</f>
        <v/>
      </c>
      <c r="E25" s="955"/>
      <c r="F25" s="956" t="e">
        <f>IF(AND(Pay_Num&lt;&gt;"",Sched_Pay+Extra_Pay&lt;Beg_Bal),Sched_Pay+Extra_Pay,IF(Pay_Num&lt;&gt;"",Beg_Bal,""))</f>
        <v>#VALUE!</v>
      </c>
      <c r="G25" s="954" t="str">
        <f>IF(Pay_Num&lt;&gt;"",Total_Pay-Int,"")</f>
        <v/>
      </c>
      <c r="H25" s="957" t="str">
        <f>IF(Pay_Num&lt;&gt;"",Beg_Bal*(Interest_Rate/Num_Pmt_Per_Year),"")</f>
        <v/>
      </c>
      <c r="I25" s="954" t="e">
        <f>IF(AND(Pay_Num&lt;&gt;"",Sched_Pay+Extra_Pay&lt;Beg_Bal),Beg_Bal-Princ,IF(Pay_Num&lt;&gt;"",0,""))</f>
        <v>#VALUE!</v>
      </c>
      <c r="J25" s="958" t="str">
        <f>'[4]B11-L8'!J32</f>
        <v>PAID</v>
      </c>
      <c r="K25" s="950"/>
      <c r="L25" s="959" t="str">
        <f>G23</f>
        <v>Principal</v>
      </c>
      <c r="M25" s="960" t="str">
        <f>INDEX($G$25:$H$288,COLUMN(A1),1)</f>
        <v/>
      </c>
      <c r="N25" s="960" t="str">
        <f t="shared" ref="N25:BT25" si="2">INDEX($G$25:$H$288,COLUMN(B1),1)</f>
        <v/>
      </c>
      <c r="O25" s="960" t="str">
        <f t="shared" si="2"/>
        <v/>
      </c>
      <c r="P25" s="960" t="str">
        <f t="shared" si="2"/>
        <v/>
      </c>
      <c r="Q25" s="960" t="str">
        <f t="shared" si="2"/>
        <v/>
      </c>
      <c r="R25" s="960" t="str">
        <f t="shared" si="2"/>
        <v/>
      </c>
      <c r="S25" s="960" t="str">
        <f t="shared" si="2"/>
        <v/>
      </c>
      <c r="T25" s="960" t="str">
        <f t="shared" si="2"/>
        <v/>
      </c>
      <c r="U25" s="960" t="str">
        <f t="shared" si="2"/>
        <v/>
      </c>
      <c r="V25" s="960" t="str">
        <f t="shared" si="2"/>
        <v/>
      </c>
      <c r="W25" s="960" t="str">
        <f t="shared" si="2"/>
        <v/>
      </c>
      <c r="X25" s="960" t="str">
        <f t="shared" si="2"/>
        <v/>
      </c>
      <c r="Y25" s="960" t="str">
        <f t="shared" si="2"/>
        <v/>
      </c>
      <c r="Z25" s="960" t="str">
        <f t="shared" si="2"/>
        <v/>
      </c>
      <c r="AA25" s="960" t="str">
        <f t="shared" si="2"/>
        <v/>
      </c>
      <c r="AB25" s="960" t="str">
        <f t="shared" si="2"/>
        <v/>
      </c>
      <c r="AC25" s="960" t="str">
        <f t="shared" si="2"/>
        <v/>
      </c>
      <c r="AD25" s="960" t="str">
        <f t="shared" si="2"/>
        <v/>
      </c>
      <c r="AE25" s="960" t="str">
        <f t="shared" si="2"/>
        <v/>
      </c>
      <c r="AF25" s="960" t="str">
        <f t="shared" si="2"/>
        <v/>
      </c>
      <c r="AG25" s="960" t="str">
        <f t="shared" si="2"/>
        <v/>
      </c>
      <c r="AH25" s="960" t="str">
        <f t="shared" si="2"/>
        <v/>
      </c>
      <c r="AI25" s="960" t="str">
        <f t="shared" si="2"/>
        <v/>
      </c>
      <c r="AJ25" s="960" t="str">
        <f t="shared" si="2"/>
        <v/>
      </c>
      <c r="AK25" s="960" t="str">
        <f t="shared" si="2"/>
        <v/>
      </c>
      <c r="AL25" s="960" t="str">
        <f t="shared" si="2"/>
        <v/>
      </c>
      <c r="AM25" s="960" t="str">
        <f t="shared" si="2"/>
        <v/>
      </c>
      <c r="AN25" s="960" t="str">
        <f t="shared" si="2"/>
        <v/>
      </c>
      <c r="AO25" s="960" t="str">
        <f t="shared" si="2"/>
        <v/>
      </c>
      <c r="AP25" s="960" t="str">
        <f t="shared" si="2"/>
        <v/>
      </c>
      <c r="AQ25" s="960" t="str">
        <f t="shared" si="2"/>
        <v/>
      </c>
      <c r="AR25" s="960" t="str">
        <f t="shared" si="2"/>
        <v/>
      </c>
      <c r="AS25" s="960" t="str">
        <f t="shared" si="2"/>
        <v/>
      </c>
      <c r="AT25" s="960" t="str">
        <f t="shared" si="2"/>
        <v/>
      </c>
      <c r="AU25" s="960" t="str">
        <f t="shared" si="2"/>
        <v/>
      </c>
      <c r="AV25" s="960" t="str">
        <f t="shared" si="2"/>
        <v/>
      </c>
      <c r="AW25" s="960" t="str">
        <f t="shared" si="2"/>
        <v/>
      </c>
      <c r="AX25" s="960" t="str">
        <f t="shared" si="2"/>
        <v/>
      </c>
      <c r="AY25" s="960" t="str">
        <f t="shared" si="2"/>
        <v/>
      </c>
      <c r="AZ25" s="960" t="str">
        <f t="shared" si="2"/>
        <v/>
      </c>
      <c r="BA25" s="960" t="str">
        <f t="shared" si="2"/>
        <v/>
      </c>
      <c r="BB25" s="960" t="str">
        <f t="shared" si="2"/>
        <v/>
      </c>
      <c r="BC25" s="960" t="str">
        <f t="shared" si="2"/>
        <v/>
      </c>
      <c r="BD25" s="960" t="str">
        <f t="shared" si="2"/>
        <v/>
      </c>
      <c r="BE25" s="960" t="str">
        <f t="shared" si="2"/>
        <v/>
      </c>
      <c r="BF25" s="960" t="str">
        <f t="shared" si="2"/>
        <v/>
      </c>
      <c r="BG25" s="960" t="str">
        <f t="shared" si="2"/>
        <v/>
      </c>
      <c r="BH25" s="960" t="str">
        <f t="shared" si="2"/>
        <v/>
      </c>
      <c r="BI25" s="960" t="str">
        <f t="shared" si="2"/>
        <v/>
      </c>
      <c r="BJ25" s="960" t="str">
        <f t="shared" si="2"/>
        <v/>
      </c>
      <c r="BK25" s="960" t="str">
        <f t="shared" si="2"/>
        <v/>
      </c>
      <c r="BL25" s="960" t="str">
        <f t="shared" si="2"/>
        <v/>
      </c>
      <c r="BM25" s="960" t="str">
        <f t="shared" si="2"/>
        <v/>
      </c>
      <c r="BN25" s="960" t="str">
        <f t="shared" si="2"/>
        <v/>
      </c>
      <c r="BO25" s="960" t="str">
        <f t="shared" si="2"/>
        <v/>
      </c>
      <c r="BP25" s="960" t="str">
        <f t="shared" si="2"/>
        <v/>
      </c>
      <c r="BQ25" s="960" t="str">
        <f t="shared" si="2"/>
        <v/>
      </c>
      <c r="BR25" s="960" t="str">
        <f t="shared" si="2"/>
        <v/>
      </c>
      <c r="BS25" s="960" t="str">
        <f t="shared" si="2"/>
        <v/>
      </c>
      <c r="BT25" s="960" t="str">
        <f t="shared" si="2"/>
        <v/>
      </c>
      <c r="BW25" s="961">
        <v>34058</v>
      </c>
      <c r="BX25" s="962">
        <f>BW25-BY25</f>
        <v>34058</v>
      </c>
      <c r="BY25" s="961">
        <f>BZ23*16%/12</f>
        <v>0</v>
      </c>
      <c r="BZ25" s="962">
        <f>BZ23-BX25</f>
        <v>-34058</v>
      </c>
    </row>
    <row r="26" spans="1:90" s="951" customFormat="1">
      <c r="A26" s="925" t="str">
        <f>IF(Values_Entered,A25+1,"")</f>
        <v/>
      </c>
      <c r="B26" s="953">
        <f>Loan_Start+31</f>
        <v>45036</v>
      </c>
      <c r="C26" s="963" t="str">
        <f>IF(Pay_Num&lt;&gt;"",I25,"")</f>
        <v/>
      </c>
      <c r="D26" s="963" t="str">
        <f>IF(Pay_Num&lt;&gt;"",Scheduled_Monthly_Payment,"")</f>
        <v/>
      </c>
      <c r="E26" s="964"/>
      <c r="F26" s="965" t="e">
        <f t="shared" ref="F26:F88" si="3">IF(AND(Pay_Num&lt;&gt;"",Sched_Pay+Extra_Pay&lt;Beg_Bal),Sched_Pay+Extra_Pay,IF(Pay_Num&lt;&gt;"",Beg_Bal,""))</f>
        <v>#VALUE!</v>
      </c>
      <c r="G26" s="963" t="str">
        <f t="shared" ref="G26:G89" si="4">IF(Pay_Num&lt;&gt;"",Total_Pay-Int,"")</f>
        <v/>
      </c>
      <c r="H26" s="966" t="str">
        <f t="shared" ref="H26:H89" si="5">IF(Pay_Num&lt;&gt;"",Beg_Bal*Interest_Rate/Num_Pmt_Per_Year,"")</f>
        <v/>
      </c>
      <c r="I26" s="963" t="e">
        <f t="shared" ref="I26:I89" si="6">IF(AND(Pay_Num&lt;&gt;"",Sched_Pay+Extra_Pay&lt;Beg_Bal),Beg_Bal-Princ,IF(Pay_Num&lt;&gt;"",0,""))</f>
        <v>#VALUE!</v>
      </c>
      <c r="J26" s="958" t="str">
        <f>'[4]B11-L8'!J33</f>
        <v>PAID</v>
      </c>
      <c r="K26" s="950"/>
      <c r="L26" s="967" t="str">
        <f>H23</f>
        <v>Interest</v>
      </c>
      <c r="M26" s="968" t="str">
        <f>INDEX($H$25:$H$164,COLUMN(A2),1)</f>
        <v/>
      </c>
      <c r="N26" s="968" t="str">
        <f t="shared" ref="N26:BT26" si="7">INDEX($H$25:$H$164,COLUMN(B2),1)</f>
        <v/>
      </c>
      <c r="O26" s="968" t="str">
        <f t="shared" si="7"/>
        <v/>
      </c>
      <c r="P26" s="968" t="str">
        <f t="shared" si="7"/>
        <v/>
      </c>
      <c r="Q26" s="968" t="str">
        <f t="shared" si="7"/>
        <v/>
      </c>
      <c r="R26" s="968" t="str">
        <f t="shared" si="7"/>
        <v/>
      </c>
      <c r="S26" s="968" t="str">
        <f t="shared" si="7"/>
        <v/>
      </c>
      <c r="T26" s="968" t="str">
        <f t="shared" si="7"/>
        <v/>
      </c>
      <c r="U26" s="968" t="str">
        <f t="shared" si="7"/>
        <v/>
      </c>
      <c r="V26" s="968" t="str">
        <f t="shared" si="7"/>
        <v/>
      </c>
      <c r="W26" s="968" t="str">
        <f t="shared" si="7"/>
        <v/>
      </c>
      <c r="X26" s="968" t="str">
        <f t="shared" si="7"/>
        <v/>
      </c>
      <c r="Y26" s="969" t="str">
        <f t="shared" si="7"/>
        <v/>
      </c>
      <c r="Z26" s="969" t="str">
        <f t="shared" si="7"/>
        <v/>
      </c>
      <c r="AA26" s="969" t="str">
        <f t="shared" si="7"/>
        <v/>
      </c>
      <c r="AB26" s="969" t="str">
        <f t="shared" si="7"/>
        <v/>
      </c>
      <c r="AC26" s="969" t="str">
        <f t="shared" si="7"/>
        <v/>
      </c>
      <c r="AD26" s="969" t="str">
        <f t="shared" si="7"/>
        <v/>
      </c>
      <c r="AE26" s="969" t="str">
        <f t="shared" si="7"/>
        <v/>
      </c>
      <c r="AF26" s="969" t="str">
        <f t="shared" si="7"/>
        <v/>
      </c>
      <c r="AG26" s="969" t="str">
        <f t="shared" si="7"/>
        <v/>
      </c>
      <c r="AH26" s="969" t="str">
        <f t="shared" si="7"/>
        <v/>
      </c>
      <c r="AI26" s="969" t="str">
        <f t="shared" si="7"/>
        <v/>
      </c>
      <c r="AJ26" s="969" t="str">
        <f t="shared" si="7"/>
        <v/>
      </c>
      <c r="AK26" s="969" t="str">
        <f t="shared" si="7"/>
        <v/>
      </c>
      <c r="AL26" s="969" t="str">
        <f t="shared" si="7"/>
        <v/>
      </c>
      <c r="AM26" s="969" t="str">
        <f t="shared" si="7"/>
        <v/>
      </c>
      <c r="AN26" s="969" t="str">
        <f t="shared" si="7"/>
        <v/>
      </c>
      <c r="AO26" s="969" t="str">
        <f t="shared" si="7"/>
        <v/>
      </c>
      <c r="AP26" s="969" t="str">
        <f t="shared" si="7"/>
        <v/>
      </c>
      <c r="AQ26" s="969" t="str">
        <f t="shared" si="7"/>
        <v/>
      </c>
      <c r="AR26" s="969" t="str">
        <f t="shared" si="7"/>
        <v/>
      </c>
      <c r="AS26" s="969" t="str">
        <f t="shared" si="7"/>
        <v/>
      </c>
      <c r="AT26" s="969" t="str">
        <f t="shared" si="7"/>
        <v/>
      </c>
      <c r="AU26" s="969" t="str">
        <f t="shared" si="7"/>
        <v/>
      </c>
      <c r="AV26" s="969" t="str">
        <f t="shared" si="7"/>
        <v/>
      </c>
      <c r="AW26" s="969" t="str">
        <f t="shared" si="7"/>
        <v/>
      </c>
      <c r="AX26" s="969" t="str">
        <f t="shared" si="7"/>
        <v/>
      </c>
      <c r="AY26" s="969" t="str">
        <f t="shared" si="7"/>
        <v/>
      </c>
      <c r="AZ26" s="969" t="str">
        <f t="shared" si="7"/>
        <v/>
      </c>
      <c r="BA26" s="969" t="str">
        <f t="shared" si="7"/>
        <v/>
      </c>
      <c r="BB26" s="969" t="str">
        <f t="shared" si="7"/>
        <v/>
      </c>
      <c r="BC26" s="969" t="str">
        <f t="shared" si="7"/>
        <v/>
      </c>
      <c r="BD26" s="969" t="str">
        <f t="shared" si="7"/>
        <v/>
      </c>
      <c r="BE26" s="969" t="str">
        <f t="shared" si="7"/>
        <v/>
      </c>
      <c r="BF26" s="969" t="str">
        <f t="shared" si="7"/>
        <v/>
      </c>
      <c r="BG26" s="969" t="str">
        <f t="shared" si="7"/>
        <v/>
      </c>
      <c r="BH26" s="969" t="str">
        <f t="shared" si="7"/>
        <v/>
      </c>
      <c r="BI26" s="969" t="str">
        <f t="shared" si="7"/>
        <v/>
      </c>
      <c r="BJ26" s="969" t="str">
        <f t="shared" si="7"/>
        <v/>
      </c>
      <c r="BK26" s="969" t="str">
        <f t="shared" si="7"/>
        <v/>
      </c>
      <c r="BL26" s="969" t="str">
        <f t="shared" si="7"/>
        <v/>
      </c>
      <c r="BM26" s="969" t="str">
        <f t="shared" si="7"/>
        <v/>
      </c>
      <c r="BN26" s="969" t="str">
        <f t="shared" si="7"/>
        <v/>
      </c>
      <c r="BO26" s="969" t="str">
        <f t="shared" si="7"/>
        <v/>
      </c>
      <c r="BP26" s="969" t="str">
        <f t="shared" si="7"/>
        <v/>
      </c>
      <c r="BQ26" s="969" t="str">
        <f t="shared" si="7"/>
        <v/>
      </c>
      <c r="BR26" s="969" t="str">
        <f t="shared" si="7"/>
        <v/>
      </c>
      <c r="BS26" s="969" t="str">
        <f t="shared" si="7"/>
        <v/>
      </c>
      <c r="BT26" s="969" t="str">
        <f t="shared" si="7"/>
        <v/>
      </c>
      <c r="BW26" s="961">
        <v>34058</v>
      </c>
      <c r="BX26" s="962">
        <f>BW26-BY26</f>
        <v>34512.106666666667</v>
      </c>
      <c r="BY26" s="961">
        <f>BZ25*16%/12</f>
        <v>-454.10666666666663</v>
      </c>
      <c r="BZ26" s="962">
        <f>BZ25-BX26</f>
        <v>-68570.106666666659</v>
      </c>
    </row>
    <row r="27" spans="1:90" s="951" customFormat="1" ht="13.5" thickBot="1">
      <c r="A27" s="925" t="str">
        <f>IF(Values_Entered,A26+1,"")</f>
        <v/>
      </c>
      <c r="B27" s="953">
        <f>B26+30</f>
        <v>45066</v>
      </c>
      <c r="C27" s="963" t="str">
        <f t="shared" ref="C27:C86" si="8">IF(Pay_Num&lt;&gt;"",I26,"")</f>
        <v/>
      </c>
      <c r="D27" s="963" t="str">
        <f t="shared" ref="D27:D90" si="9">IF(Pay_Num&lt;&gt;"",Scheduled_Monthly_Payment,"")</f>
        <v/>
      </c>
      <c r="E27" s="964"/>
      <c r="F27" s="965" t="e">
        <f t="shared" si="3"/>
        <v>#VALUE!</v>
      </c>
      <c r="G27" s="963" t="str">
        <f t="shared" si="4"/>
        <v/>
      </c>
      <c r="H27" s="966" t="str">
        <f t="shared" si="5"/>
        <v/>
      </c>
      <c r="I27" s="970" t="e">
        <f t="shared" si="6"/>
        <v>#VALUE!</v>
      </c>
      <c r="J27" s="958" t="str">
        <f>'[4]B11-L8'!J34</f>
        <v>PAID</v>
      </c>
      <c r="K27" s="950"/>
      <c r="L27" s="971" t="s">
        <v>48</v>
      </c>
      <c r="M27" s="972">
        <f>SUM(M25:M26)</f>
        <v>0</v>
      </c>
      <c r="N27" s="972">
        <f t="shared" ref="N27:U27" si="10">SUM(N25:N26)</f>
        <v>0</v>
      </c>
      <c r="O27" s="972">
        <f t="shared" si="10"/>
        <v>0</v>
      </c>
      <c r="P27" s="972">
        <f t="shared" si="10"/>
        <v>0</v>
      </c>
      <c r="Q27" s="972">
        <f t="shared" si="10"/>
        <v>0</v>
      </c>
      <c r="R27" s="972">
        <f t="shared" si="10"/>
        <v>0</v>
      </c>
      <c r="S27" s="972">
        <f t="shared" si="10"/>
        <v>0</v>
      </c>
      <c r="T27" s="972">
        <f t="shared" si="10"/>
        <v>0</v>
      </c>
      <c r="U27" s="972">
        <f t="shared" si="10"/>
        <v>0</v>
      </c>
      <c r="V27" s="972">
        <f>SUM(V25:V26)</f>
        <v>0</v>
      </c>
      <c r="W27" s="972">
        <f t="shared" ref="W27:BT27" si="11">SUM(W25:W26)</f>
        <v>0</v>
      </c>
      <c r="X27" s="972">
        <f t="shared" si="11"/>
        <v>0</v>
      </c>
      <c r="Y27" s="972">
        <f t="shared" si="11"/>
        <v>0</v>
      </c>
      <c r="Z27" s="972">
        <f t="shared" si="11"/>
        <v>0</v>
      </c>
      <c r="AA27" s="972">
        <f t="shared" si="11"/>
        <v>0</v>
      </c>
      <c r="AB27" s="972">
        <f t="shared" si="11"/>
        <v>0</v>
      </c>
      <c r="AC27" s="972">
        <f t="shared" si="11"/>
        <v>0</v>
      </c>
      <c r="AD27" s="972">
        <f t="shared" si="11"/>
        <v>0</v>
      </c>
      <c r="AE27" s="972">
        <f t="shared" si="11"/>
        <v>0</v>
      </c>
      <c r="AF27" s="972">
        <f t="shared" si="11"/>
        <v>0</v>
      </c>
      <c r="AG27" s="972">
        <f t="shared" si="11"/>
        <v>0</v>
      </c>
      <c r="AH27" s="972">
        <f t="shared" si="11"/>
        <v>0</v>
      </c>
      <c r="AI27" s="972">
        <f t="shared" si="11"/>
        <v>0</v>
      </c>
      <c r="AJ27" s="972">
        <f t="shared" si="11"/>
        <v>0</v>
      </c>
      <c r="AK27" s="972">
        <f t="shared" si="11"/>
        <v>0</v>
      </c>
      <c r="AL27" s="972">
        <f t="shared" si="11"/>
        <v>0</v>
      </c>
      <c r="AM27" s="972">
        <f t="shared" si="11"/>
        <v>0</v>
      </c>
      <c r="AN27" s="972">
        <f t="shared" si="11"/>
        <v>0</v>
      </c>
      <c r="AO27" s="972">
        <f t="shared" si="11"/>
        <v>0</v>
      </c>
      <c r="AP27" s="972">
        <f t="shared" si="11"/>
        <v>0</v>
      </c>
      <c r="AQ27" s="972">
        <f t="shared" si="11"/>
        <v>0</v>
      </c>
      <c r="AR27" s="972">
        <f t="shared" si="11"/>
        <v>0</v>
      </c>
      <c r="AS27" s="972">
        <f t="shared" si="11"/>
        <v>0</v>
      </c>
      <c r="AT27" s="972">
        <f t="shared" si="11"/>
        <v>0</v>
      </c>
      <c r="AU27" s="972">
        <f t="shared" si="11"/>
        <v>0</v>
      </c>
      <c r="AV27" s="972">
        <f t="shared" si="11"/>
        <v>0</v>
      </c>
      <c r="AW27" s="972">
        <f t="shared" si="11"/>
        <v>0</v>
      </c>
      <c r="AX27" s="972">
        <f t="shared" si="11"/>
        <v>0</v>
      </c>
      <c r="AY27" s="972">
        <f t="shared" si="11"/>
        <v>0</v>
      </c>
      <c r="AZ27" s="972">
        <f t="shared" si="11"/>
        <v>0</v>
      </c>
      <c r="BA27" s="972">
        <f t="shared" si="11"/>
        <v>0</v>
      </c>
      <c r="BB27" s="972">
        <f t="shared" si="11"/>
        <v>0</v>
      </c>
      <c r="BC27" s="972">
        <f t="shared" si="11"/>
        <v>0</v>
      </c>
      <c r="BD27" s="972">
        <f t="shared" si="11"/>
        <v>0</v>
      </c>
      <c r="BE27" s="972">
        <f t="shared" si="11"/>
        <v>0</v>
      </c>
      <c r="BF27" s="972">
        <f t="shared" si="11"/>
        <v>0</v>
      </c>
      <c r="BG27" s="972">
        <f t="shared" si="11"/>
        <v>0</v>
      </c>
      <c r="BH27" s="972">
        <f t="shared" si="11"/>
        <v>0</v>
      </c>
      <c r="BI27" s="972">
        <f t="shared" si="11"/>
        <v>0</v>
      </c>
      <c r="BJ27" s="972">
        <f t="shared" si="11"/>
        <v>0</v>
      </c>
      <c r="BK27" s="972">
        <f t="shared" si="11"/>
        <v>0</v>
      </c>
      <c r="BL27" s="972">
        <f t="shared" si="11"/>
        <v>0</v>
      </c>
      <c r="BM27" s="972">
        <f t="shared" si="11"/>
        <v>0</v>
      </c>
      <c r="BN27" s="972">
        <f t="shared" si="11"/>
        <v>0</v>
      </c>
      <c r="BO27" s="972">
        <f t="shared" si="11"/>
        <v>0</v>
      </c>
      <c r="BP27" s="972">
        <f t="shared" si="11"/>
        <v>0</v>
      </c>
      <c r="BQ27" s="972">
        <f t="shared" si="11"/>
        <v>0</v>
      </c>
      <c r="BR27" s="972">
        <f t="shared" si="11"/>
        <v>0</v>
      </c>
      <c r="BS27" s="972">
        <f t="shared" si="11"/>
        <v>0</v>
      </c>
      <c r="BT27" s="972">
        <f t="shared" si="11"/>
        <v>0</v>
      </c>
      <c r="BW27" s="961">
        <v>34058</v>
      </c>
      <c r="BX27" s="962">
        <f t="shared" ref="BX27:BX83" si="12">BW27-BY27</f>
        <v>34972.268088888886</v>
      </c>
      <c r="BY27" s="961">
        <f t="shared" ref="BY27:BY84" si="13">BZ26*16%/12</f>
        <v>-914.26808888888888</v>
      </c>
      <c r="BZ27" s="962">
        <f t="shared" ref="BZ27:BZ84" si="14">BZ26-BX27</f>
        <v>-103542.37475555555</v>
      </c>
    </row>
    <row r="28" spans="1:90" s="951" customFormat="1">
      <c r="A28" s="925" t="str">
        <f>IF(Values_Entered,A27+1,"")</f>
        <v/>
      </c>
      <c r="B28" s="953">
        <f>B27+31</f>
        <v>45097</v>
      </c>
      <c r="C28" s="963" t="str">
        <f t="shared" si="8"/>
        <v/>
      </c>
      <c r="D28" s="963" t="str">
        <f t="shared" si="9"/>
        <v/>
      </c>
      <c r="E28" s="964"/>
      <c r="F28" s="965" t="e">
        <f t="shared" si="3"/>
        <v>#VALUE!</v>
      </c>
      <c r="G28" s="963" t="str">
        <f t="shared" si="4"/>
        <v/>
      </c>
      <c r="H28" s="966" t="str">
        <f t="shared" si="5"/>
        <v/>
      </c>
      <c r="I28" s="963" t="e">
        <f t="shared" si="6"/>
        <v>#VALUE!</v>
      </c>
      <c r="J28" s="958" t="str">
        <f>'[4]B11-L8'!J35</f>
        <v>PAID</v>
      </c>
      <c r="K28" s="950"/>
      <c r="M28" s="973" t="str">
        <f>J25</f>
        <v>PAID</v>
      </c>
      <c r="N28" s="973">
        <f>K25</f>
        <v>0</v>
      </c>
      <c r="BW28" s="961">
        <v>34058</v>
      </c>
      <c r="BX28" s="962">
        <f t="shared" si="12"/>
        <v>35438.564996740737</v>
      </c>
      <c r="BY28" s="961">
        <f t="shared" si="13"/>
        <v>-1380.5649967407408</v>
      </c>
      <c r="BZ28" s="962">
        <f t="shared" si="14"/>
        <v>-138980.93975229628</v>
      </c>
    </row>
    <row r="29" spans="1:90" s="951" customFormat="1">
      <c r="A29" s="925" t="str">
        <f>IF(Values_Entered,A28+1,"")</f>
        <v/>
      </c>
      <c r="B29" s="953">
        <f t="shared" ref="B29:B89" si="15">B28+30</f>
        <v>45127</v>
      </c>
      <c r="C29" s="963" t="str">
        <f t="shared" si="8"/>
        <v/>
      </c>
      <c r="D29" s="963" t="str">
        <f t="shared" si="9"/>
        <v/>
      </c>
      <c r="E29" s="964"/>
      <c r="F29" s="965" t="e">
        <f t="shared" si="3"/>
        <v>#VALUE!</v>
      </c>
      <c r="G29" s="963" t="str">
        <f t="shared" si="4"/>
        <v/>
      </c>
      <c r="H29" s="966" t="str">
        <f t="shared" si="5"/>
        <v/>
      </c>
      <c r="I29" s="963" t="e">
        <f t="shared" si="6"/>
        <v>#VALUE!</v>
      </c>
      <c r="J29" s="958" t="str">
        <f>'[4]B11-L8'!J36</f>
        <v>PAID</v>
      </c>
      <c r="K29" s="950"/>
      <c r="M29" s="973"/>
      <c r="BW29" s="961">
        <v>34058</v>
      </c>
      <c r="BX29" s="962">
        <f t="shared" si="12"/>
        <v>35911.079196697283</v>
      </c>
      <c r="BY29" s="961">
        <f t="shared" si="13"/>
        <v>-1853.0791966972838</v>
      </c>
      <c r="BZ29" s="962">
        <f t="shared" si="14"/>
        <v>-174892.01894899356</v>
      </c>
    </row>
    <row r="30" spans="1:90">
      <c r="A30" s="925" t="str">
        <f>IF(Values_Entered,A29+1,"")</f>
        <v/>
      </c>
      <c r="B30" s="953">
        <f>B29+31</f>
        <v>45158</v>
      </c>
      <c r="C30" s="963" t="str">
        <f>IF(Pay_Num&lt;&gt;"",I29,"")</f>
        <v/>
      </c>
      <c r="D30" s="963" t="str">
        <f t="shared" si="9"/>
        <v/>
      </c>
      <c r="E30" s="964"/>
      <c r="F30" s="965" t="e">
        <f t="shared" si="3"/>
        <v>#VALUE!</v>
      </c>
      <c r="G30" s="963" t="str">
        <f t="shared" si="4"/>
        <v/>
      </c>
      <c r="H30" s="966" t="str">
        <f t="shared" si="5"/>
        <v/>
      </c>
      <c r="I30" s="963" t="e">
        <f t="shared" si="6"/>
        <v>#VALUE!</v>
      </c>
      <c r="J30" s="958" t="str">
        <f>'[4]B11-L8'!J37</f>
        <v>PAID</v>
      </c>
      <c r="K30" s="950"/>
      <c r="L30" s="973"/>
      <c r="M30" s="973"/>
      <c r="BW30" s="961">
        <v>34058</v>
      </c>
      <c r="BX30" s="962">
        <f t="shared" si="12"/>
        <v>36389.893585986581</v>
      </c>
      <c r="BY30" s="961">
        <f t="shared" si="13"/>
        <v>-2331.893585986581</v>
      </c>
      <c r="BZ30" s="962">
        <f t="shared" si="14"/>
        <v>-211281.91253498013</v>
      </c>
    </row>
    <row r="31" spans="1:90">
      <c r="A31" s="925" t="str">
        <f>IF(Values_Entered,A30+1,"")</f>
        <v/>
      </c>
      <c r="B31" s="953">
        <f>B30+31</f>
        <v>45189</v>
      </c>
      <c r="C31" s="963" t="str">
        <f t="shared" si="8"/>
        <v/>
      </c>
      <c r="D31" s="963" t="str">
        <f t="shared" si="9"/>
        <v/>
      </c>
      <c r="E31" s="964"/>
      <c r="F31" s="965" t="e">
        <f t="shared" si="3"/>
        <v>#VALUE!</v>
      </c>
      <c r="G31" s="963" t="str">
        <f t="shared" si="4"/>
        <v/>
      </c>
      <c r="H31" s="966" t="str">
        <f t="shared" si="5"/>
        <v/>
      </c>
      <c r="I31" s="963" t="e">
        <f t="shared" si="6"/>
        <v>#VALUE!</v>
      </c>
      <c r="J31" s="958" t="str">
        <f>'[4]B11-L8'!J38</f>
        <v>PAID</v>
      </c>
      <c r="K31" s="950"/>
      <c r="L31" s="951"/>
      <c r="M31" s="974"/>
      <c r="BW31" s="961">
        <v>34058</v>
      </c>
      <c r="BX31" s="962">
        <f t="shared" si="12"/>
        <v>36875.092167133065</v>
      </c>
      <c r="BY31" s="961">
        <f t="shared" si="13"/>
        <v>-2817.0921671330684</v>
      </c>
      <c r="BZ31" s="962">
        <f t="shared" si="14"/>
        <v>-248157.00470211319</v>
      </c>
      <c r="CJ31" s="975" t="s">
        <v>49</v>
      </c>
      <c r="CK31" s="976"/>
      <c r="CL31" s="976"/>
    </row>
    <row r="32" spans="1:90">
      <c r="A32" s="925" t="str">
        <f>IF(Values_Entered,A31+1,"")</f>
        <v/>
      </c>
      <c r="B32" s="953">
        <f t="shared" si="15"/>
        <v>45219</v>
      </c>
      <c r="C32" s="963" t="str">
        <f>IF(Pay_Num&lt;&gt;"",I31,"")</f>
        <v/>
      </c>
      <c r="D32" s="963" t="str">
        <f t="shared" si="9"/>
        <v/>
      </c>
      <c r="E32" s="964"/>
      <c r="F32" s="965" t="e">
        <f t="shared" si="3"/>
        <v>#VALUE!</v>
      </c>
      <c r="G32" s="963" t="str">
        <f t="shared" si="4"/>
        <v/>
      </c>
      <c r="H32" s="966" t="str">
        <f t="shared" si="5"/>
        <v/>
      </c>
      <c r="I32" s="963" t="e">
        <f t="shared" si="6"/>
        <v>#VALUE!</v>
      </c>
      <c r="J32" s="958" t="str">
        <f>'[4]B11-L8'!J39</f>
        <v>PAID</v>
      </c>
      <c r="K32" s="950"/>
      <c r="L32" s="951"/>
      <c r="M32" s="974"/>
      <c r="BW32" s="961">
        <v>34058</v>
      </c>
      <c r="BX32" s="962">
        <f t="shared" si="12"/>
        <v>37366.760062694841</v>
      </c>
      <c r="BY32" s="961">
        <f t="shared" si="13"/>
        <v>-3308.7600626948424</v>
      </c>
      <c r="BZ32" s="962">
        <f t="shared" si="14"/>
        <v>-285523.764764808</v>
      </c>
      <c r="CJ32" s="977">
        <f>SUM(H25:H33)</f>
        <v>0</v>
      </c>
      <c r="CK32" s="976"/>
      <c r="CL32" s="976"/>
    </row>
    <row r="33" spans="1:78">
      <c r="A33" s="925" t="str">
        <f>IF(Values_Entered,A32+1,"")</f>
        <v/>
      </c>
      <c r="B33" s="953">
        <f>B32+31</f>
        <v>45250</v>
      </c>
      <c r="C33" s="963" t="str">
        <f t="shared" si="8"/>
        <v/>
      </c>
      <c r="D33" s="963" t="str">
        <f t="shared" si="9"/>
        <v/>
      </c>
      <c r="E33" s="964"/>
      <c r="F33" s="965" t="e">
        <f t="shared" si="3"/>
        <v>#VALUE!</v>
      </c>
      <c r="G33" s="963" t="str">
        <f t="shared" si="4"/>
        <v/>
      </c>
      <c r="H33" s="966" t="str">
        <f t="shared" si="5"/>
        <v/>
      </c>
      <c r="I33" s="963" t="e">
        <f t="shared" si="6"/>
        <v>#VALUE!</v>
      </c>
      <c r="J33" s="958" t="str">
        <f>'[4]B11-L8'!J40</f>
        <v>PAID</v>
      </c>
      <c r="K33" s="950"/>
      <c r="L33" s="951"/>
      <c r="M33" s="974"/>
      <c r="BW33" s="961">
        <v>34058</v>
      </c>
      <c r="BX33" s="962">
        <f t="shared" si="12"/>
        <v>37864.983530197438</v>
      </c>
      <c r="BY33" s="961">
        <f t="shared" si="13"/>
        <v>-3806.9835301974399</v>
      </c>
      <c r="BZ33" s="962">
        <f t="shared" si="14"/>
        <v>-323388.74829500541</v>
      </c>
    </row>
    <row r="34" spans="1:78">
      <c r="A34" s="925" t="str">
        <f>IF(Values_Entered,A33+1,"")</f>
        <v/>
      </c>
      <c r="B34" s="953">
        <f t="shared" si="15"/>
        <v>45280</v>
      </c>
      <c r="C34" s="963" t="str">
        <f t="shared" si="8"/>
        <v/>
      </c>
      <c r="D34" s="963" t="str">
        <f t="shared" si="9"/>
        <v/>
      </c>
      <c r="E34" s="964"/>
      <c r="F34" s="965" t="e">
        <f t="shared" si="3"/>
        <v>#VALUE!</v>
      </c>
      <c r="G34" s="963" t="str">
        <f t="shared" si="4"/>
        <v/>
      </c>
      <c r="H34" s="963" t="str">
        <f t="shared" si="5"/>
        <v/>
      </c>
      <c r="I34" s="963" t="e">
        <f t="shared" si="6"/>
        <v>#VALUE!</v>
      </c>
      <c r="J34" s="958" t="str">
        <f>'[4]B11-L8'!J41</f>
        <v>PAID</v>
      </c>
      <c r="K34" s="978"/>
      <c r="L34" s="951"/>
      <c r="M34" s="974"/>
      <c r="BW34" s="961">
        <v>34058</v>
      </c>
      <c r="BX34" s="962">
        <f t="shared" si="12"/>
        <v>38369.849977266742</v>
      </c>
      <c r="BY34" s="961">
        <f t="shared" si="13"/>
        <v>-4311.8499772667392</v>
      </c>
      <c r="BZ34" s="962">
        <f t="shared" si="14"/>
        <v>-361758.59827227215</v>
      </c>
    </row>
    <row r="35" spans="1:78">
      <c r="A35" s="925" t="str">
        <f>IF(Values_Entered,A34+1,"")</f>
        <v/>
      </c>
      <c r="B35" s="953">
        <f>B34+31</f>
        <v>45311</v>
      </c>
      <c r="C35" s="963" t="str">
        <f t="shared" si="8"/>
        <v/>
      </c>
      <c r="D35" s="963" t="str">
        <f t="shared" si="9"/>
        <v/>
      </c>
      <c r="E35" s="964"/>
      <c r="F35" s="965" t="e">
        <f t="shared" si="3"/>
        <v>#VALUE!</v>
      </c>
      <c r="G35" s="963" t="str">
        <f t="shared" si="4"/>
        <v/>
      </c>
      <c r="H35" s="963" t="str">
        <f t="shared" si="5"/>
        <v/>
      </c>
      <c r="I35" s="963" t="e">
        <f>IF(AND(Pay_Num&lt;&gt;"",Sched_Pay+Extra_Pay&lt;Beg_Bal),Beg_Bal-Princ,IF(Pay_Num&lt;&gt;"",0,""))</f>
        <v>#VALUE!</v>
      </c>
      <c r="J35" s="958" t="str">
        <f>'[4]B11-L8'!J42</f>
        <v>PAID</v>
      </c>
      <c r="K35" s="950"/>
      <c r="L35" s="979" t="s">
        <v>50</v>
      </c>
      <c r="M35" s="974"/>
      <c r="BW35" s="961">
        <v>34058</v>
      </c>
      <c r="BX35" s="962">
        <f t="shared" si="12"/>
        <v>38881.447976963631</v>
      </c>
      <c r="BY35" s="961">
        <f t="shared" si="13"/>
        <v>-4823.4479769636282</v>
      </c>
      <c r="BZ35" s="962">
        <f t="shared" si="14"/>
        <v>-400640.04624923581</v>
      </c>
    </row>
    <row r="36" spans="1:78">
      <c r="A36" s="925" t="str">
        <f>IF(Values_Entered,A35+1,"")</f>
        <v/>
      </c>
      <c r="B36" s="953">
        <f>B35+31</f>
        <v>45342</v>
      </c>
      <c r="C36" s="963" t="str">
        <f t="shared" si="8"/>
        <v/>
      </c>
      <c r="D36" s="963" t="str">
        <f t="shared" si="9"/>
        <v/>
      </c>
      <c r="E36" s="964"/>
      <c r="F36" s="965" t="e">
        <f t="shared" si="3"/>
        <v>#VALUE!</v>
      </c>
      <c r="G36" s="963" t="str">
        <f t="shared" si="4"/>
        <v/>
      </c>
      <c r="H36" s="963" t="str">
        <f t="shared" si="5"/>
        <v/>
      </c>
      <c r="I36" s="963" t="e">
        <f t="shared" si="6"/>
        <v>#VALUE!</v>
      </c>
      <c r="J36" s="958" t="str">
        <f>'[4]B11-L8'!J43</f>
        <v>PAID</v>
      </c>
      <c r="K36" s="950"/>
      <c r="L36" s="973" t="e">
        <f>SUM(F25:F84)</f>
        <v>#VALUE!</v>
      </c>
      <c r="M36" s="974"/>
      <c r="BW36" s="961">
        <v>34058</v>
      </c>
      <c r="BX36" s="962">
        <f t="shared" si="12"/>
        <v>39399.867283323147</v>
      </c>
      <c r="BY36" s="961">
        <f t="shared" si="13"/>
        <v>-5341.867283323144</v>
      </c>
      <c r="BZ36" s="962">
        <f t="shared" si="14"/>
        <v>-440039.91353255895</v>
      </c>
    </row>
    <row r="37" spans="1:78">
      <c r="A37" s="925" t="str">
        <f>IF(Values_Entered,A36+1,"")</f>
        <v/>
      </c>
      <c r="B37" s="953">
        <f>B36+29</f>
        <v>45371</v>
      </c>
      <c r="C37" s="963" t="str">
        <f t="shared" si="8"/>
        <v/>
      </c>
      <c r="D37" s="963" t="str">
        <f t="shared" si="9"/>
        <v/>
      </c>
      <c r="E37" s="964"/>
      <c r="F37" s="965" t="e">
        <f t="shared" si="3"/>
        <v>#VALUE!</v>
      </c>
      <c r="G37" s="963" t="str">
        <f t="shared" si="4"/>
        <v/>
      </c>
      <c r="H37" s="963" t="str">
        <f t="shared" si="5"/>
        <v/>
      </c>
      <c r="I37" s="963" t="e">
        <f t="shared" si="6"/>
        <v>#VALUE!</v>
      </c>
      <c r="J37" s="958" t="str">
        <f>'[4]B11-L8'!J44</f>
        <v>PAID</v>
      </c>
      <c r="K37" s="950"/>
      <c r="L37" s="951"/>
      <c r="M37" s="974"/>
      <c r="BW37" s="961">
        <v>34058</v>
      </c>
      <c r="BX37" s="962">
        <f t="shared" si="12"/>
        <v>39925.198847100786</v>
      </c>
      <c r="BY37" s="961">
        <f t="shared" si="13"/>
        <v>-5867.1988471007862</v>
      </c>
      <c r="BZ37" s="962">
        <f t="shared" si="14"/>
        <v>-479965.11237965972</v>
      </c>
    </row>
    <row r="38" spans="1:78">
      <c r="A38" s="925" t="str">
        <f>IF(Values_Entered,A37+1,"")</f>
        <v/>
      </c>
      <c r="B38" s="953">
        <f>B37+31</f>
        <v>45402</v>
      </c>
      <c r="C38" s="963" t="str">
        <f t="shared" si="8"/>
        <v/>
      </c>
      <c r="D38" s="963" t="str">
        <f t="shared" si="9"/>
        <v/>
      </c>
      <c r="E38" s="964"/>
      <c r="F38" s="965" t="e">
        <f t="shared" si="3"/>
        <v>#VALUE!</v>
      </c>
      <c r="G38" s="963" t="str">
        <f t="shared" si="4"/>
        <v/>
      </c>
      <c r="H38" s="963" t="str">
        <f t="shared" si="5"/>
        <v/>
      </c>
      <c r="I38" s="963" t="e">
        <f t="shared" si="6"/>
        <v>#VALUE!</v>
      </c>
      <c r="J38" s="958" t="str">
        <f>'[4]B11-L8'!J45</f>
        <v>PAID</v>
      </c>
      <c r="K38" s="950"/>
      <c r="L38" s="951"/>
      <c r="M38" s="974"/>
      <c r="BW38" s="961">
        <v>34058</v>
      </c>
      <c r="BX38" s="962">
        <f t="shared" si="12"/>
        <v>40457.534831728794</v>
      </c>
      <c r="BY38" s="961">
        <f t="shared" si="13"/>
        <v>-6399.5348317287962</v>
      </c>
      <c r="BZ38" s="962">
        <f t="shared" si="14"/>
        <v>-520422.64721138851</v>
      </c>
    </row>
    <row r="39" spans="1:78">
      <c r="A39" s="925" t="str">
        <f>IF(Values_Entered,A38+1,"")</f>
        <v/>
      </c>
      <c r="B39" s="953">
        <f t="shared" si="15"/>
        <v>45432</v>
      </c>
      <c r="C39" s="963" t="str">
        <f t="shared" si="8"/>
        <v/>
      </c>
      <c r="D39" s="963" t="str">
        <f t="shared" si="9"/>
        <v/>
      </c>
      <c r="E39" s="964"/>
      <c r="F39" s="965" t="e">
        <f t="shared" si="3"/>
        <v>#VALUE!</v>
      </c>
      <c r="G39" s="963" t="str">
        <f t="shared" si="4"/>
        <v/>
      </c>
      <c r="H39" s="963" t="str">
        <f t="shared" si="5"/>
        <v/>
      </c>
      <c r="I39" s="963" t="e">
        <f t="shared" si="6"/>
        <v>#VALUE!</v>
      </c>
      <c r="J39" s="958" t="str">
        <f>'[4]B11-L8'!J46</f>
        <v>PAID</v>
      </c>
      <c r="K39" s="950"/>
      <c r="L39" s="951"/>
      <c r="M39" s="974"/>
      <c r="BW39" s="961">
        <v>34058</v>
      </c>
      <c r="BX39" s="962">
        <f t="shared" si="12"/>
        <v>40996.968629485178</v>
      </c>
      <c r="BY39" s="961">
        <f t="shared" si="13"/>
        <v>-6938.9686294851808</v>
      </c>
      <c r="BZ39" s="962">
        <f t="shared" si="14"/>
        <v>-561419.61584087368</v>
      </c>
    </row>
    <row r="40" spans="1:78">
      <c r="A40" s="925" t="str">
        <f>IF(Values_Entered,A39+1,"")</f>
        <v/>
      </c>
      <c r="B40" s="953">
        <f>B39+31</f>
        <v>45463</v>
      </c>
      <c r="C40" s="963" t="str">
        <f t="shared" si="8"/>
        <v/>
      </c>
      <c r="D40" s="963" t="str">
        <f t="shared" si="9"/>
        <v/>
      </c>
      <c r="E40" s="964"/>
      <c r="F40" s="965" t="e">
        <f t="shared" si="3"/>
        <v>#VALUE!</v>
      </c>
      <c r="G40" s="963" t="str">
        <f t="shared" si="4"/>
        <v/>
      </c>
      <c r="H40" s="963" t="str">
        <f t="shared" si="5"/>
        <v/>
      </c>
      <c r="I40" s="963" t="e">
        <f t="shared" si="6"/>
        <v>#VALUE!</v>
      </c>
      <c r="J40" s="958" t="str">
        <f>'[4]B11-L8'!J47</f>
        <v>PAID</v>
      </c>
      <c r="K40" s="950"/>
      <c r="L40" s="951"/>
      <c r="M40" s="974"/>
      <c r="BW40" s="961">
        <v>34058</v>
      </c>
      <c r="BX40" s="962">
        <f t="shared" si="12"/>
        <v>41543.594877878313</v>
      </c>
      <c r="BY40" s="961">
        <f t="shared" si="13"/>
        <v>-7485.5948778783159</v>
      </c>
      <c r="BZ40" s="962">
        <f t="shared" si="14"/>
        <v>-602963.210718752</v>
      </c>
    </row>
    <row r="41" spans="1:78" s="985" customFormat="1">
      <c r="A41" s="980" t="str">
        <f>IF(Values_Entered,A40+1,"")</f>
        <v/>
      </c>
      <c r="B41" s="953">
        <f t="shared" si="15"/>
        <v>45493</v>
      </c>
      <c r="C41" s="970" t="str">
        <f t="shared" si="8"/>
        <v/>
      </c>
      <c r="D41" s="970" t="str">
        <f t="shared" si="9"/>
        <v/>
      </c>
      <c r="E41" s="964"/>
      <c r="F41" s="981" t="e">
        <f t="shared" si="3"/>
        <v>#VALUE!</v>
      </c>
      <c r="G41" s="970" t="str">
        <f t="shared" si="4"/>
        <v/>
      </c>
      <c r="H41" s="970" t="str">
        <f t="shared" si="5"/>
        <v/>
      </c>
      <c r="I41" s="970" t="e">
        <f t="shared" si="6"/>
        <v>#VALUE!</v>
      </c>
      <c r="J41" s="982" t="str">
        <f>'[4]B11-L8'!J48</f>
        <v>PAID</v>
      </c>
      <c r="K41" s="983"/>
      <c r="L41" s="983"/>
      <c r="M41" s="984"/>
      <c r="BW41" s="986">
        <v>34058</v>
      </c>
      <c r="BX41" s="987">
        <f t="shared" si="12"/>
        <v>42097.509476250023</v>
      </c>
      <c r="BY41" s="986">
        <f t="shared" si="13"/>
        <v>-8039.5094762500266</v>
      </c>
      <c r="BZ41" s="987">
        <f t="shared" si="14"/>
        <v>-645060.72019500204</v>
      </c>
    </row>
    <row r="42" spans="1:78">
      <c r="A42" s="925" t="str">
        <f>IF(Values_Entered,A41+1,"")</f>
        <v/>
      </c>
      <c r="B42" s="953">
        <f>B41+31</f>
        <v>45524</v>
      </c>
      <c r="C42" s="963" t="str">
        <f t="shared" si="8"/>
        <v/>
      </c>
      <c r="D42" s="963" t="str">
        <f t="shared" si="9"/>
        <v/>
      </c>
      <c r="E42" s="964"/>
      <c r="F42" s="965" t="e">
        <f t="shared" si="3"/>
        <v>#VALUE!</v>
      </c>
      <c r="G42" s="963" t="str">
        <f t="shared" si="4"/>
        <v/>
      </c>
      <c r="H42" s="963" t="str">
        <f t="shared" si="5"/>
        <v/>
      </c>
      <c r="I42" s="963" t="e">
        <f t="shared" si="6"/>
        <v>#VALUE!</v>
      </c>
      <c r="J42" s="958" t="str">
        <f>'[4]B11-L8'!J49</f>
        <v>PAID</v>
      </c>
      <c r="K42" s="950"/>
      <c r="L42" s="951"/>
      <c r="M42" s="974"/>
      <c r="BW42" s="961">
        <v>34058</v>
      </c>
      <c r="BX42" s="962">
        <f t="shared" si="12"/>
        <v>42658.809602600028</v>
      </c>
      <c r="BY42" s="961">
        <f t="shared" si="13"/>
        <v>-8600.8096026000276</v>
      </c>
      <c r="BZ42" s="962">
        <f t="shared" si="14"/>
        <v>-687719.5297976021</v>
      </c>
    </row>
    <row r="43" spans="1:78">
      <c r="A43" s="925" t="str">
        <f>IF(Values_Entered,A42+1,"")</f>
        <v/>
      </c>
      <c r="B43" s="953">
        <f>B42+31</f>
        <v>45555</v>
      </c>
      <c r="C43" s="963" t="str">
        <f t="shared" si="8"/>
        <v/>
      </c>
      <c r="D43" s="963" t="str">
        <f t="shared" si="9"/>
        <v/>
      </c>
      <c r="E43" s="964"/>
      <c r="F43" s="965" t="e">
        <f t="shared" si="3"/>
        <v>#VALUE!</v>
      </c>
      <c r="G43" s="963" t="str">
        <f t="shared" si="4"/>
        <v/>
      </c>
      <c r="H43" s="963" t="str">
        <f t="shared" si="5"/>
        <v/>
      </c>
      <c r="I43" s="963" t="e">
        <f t="shared" si="6"/>
        <v>#VALUE!</v>
      </c>
      <c r="J43" s="958" t="str">
        <f>'[4]B11-L8'!J50</f>
        <v>PAID</v>
      </c>
      <c r="K43" s="950"/>
      <c r="L43" s="951"/>
      <c r="M43" s="974"/>
      <c r="BW43" s="961">
        <v>34058</v>
      </c>
      <c r="BX43" s="962">
        <f t="shared" si="12"/>
        <v>43227.593730634697</v>
      </c>
      <c r="BY43" s="961">
        <f t="shared" si="13"/>
        <v>-9169.593730634695</v>
      </c>
      <c r="BZ43" s="962">
        <f t="shared" si="14"/>
        <v>-730947.12352823676</v>
      </c>
    </row>
    <row r="44" spans="1:78">
      <c r="A44" s="925" t="str">
        <f>IF(Values_Entered,A43+1,"")</f>
        <v/>
      </c>
      <c r="B44" s="953">
        <f t="shared" si="15"/>
        <v>45585</v>
      </c>
      <c r="C44" s="963" t="str">
        <f t="shared" si="8"/>
        <v/>
      </c>
      <c r="D44" s="963" t="str">
        <f t="shared" si="9"/>
        <v/>
      </c>
      <c r="E44" s="964"/>
      <c r="F44" s="965" t="e">
        <f t="shared" si="3"/>
        <v>#VALUE!</v>
      </c>
      <c r="G44" s="963" t="str">
        <f t="shared" si="4"/>
        <v/>
      </c>
      <c r="H44" s="963" t="str">
        <f t="shared" si="5"/>
        <v/>
      </c>
      <c r="I44" s="963" t="e">
        <f t="shared" si="6"/>
        <v>#VALUE!</v>
      </c>
      <c r="J44" s="958" t="str">
        <f>'[4]B11-L8'!J51</f>
        <v>PAID</v>
      </c>
      <c r="K44" s="950"/>
      <c r="L44" s="951"/>
      <c r="M44" s="974"/>
      <c r="BW44" s="961">
        <v>34058</v>
      </c>
      <c r="BX44" s="962">
        <f t="shared" si="12"/>
        <v>43803.961647043157</v>
      </c>
      <c r="BY44" s="961">
        <f t="shared" si="13"/>
        <v>-9745.9616470431574</v>
      </c>
      <c r="BZ44" s="962">
        <f t="shared" si="14"/>
        <v>-774751.08517527988</v>
      </c>
    </row>
    <row r="45" spans="1:78">
      <c r="A45" s="925" t="str">
        <f>IF(Values_Entered,A44+1,"")</f>
        <v/>
      </c>
      <c r="B45" s="953">
        <f>B44+31</f>
        <v>45616</v>
      </c>
      <c r="C45" s="963" t="str">
        <f t="shared" si="8"/>
        <v/>
      </c>
      <c r="D45" s="963" t="str">
        <f t="shared" si="9"/>
        <v/>
      </c>
      <c r="E45" s="964"/>
      <c r="F45" s="965" t="e">
        <f t="shared" si="3"/>
        <v>#VALUE!</v>
      </c>
      <c r="G45" s="963" t="str">
        <f t="shared" si="4"/>
        <v/>
      </c>
      <c r="H45" s="963" t="str">
        <f t="shared" si="5"/>
        <v/>
      </c>
      <c r="I45" s="963" t="e">
        <f t="shared" si="6"/>
        <v>#VALUE!</v>
      </c>
      <c r="J45" s="958" t="str">
        <f>'[4]B11-L8'!J52</f>
        <v>PAID</v>
      </c>
      <c r="K45" s="950"/>
      <c r="L45" s="951"/>
      <c r="M45" s="974"/>
      <c r="BW45" s="961">
        <v>34058</v>
      </c>
      <c r="BX45" s="962">
        <f t="shared" si="12"/>
        <v>44388.014469003734</v>
      </c>
      <c r="BY45" s="961">
        <f t="shared" si="13"/>
        <v>-10330.014469003732</v>
      </c>
      <c r="BZ45" s="962">
        <f t="shared" si="14"/>
        <v>-819139.09964428365</v>
      </c>
    </row>
    <row r="46" spans="1:78">
      <c r="A46" s="925" t="str">
        <f>IF(Values_Entered,A45+1,"")</f>
        <v/>
      </c>
      <c r="B46" s="953">
        <f t="shared" si="15"/>
        <v>45646</v>
      </c>
      <c r="C46" s="963" t="str">
        <f t="shared" si="8"/>
        <v/>
      </c>
      <c r="D46" s="963" t="str">
        <f t="shared" si="9"/>
        <v/>
      </c>
      <c r="E46" s="964"/>
      <c r="F46" s="965" t="e">
        <f t="shared" si="3"/>
        <v>#VALUE!</v>
      </c>
      <c r="G46" s="963" t="str">
        <f t="shared" si="4"/>
        <v/>
      </c>
      <c r="H46" s="963" t="str">
        <f t="shared" si="5"/>
        <v/>
      </c>
      <c r="I46" s="963" t="e">
        <f t="shared" si="6"/>
        <v>#VALUE!</v>
      </c>
      <c r="J46" s="958" t="str">
        <f>'[4]B11-L8'!J53</f>
        <v>PAID</v>
      </c>
      <c r="K46" s="950"/>
      <c r="L46" s="951"/>
      <c r="M46" s="974"/>
      <c r="BW46" s="961">
        <v>34058</v>
      </c>
      <c r="BX46" s="962">
        <f t="shared" si="12"/>
        <v>44979.854661923782</v>
      </c>
      <c r="BY46" s="961">
        <f t="shared" si="13"/>
        <v>-10921.854661923782</v>
      </c>
      <c r="BZ46" s="962">
        <f t="shared" si="14"/>
        <v>-864118.95430620748</v>
      </c>
    </row>
    <row r="47" spans="1:78">
      <c r="A47" s="925" t="str">
        <f>IF(Values_Entered,A46+1,"")</f>
        <v/>
      </c>
      <c r="B47" s="953">
        <f>B46+31</f>
        <v>45677</v>
      </c>
      <c r="C47" s="963" t="str">
        <f t="shared" si="8"/>
        <v/>
      </c>
      <c r="D47" s="963" t="str">
        <f t="shared" si="9"/>
        <v/>
      </c>
      <c r="E47" s="964"/>
      <c r="F47" s="965" t="e">
        <f t="shared" si="3"/>
        <v>#VALUE!</v>
      </c>
      <c r="G47" s="963" t="str">
        <f t="shared" si="4"/>
        <v/>
      </c>
      <c r="H47" s="963" t="str">
        <f t="shared" si="5"/>
        <v/>
      </c>
      <c r="I47" s="963" t="e">
        <f t="shared" si="6"/>
        <v>#VALUE!</v>
      </c>
      <c r="J47" s="958" t="str">
        <f>'[4]B11-L8'!J54</f>
        <v>PAID</v>
      </c>
      <c r="K47" s="950"/>
      <c r="L47" s="951"/>
      <c r="M47" s="974"/>
      <c r="BW47" s="961">
        <v>34058</v>
      </c>
      <c r="BX47" s="962">
        <f t="shared" si="12"/>
        <v>45579.586057416098</v>
      </c>
      <c r="BY47" s="961">
        <f t="shared" si="13"/>
        <v>-11521.5860574161</v>
      </c>
      <c r="BZ47" s="962">
        <f t="shared" si="14"/>
        <v>-909698.54036362353</v>
      </c>
    </row>
    <row r="48" spans="1:78">
      <c r="A48" s="925" t="str">
        <f>IF(Values_Entered,A47+1,"")</f>
        <v/>
      </c>
      <c r="B48" s="953">
        <f>B47+31</f>
        <v>45708</v>
      </c>
      <c r="C48" s="963" t="str">
        <f t="shared" si="8"/>
        <v/>
      </c>
      <c r="D48" s="963" t="str">
        <f t="shared" si="9"/>
        <v/>
      </c>
      <c r="E48" s="964"/>
      <c r="F48" s="965" t="e">
        <f t="shared" si="3"/>
        <v>#VALUE!</v>
      </c>
      <c r="G48" s="963" t="str">
        <f t="shared" si="4"/>
        <v/>
      </c>
      <c r="H48" s="963" t="str">
        <f t="shared" si="5"/>
        <v/>
      </c>
      <c r="I48" s="963" t="e">
        <f t="shared" si="6"/>
        <v>#VALUE!</v>
      </c>
      <c r="J48" s="958" t="str">
        <f>'[4]B11-L8'!J55</f>
        <v>PAID</v>
      </c>
      <c r="K48" s="950"/>
      <c r="L48" s="951"/>
      <c r="M48" s="974"/>
      <c r="BW48" s="961">
        <v>34058</v>
      </c>
      <c r="BX48" s="962">
        <f t="shared" si="12"/>
        <v>46187.313871514983</v>
      </c>
      <c r="BY48" s="961">
        <f t="shared" si="13"/>
        <v>-12129.313871514982</v>
      </c>
      <c r="BZ48" s="962">
        <f t="shared" si="14"/>
        <v>-955885.85423513851</v>
      </c>
    </row>
    <row r="49" spans="1:78">
      <c r="A49" s="925" t="str">
        <f>IF(Values_Entered,A48+1,"")</f>
        <v/>
      </c>
      <c r="B49" s="953">
        <f>B48+28</f>
        <v>45736</v>
      </c>
      <c r="C49" s="963" t="str">
        <f t="shared" si="8"/>
        <v/>
      </c>
      <c r="D49" s="963" t="str">
        <f t="shared" si="9"/>
        <v/>
      </c>
      <c r="E49" s="964"/>
      <c r="F49" s="965" t="e">
        <f t="shared" si="3"/>
        <v>#VALUE!</v>
      </c>
      <c r="G49" s="963" t="str">
        <f t="shared" si="4"/>
        <v/>
      </c>
      <c r="H49" s="963" t="str">
        <f t="shared" si="5"/>
        <v/>
      </c>
      <c r="I49" s="963" t="e">
        <f t="shared" si="6"/>
        <v>#VALUE!</v>
      </c>
      <c r="J49" s="958" t="str">
        <f>'[4]B11-L8'!J56</f>
        <v>PAID</v>
      </c>
      <c r="K49" s="950"/>
      <c r="BW49" s="961">
        <v>34058</v>
      </c>
      <c r="BX49" s="962">
        <f t="shared" si="12"/>
        <v>46803.144723135178</v>
      </c>
      <c r="BY49" s="961">
        <f t="shared" si="13"/>
        <v>-12745.144723135179</v>
      </c>
      <c r="BZ49" s="962">
        <f t="shared" si="14"/>
        <v>-1002688.9989582737</v>
      </c>
    </row>
    <row r="50" spans="1:78">
      <c r="A50" s="925" t="str">
        <f>IF(Values_Entered,A49+1,"")</f>
        <v/>
      </c>
      <c r="B50" s="953">
        <f>B49+31</f>
        <v>45767</v>
      </c>
      <c r="C50" s="963" t="str">
        <f t="shared" si="8"/>
        <v/>
      </c>
      <c r="D50" s="963" t="str">
        <f t="shared" si="9"/>
        <v/>
      </c>
      <c r="E50" s="964"/>
      <c r="F50" s="965" t="e">
        <f t="shared" si="3"/>
        <v>#VALUE!</v>
      </c>
      <c r="G50" s="963" t="str">
        <f t="shared" si="4"/>
        <v/>
      </c>
      <c r="H50" s="963" t="str">
        <f t="shared" si="5"/>
        <v/>
      </c>
      <c r="I50" s="963" t="e">
        <f t="shared" si="6"/>
        <v>#VALUE!</v>
      </c>
      <c r="J50" s="958" t="str">
        <f>'[4]B11-L8'!J57</f>
        <v>PAID</v>
      </c>
      <c r="K50" s="950"/>
      <c r="M50" s="988"/>
      <c r="BW50" s="961">
        <v>34058</v>
      </c>
      <c r="BX50" s="962">
        <f t="shared" si="12"/>
        <v>47427.186652776982</v>
      </c>
      <c r="BY50" s="961">
        <f t="shared" si="13"/>
        <v>-13369.186652776982</v>
      </c>
      <c r="BZ50" s="962">
        <f t="shared" si="14"/>
        <v>-1050116.1856110506</v>
      </c>
    </row>
    <row r="51" spans="1:78">
      <c r="A51" s="925" t="str">
        <f>IF(Values_Entered,A50+1,"")</f>
        <v/>
      </c>
      <c r="B51" s="953">
        <f t="shared" si="15"/>
        <v>45797</v>
      </c>
      <c r="C51" s="963" t="str">
        <f t="shared" si="8"/>
        <v/>
      </c>
      <c r="D51" s="963" t="str">
        <f t="shared" si="9"/>
        <v/>
      </c>
      <c r="E51" s="964"/>
      <c r="F51" s="965" t="e">
        <f t="shared" si="3"/>
        <v>#VALUE!</v>
      </c>
      <c r="G51" s="963" t="str">
        <f t="shared" si="4"/>
        <v/>
      </c>
      <c r="H51" s="963" t="str">
        <f t="shared" si="5"/>
        <v/>
      </c>
      <c r="I51" s="963" t="e">
        <f t="shared" si="6"/>
        <v>#VALUE!</v>
      </c>
      <c r="J51" s="958" t="str">
        <f>'[4]B11-L8'!J58</f>
        <v>PAID</v>
      </c>
      <c r="K51" s="950"/>
      <c r="M51" s="988"/>
      <c r="BW51" s="961">
        <v>34058</v>
      </c>
      <c r="BX51" s="962">
        <f t="shared" si="12"/>
        <v>48059.549141480675</v>
      </c>
      <c r="BY51" s="961">
        <f t="shared" si="13"/>
        <v>-14001.549141480675</v>
      </c>
      <c r="BZ51" s="962">
        <f t="shared" si="14"/>
        <v>-1098175.7347525312</v>
      </c>
    </row>
    <row r="52" spans="1:78">
      <c r="A52" s="925" t="str">
        <f>IF(Values_Entered,A51+1,"")</f>
        <v/>
      </c>
      <c r="B52" s="953">
        <f>B51+31</f>
        <v>45828</v>
      </c>
      <c r="C52" s="963" t="str">
        <f t="shared" si="8"/>
        <v/>
      </c>
      <c r="D52" s="963" t="str">
        <f t="shared" si="9"/>
        <v/>
      </c>
      <c r="E52" s="964"/>
      <c r="F52" s="965" t="e">
        <f t="shared" si="3"/>
        <v>#VALUE!</v>
      </c>
      <c r="G52" s="963" t="str">
        <f t="shared" si="4"/>
        <v/>
      </c>
      <c r="H52" s="963" t="str">
        <f t="shared" si="5"/>
        <v/>
      </c>
      <c r="I52" s="963" t="e">
        <f t="shared" si="6"/>
        <v>#VALUE!</v>
      </c>
      <c r="J52" s="958" t="str">
        <f>'[4]B11-L8'!J59</f>
        <v>PAID</v>
      </c>
      <c r="K52" s="950"/>
      <c r="BW52" s="961">
        <v>34058</v>
      </c>
      <c r="BX52" s="962">
        <f t="shared" si="12"/>
        <v>48700.343130033747</v>
      </c>
      <c r="BY52" s="961">
        <f t="shared" si="13"/>
        <v>-14642.343130033749</v>
      </c>
      <c r="BZ52" s="962">
        <f t="shared" si="14"/>
        <v>-1146876.0778825649</v>
      </c>
    </row>
    <row r="53" spans="1:78">
      <c r="A53" s="925" t="str">
        <f>IF(Values_Entered,A52+1,"")</f>
        <v/>
      </c>
      <c r="B53" s="953">
        <f t="shared" si="15"/>
        <v>45858</v>
      </c>
      <c r="C53" s="963" t="str">
        <f t="shared" si="8"/>
        <v/>
      </c>
      <c r="D53" s="963" t="str">
        <f t="shared" si="9"/>
        <v/>
      </c>
      <c r="E53" s="964"/>
      <c r="F53" s="965" t="e">
        <f t="shared" si="3"/>
        <v>#VALUE!</v>
      </c>
      <c r="G53" s="963" t="str">
        <f t="shared" si="4"/>
        <v/>
      </c>
      <c r="H53" s="963" t="str">
        <f t="shared" si="5"/>
        <v/>
      </c>
      <c r="I53" s="963" t="e">
        <f t="shared" si="6"/>
        <v>#VALUE!</v>
      </c>
      <c r="J53" s="958" t="str">
        <f>'[4]B11-L8'!J60</f>
        <v>PAID</v>
      </c>
      <c r="K53" s="950"/>
      <c r="BW53" s="961">
        <v>34058</v>
      </c>
      <c r="BX53" s="962">
        <f t="shared" si="12"/>
        <v>49349.681038434195</v>
      </c>
      <c r="BY53" s="961">
        <f t="shared" si="13"/>
        <v>-15291.681038434197</v>
      </c>
      <c r="BZ53" s="962">
        <f t="shared" si="14"/>
        <v>-1196225.758920999</v>
      </c>
    </row>
    <row r="54" spans="1:78">
      <c r="A54" s="925" t="str">
        <f>IF(Values_Entered,A53+1,"")</f>
        <v/>
      </c>
      <c r="B54" s="953">
        <f>B53+31</f>
        <v>45889</v>
      </c>
      <c r="C54" s="963" t="str">
        <f t="shared" si="8"/>
        <v/>
      </c>
      <c r="D54" s="963" t="str">
        <f t="shared" si="9"/>
        <v/>
      </c>
      <c r="E54" s="964"/>
      <c r="F54" s="965" t="e">
        <f t="shared" si="3"/>
        <v>#VALUE!</v>
      </c>
      <c r="G54" s="963" t="str">
        <f t="shared" si="4"/>
        <v/>
      </c>
      <c r="H54" s="963" t="str">
        <f t="shared" si="5"/>
        <v/>
      </c>
      <c r="I54" s="963" t="e">
        <f t="shared" si="6"/>
        <v>#VALUE!</v>
      </c>
      <c r="J54" s="958" t="str">
        <f>'[4]B11-L8'!J61</f>
        <v>PAID</v>
      </c>
      <c r="K54" s="950"/>
      <c r="BW54" s="961">
        <v>34058</v>
      </c>
      <c r="BX54" s="962">
        <f t="shared" si="12"/>
        <v>50007.676785613323</v>
      </c>
      <c r="BY54" s="961">
        <f t="shared" si="13"/>
        <v>-15949.676785613321</v>
      </c>
      <c r="BZ54" s="962">
        <f t="shared" si="14"/>
        <v>-1246233.4357066124</v>
      </c>
    </row>
    <row r="55" spans="1:78">
      <c r="A55" s="925" t="str">
        <f>IF(Values_Entered,A54+1,"")</f>
        <v/>
      </c>
      <c r="B55" s="953">
        <f>B54+31</f>
        <v>45920</v>
      </c>
      <c r="C55" s="963" t="str">
        <f t="shared" si="8"/>
        <v/>
      </c>
      <c r="D55" s="963" t="str">
        <f t="shared" si="9"/>
        <v/>
      </c>
      <c r="E55" s="964"/>
      <c r="F55" s="965" t="e">
        <f t="shared" si="3"/>
        <v>#VALUE!</v>
      </c>
      <c r="G55" s="963" t="str">
        <f t="shared" si="4"/>
        <v/>
      </c>
      <c r="H55" s="963" t="str">
        <f t="shared" si="5"/>
        <v/>
      </c>
      <c r="I55" s="963" t="e">
        <f t="shared" si="6"/>
        <v>#VALUE!</v>
      </c>
      <c r="J55" s="958" t="str">
        <f>'[4]B11-L8'!J62</f>
        <v>PAID</v>
      </c>
      <c r="K55" s="950"/>
      <c r="BW55" s="961">
        <v>34058</v>
      </c>
      <c r="BX55" s="962">
        <f t="shared" si="12"/>
        <v>50674.445809421493</v>
      </c>
      <c r="BY55" s="961">
        <f t="shared" si="13"/>
        <v>-16616.445809421497</v>
      </c>
      <c r="BZ55" s="962">
        <f t="shared" si="14"/>
        <v>-1296907.881516034</v>
      </c>
    </row>
    <row r="56" spans="1:78">
      <c r="A56" s="925" t="str">
        <f>IF(Values_Entered,A55+1,"")</f>
        <v/>
      </c>
      <c r="B56" s="953">
        <f t="shared" si="15"/>
        <v>45950</v>
      </c>
      <c r="C56" s="963" t="str">
        <f t="shared" si="8"/>
        <v/>
      </c>
      <c r="D56" s="963" t="str">
        <f t="shared" si="9"/>
        <v/>
      </c>
      <c r="E56" s="964"/>
      <c r="F56" s="965" t="e">
        <f t="shared" si="3"/>
        <v>#VALUE!</v>
      </c>
      <c r="G56" s="963" t="str">
        <f t="shared" si="4"/>
        <v/>
      </c>
      <c r="H56" s="963" t="str">
        <f t="shared" si="5"/>
        <v/>
      </c>
      <c r="I56" s="963" t="e">
        <f t="shared" si="6"/>
        <v>#VALUE!</v>
      </c>
      <c r="J56" s="958" t="str">
        <f>'[4]B11-L8'!J63</f>
        <v>PAID</v>
      </c>
      <c r="K56" s="950"/>
      <c r="BW56" s="961">
        <v>34058</v>
      </c>
      <c r="BX56" s="962">
        <f t="shared" si="12"/>
        <v>51350.10508688046</v>
      </c>
      <c r="BY56" s="961">
        <f t="shared" si="13"/>
        <v>-17292.105086880456</v>
      </c>
      <c r="BZ56" s="962">
        <f t="shared" si="14"/>
        <v>-1348257.9866029145</v>
      </c>
    </row>
    <row r="57" spans="1:78">
      <c r="A57" s="925" t="str">
        <f>IF(Values_Entered,A56+1,"")</f>
        <v/>
      </c>
      <c r="B57" s="953">
        <f>B56+31</f>
        <v>45981</v>
      </c>
      <c r="C57" s="963" t="str">
        <f t="shared" si="8"/>
        <v/>
      </c>
      <c r="D57" s="963" t="str">
        <f t="shared" si="9"/>
        <v/>
      </c>
      <c r="E57" s="964"/>
      <c r="F57" s="965" t="e">
        <f t="shared" si="3"/>
        <v>#VALUE!</v>
      </c>
      <c r="G57" s="963" t="str">
        <f t="shared" si="4"/>
        <v/>
      </c>
      <c r="H57" s="963" t="str">
        <f t="shared" si="5"/>
        <v/>
      </c>
      <c r="I57" s="963" t="e">
        <f t="shared" si="6"/>
        <v>#VALUE!</v>
      </c>
      <c r="J57" s="958" t="str">
        <f>'[4]B11-L8'!J64</f>
        <v>PAID</v>
      </c>
      <c r="K57" s="950"/>
      <c r="BW57" s="961">
        <v>34058</v>
      </c>
      <c r="BX57" s="962">
        <f t="shared" si="12"/>
        <v>52034.77315470553</v>
      </c>
      <c r="BY57" s="961">
        <f t="shared" si="13"/>
        <v>-17976.773154705526</v>
      </c>
      <c r="BZ57" s="962">
        <f t="shared" si="14"/>
        <v>-1400292.75975762</v>
      </c>
    </row>
    <row r="58" spans="1:78">
      <c r="A58" s="925" t="str">
        <f>IF(Values_Entered,A57+1,"")</f>
        <v/>
      </c>
      <c r="B58" s="953">
        <f t="shared" si="15"/>
        <v>46011</v>
      </c>
      <c r="C58" s="963" t="str">
        <f t="shared" si="8"/>
        <v/>
      </c>
      <c r="D58" s="963" t="str">
        <f t="shared" si="9"/>
        <v/>
      </c>
      <c r="E58" s="964"/>
      <c r="F58" s="965" t="e">
        <f t="shared" si="3"/>
        <v>#VALUE!</v>
      </c>
      <c r="G58" s="963" t="str">
        <f t="shared" si="4"/>
        <v/>
      </c>
      <c r="H58" s="963" t="str">
        <f t="shared" si="5"/>
        <v/>
      </c>
      <c r="I58" s="963" t="e">
        <f t="shared" si="6"/>
        <v>#VALUE!</v>
      </c>
      <c r="J58" s="958" t="str">
        <f>'[4]B11-L8'!J65</f>
        <v>PAID</v>
      </c>
      <c r="K58" s="950"/>
      <c r="BW58" s="961">
        <v>34058</v>
      </c>
      <c r="BX58" s="962">
        <f t="shared" si="12"/>
        <v>52728.570130101602</v>
      </c>
      <c r="BY58" s="961">
        <f t="shared" si="13"/>
        <v>-18670.570130101602</v>
      </c>
      <c r="BZ58" s="962">
        <f t="shared" si="14"/>
        <v>-1453021.3298877217</v>
      </c>
    </row>
    <row r="59" spans="1:78">
      <c r="A59" s="925" t="str">
        <f>IF(Values_Entered,A58+1,"")</f>
        <v/>
      </c>
      <c r="B59" s="953">
        <f>B58+31</f>
        <v>46042</v>
      </c>
      <c r="C59" s="963" t="str">
        <f t="shared" si="8"/>
        <v/>
      </c>
      <c r="D59" s="963" t="str">
        <f t="shared" si="9"/>
        <v/>
      </c>
      <c r="E59" s="964"/>
      <c r="F59" s="965" t="e">
        <f t="shared" si="3"/>
        <v>#VALUE!</v>
      </c>
      <c r="G59" s="963" t="str">
        <f t="shared" si="4"/>
        <v/>
      </c>
      <c r="H59" s="963" t="str">
        <f t="shared" si="5"/>
        <v/>
      </c>
      <c r="I59" s="963" t="e">
        <f t="shared" si="6"/>
        <v>#VALUE!</v>
      </c>
      <c r="J59" s="958" t="str">
        <f>'[4]B11-L8'!J66</f>
        <v>PAID</v>
      </c>
      <c r="K59" s="950"/>
      <c r="BW59" s="961">
        <v>34058</v>
      </c>
      <c r="BX59" s="962">
        <f t="shared" si="12"/>
        <v>53431.61773183629</v>
      </c>
      <c r="BY59" s="961">
        <f t="shared" si="13"/>
        <v>-19373.61773183629</v>
      </c>
      <c r="BZ59" s="962">
        <f t="shared" si="14"/>
        <v>-1506452.9476195581</v>
      </c>
    </row>
    <row r="60" spans="1:78">
      <c r="A60" s="925" t="str">
        <f>IF(Values_Entered,A59+1,"")</f>
        <v/>
      </c>
      <c r="B60" s="953">
        <f>B59+31</f>
        <v>46073</v>
      </c>
      <c r="C60" s="963" t="str">
        <f t="shared" si="8"/>
        <v/>
      </c>
      <c r="D60" s="963" t="str">
        <f t="shared" si="9"/>
        <v/>
      </c>
      <c r="E60" s="964"/>
      <c r="F60" s="965" t="e">
        <f t="shared" si="3"/>
        <v>#VALUE!</v>
      </c>
      <c r="G60" s="963" t="str">
        <f t="shared" si="4"/>
        <v/>
      </c>
      <c r="H60" s="963" t="str">
        <f t="shared" si="5"/>
        <v/>
      </c>
      <c r="I60" s="963" t="e">
        <f t="shared" si="6"/>
        <v>#VALUE!</v>
      </c>
      <c r="J60" s="958" t="str">
        <f>'[4]B11-L8'!J67</f>
        <v>PAID</v>
      </c>
      <c r="K60" s="950"/>
      <c r="BW60" s="961">
        <v>34058</v>
      </c>
      <c r="BX60" s="962">
        <f t="shared" si="12"/>
        <v>54144.039301594108</v>
      </c>
      <c r="BY60" s="961">
        <f t="shared" si="13"/>
        <v>-20086.039301594108</v>
      </c>
      <c r="BZ60" s="962">
        <f t="shared" si="14"/>
        <v>-1560596.9869211521</v>
      </c>
    </row>
    <row r="61" spans="1:78">
      <c r="A61" s="925" t="str">
        <f>IF(Values_Entered,A60+1,"")</f>
        <v/>
      </c>
      <c r="B61" s="953">
        <f>B60+28</f>
        <v>46101</v>
      </c>
      <c r="C61" s="963" t="str">
        <f>IF(Pay_Num&lt;&gt;"",I60,"")</f>
        <v/>
      </c>
      <c r="D61" s="963" t="str">
        <f t="shared" si="9"/>
        <v/>
      </c>
      <c r="E61" s="964"/>
      <c r="F61" s="965" t="e">
        <f t="shared" si="3"/>
        <v>#VALUE!</v>
      </c>
      <c r="G61" s="963" t="str">
        <f t="shared" si="4"/>
        <v/>
      </c>
      <c r="H61" s="963" t="str">
        <f t="shared" si="5"/>
        <v/>
      </c>
      <c r="I61" s="963" t="e">
        <f t="shared" si="6"/>
        <v>#VALUE!</v>
      </c>
      <c r="J61" s="958" t="str">
        <f>'[4]B11-L8'!J68</f>
        <v>PAID</v>
      </c>
      <c r="K61" s="950"/>
      <c r="BW61" s="961">
        <v>34058</v>
      </c>
      <c r="BX61" s="962">
        <f t="shared" si="12"/>
        <v>54865.959825615362</v>
      </c>
      <c r="BY61" s="961">
        <f t="shared" si="13"/>
        <v>-20807.959825615362</v>
      </c>
      <c r="BZ61" s="962">
        <f t="shared" si="14"/>
        <v>-1615462.9467467675</v>
      </c>
    </row>
    <row r="62" spans="1:78">
      <c r="A62" s="925" t="str">
        <f>IF(Values_Entered,A61+1,"")</f>
        <v/>
      </c>
      <c r="B62" s="953">
        <f>B61+31</f>
        <v>46132</v>
      </c>
      <c r="C62" s="963" t="str">
        <f t="shared" si="8"/>
        <v/>
      </c>
      <c r="D62" s="963" t="str">
        <f t="shared" si="9"/>
        <v/>
      </c>
      <c r="E62" s="964"/>
      <c r="F62" s="965" t="e">
        <f t="shared" si="3"/>
        <v>#VALUE!</v>
      </c>
      <c r="G62" s="963" t="str">
        <f t="shared" si="4"/>
        <v/>
      </c>
      <c r="H62" s="963" t="str">
        <f t="shared" si="5"/>
        <v/>
      </c>
      <c r="I62" s="963" t="e">
        <f t="shared" si="6"/>
        <v>#VALUE!</v>
      </c>
      <c r="J62" s="958" t="str">
        <f>'[4]B11-L8'!J69</f>
        <v>BOUNCED CHECK 2.28.2024</v>
      </c>
      <c r="K62" s="950"/>
      <c r="BW62" s="961">
        <v>34058</v>
      </c>
      <c r="BX62" s="962">
        <f t="shared" si="12"/>
        <v>55597.505956623572</v>
      </c>
      <c r="BY62" s="961">
        <f t="shared" si="13"/>
        <v>-21539.505956623569</v>
      </c>
      <c r="BZ62" s="962">
        <f t="shared" si="14"/>
        <v>-1671060.452703391</v>
      </c>
    </row>
    <row r="63" spans="1:78">
      <c r="A63" s="925" t="str">
        <f>IF(Values_Entered,A62+1,"")</f>
        <v/>
      </c>
      <c r="B63" s="953">
        <f t="shared" si="15"/>
        <v>46162</v>
      </c>
      <c r="C63" s="963" t="str">
        <f t="shared" si="8"/>
        <v/>
      </c>
      <c r="D63" s="963" t="str">
        <f t="shared" si="9"/>
        <v/>
      </c>
      <c r="E63" s="964"/>
      <c r="F63" s="965" t="e">
        <f t="shared" si="3"/>
        <v>#VALUE!</v>
      </c>
      <c r="G63" s="963" t="str">
        <f t="shared" si="4"/>
        <v/>
      </c>
      <c r="H63" s="963" t="str">
        <f t="shared" si="5"/>
        <v/>
      </c>
      <c r="I63" s="963" t="e">
        <f t="shared" si="6"/>
        <v>#VALUE!</v>
      </c>
      <c r="J63" s="958">
        <f>'[4]B11-L8'!J70</f>
        <v>0</v>
      </c>
      <c r="K63" s="950"/>
      <c r="BW63" s="961">
        <v>34058</v>
      </c>
      <c r="BX63" s="962">
        <f t="shared" si="12"/>
        <v>56338.806036045207</v>
      </c>
      <c r="BY63" s="961">
        <f t="shared" si="13"/>
        <v>-22280.806036045211</v>
      </c>
      <c r="BZ63" s="962">
        <f t="shared" si="14"/>
        <v>-1727399.2587394363</v>
      </c>
    </row>
    <row r="64" spans="1:78">
      <c r="A64" s="925" t="str">
        <f>IF(Values_Entered,A63+1,"")</f>
        <v/>
      </c>
      <c r="B64" s="953">
        <f>B63+31</f>
        <v>46193</v>
      </c>
      <c r="C64" s="963" t="str">
        <f t="shared" si="8"/>
        <v/>
      </c>
      <c r="D64" s="963" t="str">
        <f t="shared" si="9"/>
        <v/>
      </c>
      <c r="E64" s="964"/>
      <c r="F64" s="965" t="e">
        <f t="shared" si="3"/>
        <v>#VALUE!</v>
      </c>
      <c r="G64" s="963" t="str">
        <f t="shared" si="4"/>
        <v/>
      </c>
      <c r="H64" s="963" t="str">
        <f t="shared" si="5"/>
        <v/>
      </c>
      <c r="I64" s="963" t="e">
        <f t="shared" si="6"/>
        <v>#VALUE!</v>
      </c>
      <c r="J64" s="958" t="str">
        <f>'[4]B11-L8'!J71</f>
        <v>PAID</v>
      </c>
      <c r="K64" s="950"/>
      <c r="BW64" s="961">
        <v>34058</v>
      </c>
      <c r="BX64" s="962">
        <f t="shared" si="12"/>
        <v>57089.99011652582</v>
      </c>
      <c r="BY64" s="961">
        <f t="shared" si="13"/>
        <v>-23031.99011652582</v>
      </c>
      <c r="BZ64" s="962">
        <f t="shared" si="14"/>
        <v>-1784489.2488559622</v>
      </c>
    </row>
    <row r="65" spans="1:78">
      <c r="A65" s="925" t="str">
        <f>IF(Values_Entered,A64+1,"")</f>
        <v/>
      </c>
      <c r="B65" s="953">
        <f t="shared" si="15"/>
        <v>46223</v>
      </c>
      <c r="C65" s="963" t="str">
        <f t="shared" si="8"/>
        <v/>
      </c>
      <c r="D65" s="963" t="str">
        <f t="shared" si="9"/>
        <v/>
      </c>
      <c r="E65" s="964"/>
      <c r="F65" s="965" t="e">
        <f t="shared" si="3"/>
        <v>#VALUE!</v>
      </c>
      <c r="G65" s="963" t="str">
        <f t="shared" si="4"/>
        <v/>
      </c>
      <c r="H65" s="963" t="str">
        <f t="shared" si="5"/>
        <v/>
      </c>
      <c r="I65" s="963" t="e">
        <f t="shared" si="6"/>
        <v>#VALUE!</v>
      </c>
      <c r="J65" s="958" t="str">
        <f>'[4]B11-L8'!J72</f>
        <v>PAID</v>
      </c>
      <c r="K65" s="950"/>
      <c r="BW65" s="961">
        <v>34058</v>
      </c>
      <c r="BX65" s="962">
        <f t="shared" si="12"/>
        <v>57851.189984746161</v>
      </c>
      <c r="BY65" s="961">
        <f t="shared" si="13"/>
        <v>-23793.189984746161</v>
      </c>
      <c r="BZ65" s="962">
        <f t="shared" si="14"/>
        <v>-1842340.4388407082</v>
      </c>
    </row>
    <row r="66" spans="1:78">
      <c r="A66" s="925" t="str">
        <f>IF(Values_Entered,A65+1,"")</f>
        <v/>
      </c>
      <c r="B66" s="953">
        <f>B65+31</f>
        <v>46254</v>
      </c>
      <c r="C66" s="963" t="str">
        <f t="shared" si="8"/>
        <v/>
      </c>
      <c r="D66" s="963" t="str">
        <f t="shared" si="9"/>
        <v/>
      </c>
      <c r="E66" s="964"/>
      <c r="F66" s="965" t="e">
        <f t="shared" si="3"/>
        <v>#VALUE!</v>
      </c>
      <c r="G66" s="963" t="str">
        <f t="shared" si="4"/>
        <v/>
      </c>
      <c r="H66" s="963" t="str">
        <f t="shared" si="5"/>
        <v/>
      </c>
      <c r="I66" s="963" t="e">
        <f t="shared" si="6"/>
        <v>#VALUE!</v>
      </c>
      <c r="J66" s="958" t="str">
        <f>'[4]B11-L8'!J73</f>
        <v>PAID</v>
      </c>
      <c r="K66" s="950"/>
      <c r="BW66" s="961">
        <v>34058</v>
      </c>
      <c r="BX66" s="962">
        <f t="shared" si="12"/>
        <v>58622.53918454278</v>
      </c>
      <c r="BY66" s="961">
        <f t="shared" si="13"/>
        <v>-24564.539184542777</v>
      </c>
      <c r="BZ66" s="962">
        <f t="shared" si="14"/>
        <v>-1900962.9780252511</v>
      </c>
    </row>
    <row r="67" spans="1:78">
      <c r="A67" s="925" t="str">
        <f>IF(Values_Entered,A66+1,"")</f>
        <v/>
      </c>
      <c r="B67" s="953">
        <f>B66+31</f>
        <v>46285</v>
      </c>
      <c r="C67" s="963" t="str">
        <f t="shared" si="8"/>
        <v/>
      </c>
      <c r="D67" s="963" t="str">
        <f t="shared" si="9"/>
        <v/>
      </c>
      <c r="E67" s="964"/>
      <c r="F67" s="965" t="e">
        <f t="shared" si="3"/>
        <v>#VALUE!</v>
      </c>
      <c r="G67" s="963" t="str">
        <f t="shared" si="4"/>
        <v/>
      </c>
      <c r="H67" s="963" t="str">
        <f t="shared" si="5"/>
        <v/>
      </c>
      <c r="I67" s="963" t="e">
        <f t="shared" si="6"/>
        <v>#VALUE!</v>
      </c>
      <c r="J67" s="958" t="str">
        <f>'[4]B11-L8'!J74</f>
        <v>PAID</v>
      </c>
      <c r="K67" s="950"/>
      <c r="BW67" s="961">
        <v>34058</v>
      </c>
      <c r="BX67" s="962">
        <f t="shared" si="12"/>
        <v>59404.173040336682</v>
      </c>
      <c r="BY67" s="961">
        <f t="shared" si="13"/>
        <v>-25346.173040336682</v>
      </c>
      <c r="BZ67" s="962">
        <f t="shared" si="14"/>
        <v>-1960367.1510655878</v>
      </c>
    </row>
    <row r="68" spans="1:78">
      <c r="A68" s="925" t="str">
        <f>IF(Values_Entered,A67+1,"")</f>
        <v/>
      </c>
      <c r="B68" s="953">
        <f t="shared" si="15"/>
        <v>46315</v>
      </c>
      <c r="C68" s="963" t="str">
        <f t="shared" si="8"/>
        <v/>
      </c>
      <c r="D68" s="963" t="str">
        <f t="shared" si="9"/>
        <v/>
      </c>
      <c r="E68" s="964"/>
      <c r="F68" s="965" t="e">
        <f t="shared" si="3"/>
        <v>#VALUE!</v>
      </c>
      <c r="G68" s="963" t="str">
        <f t="shared" si="4"/>
        <v/>
      </c>
      <c r="H68" s="963" t="str">
        <f t="shared" si="5"/>
        <v/>
      </c>
      <c r="I68" s="963" t="e">
        <f t="shared" si="6"/>
        <v>#VALUE!</v>
      </c>
      <c r="J68" s="958" t="str">
        <f>'[4]B11-L8'!J75</f>
        <v>PAID</v>
      </c>
      <c r="K68" s="950"/>
      <c r="BW68" s="961">
        <v>34058</v>
      </c>
      <c r="BX68" s="962">
        <f t="shared" si="12"/>
        <v>60196.228680874498</v>
      </c>
      <c r="BY68" s="961">
        <f t="shared" si="13"/>
        <v>-26138.228680874501</v>
      </c>
      <c r="BZ68" s="962">
        <f t="shared" si="14"/>
        <v>-2020563.3797464622</v>
      </c>
    </row>
    <row r="69" spans="1:78">
      <c r="A69" s="925" t="str">
        <f>IF(Values_Entered,A68+1,"")</f>
        <v/>
      </c>
      <c r="B69" s="953">
        <f>B68+31</f>
        <v>46346</v>
      </c>
      <c r="C69" s="963" t="str">
        <f t="shared" si="8"/>
        <v/>
      </c>
      <c r="D69" s="963" t="str">
        <f t="shared" si="9"/>
        <v/>
      </c>
      <c r="E69" s="964"/>
      <c r="F69" s="965" t="e">
        <f t="shared" si="3"/>
        <v>#VALUE!</v>
      </c>
      <c r="G69" s="963" t="str">
        <f t="shared" si="4"/>
        <v/>
      </c>
      <c r="H69" s="963" t="str">
        <f t="shared" si="5"/>
        <v/>
      </c>
      <c r="I69" s="963" t="e">
        <f t="shared" si="6"/>
        <v>#VALUE!</v>
      </c>
      <c r="J69" s="958" t="str">
        <f>'[4]B11-L8'!J76</f>
        <v>PAID</v>
      </c>
      <c r="K69" s="950"/>
      <c r="BW69" s="961">
        <v>34058</v>
      </c>
      <c r="BX69" s="962">
        <f t="shared" si="12"/>
        <v>60998.845063286164</v>
      </c>
      <c r="BY69" s="961">
        <f t="shared" si="13"/>
        <v>-26940.845063286164</v>
      </c>
      <c r="BZ69" s="962">
        <f t="shared" si="14"/>
        <v>-2081562.2248097484</v>
      </c>
    </row>
    <row r="70" spans="1:78">
      <c r="A70" s="925" t="str">
        <f>IF(Values_Entered,A69+1,"")</f>
        <v/>
      </c>
      <c r="B70" s="953">
        <f t="shared" si="15"/>
        <v>46376</v>
      </c>
      <c r="C70" s="963" t="str">
        <f t="shared" si="8"/>
        <v/>
      </c>
      <c r="D70" s="963" t="str">
        <f t="shared" si="9"/>
        <v/>
      </c>
      <c r="E70" s="964"/>
      <c r="F70" s="965" t="e">
        <f t="shared" si="3"/>
        <v>#VALUE!</v>
      </c>
      <c r="G70" s="963" t="str">
        <f t="shared" si="4"/>
        <v/>
      </c>
      <c r="H70" s="963" t="str">
        <f t="shared" si="5"/>
        <v/>
      </c>
      <c r="I70" s="963" t="e">
        <f t="shared" si="6"/>
        <v>#VALUE!</v>
      </c>
      <c r="J70" s="958" t="str">
        <f>'[4]B11-L8'!J77</f>
        <v>PAID</v>
      </c>
      <c r="K70" s="950"/>
      <c r="BW70" s="961">
        <v>34058</v>
      </c>
      <c r="BX70" s="962">
        <f t="shared" si="12"/>
        <v>61812.162997463311</v>
      </c>
      <c r="BY70" s="961">
        <f t="shared" si="13"/>
        <v>-27754.162997463311</v>
      </c>
      <c r="BZ70" s="962">
        <f t="shared" si="14"/>
        <v>-2143374.3878072118</v>
      </c>
    </row>
    <row r="71" spans="1:78">
      <c r="A71" s="925" t="str">
        <f>IF(Values_Entered,A70+1,"")</f>
        <v/>
      </c>
      <c r="B71" s="953">
        <f>B70+31</f>
        <v>46407</v>
      </c>
      <c r="C71" s="963" t="str">
        <f t="shared" si="8"/>
        <v/>
      </c>
      <c r="D71" s="963" t="str">
        <f t="shared" si="9"/>
        <v/>
      </c>
      <c r="E71" s="964"/>
      <c r="F71" s="965" t="e">
        <f t="shared" si="3"/>
        <v>#VALUE!</v>
      </c>
      <c r="G71" s="963" t="str">
        <f t="shared" si="4"/>
        <v/>
      </c>
      <c r="H71" s="963" t="str">
        <f t="shared" si="5"/>
        <v/>
      </c>
      <c r="I71" s="963" t="e">
        <f t="shared" si="6"/>
        <v>#VALUE!</v>
      </c>
      <c r="J71" s="958" t="str">
        <f>'[4]B11-L8'!J78</f>
        <v>PAID</v>
      </c>
      <c r="K71" s="950"/>
      <c r="BW71" s="961">
        <v>34058</v>
      </c>
      <c r="BX71" s="962">
        <f t="shared" si="12"/>
        <v>62636.325170762822</v>
      </c>
      <c r="BY71" s="961">
        <f t="shared" si="13"/>
        <v>-28578.325170762826</v>
      </c>
      <c r="BZ71" s="962">
        <f t="shared" si="14"/>
        <v>-2206010.7129779747</v>
      </c>
    </row>
    <row r="72" spans="1:78">
      <c r="A72" s="925" t="str">
        <f>IF(Values_Entered,A71+1,"")</f>
        <v/>
      </c>
      <c r="B72" s="953">
        <f>B71+31</f>
        <v>46438</v>
      </c>
      <c r="C72" s="963" t="str">
        <f t="shared" si="8"/>
        <v/>
      </c>
      <c r="D72" s="963" t="str">
        <f t="shared" si="9"/>
        <v/>
      </c>
      <c r="E72" s="964"/>
      <c r="F72" s="965" t="e">
        <f t="shared" si="3"/>
        <v>#VALUE!</v>
      </c>
      <c r="G72" s="963" t="str">
        <f t="shared" si="4"/>
        <v/>
      </c>
      <c r="H72" s="963" t="str">
        <f t="shared" si="5"/>
        <v/>
      </c>
      <c r="I72" s="963" t="e">
        <f t="shared" si="6"/>
        <v>#VALUE!</v>
      </c>
      <c r="J72" s="958" t="str">
        <f>'[4]B11-L8'!J79</f>
        <v>PAID</v>
      </c>
      <c r="K72" s="950"/>
      <c r="BW72" s="961">
        <v>34058</v>
      </c>
      <c r="BX72" s="962">
        <f t="shared" si="12"/>
        <v>63471.476173039657</v>
      </c>
      <c r="BY72" s="961">
        <f t="shared" si="13"/>
        <v>-29413.47617303966</v>
      </c>
      <c r="BZ72" s="962">
        <f t="shared" si="14"/>
        <v>-2269482.1891510142</v>
      </c>
    </row>
    <row r="73" spans="1:78">
      <c r="A73" s="925" t="str">
        <f>IF(Values_Entered,A72+1,"")</f>
        <v/>
      </c>
      <c r="B73" s="953">
        <f>B72+28</f>
        <v>46466</v>
      </c>
      <c r="C73" s="963" t="str">
        <f t="shared" si="8"/>
        <v/>
      </c>
      <c r="D73" s="963" t="str">
        <f t="shared" si="9"/>
        <v/>
      </c>
      <c r="E73" s="964"/>
      <c r="F73" s="965" t="e">
        <f t="shared" si="3"/>
        <v>#VALUE!</v>
      </c>
      <c r="G73" s="963" t="str">
        <f t="shared" si="4"/>
        <v/>
      </c>
      <c r="H73" s="963" t="str">
        <f t="shared" si="5"/>
        <v/>
      </c>
      <c r="I73" s="963" t="e">
        <f t="shared" si="6"/>
        <v>#VALUE!</v>
      </c>
      <c r="J73" s="958" t="str">
        <f>'[4]B11-L8'!J80</f>
        <v>PAID</v>
      </c>
      <c r="K73" s="950"/>
      <c r="BW73" s="961">
        <v>34058</v>
      </c>
      <c r="BX73" s="962">
        <f t="shared" si="12"/>
        <v>64317.762522013523</v>
      </c>
      <c r="BY73" s="961">
        <f t="shared" si="13"/>
        <v>-30259.762522013523</v>
      </c>
      <c r="BZ73" s="962">
        <f t="shared" si="14"/>
        <v>-2333799.9516730276</v>
      </c>
    </row>
    <row r="74" spans="1:78">
      <c r="A74" s="925" t="str">
        <f>IF(Values_Entered,A73+1,"")</f>
        <v/>
      </c>
      <c r="B74" s="953">
        <f>B73+31</f>
        <v>46497</v>
      </c>
      <c r="C74" s="963" t="str">
        <f t="shared" si="8"/>
        <v/>
      </c>
      <c r="D74" s="963" t="str">
        <f t="shared" si="9"/>
        <v/>
      </c>
      <c r="E74" s="964"/>
      <c r="F74" s="965" t="e">
        <f t="shared" si="3"/>
        <v>#VALUE!</v>
      </c>
      <c r="G74" s="963" t="str">
        <f t="shared" si="4"/>
        <v/>
      </c>
      <c r="H74" s="963" t="str">
        <f t="shared" si="5"/>
        <v/>
      </c>
      <c r="I74" s="963" t="e">
        <f t="shared" si="6"/>
        <v>#VALUE!</v>
      </c>
      <c r="J74" s="958" t="str">
        <f>'[4]B11-L8'!J81</f>
        <v>PAID</v>
      </c>
      <c r="K74" s="950"/>
      <c r="BW74" s="961">
        <v>34058</v>
      </c>
      <c r="BX74" s="962">
        <f t="shared" si="12"/>
        <v>65175.332688973707</v>
      </c>
      <c r="BY74" s="961">
        <f t="shared" si="13"/>
        <v>-31117.332688973704</v>
      </c>
      <c r="BZ74" s="962">
        <f t="shared" si="14"/>
        <v>-2398975.2843620013</v>
      </c>
    </row>
    <row r="75" spans="1:78">
      <c r="A75" s="925" t="str">
        <f>IF(Values_Entered,A74+1,"")</f>
        <v/>
      </c>
      <c r="B75" s="953">
        <f t="shared" si="15"/>
        <v>46527</v>
      </c>
      <c r="C75" s="963" t="str">
        <f t="shared" si="8"/>
        <v/>
      </c>
      <c r="D75" s="963" t="str">
        <f t="shared" si="9"/>
        <v/>
      </c>
      <c r="E75" s="964"/>
      <c r="F75" s="965" t="e">
        <f t="shared" si="3"/>
        <v>#VALUE!</v>
      </c>
      <c r="G75" s="963" t="str">
        <f t="shared" si="4"/>
        <v/>
      </c>
      <c r="H75" s="963" t="str">
        <f t="shared" si="5"/>
        <v/>
      </c>
      <c r="I75" s="963" t="e">
        <f t="shared" si="6"/>
        <v>#VALUE!</v>
      </c>
      <c r="J75" s="958" t="str">
        <f>'[4]B11-L8'!J82</f>
        <v>PAID</v>
      </c>
      <c r="K75" s="950"/>
      <c r="BW75" s="961">
        <v>34058</v>
      </c>
      <c r="BX75" s="962">
        <f t="shared" si="12"/>
        <v>66044.337124826692</v>
      </c>
      <c r="BY75" s="961">
        <f t="shared" si="13"/>
        <v>-31986.337124826689</v>
      </c>
      <c r="BZ75" s="962">
        <f t="shared" si="14"/>
        <v>-2465019.6214868282</v>
      </c>
    </row>
    <row r="76" spans="1:78">
      <c r="A76" s="925" t="str">
        <f>IF(Values_Entered,A75+1,"")</f>
        <v/>
      </c>
      <c r="B76" s="953">
        <f>B75+31</f>
        <v>46558</v>
      </c>
      <c r="C76" s="963" t="str">
        <f t="shared" si="8"/>
        <v/>
      </c>
      <c r="D76" s="963" t="str">
        <f t="shared" si="9"/>
        <v/>
      </c>
      <c r="E76" s="964"/>
      <c r="F76" s="965" t="e">
        <f t="shared" si="3"/>
        <v>#VALUE!</v>
      </c>
      <c r="G76" s="963" t="str">
        <f t="shared" si="4"/>
        <v/>
      </c>
      <c r="H76" s="963" t="str">
        <f t="shared" si="5"/>
        <v/>
      </c>
      <c r="I76" s="963" t="e">
        <f t="shared" si="6"/>
        <v>#VALUE!</v>
      </c>
      <c r="J76" s="958" t="str">
        <f>'[4]B11-L8'!J83</f>
        <v>PAID</v>
      </c>
      <c r="K76" s="950"/>
      <c r="BW76" s="961">
        <v>34058</v>
      </c>
      <c r="BX76" s="962">
        <f t="shared" si="12"/>
        <v>66924.928286491049</v>
      </c>
      <c r="BY76" s="961">
        <f t="shared" si="13"/>
        <v>-32866.928286491042</v>
      </c>
      <c r="BZ76" s="962">
        <f t="shared" si="14"/>
        <v>-2531944.5497733192</v>
      </c>
    </row>
    <row r="77" spans="1:78">
      <c r="A77" s="925" t="str">
        <f>IF(Values_Entered,A76+1,"")</f>
        <v/>
      </c>
      <c r="B77" s="953">
        <f t="shared" si="15"/>
        <v>46588</v>
      </c>
      <c r="C77" s="963" t="str">
        <f t="shared" si="8"/>
        <v/>
      </c>
      <c r="D77" s="963" t="str">
        <f t="shared" si="9"/>
        <v/>
      </c>
      <c r="E77" s="964"/>
      <c r="F77" s="965" t="e">
        <f t="shared" si="3"/>
        <v>#VALUE!</v>
      </c>
      <c r="G77" s="963" t="str">
        <f t="shared" si="4"/>
        <v/>
      </c>
      <c r="H77" s="963" t="str">
        <f t="shared" si="5"/>
        <v/>
      </c>
      <c r="I77" s="963" t="e">
        <f t="shared" si="6"/>
        <v>#VALUE!</v>
      </c>
      <c r="J77" s="958" t="str">
        <f>'[4]B11-L8'!J84</f>
        <v>PAID</v>
      </c>
      <c r="K77" s="950"/>
      <c r="BW77" s="961">
        <v>34058</v>
      </c>
      <c r="BX77" s="962">
        <f t="shared" si="12"/>
        <v>67817.260663644265</v>
      </c>
      <c r="BY77" s="961">
        <f t="shared" si="13"/>
        <v>-33759.260663644258</v>
      </c>
      <c r="BZ77" s="962">
        <f t="shared" si="14"/>
        <v>-2599761.8104369636</v>
      </c>
    </row>
    <row r="78" spans="1:78">
      <c r="A78" s="925" t="str">
        <f>IF(Values_Entered,A77+1,"")</f>
        <v/>
      </c>
      <c r="B78" s="953">
        <f>B77+31</f>
        <v>46619</v>
      </c>
      <c r="C78" s="963" t="str">
        <f t="shared" si="8"/>
        <v/>
      </c>
      <c r="D78" s="963" t="str">
        <f t="shared" si="9"/>
        <v/>
      </c>
      <c r="E78" s="964"/>
      <c r="F78" s="965" t="e">
        <f t="shared" si="3"/>
        <v>#VALUE!</v>
      </c>
      <c r="G78" s="963" t="str">
        <f t="shared" si="4"/>
        <v/>
      </c>
      <c r="H78" s="963" t="str">
        <f t="shared" si="5"/>
        <v/>
      </c>
      <c r="I78" s="963" t="e">
        <f t="shared" si="6"/>
        <v>#VALUE!</v>
      </c>
      <c r="J78" s="958" t="str">
        <f>'[4]B11-L8'!J85</f>
        <v>PAID</v>
      </c>
      <c r="K78" s="950"/>
      <c r="BW78" s="961">
        <v>34058</v>
      </c>
      <c r="BX78" s="962">
        <f t="shared" si="12"/>
        <v>68721.490805826179</v>
      </c>
      <c r="BY78" s="961">
        <f t="shared" si="13"/>
        <v>-34663.490805826186</v>
      </c>
      <c r="BZ78" s="962">
        <f t="shared" si="14"/>
        <v>-2668483.3012427897</v>
      </c>
    </row>
    <row r="79" spans="1:78">
      <c r="A79" s="925" t="str">
        <f>IF(Values_Entered,A78+1,"")</f>
        <v/>
      </c>
      <c r="B79" s="953">
        <f>B78+31</f>
        <v>46650</v>
      </c>
      <c r="C79" s="963" t="str">
        <f t="shared" si="8"/>
        <v/>
      </c>
      <c r="D79" s="963" t="str">
        <f t="shared" si="9"/>
        <v/>
      </c>
      <c r="E79" s="964"/>
      <c r="F79" s="965" t="e">
        <f t="shared" si="3"/>
        <v>#VALUE!</v>
      </c>
      <c r="G79" s="963" t="str">
        <f t="shared" si="4"/>
        <v/>
      </c>
      <c r="H79" s="963" t="str">
        <f t="shared" si="5"/>
        <v/>
      </c>
      <c r="I79" s="963" t="e">
        <f t="shared" si="6"/>
        <v>#VALUE!</v>
      </c>
      <c r="J79" s="958" t="str">
        <f>'[4]B11-L8'!J86</f>
        <v>PAID</v>
      </c>
      <c r="K79" s="950"/>
      <c r="BW79" s="961">
        <v>34058</v>
      </c>
      <c r="BX79" s="962">
        <f t="shared" si="12"/>
        <v>69637.777349903859</v>
      </c>
      <c r="BY79" s="961">
        <f t="shared" si="13"/>
        <v>-35579.777349903867</v>
      </c>
      <c r="BZ79" s="962">
        <f t="shared" si="14"/>
        <v>-2738121.0785926934</v>
      </c>
    </row>
    <row r="80" spans="1:78">
      <c r="A80" s="925" t="str">
        <f>IF(Values_Entered,A79+1,"")</f>
        <v/>
      </c>
      <c r="B80" s="953">
        <f t="shared" si="15"/>
        <v>46680</v>
      </c>
      <c r="C80" s="963" t="str">
        <f t="shared" si="8"/>
        <v/>
      </c>
      <c r="D80" s="963" t="str">
        <f t="shared" si="9"/>
        <v/>
      </c>
      <c r="E80" s="964"/>
      <c r="F80" s="965" t="e">
        <f t="shared" si="3"/>
        <v>#VALUE!</v>
      </c>
      <c r="G80" s="963" t="str">
        <f t="shared" si="4"/>
        <v/>
      </c>
      <c r="H80" s="963" t="str">
        <f t="shared" si="5"/>
        <v/>
      </c>
      <c r="I80" s="963" t="e">
        <f t="shared" si="6"/>
        <v>#VALUE!</v>
      </c>
      <c r="J80" s="958">
        <f>'[4]B11-L8'!J87</f>
        <v>0</v>
      </c>
      <c r="K80" s="950"/>
      <c r="BW80" s="961">
        <v>34058</v>
      </c>
      <c r="BX80" s="962">
        <f t="shared" si="12"/>
        <v>70566.281047902579</v>
      </c>
      <c r="BY80" s="961">
        <f t="shared" si="13"/>
        <v>-36508.281047902579</v>
      </c>
      <c r="BZ80" s="962">
        <f t="shared" si="14"/>
        <v>-2808687.359640596</v>
      </c>
    </row>
    <row r="81" spans="1:78">
      <c r="A81" s="925" t="str">
        <f>IF(Values_Entered,A80+1,"")</f>
        <v/>
      </c>
      <c r="B81" s="953">
        <f>B80+31</f>
        <v>46711</v>
      </c>
      <c r="C81" s="963" t="str">
        <f t="shared" si="8"/>
        <v/>
      </c>
      <c r="D81" s="963" t="str">
        <f t="shared" si="9"/>
        <v/>
      </c>
      <c r="E81" s="964"/>
      <c r="F81" s="965" t="e">
        <f t="shared" si="3"/>
        <v>#VALUE!</v>
      </c>
      <c r="G81" s="963" t="str">
        <f t="shared" si="4"/>
        <v/>
      </c>
      <c r="H81" s="963" t="str">
        <f t="shared" si="5"/>
        <v/>
      </c>
      <c r="I81" s="963" t="e">
        <f t="shared" si="6"/>
        <v>#VALUE!</v>
      </c>
      <c r="J81" s="958">
        <f>'[4]B11-L8'!J88</f>
        <v>0</v>
      </c>
      <c r="K81" s="950"/>
      <c r="BW81" s="961">
        <v>34058</v>
      </c>
      <c r="BX81" s="962">
        <f t="shared" si="12"/>
        <v>71507.164795207937</v>
      </c>
      <c r="BY81" s="961">
        <f t="shared" si="13"/>
        <v>-37449.164795207944</v>
      </c>
      <c r="BZ81" s="962">
        <f t="shared" si="14"/>
        <v>-2880194.5244358038</v>
      </c>
    </row>
    <row r="82" spans="1:78">
      <c r="A82" s="925" t="str">
        <f>IF(Values_Entered,A81+1,"")</f>
        <v/>
      </c>
      <c r="B82" s="953">
        <f t="shared" si="15"/>
        <v>46741</v>
      </c>
      <c r="C82" s="963" t="str">
        <f t="shared" si="8"/>
        <v/>
      </c>
      <c r="D82" s="963" t="str">
        <f t="shared" si="9"/>
        <v/>
      </c>
      <c r="E82" s="964"/>
      <c r="F82" s="965" t="e">
        <f t="shared" si="3"/>
        <v>#VALUE!</v>
      </c>
      <c r="G82" s="963" t="str">
        <f t="shared" si="4"/>
        <v/>
      </c>
      <c r="H82" s="963" t="str">
        <f t="shared" si="5"/>
        <v/>
      </c>
      <c r="I82" s="963" t="e">
        <f t="shared" si="6"/>
        <v>#VALUE!</v>
      </c>
      <c r="J82" s="958">
        <f>'[4]B11-L8'!J89</f>
        <v>0</v>
      </c>
      <c r="K82" s="950"/>
      <c r="BW82" s="961">
        <v>34058</v>
      </c>
      <c r="BX82" s="962">
        <f t="shared" si="12"/>
        <v>72460.59365914404</v>
      </c>
      <c r="BY82" s="961">
        <f t="shared" si="13"/>
        <v>-38402.593659144048</v>
      </c>
      <c r="BZ82" s="962">
        <f t="shared" si="14"/>
        <v>-2952655.1180949477</v>
      </c>
    </row>
    <row r="83" spans="1:78">
      <c r="A83" s="925" t="str">
        <f>IF(Values_Entered,A82+1,"")</f>
        <v/>
      </c>
      <c r="B83" s="953">
        <f>B82+31</f>
        <v>46772</v>
      </c>
      <c r="C83" s="963" t="str">
        <f t="shared" si="8"/>
        <v/>
      </c>
      <c r="D83" s="963" t="str">
        <f t="shared" si="9"/>
        <v/>
      </c>
      <c r="E83" s="964"/>
      <c r="F83" s="965" t="e">
        <f t="shared" si="3"/>
        <v>#VALUE!</v>
      </c>
      <c r="G83" s="963" t="str">
        <f t="shared" si="4"/>
        <v/>
      </c>
      <c r="H83" s="963" t="str">
        <f t="shared" si="5"/>
        <v/>
      </c>
      <c r="I83" s="963" t="e">
        <f t="shared" si="6"/>
        <v>#VALUE!</v>
      </c>
      <c r="J83" s="958">
        <f>'[4]B11-L8'!J90</f>
        <v>0</v>
      </c>
      <c r="K83" s="950"/>
      <c r="BW83" s="961">
        <v>34058</v>
      </c>
      <c r="BX83" s="962">
        <f t="shared" si="12"/>
        <v>73426.734907932638</v>
      </c>
      <c r="BY83" s="961">
        <f t="shared" si="13"/>
        <v>-39368.734907932638</v>
      </c>
      <c r="BZ83" s="962">
        <f t="shared" si="14"/>
        <v>-3026081.8530028802</v>
      </c>
    </row>
    <row r="84" spans="1:78">
      <c r="A84" s="925" t="str">
        <f>IF(Values_Entered,A83+1,"")</f>
        <v/>
      </c>
      <c r="B84" s="953">
        <f>B83+31</f>
        <v>46803</v>
      </c>
      <c r="C84" s="963" t="str">
        <f t="shared" si="8"/>
        <v/>
      </c>
      <c r="D84" s="963" t="str">
        <f t="shared" si="9"/>
        <v/>
      </c>
      <c r="E84" s="964"/>
      <c r="F84" s="965" t="e">
        <f t="shared" si="3"/>
        <v>#VALUE!</v>
      </c>
      <c r="G84" s="963" t="str">
        <f>IF(Pay_Num&lt;&gt;"",Total_Pay-Int,"")</f>
        <v/>
      </c>
      <c r="H84" s="963" t="str">
        <f t="shared" si="5"/>
        <v/>
      </c>
      <c r="I84" s="963" t="e">
        <f t="shared" si="6"/>
        <v>#VALUE!</v>
      </c>
      <c r="J84" s="958">
        <f>'[4]B11-L8'!J91</f>
        <v>0</v>
      </c>
      <c r="K84" s="950"/>
      <c r="BW84" s="961">
        <v>34058</v>
      </c>
      <c r="BX84" s="962">
        <f>BW84-BY84-0.44</f>
        <v>74405.318040038401</v>
      </c>
      <c r="BY84" s="961">
        <f t="shared" si="13"/>
        <v>-40347.758040038403</v>
      </c>
      <c r="BZ84" s="962">
        <f t="shared" si="14"/>
        <v>-3100487.1710429187</v>
      </c>
    </row>
    <row r="85" spans="1:78">
      <c r="A85" s="925" t="str">
        <f>IF(Values_Entered,A84+1,"")</f>
        <v/>
      </c>
      <c r="B85" s="953">
        <f>B84+29</f>
        <v>46832</v>
      </c>
      <c r="C85" s="963" t="str">
        <f t="shared" si="8"/>
        <v/>
      </c>
      <c r="D85" s="963" t="str">
        <f t="shared" si="9"/>
        <v/>
      </c>
      <c r="E85" s="964"/>
      <c r="F85" s="965" t="e">
        <f t="shared" si="3"/>
        <v>#VALUE!</v>
      </c>
      <c r="G85" s="963" t="str">
        <f t="shared" si="4"/>
        <v/>
      </c>
      <c r="H85" s="963" t="str">
        <f t="shared" si="5"/>
        <v/>
      </c>
      <c r="I85" s="963" t="e">
        <f t="shared" si="6"/>
        <v>#VALUE!</v>
      </c>
      <c r="J85" s="989"/>
      <c r="K85" s="950"/>
    </row>
    <row r="86" spans="1:78">
      <c r="A86" s="925" t="str">
        <f>IF(Values_Entered,A85+1,"")</f>
        <v/>
      </c>
      <c r="B86" s="953">
        <f>B85+31</f>
        <v>46863</v>
      </c>
      <c r="C86" s="963" t="str">
        <f t="shared" si="8"/>
        <v/>
      </c>
      <c r="D86" s="963" t="str">
        <f t="shared" si="9"/>
        <v/>
      </c>
      <c r="E86" s="964"/>
      <c r="F86" s="965" t="e">
        <f t="shared" si="3"/>
        <v>#VALUE!</v>
      </c>
      <c r="G86" s="963" t="str">
        <f t="shared" si="4"/>
        <v/>
      </c>
      <c r="H86" s="963" t="str">
        <f t="shared" si="5"/>
        <v/>
      </c>
      <c r="I86" s="963" t="e">
        <f t="shared" si="6"/>
        <v>#VALUE!</v>
      </c>
      <c r="J86" s="989"/>
      <c r="K86" s="950"/>
    </row>
    <row r="87" spans="1:78">
      <c r="A87" s="925" t="str">
        <f>IF(Values_Entered,A86+1,"")</f>
        <v/>
      </c>
      <c r="B87" s="953">
        <f t="shared" si="15"/>
        <v>46893</v>
      </c>
      <c r="C87" s="963" t="str">
        <f t="shared" ref="C87:C145" si="16">IF(Pay_Num&lt;&gt;"",I86,"")</f>
        <v/>
      </c>
      <c r="D87" s="963" t="str">
        <f t="shared" si="9"/>
        <v/>
      </c>
      <c r="E87" s="964"/>
      <c r="F87" s="965" t="e">
        <f t="shared" si="3"/>
        <v>#VALUE!</v>
      </c>
      <c r="G87" s="963" t="e">
        <f>F84-H8</f>
        <v>#VALUE!</v>
      </c>
      <c r="H87" s="963" t="str">
        <f t="shared" si="5"/>
        <v/>
      </c>
      <c r="I87" s="963" t="e">
        <f t="shared" si="6"/>
        <v>#VALUE!</v>
      </c>
      <c r="J87" s="989"/>
      <c r="K87" s="950"/>
    </row>
    <row r="88" spans="1:78">
      <c r="A88" s="925" t="str">
        <f>IF(Values_Entered,A87+1,"")</f>
        <v/>
      </c>
      <c r="B88" s="953">
        <f>B87+31</f>
        <v>46924</v>
      </c>
      <c r="C88" s="963" t="str">
        <f t="shared" si="16"/>
        <v/>
      </c>
      <c r="D88" s="963" t="str">
        <f t="shared" si="9"/>
        <v/>
      </c>
      <c r="E88" s="964"/>
      <c r="F88" s="965" t="e">
        <f t="shared" si="3"/>
        <v>#VALUE!</v>
      </c>
      <c r="G88" s="963" t="str">
        <f t="shared" si="4"/>
        <v/>
      </c>
      <c r="H88" s="963" t="str">
        <f t="shared" si="5"/>
        <v/>
      </c>
      <c r="I88" s="963" t="e">
        <f t="shared" si="6"/>
        <v>#VALUE!</v>
      </c>
      <c r="J88" s="989"/>
      <c r="K88" s="950"/>
    </row>
    <row r="89" spans="1:78">
      <c r="A89" s="925" t="str">
        <f>IF(Values_Entered,A88+1,"")</f>
        <v/>
      </c>
      <c r="B89" s="953">
        <f t="shared" si="15"/>
        <v>46954</v>
      </c>
      <c r="C89" s="963" t="str">
        <f t="shared" si="16"/>
        <v/>
      </c>
      <c r="D89" s="963" t="str">
        <f t="shared" si="9"/>
        <v/>
      </c>
      <c r="E89" s="964"/>
      <c r="F89" s="965" t="e">
        <f t="shared" ref="F89:F152" si="17">IF(AND(Pay_Num&lt;&gt;"",Sched_Pay+Extra_Pay&lt;Beg_Bal),Sched_Pay+Extra_Pay,IF(Pay_Num&lt;&gt;"",Beg_Bal,""))</f>
        <v>#VALUE!</v>
      </c>
      <c r="G89" s="963" t="str">
        <f t="shared" si="4"/>
        <v/>
      </c>
      <c r="H89" s="963" t="str">
        <f t="shared" si="5"/>
        <v/>
      </c>
      <c r="I89" s="963" t="e">
        <f t="shared" si="6"/>
        <v>#VALUE!</v>
      </c>
      <c r="J89" s="989"/>
      <c r="K89" s="950"/>
    </row>
    <row r="90" spans="1:78">
      <c r="A90" s="925" t="str">
        <f>IF(Values_Entered,A89+1,"")</f>
        <v/>
      </c>
      <c r="B90" s="953">
        <f>B89+31</f>
        <v>46985</v>
      </c>
      <c r="C90" s="963" t="str">
        <f t="shared" si="16"/>
        <v/>
      </c>
      <c r="D90" s="963" t="str">
        <f t="shared" si="9"/>
        <v/>
      </c>
      <c r="E90" s="964"/>
      <c r="F90" s="965" t="e">
        <f t="shared" si="17"/>
        <v>#VALUE!</v>
      </c>
      <c r="G90" s="963" t="str">
        <f t="shared" ref="G90:G153" si="18">IF(Pay_Num&lt;&gt;"",Total_Pay-Int,"")</f>
        <v/>
      </c>
      <c r="H90" s="963" t="str">
        <f t="shared" ref="H90:H153" si="19">IF(Pay_Num&lt;&gt;"",Beg_Bal*Interest_Rate/Num_Pmt_Per_Year,"")</f>
        <v/>
      </c>
      <c r="I90" s="963" t="e">
        <f t="shared" ref="I90:I153" si="20">IF(AND(Pay_Num&lt;&gt;"",Sched_Pay+Extra_Pay&lt;Beg_Bal),Beg_Bal-Princ,IF(Pay_Num&lt;&gt;"",0,""))</f>
        <v>#VALUE!</v>
      </c>
      <c r="J90" s="989"/>
      <c r="K90" s="950"/>
    </row>
    <row r="91" spans="1:78">
      <c r="A91" s="925" t="str">
        <f>IF(Values_Entered,A90+1,"")</f>
        <v/>
      </c>
      <c r="B91" s="953">
        <f>B90+31</f>
        <v>47016</v>
      </c>
      <c r="C91" s="963" t="str">
        <f t="shared" si="16"/>
        <v/>
      </c>
      <c r="D91" s="963" t="str">
        <f t="shared" ref="D91:D145" si="21">IF(Pay_Num&lt;&gt;"",Scheduled_Monthly_Payment,"")</f>
        <v/>
      </c>
      <c r="E91" s="964"/>
      <c r="F91" s="965" t="e">
        <f t="shared" si="17"/>
        <v>#VALUE!</v>
      </c>
      <c r="G91" s="963" t="str">
        <f t="shared" si="18"/>
        <v/>
      </c>
      <c r="H91" s="963" t="str">
        <f t="shared" si="19"/>
        <v/>
      </c>
      <c r="I91" s="963" t="e">
        <f t="shared" si="20"/>
        <v>#VALUE!</v>
      </c>
      <c r="J91" s="989"/>
      <c r="K91" s="950"/>
    </row>
    <row r="92" spans="1:78">
      <c r="A92" s="925" t="str">
        <f>IF(Values_Entered,A91+1,"")</f>
        <v/>
      </c>
      <c r="B92" s="953">
        <f t="shared" ref="B92:B142" si="22">B91+30</f>
        <v>47046</v>
      </c>
      <c r="C92" s="963" t="str">
        <f t="shared" si="16"/>
        <v/>
      </c>
      <c r="D92" s="963" t="str">
        <f t="shared" si="21"/>
        <v/>
      </c>
      <c r="E92" s="964"/>
      <c r="F92" s="965" t="e">
        <f t="shared" si="17"/>
        <v>#VALUE!</v>
      </c>
      <c r="G92" s="963" t="str">
        <f t="shared" si="18"/>
        <v/>
      </c>
      <c r="H92" s="963" t="str">
        <f t="shared" si="19"/>
        <v/>
      </c>
      <c r="I92" s="963" t="e">
        <f t="shared" si="20"/>
        <v>#VALUE!</v>
      </c>
      <c r="J92" s="989"/>
      <c r="K92" s="950"/>
    </row>
    <row r="93" spans="1:78">
      <c r="A93" s="925" t="str">
        <f>IF(Values_Entered,A92+1,"")</f>
        <v/>
      </c>
      <c r="B93" s="953">
        <f>B92+31</f>
        <v>47077</v>
      </c>
      <c r="C93" s="963" t="str">
        <f t="shared" si="16"/>
        <v/>
      </c>
      <c r="D93" s="963" t="str">
        <f t="shared" si="21"/>
        <v/>
      </c>
      <c r="E93" s="964"/>
      <c r="F93" s="965" t="e">
        <f t="shared" si="17"/>
        <v>#VALUE!</v>
      </c>
      <c r="G93" s="963" t="str">
        <f t="shared" si="18"/>
        <v/>
      </c>
      <c r="H93" s="963" t="str">
        <f t="shared" si="19"/>
        <v/>
      </c>
      <c r="I93" s="963" t="e">
        <f t="shared" si="20"/>
        <v>#VALUE!</v>
      </c>
      <c r="J93" s="989"/>
      <c r="K93" s="950"/>
    </row>
    <row r="94" spans="1:78">
      <c r="A94" s="925" t="str">
        <f>IF(Values_Entered,A93+1,"")</f>
        <v/>
      </c>
      <c r="B94" s="953">
        <f t="shared" si="22"/>
        <v>47107</v>
      </c>
      <c r="C94" s="963" t="str">
        <f t="shared" si="16"/>
        <v/>
      </c>
      <c r="D94" s="963" t="str">
        <f t="shared" si="21"/>
        <v/>
      </c>
      <c r="E94" s="964"/>
      <c r="F94" s="965" t="e">
        <f t="shared" si="17"/>
        <v>#VALUE!</v>
      </c>
      <c r="G94" s="963" t="str">
        <f t="shared" si="18"/>
        <v/>
      </c>
      <c r="H94" s="963" t="str">
        <f t="shared" si="19"/>
        <v/>
      </c>
      <c r="I94" s="963" t="e">
        <f t="shared" si="20"/>
        <v>#VALUE!</v>
      </c>
      <c r="J94" s="989"/>
      <c r="K94" s="950"/>
    </row>
    <row r="95" spans="1:78">
      <c r="A95" s="925" t="str">
        <f>IF(Values_Entered,A94+1,"")</f>
        <v/>
      </c>
      <c r="B95" s="953">
        <f>B94+31</f>
        <v>47138</v>
      </c>
      <c r="C95" s="963" t="str">
        <f t="shared" si="16"/>
        <v/>
      </c>
      <c r="D95" s="963" t="str">
        <f t="shared" si="21"/>
        <v/>
      </c>
      <c r="E95" s="964"/>
      <c r="F95" s="965" t="e">
        <f t="shared" si="17"/>
        <v>#VALUE!</v>
      </c>
      <c r="G95" s="963" t="str">
        <f t="shared" si="18"/>
        <v/>
      </c>
      <c r="H95" s="963" t="str">
        <f t="shared" si="19"/>
        <v/>
      </c>
      <c r="I95" s="963" t="e">
        <f t="shared" si="20"/>
        <v>#VALUE!</v>
      </c>
      <c r="J95" s="989"/>
      <c r="K95" s="950"/>
    </row>
    <row r="96" spans="1:78">
      <c r="A96" s="925" t="str">
        <f>IF(Values_Entered,A95+1,"")</f>
        <v/>
      </c>
      <c r="B96" s="953">
        <f>B95+31</f>
        <v>47169</v>
      </c>
      <c r="C96" s="963" t="str">
        <f t="shared" si="16"/>
        <v/>
      </c>
      <c r="D96" s="963" t="str">
        <f t="shared" si="21"/>
        <v/>
      </c>
      <c r="E96" s="964"/>
      <c r="F96" s="965" t="e">
        <f t="shared" si="17"/>
        <v>#VALUE!</v>
      </c>
      <c r="G96" s="963" t="str">
        <f t="shared" si="18"/>
        <v/>
      </c>
      <c r="H96" s="963" t="str">
        <f t="shared" si="19"/>
        <v/>
      </c>
      <c r="I96" s="963" t="e">
        <f t="shared" si="20"/>
        <v>#VALUE!</v>
      </c>
      <c r="J96" s="989"/>
      <c r="K96" s="950"/>
    </row>
    <row r="97" spans="1:11">
      <c r="A97" s="925" t="str">
        <f>IF(Values_Entered,A96+1,"")</f>
        <v/>
      </c>
      <c r="B97" s="953">
        <f>B96+28</f>
        <v>47197</v>
      </c>
      <c r="C97" s="963" t="str">
        <f t="shared" si="16"/>
        <v/>
      </c>
      <c r="D97" s="963" t="str">
        <f t="shared" si="21"/>
        <v/>
      </c>
      <c r="E97" s="964"/>
      <c r="F97" s="965" t="e">
        <f t="shared" si="17"/>
        <v>#VALUE!</v>
      </c>
      <c r="G97" s="963" t="str">
        <f t="shared" si="18"/>
        <v/>
      </c>
      <c r="H97" s="963" t="str">
        <f t="shared" si="19"/>
        <v/>
      </c>
      <c r="I97" s="963" t="e">
        <f t="shared" si="20"/>
        <v>#VALUE!</v>
      </c>
      <c r="J97" s="989"/>
      <c r="K97" s="950"/>
    </row>
    <row r="98" spans="1:11">
      <c r="A98" s="925" t="str">
        <f>IF(Values_Entered,A97+1,"")</f>
        <v/>
      </c>
      <c r="B98" s="953">
        <f>B97+31</f>
        <v>47228</v>
      </c>
      <c r="C98" s="963" t="str">
        <f t="shared" si="16"/>
        <v/>
      </c>
      <c r="D98" s="963" t="str">
        <f t="shared" si="21"/>
        <v/>
      </c>
      <c r="E98" s="964"/>
      <c r="F98" s="965" t="e">
        <f t="shared" si="17"/>
        <v>#VALUE!</v>
      </c>
      <c r="G98" s="963" t="str">
        <f t="shared" si="18"/>
        <v/>
      </c>
      <c r="H98" s="963" t="str">
        <f t="shared" si="19"/>
        <v/>
      </c>
      <c r="I98" s="963" t="e">
        <f t="shared" si="20"/>
        <v>#VALUE!</v>
      </c>
      <c r="J98" s="989"/>
      <c r="K98" s="950"/>
    </row>
    <row r="99" spans="1:11">
      <c r="A99" s="925" t="str">
        <f>IF(Values_Entered,A98+1,"")</f>
        <v/>
      </c>
      <c r="B99" s="953">
        <f t="shared" si="22"/>
        <v>47258</v>
      </c>
      <c r="C99" s="963" t="str">
        <f t="shared" si="16"/>
        <v/>
      </c>
      <c r="D99" s="963" t="str">
        <f t="shared" si="21"/>
        <v/>
      </c>
      <c r="E99" s="964"/>
      <c r="F99" s="965" t="e">
        <f t="shared" si="17"/>
        <v>#VALUE!</v>
      </c>
      <c r="G99" s="963" t="str">
        <f t="shared" si="18"/>
        <v/>
      </c>
      <c r="H99" s="963" t="str">
        <f t="shared" si="19"/>
        <v/>
      </c>
      <c r="I99" s="963" t="e">
        <f t="shared" si="20"/>
        <v>#VALUE!</v>
      </c>
      <c r="J99" s="989"/>
      <c r="K99" s="950"/>
    </row>
    <row r="100" spans="1:11">
      <c r="A100" s="925" t="str">
        <f>IF(Values_Entered,A99+1,"")</f>
        <v/>
      </c>
      <c r="B100" s="953">
        <f>B99+31</f>
        <v>47289</v>
      </c>
      <c r="C100" s="963" t="str">
        <f t="shared" si="16"/>
        <v/>
      </c>
      <c r="D100" s="963" t="str">
        <f t="shared" si="21"/>
        <v/>
      </c>
      <c r="E100" s="964"/>
      <c r="F100" s="965" t="e">
        <f t="shared" si="17"/>
        <v>#VALUE!</v>
      </c>
      <c r="G100" s="963" t="str">
        <f t="shared" si="18"/>
        <v/>
      </c>
      <c r="H100" s="963" t="str">
        <f t="shared" si="19"/>
        <v/>
      </c>
      <c r="I100" s="963" t="e">
        <f t="shared" si="20"/>
        <v>#VALUE!</v>
      </c>
      <c r="J100" s="989"/>
      <c r="K100" s="950"/>
    </row>
    <row r="101" spans="1:11">
      <c r="A101" s="925" t="str">
        <f>IF(Values_Entered,A100+1,"")</f>
        <v/>
      </c>
      <c r="B101" s="953">
        <f t="shared" si="22"/>
        <v>47319</v>
      </c>
      <c r="C101" s="963" t="str">
        <f t="shared" si="16"/>
        <v/>
      </c>
      <c r="D101" s="963" t="str">
        <f t="shared" si="21"/>
        <v/>
      </c>
      <c r="E101" s="964"/>
      <c r="F101" s="965" t="e">
        <f t="shared" si="17"/>
        <v>#VALUE!</v>
      </c>
      <c r="G101" s="963" t="str">
        <f t="shared" si="18"/>
        <v/>
      </c>
      <c r="H101" s="963" t="str">
        <f t="shared" si="19"/>
        <v/>
      </c>
      <c r="I101" s="963" t="e">
        <f t="shared" si="20"/>
        <v>#VALUE!</v>
      </c>
      <c r="J101" s="989"/>
      <c r="K101" s="950"/>
    </row>
    <row r="102" spans="1:11">
      <c r="A102" s="925" t="str">
        <f>IF(Values_Entered,A101+1,"")</f>
        <v/>
      </c>
      <c r="B102" s="953">
        <f>B101+31</f>
        <v>47350</v>
      </c>
      <c r="C102" s="963" t="str">
        <f t="shared" si="16"/>
        <v/>
      </c>
      <c r="D102" s="963" t="str">
        <f t="shared" si="21"/>
        <v/>
      </c>
      <c r="E102" s="964"/>
      <c r="F102" s="965" t="e">
        <f t="shared" si="17"/>
        <v>#VALUE!</v>
      </c>
      <c r="G102" s="963" t="str">
        <f t="shared" si="18"/>
        <v/>
      </c>
      <c r="H102" s="963" t="str">
        <f t="shared" si="19"/>
        <v/>
      </c>
      <c r="I102" s="963" t="e">
        <f t="shared" si="20"/>
        <v>#VALUE!</v>
      </c>
      <c r="J102" s="989"/>
      <c r="K102" s="950"/>
    </row>
    <row r="103" spans="1:11">
      <c r="A103" s="925" t="str">
        <f>IF(Values_Entered,A102+1,"")</f>
        <v/>
      </c>
      <c r="B103" s="953">
        <f>B102+31</f>
        <v>47381</v>
      </c>
      <c r="C103" s="963" t="str">
        <f t="shared" si="16"/>
        <v/>
      </c>
      <c r="D103" s="963" t="str">
        <f t="shared" si="21"/>
        <v/>
      </c>
      <c r="E103" s="964"/>
      <c r="F103" s="965" t="e">
        <f t="shared" si="17"/>
        <v>#VALUE!</v>
      </c>
      <c r="G103" s="963" t="str">
        <f t="shared" si="18"/>
        <v/>
      </c>
      <c r="H103" s="963" t="str">
        <f t="shared" si="19"/>
        <v/>
      </c>
      <c r="I103" s="963" t="e">
        <f t="shared" si="20"/>
        <v>#VALUE!</v>
      </c>
      <c r="J103" s="989"/>
      <c r="K103" s="950"/>
    </row>
    <row r="104" spans="1:11">
      <c r="A104" s="925" t="str">
        <f>IF(Values_Entered,A103+1,"")</f>
        <v/>
      </c>
      <c r="B104" s="953">
        <f t="shared" si="22"/>
        <v>47411</v>
      </c>
      <c r="C104" s="963" t="str">
        <f t="shared" si="16"/>
        <v/>
      </c>
      <c r="D104" s="963" t="str">
        <f t="shared" si="21"/>
        <v/>
      </c>
      <c r="E104" s="964"/>
      <c r="F104" s="965" t="e">
        <f t="shared" si="17"/>
        <v>#VALUE!</v>
      </c>
      <c r="G104" s="963" t="str">
        <f t="shared" si="18"/>
        <v/>
      </c>
      <c r="H104" s="963" t="str">
        <f t="shared" si="19"/>
        <v/>
      </c>
      <c r="I104" s="963" t="e">
        <f t="shared" si="20"/>
        <v>#VALUE!</v>
      </c>
      <c r="J104" s="989"/>
      <c r="K104" s="950"/>
    </row>
    <row r="105" spans="1:11">
      <c r="A105" s="925" t="str">
        <f>IF(Values_Entered,A104+1,"")</f>
        <v/>
      </c>
      <c r="B105" s="953">
        <f>B104+31</f>
        <v>47442</v>
      </c>
      <c r="C105" s="963" t="str">
        <f t="shared" si="16"/>
        <v/>
      </c>
      <c r="D105" s="963" t="str">
        <f t="shared" si="21"/>
        <v/>
      </c>
      <c r="E105" s="964"/>
      <c r="F105" s="965" t="e">
        <f t="shared" si="17"/>
        <v>#VALUE!</v>
      </c>
      <c r="G105" s="963" t="str">
        <f t="shared" si="18"/>
        <v/>
      </c>
      <c r="H105" s="963" t="str">
        <f t="shared" si="19"/>
        <v/>
      </c>
      <c r="I105" s="963" t="e">
        <f t="shared" si="20"/>
        <v>#VALUE!</v>
      </c>
      <c r="J105" s="989"/>
      <c r="K105" s="950"/>
    </row>
    <row r="106" spans="1:11">
      <c r="A106" s="925" t="str">
        <f>IF(Values_Entered,A105+1,"")</f>
        <v/>
      </c>
      <c r="B106" s="953">
        <f t="shared" si="22"/>
        <v>47472</v>
      </c>
      <c r="C106" s="963" t="str">
        <f t="shared" si="16"/>
        <v/>
      </c>
      <c r="D106" s="963" t="str">
        <f t="shared" si="21"/>
        <v/>
      </c>
      <c r="E106" s="964"/>
      <c r="F106" s="965" t="e">
        <f t="shared" si="17"/>
        <v>#VALUE!</v>
      </c>
      <c r="G106" s="963" t="str">
        <f t="shared" si="18"/>
        <v/>
      </c>
      <c r="H106" s="963" t="str">
        <f t="shared" si="19"/>
        <v/>
      </c>
      <c r="I106" s="963" t="e">
        <f t="shared" si="20"/>
        <v>#VALUE!</v>
      </c>
      <c r="J106" s="989"/>
      <c r="K106" s="950"/>
    </row>
    <row r="107" spans="1:11">
      <c r="A107" s="925" t="str">
        <f>IF(Values_Entered,A106+1,"")</f>
        <v/>
      </c>
      <c r="B107" s="953">
        <f>B106+31</f>
        <v>47503</v>
      </c>
      <c r="C107" s="963" t="str">
        <f t="shared" si="16"/>
        <v/>
      </c>
      <c r="D107" s="963" t="str">
        <f t="shared" si="21"/>
        <v/>
      </c>
      <c r="E107" s="964"/>
      <c r="F107" s="965" t="e">
        <f t="shared" si="17"/>
        <v>#VALUE!</v>
      </c>
      <c r="G107" s="963" t="str">
        <f t="shared" si="18"/>
        <v/>
      </c>
      <c r="H107" s="963" t="str">
        <f t="shared" si="19"/>
        <v/>
      </c>
      <c r="I107" s="963" t="e">
        <f t="shared" si="20"/>
        <v>#VALUE!</v>
      </c>
      <c r="J107" s="989"/>
      <c r="K107" s="950"/>
    </row>
    <row r="108" spans="1:11">
      <c r="A108" s="925" t="str">
        <f>IF(Values_Entered,A107+1,"")</f>
        <v/>
      </c>
      <c r="B108" s="953">
        <f>B107+31</f>
        <v>47534</v>
      </c>
      <c r="C108" s="963" t="str">
        <f t="shared" si="16"/>
        <v/>
      </c>
      <c r="D108" s="963" t="str">
        <f t="shared" si="21"/>
        <v/>
      </c>
      <c r="E108" s="964"/>
      <c r="F108" s="965" t="e">
        <f t="shared" si="17"/>
        <v>#VALUE!</v>
      </c>
      <c r="G108" s="963" t="str">
        <f t="shared" si="18"/>
        <v/>
      </c>
      <c r="H108" s="963" t="str">
        <f t="shared" si="19"/>
        <v/>
      </c>
      <c r="I108" s="963" t="e">
        <f t="shared" si="20"/>
        <v>#VALUE!</v>
      </c>
      <c r="J108" s="989"/>
      <c r="K108" s="950"/>
    </row>
    <row r="109" spans="1:11">
      <c r="A109" s="925" t="str">
        <f>IF(Values_Entered,A108+1,"")</f>
        <v/>
      </c>
      <c r="B109" s="953">
        <f>B108+28</f>
        <v>47562</v>
      </c>
      <c r="C109" s="963" t="str">
        <f t="shared" si="16"/>
        <v/>
      </c>
      <c r="D109" s="963" t="str">
        <f t="shared" si="21"/>
        <v/>
      </c>
      <c r="E109" s="964"/>
      <c r="F109" s="965" t="e">
        <f t="shared" si="17"/>
        <v>#VALUE!</v>
      </c>
      <c r="G109" s="963" t="str">
        <f t="shared" si="18"/>
        <v/>
      </c>
      <c r="H109" s="963" t="str">
        <f t="shared" si="19"/>
        <v/>
      </c>
      <c r="I109" s="963" t="e">
        <f t="shared" si="20"/>
        <v>#VALUE!</v>
      </c>
      <c r="J109" s="989"/>
      <c r="K109" s="950"/>
    </row>
    <row r="110" spans="1:11">
      <c r="A110" s="925" t="str">
        <f>IF(Values_Entered,A109+1,"")</f>
        <v/>
      </c>
      <c r="B110" s="953">
        <f>B109+31</f>
        <v>47593</v>
      </c>
      <c r="C110" s="963" t="str">
        <f t="shared" si="16"/>
        <v/>
      </c>
      <c r="D110" s="963" t="str">
        <f t="shared" si="21"/>
        <v/>
      </c>
      <c r="E110" s="964"/>
      <c r="F110" s="965" t="e">
        <f t="shared" si="17"/>
        <v>#VALUE!</v>
      </c>
      <c r="G110" s="963" t="str">
        <f t="shared" si="18"/>
        <v/>
      </c>
      <c r="H110" s="963" t="str">
        <f t="shared" si="19"/>
        <v/>
      </c>
      <c r="I110" s="963" t="e">
        <f t="shared" si="20"/>
        <v>#VALUE!</v>
      </c>
      <c r="J110" s="989"/>
      <c r="K110" s="950"/>
    </row>
    <row r="111" spans="1:11">
      <c r="A111" s="925" t="str">
        <f>IF(Values_Entered,A110+1,"")</f>
        <v/>
      </c>
      <c r="B111" s="953">
        <f t="shared" si="22"/>
        <v>47623</v>
      </c>
      <c r="C111" s="963" t="str">
        <f t="shared" si="16"/>
        <v/>
      </c>
      <c r="D111" s="963" t="str">
        <f t="shared" si="21"/>
        <v/>
      </c>
      <c r="E111" s="964"/>
      <c r="F111" s="965" t="e">
        <f t="shared" si="17"/>
        <v>#VALUE!</v>
      </c>
      <c r="G111" s="963" t="str">
        <f t="shared" si="18"/>
        <v/>
      </c>
      <c r="H111" s="963" t="str">
        <f t="shared" si="19"/>
        <v/>
      </c>
      <c r="I111" s="963" t="e">
        <f t="shared" si="20"/>
        <v>#VALUE!</v>
      </c>
      <c r="J111" s="989"/>
      <c r="K111" s="950"/>
    </row>
    <row r="112" spans="1:11">
      <c r="A112" s="925" t="str">
        <f>IF(Values_Entered,A111+1,"")</f>
        <v/>
      </c>
      <c r="B112" s="953">
        <f>B111+31</f>
        <v>47654</v>
      </c>
      <c r="C112" s="963" t="str">
        <f t="shared" si="16"/>
        <v/>
      </c>
      <c r="D112" s="963" t="str">
        <f t="shared" si="21"/>
        <v/>
      </c>
      <c r="E112" s="964"/>
      <c r="F112" s="965" t="e">
        <f t="shared" si="17"/>
        <v>#VALUE!</v>
      </c>
      <c r="G112" s="963" t="str">
        <f t="shared" si="18"/>
        <v/>
      </c>
      <c r="H112" s="963" t="str">
        <f t="shared" si="19"/>
        <v/>
      </c>
      <c r="I112" s="963" t="e">
        <f t="shared" si="20"/>
        <v>#VALUE!</v>
      </c>
      <c r="J112" s="989"/>
      <c r="K112" s="950"/>
    </row>
    <row r="113" spans="1:11">
      <c r="A113" s="925" t="str">
        <f>IF(Values_Entered,A112+1,"")</f>
        <v/>
      </c>
      <c r="B113" s="953">
        <f t="shared" si="22"/>
        <v>47684</v>
      </c>
      <c r="C113" s="963" t="str">
        <f t="shared" si="16"/>
        <v/>
      </c>
      <c r="D113" s="963" t="str">
        <f t="shared" si="21"/>
        <v/>
      </c>
      <c r="E113" s="964"/>
      <c r="F113" s="965" t="e">
        <f t="shared" si="17"/>
        <v>#VALUE!</v>
      </c>
      <c r="G113" s="963" t="str">
        <f t="shared" si="18"/>
        <v/>
      </c>
      <c r="H113" s="963" t="str">
        <f t="shared" si="19"/>
        <v/>
      </c>
      <c r="I113" s="963" t="e">
        <f t="shared" si="20"/>
        <v>#VALUE!</v>
      </c>
      <c r="J113" s="989"/>
      <c r="K113" s="950"/>
    </row>
    <row r="114" spans="1:11">
      <c r="A114" s="925" t="str">
        <f>IF(Values_Entered,A113+1,"")</f>
        <v/>
      </c>
      <c r="B114" s="953">
        <f>B113+31</f>
        <v>47715</v>
      </c>
      <c r="C114" s="963" t="str">
        <f t="shared" si="16"/>
        <v/>
      </c>
      <c r="D114" s="963" t="str">
        <f t="shared" si="21"/>
        <v/>
      </c>
      <c r="E114" s="964"/>
      <c r="F114" s="965" t="e">
        <f t="shared" si="17"/>
        <v>#VALUE!</v>
      </c>
      <c r="G114" s="963" t="str">
        <f t="shared" si="18"/>
        <v/>
      </c>
      <c r="H114" s="963" t="str">
        <f t="shared" si="19"/>
        <v/>
      </c>
      <c r="I114" s="963" t="e">
        <f t="shared" si="20"/>
        <v>#VALUE!</v>
      </c>
      <c r="J114" s="989"/>
      <c r="K114" s="950"/>
    </row>
    <row r="115" spans="1:11">
      <c r="A115" s="925" t="str">
        <f>IF(Values_Entered,A114+1,"")</f>
        <v/>
      </c>
      <c r="B115" s="953">
        <f>B114+31</f>
        <v>47746</v>
      </c>
      <c r="C115" s="963" t="str">
        <f t="shared" si="16"/>
        <v/>
      </c>
      <c r="D115" s="963" t="str">
        <f t="shared" si="21"/>
        <v/>
      </c>
      <c r="E115" s="964"/>
      <c r="F115" s="965" t="e">
        <f t="shared" si="17"/>
        <v>#VALUE!</v>
      </c>
      <c r="G115" s="963" t="str">
        <f t="shared" si="18"/>
        <v/>
      </c>
      <c r="H115" s="963" t="str">
        <f t="shared" si="19"/>
        <v/>
      </c>
      <c r="I115" s="963" t="e">
        <f t="shared" si="20"/>
        <v>#VALUE!</v>
      </c>
      <c r="J115" s="989"/>
      <c r="K115" s="950"/>
    </row>
    <row r="116" spans="1:11">
      <c r="A116" s="925" t="str">
        <f>IF(Values_Entered,A115+1,"")</f>
        <v/>
      </c>
      <c r="B116" s="953">
        <f t="shared" si="22"/>
        <v>47776</v>
      </c>
      <c r="C116" s="963" t="str">
        <f t="shared" si="16"/>
        <v/>
      </c>
      <c r="D116" s="963" t="str">
        <f t="shared" si="21"/>
        <v/>
      </c>
      <c r="E116" s="964"/>
      <c r="F116" s="965" t="e">
        <f t="shared" si="17"/>
        <v>#VALUE!</v>
      </c>
      <c r="G116" s="963" t="str">
        <f t="shared" si="18"/>
        <v/>
      </c>
      <c r="H116" s="963" t="str">
        <f t="shared" si="19"/>
        <v/>
      </c>
      <c r="I116" s="963" t="e">
        <f t="shared" si="20"/>
        <v>#VALUE!</v>
      </c>
      <c r="J116" s="989"/>
      <c r="K116" s="950"/>
    </row>
    <row r="117" spans="1:11">
      <c r="A117" s="925" t="str">
        <f>IF(Values_Entered,A116+1,"")</f>
        <v/>
      </c>
      <c r="B117" s="953">
        <f>B116+31</f>
        <v>47807</v>
      </c>
      <c r="C117" s="963" t="str">
        <f t="shared" si="16"/>
        <v/>
      </c>
      <c r="D117" s="963" t="str">
        <f t="shared" si="21"/>
        <v/>
      </c>
      <c r="E117" s="964"/>
      <c r="F117" s="965" t="e">
        <f t="shared" si="17"/>
        <v>#VALUE!</v>
      </c>
      <c r="G117" s="963" t="str">
        <f t="shared" si="18"/>
        <v/>
      </c>
      <c r="H117" s="963" t="str">
        <f t="shared" si="19"/>
        <v/>
      </c>
      <c r="I117" s="963" t="e">
        <f t="shared" si="20"/>
        <v>#VALUE!</v>
      </c>
      <c r="J117" s="989"/>
      <c r="K117" s="950"/>
    </row>
    <row r="118" spans="1:11">
      <c r="A118" s="925" t="str">
        <f>IF(Values_Entered,A117+1,"")</f>
        <v/>
      </c>
      <c r="B118" s="953">
        <f t="shared" si="22"/>
        <v>47837</v>
      </c>
      <c r="C118" s="963" t="str">
        <f t="shared" si="16"/>
        <v/>
      </c>
      <c r="D118" s="963" t="str">
        <f t="shared" si="21"/>
        <v/>
      </c>
      <c r="E118" s="964"/>
      <c r="F118" s="965" t="e">
        <f t="shared" si="17"/>
        <v>#VALUE!</v>
      </c>
      <c r="G118" s="963" t="str">
        <f t="shared" si="18"/>
        <v/>
      </c>
      <c r="H118" s="963" t="str">
        <f t="shared" si="19"/>
        <v/>
      </c>
      <c r="I118" s="963" t="e">
        <f t="shared" si="20"/>
        <v>#VALUE!</v>
      </c>
      <c r="J118" s="989"/>
      <c r="K118" s="950"/>
    </row>
    <row r="119" spans="1:11">
      <c r="A119" s="925" t="str">
        <f>IF(Values_Entered,A118+1,"")</f>
        <v/>
      </c>
      <c r="B119" s="953">
        <f>B118+31</f>
        <v>47868</v>
      </c>
      <c r="C119" s="963" t="str">
        <f t="shared" si="16"/>
        <v/>
      </c>
      <c r="D119" s="963" t="str">
        <f t="shared" si="21"/>
        <v/>
      </c>
      <c r="E119" s="964"/>
      <c r="F119" s="965" t="e">
        <f t="shared" si="17"/>
        <v>#VALUE!</v>
      </c>
      <c r="G119" s="963" t="str">
        <f t="shared" si="18"/>
        <v/>
      </c>
      <c r="H119" s="963" t="str">
        <f t="shared" si="19"/>
        <v/>
      </c>
      <c r="I119" s="963" t="e">
        <f t="shared" si="20"/>
        <v>#VALUE!</v>
      </c>
      <c r="J119" s="989"/>
      <c r="K119" s="950"/>
    </row>
    <row r="120" spans="1:11">
      <c r="A120" s="925" t="str">
        <f>IF(Values_Entered,A119+1,"")</f>
        <v/>
      </c>
      <c r="B120" s="953">
        <f>B119+31</f>
        <v>47899</v>
      </c>
      <c r="C120" s="963" t="str">
        <f t="shared" si="16"/>
        <v/>
      </c>
      <c r="D120" s="963" t="str">
        <f t="shared" si="21"/>
        <v/>
      </c>
      <c r="E120" s="964"/>
      <c r="F120" s="965" t="e">
        <f t="shared" si="17"/>
        <v>#VALUE!</v>
      </c>
      <c r="G120" s="963" t="str">
        <f t="shared" si="18"/>
        <v/>
      </c>
      <c r="H120" s="963" t="str">
        <f t="shared" si="19"/>
        <v/>
      </c>
      <c r="I120" s="963" t="e">
        <f t="shared" si="20"/>
        <v>#VALUE!</v>
      </c>
      <c r="J120" s="989"/>
      <c r="K120" s="950"/>
    </row>
    <row r="121" spans="1:11">
      <c r="A121" s="925" t="str">
        <f>IF(Values_Entered,A120+1,"")</f>
        <v/>
      </c>
      <c r="B121" s="953">
        <f>B120+28</f>
        <v>47927</v>
      </c>
      <c r="C121" s="963" t="str">
        <f t="shared" si="16"/>
        <v/>
      </c>
      <c r="D121" s="963" t="str">
        <f t="shared" si="21"/>
        <v/>
      </c>
      <c r="E121" s="964"/>
      <c r="F121" s="965" t="e">
        <f t="shared" si="17"/>
        <v>#VALUE!</v>
      </c>
      <c r="G121" s="963" t="str">
        <f t="shared" si="18"/>
        <v/>
      </c>
      <c r="H121" s="963" t="str">
        <f t="shared" si="19"/>
        <v/>
      </c>
      <c r="I121" s="963" t="e">
        <f t="shared" si="20"/>
        <v>#VALUE!</v>
      </c>
      <c r="J121" s="989"/>
      <c r="K121" s="950"/>
    </row>
    <row r="122" spans="1:11">
      <c r="A122" s="925" t="str">
        <f>IF(Values_Entered,A121+1,"")</f>
        <v/>
      </c>
      <c r="B122" s="953">
        <f>B121+31</f>
        <v>47958</v>
      </c>
      <c r="C122" s="963" t="str">
        <f t="shared" si="16"/>
        <v/>
      </c>
      <c r="D122" s="963" t="str">
        <f t="shared" si="21"/>
        <v/>
      </c>
      <c r="E122" s="964"/>
      <c r="F122" s="965" t="e">
        <f t="shared" si="17"/>
        <v>#VALUE!</v>
      </c>
      <c r="G122" s="963" t="str">
        <f t="shared" si="18"/>
        <v/>
      </c>
      <c r="H122" s="963" t="str">
        <f t="shared" si="19"/>
        <v/>
      </c>
      <c r="I122" s="963" t="e">
        <f t="shared" si="20"/>
        <v>#VALUE!</v>
      </c>
      <c r="J122" s="989"/>
      <c r="K122" s="950"/>
    </row>
    <row r="123" spans="1:11">
      <c r="A123" s="925" t="str">
        <f>IF(Values_Entered,A122+1,"")</f>
        <v/>
      </c>
      <c r="B123" s="953">
        <f t="shared" si="22"/>
        <v>47988</v>
      </c>
      <c r="C123" s="963" t="str">
        <f t="shared" si="16"/>
        <v/>
      </c>
      <c r="D123" s="963" t="str">
        <f t="shared" si="21"/>
        <v/>
      </c>
      <c r="E123" s="964"/>
      <c r="F123" s="965" t="e">
        <f t="shared" si="17"/>
        <v>#VALUE!</v>
      </c>
      <c r="G123" s="963" t="str">
        <f t="shared" si="18"/>
        <v/>
      </c>
      <c r="H123" s="963" t="str">
        <f t="shared" si="19"/>
        <v/>
      </c>
      <c r="I123" s="963" t="e">
        <f t="shared" si="20"/>
        <v>#VALUE!</v>
      </c>
      <c r="J123" s="989"/>
      <c r="K123" s="950"/>
    </row>
    <row r="124" spans="1:11">
      <c r="A124" s="925" t="str">
        <f>IF(Values_Entered,A123+1,"")</f>
        <v/>
      </c>
      <c r="B124" s="953">
        <f>B123+31</f>
        <v>48019</v>
      </c>
      <c r="C124" s="963" t="str">
        <f t="shared" si="16"/>
        <v/>
      </c>
      <c r="D124" s="963" t="str">
        <f t="shared" si="21"/>
        <v/>
      </c>
      <c r="E124" s="964"/>
      <c r="F124" s="965" t="e">
        <f t="shared" si="17"/>
        <v>#VALUE!</v>
      </c>
      <c r="G124" s="963" t="str">
        <f t="shared" si="18"/>
        <v/>
      </c>
      <c r="H124" s="963" t="str">
        <f t="shared" si="19"/>
        <v/>
      </c>
      <c r="I124" s="963" t="e">
        <f t="shared" si="20"/>
        <v>#VALUE!</v>
      </c>
      <c r="J124" s="989"/>
      <c r="K124" s="950"/>
    </row>
    <row r="125" spans="1:11">
      <c r="A125" s="925" t="str">
        <f>IF(Values_Entered,A124+1,"")</f>
        <v/>
      </c>
      <c r="B125" s="953">
        <f t="shared" si="22"/>
        <v>48049</v>
      </c>
      <c r="C125" s="963" t="str">
        <f t="shared" si="16"/>
        <v/>
      </c>
      <c r="D125" s="963" t="str">
        <f t="shared" si="21"/>
        <v/>
      </c>
      <c r="E125" s="964"/>
      <c r="F125" s="965" t="e">
        <f t="shared" si="17"/>
        <v>#VALUE!</v>
      </c>
      <c r="G125" s="963" t="str">
        <f t="shared" si="18"/>
        <v/>
      </c>
      <c r="H125" s="963" t="str">
        <f t="shared" si="19"/>
        <v/>
      </c>
      <c r="I125" s="963" t="e">
        <f t="shared" si="20"/>
        <v>#VALUE!</v>
      </c>
      <c r="J125" s="989"/>
      <c r="K125" s="950"/>
    </row>
    <row r="126" spans="1:11">
      <c r="A126" s="925" t="str">
        <f>IF(Values_Entered,A125+1,"")</f>
        <v/>
      </c>
      <c r="B126" s="953">
        <f>B125+31</f>
        <v>48080</v>
      </c>
      <c r="C126" s="963" t="str">
        <f t="shared" si="16"/>
        <v/>
      </c>
      <c r="D126" s="963" t="str">
        <f t="shared" si="21"/>
        <v/>
      </c>
      <c r="E126" s="964"/>
      <c r="F126" s="965" t="e">
        <f t="shared" si="17"/>
        <v>#VALUE!</v>
      </c>
      <c r="G126" s="963" t="str">
        <f t="shared" si="18"/>
        <v/>
      </c>
      <c r="H126" s="963" t="str">
        <f t="shared" si="19"/>
        <v/>
      </c>
      <c r="I126" s="963" t="e">
        <f t="shared" si="20"/>
        <v>#VALUE!</v>
      </c>
      <c r="J126" s="989"/>
      <c r="K126" s="950"/>
    </row>
    <row r="127" spans="1:11">
      <c r="A127" s="925" t="str">
        <f>IF(Values_Entered,A126+1,"")</f>
        <v/>
      </c>
      <c r="B127" s="953">
        <f>B126+31</f>
        <v>48111</v>
      </c>
      <c r="C127" s="963" t="str">
        <f t="shared" si="16"/>
        <v/>
      </c>
      <c r="D127" s="963" t="str">
        <f t="shared" si="21"/>
        <v/>
      </c>
      <c r="E127" s="964"/>
      <c r="F127" s="965" t="e">
        <f t="shared" si="17"/>
        <v>#VALUE!</v>
      </c>
      <c r="G127" s="963" t="str">
        <f t="shared" si="18"/>
        <v/>
      </c>
      <c r="H127" s="963" t="str">
        <f t="shared" si="19"/>
        <v/>
      </c>
      <c r="I127" s="963" t="e">
        <f t="shared" si="20"/>
        <v>#VALUE!</v>
      </c>
      <c r="J127" s="989"/>
      <c r="K127" s="950"/>
    </row>
    <row r="128" spans="1:11">
      <c r="A128" s="925" t="str">
        <f>IF(Values_Entered,A127+1,"")</f>
        <v/>
      </c>
      <c r="B128" s="953">
        <f t="shared" si="22"/>
        <v>48141</v>
      </c>
      <c r="C128" s="963" t="str">
        <f t="shared" si="16"/>
        <v/>
      </c>
      <c r="D128" s="963" t="str">
        <f t="shared" si="21"/>
        <v/>
      </c>
      <c r="E128" s="964"/>
      <c r="F128" s="965" t="e">
        <f t="shared" si="17"/>
        <v>#VALUE!</v>
      </c>
      <c r="G128" s="963" t="str">
        <f t="shared" si="18"/>
        <v/>
      </c>
      <c r="H128" s="963" t="str">
        <f t="shared" si="19"/>
        <v/>
      </c>
      <c r="I128" s="963" t="e">
        <f t="shared" si="20"/>
        <v>#VALUE!</v>
      </c>
      <c r="J128" s="989"/>
      <c r="K128" s="950"/>
    </row>
    <row r="129" spans="1:11">
      <c r="A129" s="925" t="str">
        <f>IF(Values_Entered,A128+1,"")</f>
        <v/>
      </c>
      <c r="B129" s="953">
        <f>B128+31</f>
        <v>48172</v>
      </c>
      <c r="C129" s="963" t="str">
        <f t="shared" si="16"/>
        <v/>
      </c>
      <c r="D129" s="963" t="str">
        <f t="shared" si="21"/>
        <v/>
      </c>
      <c r="E129" s="964"/>
      <c r="F129" s="965" t="e">
        <f t="shared" si="17"/>
        <v>#VALUE!</v>
      </c>
      <c r="G129" s="963" t="str">
        <f t="shared" si="18"/>
        <v/>
      </c>
      <c r="H129" s="963" t="str">
        <f t="shared" si="19"/>
        <v/>
      </c>
      <c r="I129" s="963" t="e">
        <f t="shared" si="20"/>
        <v>#VALUE!</v>
      </c>
      <c r="J129" s="989"/>
      <c r="K129" s="950"/>
    </row>
    <row r="130" spans="1:11">
      <c r="A130" s="925" t="str">
        <f>IF(Values_Entered,A129+1,"")</f>
        <v/>
      </c>
      <c r="B130" s="953">
        <f t="shared" si="22"/>
        <v>48202</v>
      </c>
      <c r="C130" s="963" t="str">
        <f t="shared" si="16"/>
        <v/>
      </c>
      <c r="D130" s="963" t="str">
        <f t="shared" si="21"/>
        <v/>
      </c>
      <c r="E130" s="964"/>
      <c r="F130" s="965" t="e">
        <f t="shared" si="17"/>
        <v>#VALUE!</v>
      </c>
      <c r="G130" s="963" t="str">
        <f t="shared" si="18"/>
        <v/>
      </c>
      <c r="H130" s="963" t="str">
        <f t="shared" si="19"/>
        <v/>
      </c>
      <c r="I130" s="963" t="e">
        <f t="shared" si="20"/>
        <v>#VALUE!</v>
      </c>
      <c r="J130" s="989"/>
      <c r="K130" s="950"/>
    </row>
    <row r="131" spans="1:11">
      <c r="A131" s="925" t="str">
        <f>IF(Values_Entered,A130+1,"")</f>
        <v/>
      </c>
      <c r="B131" s="953">
        <f>B130+31</f>
        <v>48233</v>
      </c>
      <c r="C131" s="963" t="str">
        <f t="shared" si="16"/>
        <v/>
      </c>
      <c r="D131" s="963" t="str">
        <f t="shared" si="21"/>
        <v/>
      </c>
      <c r="E131" s="964"/>
      <c r="F131" s="965" t="e">
        <f t="shared" si="17"/>
        <v>#VALUE!</v>
      </c>
      <c r="G131" s="963" t="str">
        <f t="shared" si="18"/>
        <v/>
      </c>
      <c r="H131" s="963" t="str">
        <f t="shared" si="19"/>
        <v/>
      </c>
      <c r="I131" s="963" t="e">
        <f t="shared" si="20"/>
        <v>#VALUE!</v>
      </c>
      <c r="J131" s="989"/>
      <c r="K131" s="950"/>
    </row>
    <row r="132" spans="1:11">
      <c r="A132" s="925" t="str">
        <f>IF(Values_Entered,A131+1,"")</f>
        <v/>
      </c>
      <c r="B132" s="953">
        <f>B131+31</f>
        <v>48264</v>
      </c>
      <c r="C132" s="963" t="str">
        <f t="shared" si="16"/>
        <v/>
      </c>
      <c r="D132" s="963" t="str">
        <f t="shared" si="21"/>
        <v/>
      </c>
      <c r="E132" s="964"/>
      <c r="F132" s="965" t="e">
        <f t="shared" si="17"/>
        <v>#VALUE!</v>
      </c>
      <c r="G132" s="963" t="str">
        <f t="shared" si="18"/>
        <v/>
      </c>
      <c r="H132" s="963" t="str">
        <f t="shared" si="19"/>
        <v/>
      </c>
      <c r="I132" s="963" t="e">
        <f t="shared" si="20"/>
        <v>#VALUE!</v>
      </c>
      <c r="J132" s="989"/>
      <c r="K132" s="950"/>
    </row>
    <row r="133" spans="1:11">
      <c r="A133" s="925" t="str">
        <f>IF(Values_Entered,A132+1,"")</f>
        <v/>
      </c>
      <c r="B133" s="953">
        <f>B132+29</f>
        <v>48293</v>
      </c>
      <c r="C133" s="963" t="str">
        <f t="shared" si="16"/>
        <v/>
      </c>
      <c r="D133" s="963" t="str">
        <f t="shared" si="21"/>
        <v/>
      </c>
      <c r="E133" s="964"/>
      <c r="F133" s="965" t="e">
        <f t="shared" si="17"/>
        <v>#VALUE!</v>
      </c>
      <c r="G133" s="963" t="str">
        <f t="shared" si="18"/>
        <v/>
      </c>
      <c r="H133" s="963" t="str">
        <f t="shared" si="19"/>
        <v/>
      </c>
      <c r="I133" s="963" t="e">
        <f t="shared" si="20"/>
        <v>#VALUE!</v>
      </c>
      <c r="J133" s="989"/>
      <c r="K133" s="950"/>
    </row>
    <row r="134" spans="1:11">
      <c r="A134" s="925" t="str">
        <f>IF(Values_Entered,A133+1,"")</f>
        <v/>
      </c>
      <c r="B134" s="953">
        <f>B133+31</f>
        <v>48324</v>
      </c>
      <c r="C134" s="963" t="str">
        <f t="shared" si="16"/>
        <v/>
      </c>
      <c r="D134" s="963" t="str">
        <f t="shared" si="21"/>
        <v/>
      </c>
      <c r="E134" s="964"/>
      <c r="F134" s="965" t="e">
        <f t="shared" si="17"/>
        <v>#VALUE!</v>
      </c>
      <c r="G134" s="963" t="str">
        <f t="shared" si="18"/>
        <v/>
      </c>
      <c r="H134" s="963" t="str">
        <f t="shared" si="19"/>
        <v/>
      </c>
      <c r="I134" s="963" t="e">
        <f t="shared" si="20"/>
        <v>#VALUE!</v>
      </c>
      <c r="J134" s="989"/>
      <c r="K134" s="950"/>
    </row>
    <row r="135" spans="1:11">
      <c r="A135" s="925" t="str">
        <f>IF(Values_Entered,A134+1,"")</f>
        <v/>
      </c>
      <c r="B135" s="953">
        <f t="shared" si="22"/>
        <v>48354</v>
      </c>
      <c r="C135" s="963" t="str">
        <f t="shared" si="16"/>
        <v/>
      </c>
      <c r="D135" s="963" t="str">
        <f t="shared" si="21"/>
        <v/>
      </c>
      <c r="E135" s="964"/>
      <c r="F135" s="965" t="e">
        <f t="shared" si="17"/>
        <v>#VALUE!</v>
      </c>
      <c r="G135" s="963" t="str">
        <f t="shared" si="18"/>
        <v/>
      </c>
      <c r="H135" s="963" t="str">
        <f t="shared" si="19"/>
        <v/>
      </c>
      <c r="I135" s="963" t="e">
        <f t="shared" si="20"/>
        <v>#VALUE!</v>
      </c>
      <c r="J135" s="989"/>
      <c r="K135" s="950"/>
    </row>
    <row r="136" spans="1:11">
      <c r="A136" s="925" t="str">
        <f>IF(Values_Entered,A135+1,"")</f>
        <v/>
      </c>
      <c r="B136" s="953">
        <f>B135+31</f>
        <v>48385</v>
      </c>
      <c r="C136" s="963" t="str">
        <f t="shared" si="16"/>
        <v/>
      </c>
      <c r="D136" s="963" t="str">
        <f t="shared" si="21"/>
        <v/>
      </c>
      <c r="E136" s="964"/>
      <c r="F136" s="965" t="e">
        <f t="shared" si="17"/>
        <v>#VALUE!</v>
      </c>
      <c r="G136" s="963" t="str">
        <f t="shared" si="18"/>
        <v/>
      </c>
      <c r="H136" s="963" t="str">
        <f t="shared" si="19"/>
        <v/>
      </c>
      <c r="I136" s="963" t="e">
        <f t="shared" si="20"/>
        <v>#VALUE!</v>
      </c>
      <c r="J136" s="989"/>
      <c r="K136" s="950"/>
    </row>
    <row r="137" spans="1:11">
      <c r="A137" s="925" t="str">
        <f>IF(Values_Entered,A136+1,"")</f>
        <v/>
      </c>
      <c r="B137" s="953">
        <f t="shared" si="22"/>
        <v>48415</v>
      </c>
      <c r="C137" s="963" t="str">
        <f t="shared" si="16"/>
        <v/>
      </c>
      <c r="D137" s="963" t="str">
        <f t="shared" si="21"/>
        <v/>
      </c>
      <c r="E137" s="964"/>
      <c r="F137" s="965" t="e">
        <f t="shared" si="17"/>
        <v>#VALUE!</v>
      </c>
      <c r="G137" s="963" t="str">
        <f t="shared" si="18"/>
        <v/>
      </c>
      <c r="H137" s="963" t="str">
        <f t="shared" si="19"/>
        <v/>
      </c>
      <c r="I137" s="963" t="e">
        <f t="shared" si="20"/>
        <v>#VALUE!</v>
      </c>
      <c r="J137" s="989"/>
      <c r="K137" s="950"/>
    </row>
    <row r="138" spans="1:11">
      <c r="A138" s="925" t="str">
        <f>IF(Values_Entered,A137+1,"")</f>
        <v/>
      </c>
      <c r="B138" s="953">
        <f>B137+31</f>
        <v>48446</v>
      </c>
      <c r="C138" s="963" t="str">
        <f t="shared" si="16"/>
        <v/>
      </c>
      <c r="D138" s="963" t="str">
        <f t="shared" si="21"/>
        <v/>
      </c>
      <c r="E138" s="964"/>
      <c r="F138" s="965" t="e">
        <f t="shared" si="17"/>
        <v>#VALUE!</v>
      </c>
      <c r="G138" s="963" t="str">
        <f t="shared" si="18"/>
        <v/>
      </c>
      <c r="H138" s="963" t="str">
        <f t="shared" si="19"/>
        <v/>
      </c>
      <c r="I138" s="963" t="e">
        <f t="shared" si="20"/>
        <v>#VALUE!</v>
      </c>
      <c r="J138" s="989"/>
      <c r="K138" s="950"/>
    </row>
    <row r="139" spans="1:11">
      <c r="A139" s="925" t="str">
        <f>IF(Values_Entered,A138+1,"")</f>
        <v/>
      </c>
      <c r="B139" s="953">
        <f>B138+31</f>
        <v>48477</v>
      </c>
      <c r="C139" s="963" t="str">
        <f t="shared" si="16"/>
        <v/>
      </c>
      <c r="D139" s="963" t="str">
        <f t="shared" si="21"/>
        <v/>
      </c>
      <c r="E139" s="964"/>
      <c r="F139" s="965" t="e">
        <f t="shared" si="17"/>
        <v>#VALUE!</v>
      </c>
      <c r="G139" s="963" t="str">
        <f t="shared" si="18"/>
        <v/>
      </c>
      <c r="H139" s="963" t="str">
        <f t="shared" si="19"/>
        <v/>
      </c>
      <c r="I139" s="963" t="e">
        <f t="shared" si="20"/>
        <v>#VALUE!</v>
      </c>
      <c r="J139" s="989"/>
      <c r="K139" s="950"/>
    </row>
    <row r="140" spans="1:11">
      <c r="A140" s="925" t="str">
        <f>IF(Values_Entered,A139+1,"")</f>
        <v/>
      </c>
      <c r="B140" s="953">
        <f t="shared" si="22"/>
        <v>48507</v>
      </c>
      <c r="C140" s="963" t="str">
        <f t="shared" si="16"/>
        <v/>
      </c>
      <c r="D140" s="963" t="str">
        <f t="shared" si="21"/>
        <v/>
      </c>
      <c r="E140" s="964"/>
      <c r="F140" s="965" t="e">
        <f t="shared" si="17"/>
        <v>#VALUE!</v>
      </c>
      <c r="G140" s="963" t="str">
        <f t="shared" si="18"/>
        <v/>
      </c>
      <c r="H140" s="963" t="str">
        <f t="shared" si="19"/>
        <v/>
      </c>
      <c r="I140" s="963" t="e">
        <f t="shared" si="20"/>
        <v>#VALUE!</v>
      </c>
      <c r="J140" s="989"/>
      <c r="K140" s="950"/>
    </row>
    <row r="141" spans="1:11">
      <c r="A141" s="925" t="str">
        <f>IF(Values_Entered,A140+1,"")</f>
        <v/>
      </c>
      <c r="B141" s="953">
        <f>B140+31</f>
        <v>48538</v>
      </c>
      <c r="C141" s="963" t="str">
        <f t="shared" si="16"/>
        <v/>
      </c>
      <c r="D141" s="963" t="str">
        <f t="shared" si="21"/>
        <v/>
      </c>
      <c r="E141" s="964"/>
      <c r="F141" s="965" t="e">
        <f t="shared" si="17"/>
        <v>#VALUE!</v>
      </c>
      <c r="G141" s="963" t="str">
        <f t="shared" si="18"/>
        <v/>
      </c>
      <c r="H141" s="963" t="str">
        <f t="shared" si="19"/>
        <v/>
      </c>
      <c r="I141" s="963" t="e">
        <f t="shared" si="20"/>
        <v>#VALUE!</v>
      </c>
      <c r="J141" s="989"/>
      <c r="K141" s="950"/>
    </row>
    <row r="142" spans="1:11">
      <c r="A142" s="925" t="str">
        <f>IF(Values_Entered,A141+1,"")</f>
        <v/>
      </c>
      <c r="B142" s="953">
        <f t="shared" si="22"/>
        <v>48568</v>
      </c>
      <c r="C142" s="963" t="str">
        <f t="shared" si="16"/>
        <v/>
      </c>
      <c r="D142" s="963" t="str">
        <f t="shared" si="21"/>
        <v/>
      </c>
      <c r="E142" s="964"/>
      <c r="F142" s="965" t="e">
        <f t="shared" si="17"/>
        <v>#VALUE!</v>
      </c>
      <c r="G142" s="963" t="str">
        <f t="shared" si="18"/>
        <v/>
      </c>
      <c r="H142" s="963" t="str">
        <f t="shared" si="19"/>
        <v/>
      </c>
      <c r="I142" s="963" t="e">
        <f t="shared" si="20"/>
        <v>#VALUE!</v>
      </c>
      <c r="J142" s="989"/>
      <c r="K142" s="950"/>
    </row>
    <row r="143" spans="1:11">
      <c r="A143" s="925" t="str">
        <f>IF(Values_Entered,A142+1,"")</f>
        <v/>
      </c>
      <c r="B143" s="953">
        <f>B142+31</f>
        <v>48599</v>
      </c>
      <c r="C143" s="963" t="str">
        <f t="shared" si="16"/>
        <v/>
      </c>
      <c r="D143" s="963" t="str">
        <f t="shared" si="21"/>
        <v/>
      </c>
      <c r="E143" s="964"/>
      <c r="F143" s="965" t="e">
        <f t="shared" si="17"/>
        <v>#VALUE!</v>
      </c>
      <c r="G143" s="963" t="str">
        <f t="shared" si="18"/>
        <v/>
      </c>
      <c r="H143" s="963" t="str">
        <f t="shared" si="19"/>
        <v/>
      </c>
      <c r="I143" s="963" t="e">
        <f t="shared" si="20"/>
        <v>#VALUE!</v>
      </c>
      <c r="J143" s="989"/>
      <c r="K143" s="950"/>
    </row>
    <row r="144" spans="1:11">
      <c r="A144" s="925" t="str">
        <f>IF(Values_Entered,A143+1,"")</f>
        <v/>
      </c>
      <c r="B144" s="953">
        <f>B143+31</f>
        <v>48630</v>
      </c>
      <c r="C144" s="963" t="str">
        <f t="shared" si="16"/>
        <v/>
      </c>
      <c r="D144" s="963" t="str">
        <f t="shared" si="21"/>
        <v/>
      </c>
      <c r="E144" s="964"/>
      <c r="F144" s="965" t="e">
        <f t="shared" si="17"/>
        <v>#VALUE!</v>
      </c>
      <c r="G144" s="963" t="str">
        <f t="shared" si="18"/>
        <v/>
      </c>
      <c r="H144" s="963" t="str">
        <f t="shared" si="19"/>
        <v/>
      </c>
      <c r="I144" s="963" t="e">
        <f t="shared" si="20"/>
        <v>#VALUE!</v>
      </c>
      <c r="J144" s="989"/>
      <c r="K144" s="950"/>
    </row>
    <row r="145" spans="1:11">
      <c r="A145" s="925" t="str">
        <f>IF(Values_Entered,A144+1,"")</f>
        <v/>
      </c>
      <c r="B145" s="953">
        <v>42032</v>
      </c>
      <c r="C145" s="963" t="str">
        <f t="shared" si="16"/>
        <v/>
      </c>
      <c r="D145" s="963" t="str">
        <f t="shared" si="21"/>
        <v/>
      </c>
      <c r="E145" s="964"/>
      <c r="F145" s="965" t="e">
        <f t="shared" si="17"/>
        <v>#VALUE!</v>
      </c>
      <c r="G145" s="963" t="str">
        <f t="shared" si="18"/>
        <v/>
      </c>
      <c r="H145" s="963" t="str">
        <f t="shared" si="19"/>
        <v/>
      </c>
      <c r="I145" s="963" t="e">
        <f t="shared" si="20"/>
        <v>#VALUE!</v>
      </c>
      <c r="J145" s="989"/>
      <c r="K145" s="950"/>
    </row>
    <row r="146" spans="1:11">
      <c r="A146" s="925" t="str">
        <f>IF(Values_Entered,A145+1,"")</f>
        <v/>
      </c>
      <c r="B146" s="953" t="str">
        <f t="shared" ref="B146:B152" si="23">IF(Pay_Num&lt;&gt;"",DATE(YEAR(Loan_Start),MONTH(Loan_Start)+(Pay_Num)*12/Num_Pmt_Per_Year,DAY(Loan_Start)),"")</f>
        <v/>
      </c>
      <c r="C146" s="963" t="str">
        <f t="shared" ref="C146:C154" si="24">IF(Pay_Num&lt;&gt;"",I145,"")</f>
        <v/>
      </c>
      <c r="D146" s="963" t="str">
        <f t="shared" ref="D146:D154" si="25">IF(Pay_Num&lt;&gt;"",Scheduled_Monthly_Payment,"")</f>
        <v/>
      </c>
      <c r="E146" s="964" t="e">
        <f t="shared" ref="E146:E152" si="26">IF(AND(Pay_Num&lt;&gt;"",Sched_Pay+Scheduled_Extra_Payments&lt;Beg_Bal),Scheduled_Extra_Payments,IF(AND(Pay_Num&lt;&gt;"",Beg_Bal-Sched_Pay&gt;0),Beg_Bal-Sched_Pay,IF(Pay_Num&lt;&gt;"",0,"")))</f>
        <v>#VALUE!</v>
      </c>
      <c r="F146" s="965" t="e">
        <f t="shared" si="17"/>
        <v>#VALUE!</v>
      </c>
      <c r="G146" s="963" t="str">
        <f t="shared" si="18"/>
        <v/>
      </c>
      <c r="H146" s="963" t="str">
        <f t="shared" si="19"/>
        <v/>
      </c>
      <c r="I146" s="963" t="e">
        <f t="shared" si="20"/>
        <v>#VALUE!</v>
      </c>
      <c r="J146" s="989"/>
      <c r="K146" s="950"/>
    </row>
    <row r="147" spans="1:11">
      <c r="A147" s="925" t="str">
        <f>IF(Values_Entered,A146+1,"")</f>
        <v/>
      </c>
      <c r="B147" s="953" t="str">
        <f t="shared" si="23"/>
        <v/>
      </c>
      <c r="C147" s="963" t="str">
        <f t="shared" si="24"/>
        <v/>
      </c>
      <c r="D147" s="963" t="str">
        <f t="shared" si="25"/>
        <v/>
      </c>
      <c r="E147" s="964" t="e">
        <f t="shared" si="26"/>
        <v>#VALUE!</v>
      </c>
      <c r="F147" s="965" t="e">
        <f t="shared" si="17"/>
        <v>#VALUE!</v>
      </c>
      <c r="G147" s="963" t="str">
        <f t="shared" si="18"/>
        <v/>
      </c>
      <c r="H147" s="963" t="str">
        <f t="shared" si="19"/>
        <v/>
      </c>
      <c r="I147" s="963" t="e">
        <f t="shared" si="20"/>
        <v>#VALUE!</v>
      </c>
      <c r="J147" s="989"/>
      <c r="K147" s="950"/>
    </row>
    <row r="148" spans="1:11">
      <c r="A148" s="925" t="str">
        <f>IF(Values_Entered,A147+1,"")</f>
        <v/>
      </c>
      <c r="B148" s="953" t="str">
        <f t="shared" si="23"/>
        <v/>
      </c>
      <c r="C148" s="963" t="str">
        <f t="shared" si="24"/>
        <v/>
      </c>
      <c r="D148" s="963" t="str">
        <f t="shared" si="25"/>
        <v/>
      </c>
      <c r="E148" s="964" t="e">
        <f t="shared" si="26"/>
        <v>#VALUE!</v>
      </c>
      <c r="F148" s="965" t="e">
        <f t="shared" si="17"/>
        <v>#VALUE!</v>
      </c>
      <c r="G148" s="963" t="str">
        <f t="shared" si="18"/>
        <v/>
      </c>
      <c r="H148" s="963" t="str">
        <f t="shared" si="19"/>
        <v/>
      </c>
      <c r="I148" s="963" t="e">
        <f t="shared" si="20"/>
        <v>#VALUE!</v>
      </c>
      <c r="J148" s="989"/>
      <c r="K148" s="950"/>
    </row>
    <row r="149" spans="1:11">
      <c r="A149" s="925" t="str">
        <f>IF(Values_Entered,A148+1,"")</f>
        <v/>
      </c>
      <c r="B149" s="953" t="str">
        <f t="shared" si="23"/>
        <v/>
      </c>
      <c r="C149" s="963" t="str">
        <f t="shared" si="24"/>
        <v/>
      </c>
      <c r="D149" s="963" t="str">
        <f t="shared" si="25"/>
        <v/>
      </c>
      <c r="E149" s="964" t="e">
        <f t="shared" si="26"/>
        <v>#VALUE!</v>
      </c>
      <c r="F149" s="965" t="e">
        <f t="shared" si="17"/>
        <v>#VALUE!</v>
      </c>
      <c r="G149" s="963" t="str">
        <f t="shared" si="18"/>
        <v/>
      </c>
      <c r="H149" s="963" t="str">
        <f t="shared" si="19"/>
        <v/>
      </c>
      <c r="I149" s="963" t="e">
        <f t="shared" si="20"/>
        <v>#VALUE!</v>
      </c>
      <c r="J149" s="989"/>
      <c r="K149" s="950"/>
    </row>
    <row r="150" spans="1:11">
      <c r="A150" s="925" t="str">
        <f>IF(Values_Entered,A149+1,"")</f>
        <v/>
      </c>
      <c r="B150" s="953" t="str">
        <f t="shared" si="23"/>
        <v/>
      </c>
      <c r="C150" s="963" t="str">
        <f t="shared" si="24"/>
        <v/>
      </c>
      <c r="D150" s="963" t="str">
        <f t="shared" si="25"/>
        <v/>
      </c>
      <c r="E150" s="964" t="e">
        <f t="shared" si="26"/>
        <v>#VALUE!</v>
      </c>
      <c r="F150" s="965" t="e">
        <f t="shared" si="17"/>
        <v>#VALUE!</v>
      </c>
      <c r="G150" s="963" t="str">
        <f t="shared" si="18"/>
        <v/>
      </c>
      <c r="H150" s="963" t="str">
        <f t="shared" si="19"/>
        <v/>
      </c>
      <c r="I150" s="963" t="e">
        <f t="shared" si="20"/>
        <v>#VALUE!</v>
      </c>
      <c r="J150" s="989"/>
      <c r="K150" s="950"/>
    </row>
    <row r="151" spans="1:11">
      <c r="A151" s="925" t="str">
        <f>IF(Values_Entered,A150+1,"")</f>
        <v/>
      </c>
      <c r="B151" s="953" t="str">
        <f t="shared" si="23"/>
        <v/>
      </c>
      <c r="C151" s="963" t="str">
        <f t="shared" si="24"/>
        <v/>
      </c>
      <c r="D151" s="963" t="str">
        <f t="shared" si="25"/>
        <v/>
      </c>
      <c r="E151" s="964" t="e">
        <f t="shared" si="26"/>
        <v>#VALUE!</v>
      </c>
      <c r="F151" s="965" t="e">
        <f t="shared" si="17"/>
        <v>#VALUE!</v>
      </c>
      <c r="G151" s="963" t="str">
        <f t="shared" si="18"/>
        <v/>
      </c>
      <c r="H151" s="963" t="str">
        <f t="shared" si="19"/>
        <v/>
      </c>
      <c r="I151" s="963" t="e">
        <f t="shared" si="20"/>
        <v>#VALUE!</v>
      </c>
      <c r="J151" s="989"/>
      <c r="K151" s="950"/>
    </row>
    <row r="152" spans="1:11">
      <c r="A152" s="925" t="str">
        <f>IF(Values_Entered,A151+1,"")</f>
        <v/>
      </c>
      <c r="B152" s="953" t="str">
        <f t="shared" si="23"/>
        <v/>
      </c>
      <c r="C152" s="963" t="str">
        <f t="shared" si="24"/>
        <v/>
      </c>
      <c r="D152" s="963" t="str">
        <f t="shared" si="25"/>
        <v/>
      </c>
      <c r="E152" s="964" t="e">
        <f t="shared" si="26"/>
        <v>#VALUE!</v>
      </c>
      <c r="F152" s="965" t="e">
        <f t="shared" si="17"/>
        <v>#VALUE!</v>
      </c>
      <c r="G152" s="963" t="str">
        <f t="shared" si="18"/>
        <v/>
      </c>
      <c r="H152" s="963" t="str">
        <f t="shared" si="19"/>
        <v/>
      </c>
      <c r="I152" s="963" t="e">
        <f t="shared" si="20"/>
        <v>#VALUE!</v>
      </c>
      <c r="J152" s="989"/>
      <c r="K152" s="950"/>
    </row>
    <row r="153" spans="1:11">
      <c r="A153" s="925" t="str">
        <f>IF(Values_Entered,A152+1,"")</f>
        <v/>
      </c>
      <c r="B153" s="953" t="str">
        <f t="shared" ref="B153:B216" si="27">IF(Pay_Num&lt;&gt;"",DATE(YEAR(Loan_Start),MONTH(Loan_Start)+(Pay_Num)*12/Num_Pmt_Per_Year,DAY(Loan_Start)),"")</f>
        <v/>
      </c>
      <c r="C153" s="963" t="str">
        <f t="shared" si="24"/>
        <v/>
      </c>
      <c r="D153" s="963" t="str">
        <f t="shared" si="25"/>
        <v/>
      </c>
      <c r="E153" s="964" t="e">
        <f t="shared" ref="E153:E216" si="28">IF(AND(Pay_Num&lt;&gt;"",Sched_Pay+Scheduled_Extra_Payments&lt;Beg_Bal),Scheduled_Extra_Payments,IF(AND(Pay_Num&lt;&gt;"",Beg_Bal-Sched_Pay&gt;0),Beg_Bal-Sched_Pay,IF(Pay_Num&lt;&gt;"",0,"")))</f>
        <v>#VALUE!</v>
      </c>
      <c r="F153" s="965" t="e">
        <f t="shared" ref="F153:F204" si="29">IF(AND(Pay_Num&lt;&gt;"",Sched_Pay+Extra_Pay&lt;Beg_Bal),Sched_Pay+Extra_Pay,IF(Pay_Num&lt;&gt;"",Beg_Bal,""))</f>
        <v>#VALUE!</v>
      </c>
      <c r="G153" s="963" t="str">
        <f t="shared" si="18"/>
        <v/>
      </c>
      <c r="H153" s="963" t="str">
        <f t="shared" si="19"/>
        <v/>
      </c>
      <c r="I153" s="963" t="e">
        <f t="shared" si="20"/>
        <v>#VALUE!</v>
      </c>
      <c r="J153" s="989"/>
      <c r="K153" s="950"/>
    </row>
    <row r="154" spans="1:11">
      <c r="A154" s="925" t="str">
        <f>IF(Values_Entered,A153+1,"")</f>
        <v/>
      </c>
      <c r="B154" s="953" t="str">
        <f t="shared" si="27"/>
        <v/>
      </c>
      <c r="C154" s="963" t="str">
        <f t="shared" si="24"/>
        <v/>
      </c>
      <c r="D154" s="963" t="str">
        <f t="shared" si="25"/>
        <v/>
      </c>
      <c r="E154" s="964" t="e">
        <f t="shared" si="28"/>
        <v>#VALUE!</v>
      </c>
      <c r="F154" s="965" t="e">
        <f t="shared" si="29"/>
        <v>#VALUE!</v>
      </c>
      <c r="G154" s="963" t="str">
        <f t="shared" ref="G154:G204" si="30">IF(Pay_Num&lt;&gt;"",Total_Pay-Int,"")</f>
        <v/>
      </c>
      <c r="H154" s="963" t="str">
        <f t="shared" ref="H154:H204" si="31">IF(Pay_Num&lt;&gt;"",Beg_Bal*Interest_Rate/Num_Pmt_Per_Year,"")</f>
        <v/>
      </c>
      <c r="I154" s="963" t="e">
        <f t="shared" ref="I154:I204" si="32">IF(AND(Pay_Num&lt;&gt;"",Sched_Pay+Extra_Pay&lt;Beg_Bal),Beg_Bal-Princ,IF(Pay_Num&lt;&gt;"",0,""))</f>
        <v>#VALUE!</v>
      </c>
      <c r="J154" s="989"/>
      <c r="K154" s="950"/>
    </row>
    <row r="155" spans="1:11">
      <c r="A155" s="925" t="str">
        <f>IF(Values_Entered,A154+1,"")</f>
        <v/>
      </c>
      <c r="B155" s="953" t="str">
        <f t="shared" si="27"/>
        <v/>
      </c>
      <c r="C155" s="963" t="str">
        <f t="shared" ref="C155:C218" si="33">IF(Pay_Num&lt;&gt;"",I154,"")</f>
        <v/>
      </c>
      <c r="D155" s="963" t="str">
        <f t="shared" ref="D155:D218" si="34">IF(Pay_Num&lt;&gt;"",Scheduled_Monthly_Payment,"")</f>
        <v/>
      </c>
      <c r="E155" s="964" t="e">
        <f t="shared" si="28"/>
        <v>#VALUE!</v>
      </c>
      <c r="F155" s="965" t="e">
        <f t="shared" si="29"/>
        <v>#VALUE!</v>
      </c>
      <c r="G155" s="963" t="str">
        <f t="shared" si="30"/>
        <v/>
      </c>
      <c r="H155" s="963" t="str">
        <f t="shared" si="31"/>
        <v/>
      </c>
      <c r="I155" s="963" t="e">
        <f t="shared" si="32"/>
        <v>#VALUE!</v>
      </c>
      <c r="J155" s="989"/>
      <c r="K155" s="950"/>
    </row>
    <row r="156" spans="1:11">
      <c r="A156" s="925" t="str">
        <f>IF(Values_Entered,A155+1,"")</f>
        <v/>
      </c>
      <c r="B156" s="953" t="str">
        <f t="shared" si="27"/>
        <v/>
      </c>
      <c r="C156" s="963" t="str">
        <f t="shared" si="33"/>
        <v/>
      </c>
      <c r="D156" s="963" t="str">
        <f t="shared" si="34"/>
        <v/>
      </c>
      <c r="E156" s="964" t="e">
        <f t="shared" si="28"/>
        <v>#VALUE!</v>
      </c>
      <c r="F156" s="965" t="e">
        <f t="shared" si="29"/>
        <v>#VALUE!</v>
      </c>
      <c r="G156" s="963" t="str">
        <f t="shared" si="30"/>
        <v/>
      </c>
      <c r="H156" s="963" t="str">
        <f t="shared" si="31"/>
        <v/>
      </c>
      <c r="I156" s="963" t="e">
        <f t="shared" si="32"/>
        <v>#VALUE!</v>
      </c>
      <c r="J156" s="989"/>
      <c r="K156" s="950"/>
    </row>
    <row r="157" spans="1:11">
      <c r="A157" s="925" t="str">
        <f>IF(Values_Entered,A156+1,"")</f>
        <v/>
      </c>
      <c r="B157" s="953" t="str">
        <f t="shared" si="27"/>
        <v/>
      </c>
      <c r="C157" s="963" t="str">
        <f t="shared" si="33"/>
        <v/>
      </c>
      <c r="D157" s="963" t="str">
        <f t="shared" si="34"/>
        <v/>
      </c>
      <c r="E157" s="964" t="e">
        <f t="shared" si="28"/>
        <v>#VALUE!</v>
      </c>
      <c r="F157" s="965" t="e">
        <f t="shared" si="29"/>
        <v>#VALUE!</v>
      </c>
      <c r="G157" s="963" t="str">
        <f t="shared" si="30"/>
        <v/>
      </c>
      <c r="H157" s="963" t="str">
        <f t="shared" si="31"/>
        <v/>
      </c>
      <c r="I157" s="963" t="e">
        <f t="shared" si="32"/>
        <v>#VALUE!</v>
      </c>
      <c r="J157" s="989"/>
      <c r="K157" s="950"/>
    </row>
    <row r="158" spans="1:11">
      <c r="A158" s="925" t="str">
        <f>IF(Values_Entered,A157+1,"")</f>
        <v/>
      </c>
      <c r="B158" s="953" t="str">
        <f t="shared" si="27"/>
        <v/>
      </c>
      <c r="C158" s="963" t="str">
        <f t="shared" si="33"/>
        <v/>
      </c>
      <c r="D158" s="963" t="str">
        <f t="shared" si="34"/>
        <v/>
      </c>
      <c r="E158" s="964" t="e">
        <f t="shared" si="28"/>
        <v>#VALUE!</v>
      </c>
      <c r="F158" s="965" t="e">
        <f t="shared" si="29"/>
        <v>#VALUE!</v>
      </c>
      <c r="G158" s="963" t="str">
        <f t="shared" si="30"/>
        <v/>
      </c>
      <c r="H158" s="963" t="str">
        <f t="shared" si="31"/>
        <v/>
      </c>
      <c r="I158" s="963" t="e">
        <f t="shared" si="32"/>
        <v>#VALUE!</v>
      </c>
      <c r="J158" s="989"/>
      <c r="K158" s="950"/>
    </row>
    <row r="159" spans="1:11">
      <c r="A159" s="925" t="str">
        <f>IF(Values_Entered,A158+1,"")</f>
        <v/>
      </c>
      <c r="B159" s="953" t="str">
        <f t="shared" si="27"/>
        <v/>
      </c>
      <c r="C159" s="963" t="str">
        <f t="shared" si="33"/>
        <v/>
      </c>
      <c r="D159" s="963" t="str">
        <f t="shared" si="34"/>
        <v/>
      </c>
      <c r="E159" s="964" t="e">
        <f t="shared" si="28"/>
        <v>#VALUE!</v>
      </c>
      <c r="F159" s="965" t="e">
        <f t="shared" si="29"/>
        <v>#VALUE!</v>
      </c>
      <c r="G159" s="963" t="str">
        <f t="shared" si="30"/>
        <v/>
      </c>
      <c r="H159" s="963" t="str">
        <f t="shared" si="31"/>
        <v/>
      </c>
      <c r="I159" s="963" t="e">
        <f t="shared" si="32"/>
        <v>#VALUE!</v>
      </c>
      <c r="J159" s="989"/>
      <c r="K159" s="950"/>
    </row>
    <row r="160" spans="1:11">
      <c r="A160" s="925" t="str">
        <f>IF(Values_Entered,A159+1,"")</f>
        <v/>
      </c>
      <c r="B160" s="953" t="str">
        <f t="shared" si="27"/>
        <v/>
      </c>
      <c r="C160" s="963" t="str">
        <f t="shared" si="33"/>
        <v/>
      </c>
      <c r="D160" s="963" t="str">
        <f t="shared" si="34"/>
        <v/>
      </c>
      <c r="E160" s="964" t="e">
        <f t="shared" si="28"/>
        <v>#VALUE!</v>
      </c>
      <c r="F160" s="965" t="e">
        <f t="shared" si="29"/>
        <v>#VALUE!</v>
      </c>
      <c r="G160" s="963" t="str">
        <f t="shared" si="30"/>
        <v/>
      </c>
      <c r="H160" s="963" t="str">
        <f t="shared" si="31"/>
        <v/>
      </c>
      <c r="I160" s="963" t="e">
        <f t="shared" si="32"/>
        <v>#VALUE!</v>
      </c>
      <c r="J160" s="989"/>
      <c r="K160" s="950"/>
    </row>
    <row r="161" spans="1:11">
      <c r="A161" s="925" t="str">
        <f>IF(Values_Entered,A160+1,"")</f>
        <v/>
      </c>
      <c r="B161" s="953" t="str">
        <f t="shared" si="27"/>
        <v/>
      </c>
      <c r="C161" s="963" t="str">
        <f t="shared" si="33"/>
        <v/>
      </c>
      <c r="D161" s="963" t="str">
        <f t="shared" si="34"/>
        <v/>
      </c>
      <c r="E161" s="964" t="e">
        <f t="shared" si="28"/>
        <v>#VALUE!</v>
      </c>
      <c r="F161" s="965" t="e">
        <f t="shared" si="29"/>
        <v>#VALUE!</v>
      </c>
      <c r="G161" s="963" t="str">
        <f t="shared" si="30"/>
        <v/>
      </c>
      <c r="H161" s="963" t="str">
        <f t="shared" si="31"/>
        <v/>
      </c>
      <c r="I161" s="963" t="e">
        <f t="shared" si="32"/>
        <v>#VALUE!</v>
      </c>
      <c r="J161" s="989"/>
      <c r="K161" s="950"/>
    </row>
    <row r="162" spans="1:11">
      <c r="A162" s="925" t="str">
        <f>IF(Values_Entered,A161+1,"")</f>
        <v/>
      </c>
      <c r="B162" s="953" t="str">
        <f t="shared" si="27"/>
        <v/>
      </c>
      <c r="C162" s="963" t="str">
        <f t="shared" si="33"/>
        <v/>
      </c>
      <c r="D162" s="963" t="str">
        <f t="shared" si="34"/>
        <v/>
      </c>
      <c r="E162" s="964" t="e">
        <f t="shared" si="28"/>
        <v>#VALUE!</v>
      </c>
      <c r="F162" s="965" t="e">
        <f t="shared" si="29"/>
        <v>#VALUE!</v>
      </c>
      <c r="G162" s="963" t="str">
        <f t="shared" si="30"/>
        <v/>
      </c>
      <c r="H162" s="963" t="str">
        <f t="shared" si="31"/>
        <v/>
      </c>
      <c r="I162" s="963" t="e">
        <f t="shared" si="32"/>
        <v>#VALUE!</v>
      </c>
      <c r="J162" s="989"/>
      <c r="K162" s="950"/>
    </row>
    <row r="163" spans="1:11">
      <c r="A163" s="925" t="str">
        <f>IF(Values_Entered,A162+1,"")</f>
        <v/>
      </c>
      <c r="B163" s="953" t="str">
        <f t="shared" si="27"/>
        <v/>
      </c>
      <c r="C163" s="963" t="str">
        <f t="shared" si="33"/>
        <v/>
      </c>
      <c r="D163" s="963" t="str">
        <f t="shared" si="34"/>
        <v/>
      </c>
      <c r="E163" s="964" t="e">
        <f t="shared" si="28"/>
        <v>#VALUE!</v>
      </c>
      <c r="F163" s="965" t="e">
        <f t="shared" si="29"/>
        <v>#VALUE!</v>
      </c>
      <c r="G163" s="963" t="str">
        <f t="shared" si="30"/>
        <v/>
      </c>
      <c r="H163" s="963" t="str">
        <f t="shared" si="31"/>
        <v/>
      </c>
      <c r="I163" s="963" t="e">
        <f t="shared" si="32"/>
        <v>#VALUE!</v>
      </c>
      <c r="J163" s="989"/>
      <c r="K163" s="950"/>
    </row>
    <row r="164" spans="1:11">
      <c r="A164" s="925" t="str">
        <f>IF(Values_Entered,A163+1,"")</f>
        <v/>
      </c>
      <c r="B164" s="953" t="str">
        <f t="shared" si="27"/>
        <v/>
      </c>
      <c r="C164" s="963" t="str">
        <f t="shared" si="33"/>
        <v/>
      </c>
      <c r="D164" s="963" t="str">
        <f t="shared" si="34"/>
        <v/>
      </c>
      <c r="E164" s="964" t="e">
        <f t="shared" si="28"/>
        <v>#VALUE!</v>
      </c>
      <c r="F164" s="965" t="e">
        <f t="shared" si="29"/>
        <v>#VALUE!</v>
      </c>
      <c r="G164" s="963" t="str">
        <f t="shared" si="30"/>
        <v/>
      </c>
      <c r="H164" s="963" t="str">
        <f t="shared" si="31"/>
        <v/>
      </c>
      <c r="I164" s="963" t="e">
        <f t="shared" si="32"/>
        <v>#VALUE!</v>
      </c>
      <c r="J164" s="989"/>
      <c r="K164" s="950"/>
    </row>
    <row r="165" spans="1:11">
      <c r="A165" s="925" t="str">
        <f>IF(Values_Entered,A164+1,"")</f>
        <v/>
      </c>
      <c r="B165" s="953" t="str">
        <f t="shared" si="27"/>
        <v/>
      </c>
      <c r="C165" s="963" t="str">
        <f t="shared" si="33"/>
        <v/>
      </c>
      <c r="D165" s="963" t="str">
        <f t="shared" si="34"/>
        <v/>
      </c>
      <c r="E165" s="964" t="e">
        <f t="shared" si="28"/>
        <v>#VALUE!</v>
      </c>
      <c r="F165" s="965" t="e">
        <f t="shared" si="29"/>
        <v>#VALUE!</v>
      </c>
      <c r="G165" s="963" t="str">
        <f t="shared" si="30"/>
        <v/>
      </c>
      <c r="H165" s="963" t="str">
        <f t="shared" si="31"/>
        <v/>
      </c>
      <c r="I165" s="963" t="e">
        <f t="shared" si="32"/>
        <v>#VALUE!</v>
      </c>
      <c r="J165" s="989"/>
      <c r="K165" s="950"/>
    </row>
    <row r="166" spans="1:11">
      <c r="A166" s="925" t="str">
        <f>IF(Values_Entered,A165+1,"")</f>
        <v/>
      </c>
      <c r="B166" s="953" t="str">
        <f t="shared" si="27"/>
        <v/>
      </c>
      <c r="C166" s="963" t="str">
        <f t="shared" si="33"/>
        <v/>
      </c>
      <c r="D166" s="963" t="str">
        <f t="shared" si="34"/>
        <v/>
      </c>
      <c r="E166" s="964" t="e">
        <f t="shared" si="28"/>
        <v>#VALUE!</v>
      </c>
      <c r="F166" s="965" t="e">
        <f t="shared" si="29"/>
        <v>#VALUE!</v>
      </c>
      <c r="G166" s="963" t="str">
        <f t="shared" si="30"/>
        <v/>
      </c>
      <c r="H166" s="963" t="str">
        <f t="shared" si="31"/>
        <v/>
      </c>
      <c r="I166" s="963" t="e">
        <f t="shared" si="32"/>
        <v>#VALUE!</v>
      </c>
      <c r="J166" s="989"/>
      <c r="K166" s="950"/>
    </row>
    <row r="167" spans="1:11">
      <c r="A167" s="925" t="str">
        <f>IF(Values_Entered,A166+1,"")</f>
        <v/>
      </c>
      <c r="B167" s="953" t="str">
        <f t="shared" si="27"/>
        <v/>
      </c>
      <c r="C167" s="963" t="str">
        <f t="shared" si="33"/>
        <v/>
      </c>
      <c r="D167" s="963" t="str">
        <f t="shared" si="34"/>
        <v/>
      </c>
      <c r="E167" s="964" t="e">
        <f t="shared" si="28"/>
        <v>#VALUE!</v>
      </c>
      <c r="F167" s="965" t="e">
        <f t="shared" si="29"/>
        <v>#VALUE!</v>
      </c>
      <c r="G167" s="963" t="str">
        <f t="shared" si="30"/>
        <v/>
      </c>
      <c r="H167" s="963" t="str">
        <f t="shared" si="31"/>
        <v/>
      </c>
      <c r="I167" s="963" t="e">
        <f t="shared" si="32"/>
        <v>#VALUE!</v>
      </c>
      <c r="J167" s="989"/>
      <c r="K167" s="950"/>
    </row>
    <row r="168" spans="1:11">
      <c r="A168" s="925" t="str">
        <f>IF(Values_Entered,A167+1,"")</f>
        <v/>
      </c>
      <c r="B168" s="953" t="str">
        <f t="shared" si="27"/>
        <v/>
      </c>
      <c r="C168" s="963" t="str">
        <f t="shared" si="33"/>
        <v/>
      </c>
      <c r="D168" s="963" t="str">
        <f t="shared" si="34"/>
        <v/>
      </c>
      <c r="E168" s="964" t="e">
        <f t="shared" si="28"/>
        <v>#VALUE!</v>
      </c>
      <c r="F168" s="965" t="e">
        <f t="shared" si="29"/>
        <v>#VALUE!</v>
      </c>
      <c r="G168" s="963" t="str">
        <f t="shared" si="30"/>
        <v/>
      </c>
      <c r="H168" s="963" t="str">
        <f t="shared" si="31"/>
        <v/>
      </c>
      <c r="I168" s="963" t="e">
        <f t="shared" si="32"/>
        <v>#VALUE!</v>
      </c>
      <c r="J168" s="989"/>
      <c r="K168" s="950"/>
    </row>
    <row r="169" spans="1:11">
      <c r="A169" s="925" t="str">
        <f>IF(Values_Entered,A168+1,"")</f>
        <v/>
      </c>
      <c r="B169" s="953" t="str">
        <f t="shared" si="27"/>
        <v/>
      </c>
      <c r="C169" s="963" t="str">
        <f t="shared" si="33"/>
        <v/>
      </c>
      <c r="D169" s="963" t="str">
        <f t="shared" si="34"/>
        <v/>
      </c>
      <c r="E169" s="964" t="e">
        <f t="shared" si="28"/>
        <v>#VALUE!</v>
      </c>
      <c r="F169" s="965" t="e">
        <f t="shared" si="29"/>
        <v>#VALUE!</v>
      </c>
      <c r="G169" s="963" t="str">
        <f t="shared" si="30"/>
        <v/>
      </c>
      <c r="H169" s="963" t="str">
        <f t="shared" si="31"/>
        <v/>
      </c>
      <c r="I169" s="963" t="e">
        <f t="shared" si="32"/>
        <v>#VALUE!</v>
      </c>
      <c r="J169" s="989"/>
      <c r="K169" s="950"/>
    </row>
    <row r="170" spans="1:11">
      <c r="A170" s="925" t="str">
        <f>IF(Values_Entered,A169+1,"")</f>
        <v/>
      </c>
      <c r="B170" s="953" t="str">
        <f t="shared" si="27"/>
        <v/>
      </c>
      <c r="C170" s="963" t="str">
        <f t="shared" si="33"/>
        <v/>
      </c>
      <c r="D170" s="963" t="str">
        <f t="shared" si="34"/>
        <v/>
      </c>
      <c r="E170" s="964" t="e">
        <f t="shared" si="28"/>
        <v>#VALUE!</v>
      </c>
      <c r="F170" s="965" t="e">
        <f t="shared" si="29"/>
        <v>#VALUE!</v>
      </c>
      <c r="G170" s="963" t="str">
        <f t="shared" si="30"/>
        <v/>
      </c>
      <c r="H170" s="963" t="str">
        <f t="shared" si="31"/>
        <v/>
      </c>
      <c r="I170" s="963" t="e">
        <f t="shared" si="32"/>
        <v>#VALUE!</v>
      </c>
      <c r="J170" s="989"/>
      <c r="K170" s="950"/>
    </row>
    <row r="171" spans="1:11">
      <c r="A171" s="925" t="str">
        <f>IF(Values_Entered,A170+1,"")</f>
        <v/>
      </c>
      <c r="B171" s="953" t="str">
        <f t="shared" si="27"/>
        <v/>
      </c>
      <c r="C171" s="963" t="str">
        <f t="shared" si="33"/>
        <v/>
      </c>
      <c r="D171" s="963" t="str">
        <f t="shared" si="34"/>
        <v/>
      </c>
      <c r="E171" s="964" t="e">
        <f t="shared" si="28"/>
        <v>#VALUE!</v>
      </c>
      <c r="F171" s="965" t="e">
        <f t="shared" si="29"/>
        <v>#VALUE!</v>
      </c>
      <c r="G171" s="963" t="str">
        <f t="shared" si="30"/>
        <v/>
      </c>
      <c r="H171" s="963" t="str">
        <f t="shared" si="31"/>
        <v/>
      </c>
      <c r="I171" s="963" t="e">
        <f t="shared" si="32"/>
        <v>#VALUE!</v>
      </c>
      <c r="J171" s="989"/>
      <c r="K171" s="950"/>
    </row>
    <row r="172" spans="1:11">
      <c r="A172" s="925" t="str">
        <f>IF(Values_Entered,A171+1,"")</f>
        <v/>
      </c>
      <c r="B172" s="953" t="str">
        <f t="shared" si="27"/>
        <v/>
      </c>
      <c r="C172" s="963" t="str">
        <f t="shared" si="33"/>
        <v/>
      </c>
      <c r="D172" s="963" t="str">
        <f t="shared" si="34"/>
        <v/>
      </c>
      <c r="E172" s="964" t="e">
        <f t="shared" si="28"/>
        <v>#VALUE!</v>
      </c>
      <c r="F172" s="965" t="e">
        <f t="shared" si="29"/>
        <v>#VALUE!</v>
      </c>
      <c r="G172" s="963" t="str">
        <f t="shared" si="30"/>
        <v/>
      </c>
      <c r="H172" s="963" t="str">
        <f t="shared" si="31"/>
        <v/>
      </c>
      <c r="I172" s="963" t="e">
        <f t="shared" si="32"/>
        <v>#VALUE!</v>
      </c>
      <c r="J172" s="989"/>
      <c r="K172" s="950"/>
    </row>
    <row r="173" spans="1:11">
      <c r="A173" s="925" t="str">
        <f>IF(Values_Entered,A172+1,"")</f>
        <v/>
      </c>
      <c r="B173" s="953" t="str">
        <f t="shared" si="27"/>
        <v/>
      </c>
      <c r="C173" s="963" t="str">
        <f t="shared" si="33"/>
        <v/>
      </c>
      <c r="D173" s="963" t="str">
        <f t="shared" si="34"/>
        <v/>
      </c>
      <c r="E173" s="964" t="e">
        <f t="shared" si="28"/>
        <v>#VALUE!</v>
      </c>
      <c r="F173" s="965" t="e">
        <f t="shared" si="29"/>
        <v>#VALUE!</v>
      </c>
      <c r="G173" s="963" t="str">
        <f t="shared" si="30"/>
        <v/>
      </c>
      <c r="H173" s="963" t="str">
        <f t="shared" si="31"/>
        <v/>
      </c>
      <c r="I173" s="963" t="e">
        <f t="shared" si="32"/>
        <v>#VALUE!</v>
      </c>
      <c r="J173" s="989"/>
      <c r="K173" s="950"/>
    </row>
    <row r="174" spans="1:11">
      <c r="A174" s="925" t="str">
        <f>IF(Values_Entered,A173+1,"")</f>
        <v/>
      </c>
      <c r="B174" s="953" t="str">
        <f t="shared" si="27"/>
        <v/>
      </c>
      <c r="C174" s="963" t="str">
        <f t="shared" si="33"/>
        <v/>
      </c>
      <c r="D174" s="963" t="str">
        <f t="shared" si="34"/>
        <v/>
      </c>
      <c r="E174" s="964" t="e">
        <f t="shared" si="28"/>
        <v>#VALUE!</v>
      </c>
      <c r="F174" s="965" t="e">
        <f t="shared" si="29"/>
        <v>#VALUE!</v>
      </c>
      <c r="G174" s="963" t="str">
        <f t="shared" si="30"/>
        <v/>
      </c>
      <c r="H174" s="963" t="str">
        <f t="shared" si="31"/>
        <v/>
      </c>
      <c r="I174" s="963" t="e">
        <f t="shared" si="32"/>
        <v>#VALUE!</v>
      </c>
      <c r="J174" s="989"/>
      <c r="K174" s="950"/>
    </row>
    <row r="175" spans="1:11">
      <c r="A175" s="925" t="str">
        <f>IF(Values_Entered,A174+1,"")</f>
        <v/>
      </c>
      <c r="B175" s="953" t="str">
        <f t="shared" si="27"/>
        <v/>
      </c>
      <c r="C175" s="963" t="str">
        <f t="shared" si="33"/>
        <v/>
      </c>
      <c r="D175" s="963" t="str">
        <f t="shared" si="34"/>
        <v/>
      </c>
      <c r="E175" s="964" t="e">
        <f t="shared" si="28"/>
        <v>#VALUE!</v>
      </c>
      <c r="F175" s="965" t="e">
        <f t="shared" si="29"/>
        <v>#VALUE!</v>
      </c>
      <c r="G175" s="963" t="str">
        <f t="shared" si="30"/>
        <v/>
      </c>
      <c r="H175" s="963" t="str">
        <f t="shared" si="31"/>
        <v/>
      </c>
      <c r="I175" s="963" t="e">
        <f t="shared" si="32"/>
        <v>#VALUE!</v>
      </c>
      <c r="J175" s="989"/>
      <c r="K175" s="950"/>
    </row>
    <row r="176" spans="1:11">
      <c r="A176" s="925" t="str">
        <f>IF(Values_Entered,A175+1,"")</f>
        <v/>
      </c>
      <c r="B176" s="953" t="str">
        <f t="shared" si="27"/>
        <v/>
      </c>
      <c r="C176" s="963" t="str">
        <f t="shared" si="33"/>
        <v/>
      </c>
      <c r="D176" s="963" t="str">
        <f t="shared" si="34"/>
        <v/>
      </c>
      <c r="E176" s="964" t="e">
        <f t="shared" si="28"/>
        <v>#VALUE!</v>
      </c>
      <c r="F176" s="965" t="e">
        <f t="shared" si="29"/>
        <v>#VALUE!</v>
      </c>
      <c r="G176" s="963" t="str">
        <f t="shared" si="30"/>
        <v/>
      </c>
      <c r="H176" s="963" t="str">
        <f t="shared" si="31"/>
        <v/>
      </c>
      <c r="I176" s="963" t="e">
        <f t="shared" si="32"/>
        <v>#VALUE!</v>
      </c>
      <c r="J176" s="989"/>
      <c r="K176" s="950"/>
    </row>
    <row r="177" spans="1:11">
      <c r="A177" s="925" t="str">
        <f>IF(Values_Entered,A176+1,"")</f>
        <v/>
      </c>
      <c r="B177" s="953" t="str">
        <f t="shared" si="27"/>
        <v/>
      </c>
      <c r="C177" s="963" t="str">
        <f t="shared" si="33"/>
        <v/>
      </c>
      <c r="D177" s="963" t="str">
        <f t="shared" si="34"/>
        <v/>
      </c>
      <c r="E177" s="964" t="e">
        <f t="shared" si="28"/>
        <v>#VALUE!</v>
      </c>
      <c r="F177" s="965" t="e">
        <f t="shared" si="29"/>
        <v>#VALUE!</v>
      </c>
      <c r="G177" s="963" t="str">
        <f t="shared" si="30"/>
        <v/>
      </c>
      <c r="H177" s="963" t="str">
        <f t="shared" si="31"/>
        <v/>
      </c>
      <c r="I177" s="963" t="e">
        <f t="shared" si="32"/>
        <v>#VALUE!</v>
      </c>
      <c r="J177" s="989"/>
      <c r="K177" s="950"/>
    </row>
    <row r="178" spans="1:11">
      <c r="A178" s="925" t="str">
        <f>IF(Values_Entered,A177+1,"")</f>
        <v/>
      </c>
      <c r="B178" s="953" t="str">
        <f t="shared" si="27"/>
        <v/>
      </c>
      <c r="C178" s="963" t="str">
        <f t="shared" si="33"/>
        <v/>
      </c>
      <c r="D178" s="963" t="str">
        <f t="shared" si="34"/>
        <v/>
      </c>
      <c r="E178" s="964" t="e">
        <f t="shared" si="28"/>
        <v>#VALUE!</v>
      </c>
      <c r="F178" s="965" t="e">
        <f t="shared" si="29"/>
        <v>#VALUE!</v>
      </c>
      <c r="G178" s="963" t="str">
        <f t="shared" si="30"/>
        <v/>
      </c>
      <c r="H178" s="963" t="str">
        <f t="shared" si="31"/>
        <v/>
      </c>
      <c r="I178" s="963" t="e">
        <f t="shared" si="32"/>
        <v>#VALUE!</v>
      </c>
      <c r="J178" s="989"/>
      <c r="K178" s="950"/>
    </row>
    <row r="179" spans="1:11">
      <c r="A179" s="925" t="str">
        <f>IF(Values_Entered,A178+1,"")</f>
        <v/>
      </c>
      <c r="B179" s="953" t="str">
        <f t="shared" si="27"/>
        <v/>
      </c>
      <c r="C179" s="963" t="str">
        <f t="shared" si="33"/>
        <v/>
      </c>
      <c r="D179" s="963" t="str">
        <f t="shared" si="34"/>
        <v/>
      </c>
      <c r="E179" s="964" t="e">
        <f t="shared" si="28"/>
        <v>#VALUE!</v>
      </c>
      <c r="F179" s="965" t="e">
        <f t="shared" si="29"/>
        <v>#VALUE!</v>
      </c>
      <c r="G179" s="963" t="str">
        <f t="shared" si="30"/>
        <v/>
      </c>
      <c r="H179" s="963" t="str">
        <f t="shared" si="31"/>
        <v/>
      </c>
      <c r="I179" s="963" t="e">
        <f t="shared" si="32"/>
        <v>#VALUE!</v>
      </c>
      <c r="J179" s="989"/>
      <c r="K179" s="950"/>
    </row>
    <row r="180" spans="1:11">
      <c r="A180" s="925" t="str">
        <f>IF(Values_Entered,A179+1,"")</f>
        <v/>
      </c>
      <c r="B180" s="953" t="str">
        <f t="shared" si="27"/>
        <v/>
      </c>
      <c r="C180" s="963" t="str">
        <f t="shared" si="33"/>
        <v/>
      </c>
      <c r="D180" s="963" t="str">
        <f t="shared" si="34"/>
        <v/>
      </c>
      <c r="E180" s="964" t="e">
        <f t="shared" si="28"/>
        <v>#VALUE!</v>
      </c>
      <c r="F180" s="965" t="e">
        <f t="shared" si="29"/>
        <v>#VALUE!</v>
      </c>
      <c r="G180" s="963" t="str">
        <f t="shared" si="30"/>
        <v/>
      </c>
      <c r="H180" s="963" t="str">
        <f t="shared" si="31"/>
        <v/>
      </c>
      <c r="I180" s="963" t="e">
        <f t="shared" si="32"/>
        <v>#VALUE!</v>
      </c>
      <c r="J180" s="989"/>
      <c r="K180" s="950"/>
    </row>
    <row r="181" spans="1:11">
      <c r="A181" s="925" t="str">
        <f>IF(Values_Entered,A180+1,"")</f>
        <v/>
      </c>
      <c r="B181" s="953" t="str">
        <f t="shared" si="27"/>
        <v/>
      </c>
      <c r="C181" s="963" t="str">
        <f t="shared" si="33"/>
        <v/>
      </c>
      <c r="D181" s="963" t="str">
        <f t="shared" si="34"/>
        <v/>
      </c>
      <c r="E181" s="964" t="e">
        <f t="shared" si="28"/>
        <v>#VALUE!</v>
      </c>
      <c r="F181" s="965" t="e">
        <f t="shared" si="29"/>
        <v>#VALUE!</v>
      </c>
      <c r="G181" s="963" t="str">
        <f t="shared" si="30"/>
        <v/>
      </c>
      <c r="H181" s="963" t="str">
        <f t="shared" si="31"/>
        <v/>
      </c>
      <c r="I181" s="963" t="e">
        <f t="shared" si="32"/>
        <v>#VALUE!</v>
      </c>
      <c r="J181" s="989"/>
      <c r="K181" s="950"/>
    </row>
    <row r="182" spans="1:11">
      <c r="A182" s="925" t="str">
        <f>IF(Values_Entered,A181+1,"")</f>
        <v/>
      </c>
      <c r="B182" s="953" t="str">
        <f t="shared" si="27"/>
        <v/>
      </c>
      <c r="C182" s="963" t="str">
        <f t="shared" si="33"/>
        <v/>
      </c>
      <c r="D182" s="963" t="str">
        <f t="shared" si="34"/>
        <v/>
      </c>
      <c r="E182" s="964" t="e">
        <f t="shared" si="28"/>
        <v>#VALUE!</v>
      </c>
      <c r="F182" s="965" t="e">
        <f t="shared" si="29"/>
        <v>#VALUE!</v>
      </c>
      <c r="G182" s="963" t="str">
        <f t="shared" si="30"/>
        <v/>
      </c>
      <c r="H182" s="963" t="str">
        <f t="shared" si="31"/>
        <v/>
      </c>
      <c r="I182" s="963" t="e">
        <f t="shared" si="32"/>
        <v>#VALUE!</v>
      </c>
      <c r="J182" s="989"/>
      <c r="K182" s="950"/>
    </row>
    <row r="183" spans="1:11">
      <c r="A183" s="925" t="str">
        <f>IF(Values_Entered,A182+1,"")</f>
        <v/>
      </c>
      <c r="B183" s="953" t="str">
        <f t="shared" si="27"/>
        <v/>
      </c>
      <c r="C183" s="963" t="str">
        <f t="shared" si="33"/>
        <v/>
      </c>
      <c r="D183" s="963" t="str">
        <f t="shared" si="34"/>
        <v/>
      </c>
      <c r="E183" s="964" t="e">
        <f t="shared" si="28"/>
        <v>#VALUE!</v>
      </c>
      <c r="F183" s="965" t="e">
        <f t="shared" si="29"/>
        <v>#VALUE!</v>
      </c>
      <c r="G183" s="963" t="str">
        <f t="shared" si="30"/>
        <v/>
      </c>
      <c r="H183" s="963" t="str">
        <f t="shared" si="31"/>
        <v/>
      </c>
      <c r="I183" s="963" t="e">
        <f t="shared" si="32"/>
        <v>#VALUE!</v>
      </c>
      <c r="J183" s="989"/>
      <c r="K183" s="950"/>
    </row>
    <row r="184" spans="1:11">
      <c r="A184" s="925" t="str">
        <f>IF(Values_Entered,A183+1,"")</f>
        <v/>
      </c>
      <c r="B184" s="953" t="str">
        <f t="shared" si="27"/>
        <v/>
      </c>
      <c r="C184" s="963" t="str">
        <f t="shared" si="33"/>
        <v/>
      </c>
      <c r="D184" s="963" t="str">
        <f t="shared" si="34"/>
        <v/>
      </c>
      <c r="E184" s="964" t="e">
        <f t="shared" si="28"/>
        <v>#VALUE!</v>
      </c>
      <c r="F184" s="965" t="e">
        <f t="shared" si="29"/>
        <v>#VALUE!</v>
      </c>
      <c r="G184" s="963" t="str">
        <f t="shared" si="30"/>
        <v/>
      </c>
      <c r="H184" s="963" t="str">
        <f t="shared" si="31"/>
        <v/>
      </c>
      <c r="I184" s="963" t="e">
        <f t="shared" si="32"/>
        <v>#VALUE!</v>
      </c>
      <c r="J184" s="989"/>
      <c r="K184" s="950"/>
    </row>
    <row r="185" spans="1:11">
      <c r="A185" s="925" t="str">
        <f>IF(Values_Entered,A184+1,"")</f>
        <v/>
      </c>
      <c r="B185" s="953" t="str">
        <f t="shared" si="27"/>
        <v/>
      </c>
      <c r="C185" s="963" t="str">
        <f t="shared" si="33"/>
        <v/>
      </c>
      <c r="D185" s="963" t="str">
        <f t="shared" si="34"/>
        <v/>
      </c>
      <c r="E185" s="964" t="e">
        <f t="shared" si="28"/>
        <v>#VALUE!</v>
      </c>
      <c r="F185" s="965" t="e">
        <f t="shared" si="29"/>
        <v>#VALUE!</v>
      </c>
      <c r="G185" s="963" t="str">
        <f t="shared" si="30"/>
        <v/>
      </c>
      <c r="H185" s="963" t="str">
        <f t="shared" si="31"/>
        <v/>
      </c>
      <c r="I185" s="963" t="e">
        <f t="shared" si="32"/>
        <v>#VALUE!</v>
      </c>
      <c r="J185" s="989"/>
      <c r="K185" s="950"/>
    </row>
    <row r="186" spans="1:11">
      <c r="A186" s="925" t="str">
        <f>IF(Values_Entered,A185+1,"")</f>
        <v/>
      </c>
      <c r="B186" s="953" t="str">
        <f t="shared" si="27"/>
        <v/>
      </c>
      <c r="C186" s="963" t="str">
        <f t="shared" si="33"/>
        <v/>
      </c>
      <c r="D186" s="963" t="str">
        <f t="shared" si="34"/>
        <v/>
      </c>
      <c r="E186" s="964" t="e">
        <f t="shared" si="28"/>
        <v>#VALUE!</v>
      </c>
      <c r="F186" s="965" t="e">
        <f t="shared" si="29"/>
        <v>#VALUE!</v>
      </c>
      <c r="G186" s="963" t="str">
        <f t="shared" si="30"/>
        <v/>
      </c>
      <c r="H186" s="963" t="str">
        <f t="shared" si="31"/>
        <v/>
      </c>
      <c r="I186" s="963" t="e">
        <f t="shared" si="32"/>
        <v>#VALUE!</v>
      </c>
      <c r="J186" s="989"/>
      <c r="K186" s="950"/>
    </row>
    <row r="187" spans="1:11">
      <c r="A187" s="925" t="str">
        <f>IF(Values_Entered,A186+1,"")</f>
        <v/>
      </c>
      <c r="B187" s="953" t="str">
        <f t="shared" si="27"/>
        <v/>
      </c>
      <c r="C187" s="963" t="str">
        <f t="shared" si="33"/>
        <v/>
      </c>
      <c r="D187" s="963" t="str">
        <f t="shared" si="34"/>
        <v/>
      </c>
      <c r="E187" s="964" t="e">
        <f t="shared" si="28"/>
        <v>#VALUE!</v>
      </c>
      <c r="F187" s="965" t="e">
        <f t="shared" si="29"/>
        <v>#VALUE!</v>
      </c>
      <c r="G187" s="963" t="str">
        <f t="shared" si="30"/>
        <v/>
      </c>
      <c r="H187" s="963" t="str">
        <f t="shared" si="31"/>
        <v/>
      </c>
      <c r="I187" s="963" t="e">
        <f t="shared" si="32"/>
        <v>#VALUE!</v>
      </c>
      <c r="J187" s="989"/>
      <c r="K187" s="950"/>
    </row>
    <row r="188" spans="1:11">
      <c r="A188" s="925" t="str">
        <f>IF(Values_Entered,A187+1,"")</f>
        <v/>
      </c>
      <c r="B188" s="953" t="str">
        <f t="shared" si="27"/>
        <v/>
      </c>
      <c r="C188" s="963" t="str">
        <f t="shared" si="33"/>
        <v/>
      </c>
      <c r="D188" s="963" t="str">
        <f t="shared" si="34"/>
        <v/>
      </c>
      <c r="E188" s="964" t="e">
        <f t="shared" si="28"/>
        <v>#VALUE!</v>
      </c>
      <c r="F188" s="965" t="e">
        <f t="shared" si="29"/>
        <v>#VALUE!</v>
      </c>
      <c r="G188" s="963" t="str">
        <f t="shared" si="30"/>
        <v/>
      </c>
      <c r="H188" s="963" t="str">
        <f t="shared" si="31"/>
        <v/>
      </c>
      <c r="I188" s="963" t="e">
        <f t="shared" si="32"/>
        <v>#VALUE!</v>
      </c>
      <c r="J188" s="989"/>
      <c r="K188" s="950"/>
    </row>
    <row r="189" spans="1:11">
      <c r="A189" s="925" t="str">
        <f>IF(Values_Entered,A188+1,"")</f>
        <v/>
      </c>
      <c r="B189" s="953" t="str">
        <f t="shared" si="27"/>
        <v/>
      </c>
      <c r="C189" s="963" t="str">
        <f t="shared" si="33"/>
        <v/>
      </c>
      <c r="D189" s="963" t="str">
        <f t="shared" si="34"/>
        <v/>
      </c>
      <c r="E189" s="964" t="e">
        <f t="shared" si="28"/>
        <v>#VALUE!</v>
      </c>
      <c r="F189" s="965" t="e">
        <f t="shared" si="29"/>
        <v>#VALUE!</v>
      </c>
      <c r="G189" s="963" t="str">
        <f t="shared" si="30"/>
        <v/>
      </c>
      <c r="H189" s="963" t="str">
        <f t="shared" si="31"/>
        <v/>
      </c>
      <c r="I189" s="963" t="e">
        <f t="shared" si="32"/>
        <v>#VALUE!</v>
      </c>
      <c r="J189" s="989"/>
      <c r="K189" s="950"/>
    </row>
    <row r="190" spans="1:11">
      <c r="A190" s="925" t="str">
        <f>IF(Values_Entered,A189+1,"")</f>
        <v/>
      </c>
      <c r="B190" s="953" t="str">
        <f t="shared" si="27"/>
        <v/>
      </c>
      <c r="C190" s="963" t="str">
        <f t="shared" si="33"/>
        <v/>
      </c>
      <c r="D190" s="963" t="str">
        <f t="shared" si="34"/>
        <v/>
      </c>
      <c r="E190" s="964" t="e">
        <f t="shared" si="28"/>
        <v>#VALUE!</v>
      </c>
      <c r="F190" s="965" t="e">
        <f t="shared" si="29"/>
        <v>#VALUE!</v>
      </c>
      <c r="G190" s="963" t="str">
        <f t="shared" si="30"/>
        <v/>
      </c>
      <c r="H190" s="963" t="str">
        <f t="shared" si="31"/>
        <v/>
      </c>
      <c r="I190" s="963" t="e">
        <f t="shared" si="32"/>
        <v>#VALUE!</v>
      </c>
      <c r="J190" s="989"/>
      <c r="K190" s="950"/>
    </row>
    <row r="191" spans="1:11">
      <c r="A191" s="925" t="str">
        <f>IF(Values_Entered,A190+1,"")</f>
        <v/>
      </c>
      <c r="B191" s="953" t="str">
        <f t="shared" si="27"/>
        <v/>
      </c>
      <c r="C191" s="963" t="str">
        <f t="shared" si="33"/>
        <v/>
      </c>
      <c r="D191" s="963" t="str">
        <f t="shared" si="34"/>
        <v/>
      </c>
      <c r="E191" s="964" t="e">
        <f t="shared" si="28"/>
        <v>#VALUE!</v>
      </c>
      <c r="F191" s="965" t="e">
        <f t="shared" si="29"/>
        <v>#VALUE!</v>
      </c>
      <c r="G191" s="963" t="str">
        <f t="shared" si="30"/>
        <v/>
      </c>
      <c r="H191" s="963" t="str">
        <f t="shared" si="31"/>
        <v/>
      </c>
      <c r="I191" s="963" t="e">
        <f t="shared" si="32"/>
        <v>#VALUE!</v>
      </c>
      <c r="J191" s="989"/>
      <c r="K191" s="950"/>
    </row>
    <row r="192" spans="1:11">
      <c r="A192" s="925" t="str">
        <f>IF(Values_Entered,A191+1,"")</f>
        <v/>
      </c>
      <c r="B192" s="953" t="str">
        <f t="shared" si="27"/>
        <v/>
      </c>
      <c r="C192" s="963" t="str">
        <f t="shared" si="33"/>
        <v/>
      </c>
      <c r="D192" s="963" t="str">
        <f t="shared" si="34"/>
        <v/>
      </c>
      <c r="E192" s="964" t="e">
        <f t="shared" si="28"/>
        <v>#VALUE!</v>
      </c>
      <c r="F192" s="965" t="e">
        <f t="shared" si="29"/>
        <v>#VALUE!</v>
      </c>
      <c r="G192" s="963" t="str">
        <f t="shared" si="30"/>
        <v/>
      </c>
      <c r="H192" s="963" t="str">
        <f t="shared" si="31"/>
        <v/>
      </c>
      <c r="I192" s="963" t="e">
        <f t="shared" si="32"/>
        <v>#VALUE!</v>
      </c>
      <c r="J192" s="989"/>
      <c r="K192" s="950"/>
    </row>
    <row r="193" spans="1:11">
      <c r="A193" s="925" t="str">
        <f>IF(Values_Entered,A192+1,"")</f>
        <v/>
      </c>
      <c r="B193" s="953" t="str">
        <f t="shared" si="27"/>
        <v/>
      </c>
      <c r="C193" s="963" t="str">
        <f t="shared" si="33"/>
        <v/>
      </c>
      <c r="D193" s="963" t="str">
        <f t="shared" si="34"/>
        <v/>
      </c>
      <c r="E193" s="964" t="e">
        <f t="shared" si="28"/>
        <v>#VALUE!</v>
      </c>
      <c r="F193" s="965" t="e">
        <f t="shared" si="29"/>
        <v>#VALUE!</v>
      </c>
      <c r="G193" s="963" t="str">
        <f t="shared" si="30"/>
        <v/>
      </c>
      <c r="H193" s="963" t="str">
        <f t="shared" si="31"/>
        <v/>
      </c>
      <c r="I193" s="963" t="e">
        <f t="shared" si="32"/>
        <v>#VALUE!</v>
      </c>
      <c r="J193" s="989"/>
      <c r="K193" s="950"/>
    </row>
    <row r="194" spans="1:11">
      <c r="A194" s="925" t="str">
        <f>IF(Values_Entered,A193+1,"")</f>
        <v/>
      </c>
      <c r="B194" s="953" t="str">
        <f t="shared" si="27"/>
        <v/>
      </c>
      <c r="C194" s="963" t="str">
        <f t="shared" si="33"/>
        <v/>
      </c>
      <c r="D194" s="963" t="str">
        <f t="shared" si="34"/>
        <v/>
      </c>
      <c r="E194" s="964" t="e">
        <f t="shared" si="28"/>
        <v>#VALUE!</v>
      </c>
      <c r="F194" s="965" t="e">
        <f t="shared" si="29"/>
        <v>#VALUE!</v>
      </c>
      <c r="G194" s="963" t="str">
        <f t="shared" si="30"/>
        <v/>
      </c>
      <c r="H194" s="963" t="str">
        <f t="shared" si="31"/>
        <v/>
      </c>
      <c r="I194" s="963" t="e">
        <f t="shared" si="32"/>
        <v>#VALUE!</v>
      </c>
      <c r="J194" s="989"/>
      <c r="K194" s="950"/>
    </row>
    <row r="195" spans="1:11">
      <c r="A195" s="925" t="str">
        <f>IF(Values_Entered,A194+1,"")</f>
        <v/>
      </c>
      <c r="B195" s="953" t="str">
        <f t="shared" si="27"/>
        <v/>
      </c>
      <c r="C195" s="963" t="str">
        <f t="shared" si="33"/>
        <v/>
      </c>
      <c r="D195" s="963" t="str">
        <f t="shared" si="34"/>
        <v/>
      </c>
      <c r="E195" s="964" t="e">
        <f t="shared" si="28"/>
        <v>#VALUE!</v>
      </c>
      <c r="F195" s="965" t="e">
        <f t="shared" si="29"/>
        <v>#VALUE!</v>
      </c>
      <c r="G195" s="963" t="str">
        <f t="shared" si="30"/>
        <v/>
      </c>
      <c r="H195" s="963" t="str">
        <f t="shared" si="31"/>
        <v/>
      </c>
      <c r="I195" s="963" t="e">
        <f t="shared" si="32"/>
        <v>#VALUE!</v>
      </c>
      <c r="J195" s="989"/>
      <c r="K195" s="950"/>
    </row>
    <row r="196" spans="1:11">
      <c r="A196" s="925" t="str">
        <f>IF(Values_Entered,A195+1,"")</f>
        <v/>
      </c>
      <c r="B196" s="953" t="str">
        <f t="shared" si="27"/>
        <v/>
      </c>
      <c r="C196" s="963" t="str">
        <f t="shared" si="33"/>
        <v/>
      </c>
      <c r="D196" s="963" t="str">
        <f t="shared" si="34"/>
        <v/>
      </c>
      <c r="E196" s="964" t="e">
        <f t="shared" si="28"/>
        <v>#VALUE!</v>
      </c>
      <c r="F196" s="965" t="e">
        <f t="shared" si="29"/>
        <v>#VALUE!</v>
      </c>
      <c r="G196" s="963" t="str">
        <f t="shared" si="30"/>
        <v/>
      </c>
      <c r="H196" s="963" t="str">
        <f t="shared" si="31"/>
        <v/>
      </c>
      <c r="I196" s="963" t="e">
        <f t="shared" si="32"/>
        <v>#VALUE!</v>
      </c>
      <c r="J196" s="989"/>
      <c r="K196" s="950"/>
    </row>
    <row r="197" spans="1:11">
      <c r="A197" s="925" t="str">
        <f>IF(Values_Entered,A196+1,"")</f>
        <v/>
      </c>
      <c r="B197" s="953" t="str">
        <f t="shared" si="27"/>
        <v/>
      </c>
      <c r="C197" s="963" t="str">
        <f t="shared" si="33"/>
        <v/>
      </c>
      <c r="D197" s="963" t="str">
        <f t="shared" si="34"/>
        <v/>
      </c>
      <c r="E197" s="964" t="e">
        <f t="shared" si="28"/>
        <v>#VALUE!</v>
      </c>
      <c r="F197" s="965" t="e">
        <f t="shared" si="29"/>
        <v>#VALUE!</v>
      </c>
      <c r="G197" s="963" t="str">
        <f t="shared" si="30"/>
        <v/>
      </c>
      <c r="H197" s="963" t="str">
        <f t="shared" si="31"/>
        <v/>
      </c>
      <c r="I197" s="963" t="e">
        <f t="shared" si="32"/>
        <v>#VALUE!</v>
      </c>
      <c r="J197" s="989"/>
      <c r="K197" s="950"/>
    </row>
    <row r="198" spans="1:11">
      <c r="A198" s="925" t="str">
        <f>IF(Values_Entered,A197+1,"")</f>
        <v/>
      </c>
      <c r="B198" s="953" t="str">
        <f t="shared" si="27"/>
        <v/>
      </c>
      <c r="C198" s="963" t="str">
        <f t="shared" si="33"/>
        <v/>
      </c>
      <c r="D198" s="963" t="str">
        <f t="shared" si="34"/>
        <v/>
      </c>
      <c r="E198" s="964" t="e">
        <f t="shared" si="28"/>
        <v>#VALUE!</v>
      </c>
      <c r="F198" s="965" t="e">
        <f t="shared" si="29"/>
        <v>#VALUE!</v>
      </c>
      <c r="G198" s="963" t="str">
        <f t="shared" si="30"/>
        <v/>
      </c>
      <c r="H198" s="963" t="str">
        <f t="shared" si="31"/>
        <v/>
      </c>
      <c r="I198" s="963" t="e">
        <f t="shared" si="32"/>
        <v>#VALUE!</v>
      </c>
      <c r="J198" s="989"/>
      <c r="K198" s="950"/>
    </row>
    <row r="199" spans="1:11">
      <c r="A199" s="925" t="str">
        <f>IF(Values_Entered,A198+1,"")</f>
        <v/>
      </c>
      <c r="B199" s="953" t="str">
        <f t="shared" si="27"/>
        <v/>
      </c>
      <c r="C199" s="963" t="str">
        <f t="shared" si="33"/>
        <v/>
      </c>
      <c r="D199" s="963" t="str">
        <f t="shared" si="34"/>
        <v/>
      </c>
      <c r="E199" s="964" t="e">
        <f t="shared" si="28"/>
        <v>#VALUE!</v>
      </c>
      <c r="F199" s="965" t="e">
        <f t="shared" si="29"/>
        <v>#VALUE!</v>
      </c>
      <c r="G199" s="963" t="str">
        <f t="shared" si="30"/>
        <v/>
      </c>
      <c r="H199" s="963" t="str">
        <f t="shared" si="31"/>
        <v/>
      </c>
      <c r="I199" s="963" t="e">
        <f t="shared" si="32"/>
        <v>#VALUE!</v>
      </c>
      <c r="J199" s="989"/>
      <c r="K199" s="950"/>
    </row>
    <row r="200" spans="1:11">
      <c r="A200" s="925" t="str">
        <f>IF(Values_Entered,A199+1,"")</f>
        <v/>
      </c>
      <c r="B200" s="953" t="str">
        <f t="shared" si="27"/>
        <v/>
      </c>
      <c r="C200" s="963" t="str">
        <f t="shared" si="33"/>
        <v/>
      </c>
      <c r="D200" s="963" t="str">
        <f t="shared" si="34"/>
        <v/>
      </c>
      <c r="E200" s="964" t="e">
        <f t="shared" si="28"/>
        <v>#VALUE!</v>
      </c>
      <c r="F200" s="965" t="e">
        <f t="shared" si="29"/>
        <v>#VALUE!</v>
      </c>
      <c r="G200" s="963" t="str">
        <f t="shared" si="30"/>
        <v/>
      </c>
      <c r="H200" s="963" t="str">
        <f t="shared" si="31"/>
        <v/>
      </c>
      <c r="I200" s="963" t="e">
        <f t="shared" si="32"/>
        <v>#VALUE!</v>
      </c>
      <c r="J200" s="989"/>
      <c r="K200" s="950"/>
    </row>
    <row r="201" spans="1:11">
      <c r="A201" s="925" t="str">
        <f>IF(Values_Entered,A200+1,"")</f>
        <v/>
      </c>
      <c r="B201" s="953" t="str">
        <f t="shared" si="27"/>
        <v/>
      </c>
      <c r="C201" s="963" t="str">
        <f t="shared" si="33"/>
        <v/>
      </c>
      <c r="D201" s="963" t="str">
        <f t="shared" si="34"/>
        <v/>
      </c>
      <c r="E201" s="964" t="e">
        <f t="shared" si="28"/>
        <v>#VALUE!</v>
      </c>
      <c r="F201" s="965" t="e">
        <f t="shared" si="29"/>
        <v>#VALUE!</v>
      </c>
      <c r="G201" s="963" t="str">
        <f t="shared" si="30"/>
        <v/>
      </c>
      <c r="H201" s="963" t="str">
        <f t="shared" si="31"/>
        <v/>
      </c>
      <c r="I201" s="963" t="e">
        <f t="shared" si="32"/>
        <v>#VALUE!</v>
      </c>
      <c r="J201" s="989"/>
      <c r="K201" s="950"/>
    </row>
    <row r="202" spans="1:11">
      <c r="A202" s="925" t="str">
        <f>IF(Values_Entered,A201+1,"")</f>
        <v/>
      </c>
      <c r="B202" s="953" t="str">
        <f t="shared" si="27"/>
        <v/>
      </c>
      <c r="C202" s="963" t="str">
        <f t="shared" si="33"/>
        <v/>
      </c>
      <c r="D202" s="963" t="str">
        <f t="shared" si="34"/>
        <v/>
      </c>
      <c r="E202" s="964" t="e">
        <f t="shared" si="28"/>
        <v>#VALUE!</v>
      </c>
      <c r="F202" s="965" t="e">
        <f t="shared" si="29"/>
        <v>#VALUE!</v>
      </c>
      <c r="G202" s="963" t="str">
        <f t="shared" si="30"/>
        <v/>
      </c>
      <c r="H202" s="963" t="str">
        <f t="shared" si="31"/>
        <v/>
      </c>
      <c r="I202" s="963" t="e">
        <f t="shared" si="32"/>
        <v>#VALUE!</v>
      </c>
      <c r="J202" s="989"/>
      <c r="K202" s="950"/>
    </row>
    <row r="203" spans="1:11">
      <c r="A203" s="925" t="str">
        <f>IF(Values_Entered,A202+1,"")</f>
        <v/>
      </c>
      <c r="B203" s="953" t="str">
        <f t="shared" si="27"/>
        <v/>
      </c>
      <c r="C203" s="963" t="str">
        <f t="shared" si="33"/>
        <v/>
      </c>
      <c r="D203" s="963" t="str">
        <f t="shared" si="34"/>
        <v/>
      </c>
      <c r="E203" s="964" t="e">
        <f t="shared" si="28"/>
        <v>#VALUE!</v>
      </c>
      <c r="F203" s="965" t="e">
        <f t="shared" si="29"/>
        <v>#VALUE!</v>
      </c>
      <c r="G203" s="963" t="str">
        <f t="shared" si="30"/>
        <v/>
      </c>
      <c r="H203" s="963" t="str">
        <f t="shared" si="31"/>
        <v/>
      </c>
      <c r="I203" s="963" t="e">
        <f t="shared" si="32"/>
        <v>#VALUE!</v>
      </c>
      <c r="J203" s="989"/>
      <c r="K203" s="950"/>
    </row>
    <row r="204" spans="1:11">
      <c r="A204" s="925" t="str">
        <f>IF(Values_Entered,A203+1,"")</f>
        <v/>
      </c>
      <c r="B204" s="990" t="str">
        <f t="shared" si="27"/>
        <v/>
      </c>
      <c r="C204" s="963" t="str">
        <f t="shared" si="33"/>
        <v/>
      </c>
      <c r="D204" s="963" t="str">
        <f t="shared" si="34"/>
        <v/>
      </c>
      <c r="E204" s="964" t="e">
        <f t="shared" si="28"/>
        <v>#VALUE!</v>
      </c>
      <c r="F204" s="965" t="e">
        <f t="shared" si="29"/>
        <v>#VALUE!</v>
      </c>
      <c r="G204" s="963" t="str">
        <f t="shared" si="30"/>
        <v/>
      </c>
      <c r="H204" s="963" t="str">
        <f t="shared" si="31"/>
        <v/>
      </c>
      <c r="I204" s="963" t="e">
        <f t="shared" si="32"/>
        <v>#VALUE!</v>
      </c>
      <c r="J204" s="989"/>
      <c r="K204" s="950"/>
    </row>
    <row r="205" spans="1:11">
      <c r="A205" s="925" t="str">
        <f>IF(Values_Entered,A204+1,"")</f>
        <v/>
      </c>
      <c r="B205" s="990" t="str">
        <f t="shared" si="27"/>
        <v/>
      </c>
      <c r="C205" s="963" t="str">
        <f t="shared" si="33"/>
        <v/>
      </c>
      <c r="D205" s="963" t="str">
        <f t="shared" si="34"/>
        <v/>
      </c>
      <c r="E205" s="964" t="e">
        <f t="shared" si="28"/>
        <v>#VALUE!</v>
      </c>
      <c r="F205" s="965" t="e">
        <f t="shared" ref="F205:F216" si="35">IF(AND(Pay_Num&lt;&gt;"",Sched_Pay+Extra_Pay&lt;Beg_Bal),Sched_Pay+Extra_Pay,IF(Pay_Num&lt;&gt;"",Beg_Bal,""))</f>
        <v>#VALUE!</v>
      </c>
      <c r="G205" s="963" t="str">
        <f t="shared" ref="G205:G217" si="36">IF(Pay_Num&lt;&gt;"",Total_Pay-Int,"")</f>
        <v/>
      </c>
      <c r="H205" s="963" t="str">
        <f t="shared" ref="H205:H217" si="37">IF(Pay_Num&lt;&gt;"",Beg_Bal*Interest_Rate/Num_Pmt_Per_Year,"")</f>
        <v/>
      </c>
      <c r="I205" s="963" t="e">
        <f t="shared" ref="I205:I216" si="38">IF(AND(Pay_Num&lt;&gt;"",Sched_Pay+Extra_Pay&lt;Beg_Bal),Beg_Bal-Princ,IF(Pay_Num&lt;&gt;"",0,""))</f>
        <v>#VALUE!</v>
      </c>
      <c r="J205" s="989"/>
      <c r="K205" s="950"/>
    </row>
    <row r="206" spans="1:11">
      <c r="A206" s="925" t="str">
        <f>IF(Values_Entered,A205+1,"")</f>
        <v/>
      </c>
      <c r="B206" s="990" t="str">
        <f t="shared" si="27"/>
        <v/>
      </c>
      <c r="C206" s="963" t="str">
        <f t="shared" si="33"/>
        <v/>
      </c>
      <c r="D206" s="963" t="str">
        <f t="shared" si="34"/>
        <v/>
      </c>
      <c r="E206" s="964" t="e">
        <f t="shared" si="28"/>
        <v>#VALUE!</v>
      </c>
      <c r="F206" s="965" t="e">
        <f t="shared" si="35"/>
        <v>#VALUE!</v>
      </c>
      <c r="G206" s="963" t="str">
        <f t="shared" si="36"/>
        <v/>
      </c>
      <c r="H206" s="963" t="str">
        <f t="shared" si="37"/>
        <v/>
      </c>
      <c r="I206" s="963" t="e">
        <f t="shared" si="38"/>
        <v>#VALUE!</v>
      </c>
      <c r="J206" s="989"/>
      <c r="K206" s="950"/>
    </row>
    <row r="207" spans="1:11">
      <c r="A207" s="925" t="str">
        <f>IF(Values_Entered,A206+1,"")</f>
        <v/>
      </c>
      <c r="B207" s="990" t="str">
        <f t="shared" si="27"/>
        <v/>
      </c>
      <c r="C207" s="963" t="str">
        <f t="shared" si="33"/>
        <v/>
      </c>
      <c r="D207" s="963" t="str">
        <f t="shared" si="34"/>
        <v/>
      </c>
      <c r="E207" s="964" t="e">
        <f t="shared" si="28"/>
        <v>#VALUE!</v>
      </c>
      <c r="F207" s="965" t="e">
        <f t="shared" si="35"/>
        <v>#VALUE!</v>
      </c>
      <c r="G207" s="963" t="str">
        <f t="shared" si="36"/>
        <v/>
      </c>
      <c r="H207" s="963" t="str">
        <f t="shared" si="37"/>
        <v/>
      </c>
      <c r="I207" s="963" t="e">
        <f t="shared" si="38"/>
        <v>#VALUE!</v>
      </c>
      <c r="J207" s="989"/>
      <c r="K207" s="950"/>
    </row>
    <row r="208" spans="1:11">
      <c r="A208" s="925" t="str">
        <f>IF(Values_Entered,A207+1,"")</f>
        <v/>
      </c>
      <c r="B208" s="991" t="str">
        <f t="shared" si="27"/>
        <v/>
      </c>
      <c r="C208" s="963" t="str">
        <f t="shared" si="33"/>
        <v/>
      </c>
      <c r="D208" s="963" t="str">
        <f t="shared" si="34"/>
        <v/>
      </c>
      <c r="E208" s="964" t="e">
        <f t="shared" si="28"/>
        <v>#VALUE!</v>
      </c>
      <c r="F208" s="965" t="e">
        <f t="shared" si="35"/>
        <v>#VALUE!</v>
      </c>
      <c r="G208" s="963" t="str">
        <f t="shared" si="36"/>
        <v/>
      </c>
      <c r="H208" s="963" t="str">
        <f t="shared" si="37"/>
        <v/>
      </c>
      <c r="I208" s="963" t="e">
        <f t="shared" si="38"/>
        <v>#VALUE!</v>
      </c>
      <c r="J208" s="989"/>
      <c r="K208" s="950"/>
    </row>
    <row r="209" spans="1:11">
      <c r="A209" s="925" t="str">
        <f>IF(Values_Entered,A208+1,"")</f>
        <v/>
      </c>
      <c r="B209" s="991" t="str">
        <f t="shared" si="27"/>
        <v/>
      </c>
      <c r="C209" s="963" t="str">
        <f t="shared" si="33"/>
        <v/>
      </c>
      <c r="D209" s="963" t="str">
        <f t="shared" si="34"/>
        <v/>
      </c>
      <c r="E209" s="964" t="e">
        <f t="shared" si="28"/>
        <v>#VALUE!</v>
      </c>
      <c r="F209" s="965" t="e">
        <f t="shared" si="35"/>
        <v>#VALUE!</v>
      </c>
      <c r="G209" s="963" t="str">
        <f t="shared" si="36"/>
        <v/>
      </c>
      <c r="H209" s="963" t="str">
        <f t="shared" si="37"/>
        <v/>
      </c>
      <c r="I209" s="963" t="e">
        <f t="shared" si="38"/>
        <v>#VALUE!</v>
      </c>
      <c r="J209" s="989"/>
      <c r="K209" s="950"/>
    </row>
    <row r="210" spans="1:11">
      <c r="A210" s="925" t="str">
        <f>IF(Values_Entered,A209+1,"")</f>
        <v/>
      </c>
      <c r="B210" s="991" t="str">
        <f t="shared" si="27"/>
        <v/>
      </c>
      <c r="C210" s="963" t="str">
        <f t="shared" si="33"/>
        <v/>
      </c>
      <c r="D210" s="963" t="str">
        <f t="shared" si="34"/>
        <v/>
      </c>
      <c r="E210" s="964" t="e">
        <f t="shared" si="28"/>
        <v>#VALUE!</v>
      </c>
      <c r="F210" s="965" t="e">
        <f t="shared" si="35"/>
        <v>#VALUE!</v>
      </c>
      <c r="G210" s="963" t="str">
        <f t="shared" si="36"/>
        <v/>
      </c>
      <c r="H210" s="963" t="str">
        <f t="shared" si="37"/>
        <v/>
      </c>
      <c r="I210" s="963" t="e">
        <f t="shared" si="38"/>
        <v>#VALUE!</v>
      </c>
      <c r="J210" s="989"/>
      <c r="K210" s="950"/>
    </row>
    <row r="211" spans="1:11">
      <c r="A211" s="925" t="str">
        <f>IF(Values_Entered,A210+1,"")</f>
        <v/>
      </c>
      <c r="B211" s="991" t="str">
        <f t="shared" si="27"/>
        <v/>
      </c>
      <c r="C211" s="963" t="str">
        <f t="shared" si="33"/>
        <v/>
      </c>
      <c r="D211" s="963" t="str">
        <f t="shared" si="34"/>
        <v/>
      </c>
      <c r="E211" s="964" t="e">
        <f t="shared" si="28"/>
        <v>#VALUE!</v>
      </c>
      <c r="F211" s="965" t="e">
        <f t="shared" si="35"/>
        <v>#VALUE!</v>
      </c>
      <c r="G211" s="963" t="str">
        <f t="shared" si="36"/>
        <v/>
      </c>
      <c r="H211" s="963" t="str">
        <f t="shared" si="37"/>
        <v/>
      </c>
      <c r="I211" s="963" t="e">
        <f t="shared" si="38"/>
        <v>#VALUE!</v>
      </c>
      <c r="J211" s="989"/>
      <c r="K211" s="950"/>
    </row>
    <row r="212" spans="1:11">
      <c r="A212" s="925" t="str">
        <f>IF(Values_Entered,A211+1,"")</f>
        <v/>
      </c>
      <c r="B212" s="991" t="str">
        <f t="shared" si="27"/>
        <v/>
      </c>
      <c r="C212" s="963" t="str">
        <f t="shared" si="33"/>
        <v/>
      </c>
      <c r="D212" s="963" t="str">
        <f t="shared" si="34"/>
        <v/>
      </c>
      <c r="E212" s="964" t="e">
        <f t="shared" si="28"/>
        <v>#VALUE!</v>
      </c>
      <c r="F212" s="965" t="e">
        <f t="shared" si="35"/>
        <v>#VALUE!</v>
      </c>
      <c r="G212" s="963" t="str">
        <f t="shared" si="36"/>
        <v/>
      </c>
      <c r="H212" s="963" t="str">
        <f t="shared" si="37"/>
        <v/>
      </c>
      <c r="I212" s="963" t="e">
        <f t="shared" si="38"/>
        <v>#VALUE!</v>
      </c>
      <c r="J212" s="989"/>
      <c r="K212" s="950"/>
    </row>
    <row r="213" spans="1:11">
      <c r="A213" s="925" t="str">
        <f>IF(Values_Entered,A212+1,"")</f>
        <v/>
      </c>
      <c r="B213" s="991" t="str">
        <f t="shared" si="27"/>
        <v/>
      </c>
      <c r="C213" s="963" t="str">
        <f t="shared" si="33"/>
        <v/>
      </c>
      <c r="D213" s="963" t="str">
        <f t="shared" si="34"/>
        <v/>
      </c>
      <c r="E213" s="964" t="e">
        <f t="shared" si="28"/>
        <v>#VALUE!</v>
      </c>
      <c r="F213" s="965" t="e">
        <f t="shared" si="35"/>
        <v>#VALUE!</v>
      </c>
      <c r="G213" s="963" t="str">
        <f t="shared" si="36"/>
        <v/>
      </c>
      <c r="H213" s="963" t="str">
        <f t="shared" si="37"/>
        <v/>
      </c>
      <c r="I213" s="963" t="e">
        <f t="shared" si="38"/>
        <v>#VALUE!</v>
      </c>
      <c r="J213" s="989"/>
      <c r="K213" s="950"/>
    </row>
    <row r="214" spans="1:11">
      <c r="A214" s="925" t="str">
        <f>IF(Values_Entered,A213+1,"")</f>
        <v/>
      </c>
      <c r="B214" s="991" t="str">
        <f t="shared" si="27"/>
        <v/>
      </c>
      <c r="C214" s="963" t="str">
        <f t="shared" si="33"/>
        <v/>
      </c>
      <c r="D214" s="963" t="str">
        <f t="shared" si="34"/>
        <v/>
      </c>
      <c r="E214" s="964" t="e">
        <f t="shared" si="28"/>
        <v>#VALUE!</v>
      </c>
      <c r="F214" s="965" t="e">
        <f t="shared" si="35"/>
        <v>#VALUE!</v>
      </c>
      <c r="G214" s="963" t="str">
        <f t="shared" si="36"/>
        <v/>
      </c>
      <c r="H214" s="963" t="str">
        <f t="shared" si="37"/>
        <v/>
      </c>
      <c r="I214" s="963" t="e">
        <f t="shared" si="38"/>
        <v>#VALUE!</v>
      </c>
      <c r="J214" s="989"/>
      <c r="K214" s="950"/>
    </row>
    <row r="215" spans="1:11">
      <c r="A215" s="925" t="str">
        <f>IF(Values_Entered,A214+1,"")</f>
        <v/>
      </c>
      <c r="B215" s="991" t="str">
        <f t="shared" si="27"/>
        <v/>
      </c>
      <c r="C215" s="963" t="str">
        <f t="shared" si="33"/>
        <v/>
      </c>
      <c r="D215" s="963" t="str">
        <f t="shared" si="34"/>
        <v/>
      </c>
      <c r="E215" s="964" t="e">
        <f t="shared" si="28"/>
        <v>#VALUE!</v>
      </c>
      <c r="F215" s="965" t="e">
        <f t="shared" si="35"/>
        <v>#VALUE!</v>
      </c>
      <c r="G215" s="963" t="str">
        <f t="shared" si="36"/>
        <v/>
      </c>
      <c r="H215" s="963" t="str">
        <f t="shared" si="37"/>
        <v/>
      </c>
      <c r="I215" s="963" t="e">
        <f t="shared" si="38"/>
        <v>#VALUE!</v>
      </c>
      <c r="J215" s="989"/>
      <c r="K215" s="950"/>
    </row>
    <row r="216" spans="1:11">
      <c r="A216" s="925" t="str">
        <f>IF(Values_Entered,A215+1,"")</f>
        <v/>
      </c>
      <c r="B216" s="991" t="str">
        <f t="shared" si="27"/>
        <v/>
      </c>
      <c r="C216" s="963" t="str">
        <f t="shared" si="33"/>
        <v/>
      </c>
      <c r="D216" s="963" t="str">
        <f t="shared" si="34"/>
        <v/>
      </c>
      <c r="E216" s="964" t="e">
        <f t="shared" si="28"/>
        <v>#VALUE!</v>
      </c>
      <c r="F216" s="965" t="e">
        <f t="shared" si="35"/>
        <v>#VALUE!</v>
      </c>
      <c r="G216" s="963" t="str">
        <f t="shared" si="36"/>
        <v/>
      </c>
      <c r="H216" s="963" t="str">
        <f t="shared" si="37"/>
        <v/>
      </c>
      <c r="I216" s="963" t="e">
        <f t="shared" si="38"/>
        <v>#VALUE!</v>
      </c>
      <c r="J216" s="989"/>
      <c r="K216" s="950"/>
    </row>
    <row r="217" spans="1:11">
      <c r="A217" s="925" t="str">
        <f>IF(Values_Entered,A216+1,"")</f>
        <v/>
      </c>
      <c r="B217" s="991" t="str">
        <f t="shared" ref="B217:B280" si="39">IF(Pay_Num&lt;&gt;"",DATE(YEAR(Loan_Start),MONTH(Loan_Start)+(Pay_Num)*12/Num_Pmt_Per_Year,DAY(Loan_Start)),"")</f>
        <v/>
      </c>
      <c r="C217" s="963" t="str">
        <f t="shared" si="33"/>
        <v/>
      </c>
      <c r="D217" s="963" t="str">
        <f t="shared" si="34"/>
        <v/>
      </c>
      <c r="E217" s="964" t="e">
        <f t="shared" ref="E217:E280" si="40">IF(AND(Pay_Num&lt;&gt;"",Sched_Pay+Scheduled_Extra_Payments&lt;Beg_Bal),Scheduled_Extra_Payments,IF(AND(Pay_Num&lt;&gt;"",Beg_Bal-Sched_Pay&gt;0),Beg_Bal-Sched_Pay,IF(Pay_Num&lt;&gt;"",0,"")))</f>
        <v>#VALUE!</v>
      </c>
      <c r="F217" s="965" t="e">
        <f t="shared" ref="F217:F280" si="41">IF(AND(Pay_Num&lt;&gt;"",Sched_Pay+Extra_Pay&lt;Beg_Bal),Sched_Pay+Extra_Pay,IF(Pay_Num&lt;&gt;"",Beg_Bal,""))</f>
        <v>#VALUE!</v>
      </c>
      <c r="G217" s="963" t="str">
        <f t="shared" si="36"/>
        <v/>
      </c>
      <c r="H217" s="963" t="str">
        <f t="shared" si="37"/>
        <v/>
      </c>
      <c r="I217" s="963" t="e">
        <f t="shared" ref="I217:I280" si="42">IF(AND(Pay_Num&lt;&gt;"",Sched_Pay+Extra_Pay&lt;Beg_Bal),Beg_Bal-Princ,IF(Pay_Num&lt;&gt;"",0,""))</f>
        <v>#VALUE!</v>
      </c>
      <c r="J217" s="989"/>
      <c r="K217" s="950"/>
    </row>
    <row r="218" spans="1:11">
      <c r="A218" s="925" t="str">
        <f>IF(Values_Entered,A217+1,"")</f>
        <v/>
      </c>
      <c r="B218" s="991" t="str">
        <f t="shared" si="39"/>
        <v/>
      </c>
      <c r="C218" s="963" t="str">
        <f t="shared" si="33"/>
        <v/>
      </c>
      <c r="D218" s="963" t="str">
        <f t="shared" si="34"/>
        <v/>
      </c>
      <c r="E218" s="964" t="e">
        <f t="shared" si="40"/>
        <v>#VALUE!</v>
      </c>
      <c r="F218" s="965" t="e">
        <f t="shared" si="41"/>
        <v>#VALUE!</v>
      </c>
      <c r="G218" s="963" t="str">
        <f t="shared" ref="G218:G281" si="43">IF(Pay_Num&lt;&gt;"",Total_Pay-Int,"")</f>
        <v/>
      </c>
      <c r="H218" s="963" t="str">
        <f t="shared" ref="H218:H281" si="44">IF(Pay_Num&lt;&gt;"",Beg_Bal*Interest_Rate/Num_Pmt_Per_Year,"")</f>
        <v/>
      </c>
      <c r="I218" s="963" t="e">
        <f t="shared" si="42"/>
        <v>#VALUE!</v>
      </c>
      <c r="J218" s="989"/>
      <c r="K218" s="950"/>
    </row>
    <row r="219" spans="1:11">
      <c r="A219" s="925" t="str">
        <f>IF(Values_Entered,A218+1,"")</f>
        <v/>
      </c>
      <c r="B219" s="991" t="str">
        <f t="shared" si="39"/>
        <v/>
      </c>
      <c r="C219" s="963" t="str">
        <f t="shared" ref="C219:C282" si="45">IF(Pay_Num&lt;&gt;"",I218,"")</f>
        <v/>
      </c>
      <c r="D219" s="963" t="str">
        <f t="shared" ref="D219:D282" si="46">IF(Pay_Num&lt;&gt;"",Scheduled_Monthly_Payment,"")</f>
        <v/>
      </c>
      <c r="E219" s="964" t="e">
        <f t="shared" si="40"/>
        <v>#VALUE!</v>
      </c>
      <c r="F219" s="965" t="e">
        <f t="shared" si="41"/>
        <v>#VALUE!</v>
      </c>
      <c r="G219" s="963" t="str">
        <f t="shared" si="43"/>
        <v/>
      </c>
      <c r="H219" s="963" t="str">
        <f t="shared" si="44"/>
        <v/>
      </c>
      <c r="I219" s="963" t="e">
        <f t="shared" si="42"/>
        <v>#VALUE!</v>
      </c>
      <c r="J219" s="989"/>
      <c r="K219" s="950"/>
    </row>
    <row r="220" spans="1:11">
      <c r="A220" s="925" t="str">
        <f>IF(Values_Entered,A219+1,"")</f>
        <v/>
      </c>
      <c r="B220" s="991" t="str">
        <f t="shared" si="39"/>
        <v/>
      </c>
      <c r="C220" s="963" t="str">
        <f t="shared" si="45"/>
        <v/>
      </c>
      <c r="D220" s="963" t="str">
        <f t="shared" si="46"/>
        <v/>
      </c>
      <c r="E220" s="964" t="e">
        <f t="shared" si="40"/>
        <v>#VALUE!</v>
      </c>
      <c r="F220" s="965" t="e">
        <f t="shared" si="41"/>
        <v>#VALUE!</v>
      </c>
      <c r="G220" s="963" t="str">
        <f t="shared" si="43"/>
        <v/>
      </c>
      <c r="H220" s="963" t="str">
        <f t="shared" si="44"/>
        <v/>
      </c>
      <c r="I220" s="963" t="e">
        <f t="shared" si="42"/>
        <v>#VALUE!</v>
      </c>
      <c r="J220" s="989"/>
      <c r="K220" s="950"/>
    </row>
    <row r="221" spans="1:11">
      <c r="A221" s="925" t="str">
        <f>IF(Values_Entered,A220+1,"")</f>
        <v/>
      </c>
      <c r="B221" s="991" t="str">
        <f t="shared" si="39"/>
        <v/>
      </c>
      <c r="C221" s="963" t="str">
        <f t="shared" si="45"/>
        <v/>
      </c>
      <c r="D221" s="963" t="str">
        <f t="shared" si="46"/>
        <v/>
      </c>
      <c r="E221" s="964" t="e">
        <f t="shared" si="40"/>
        <v>#VALUE!</v>
      </c>
      <c r="F221" s="965" t="e">
        <f t="shared" si="41"/>
        <v>#VALUE!</v>
      </c>
      <c r="G221" s="963" t="str">
        <f t="shared" si="43"/>
        <v/>
      </c>
      <c r="H221" s="963" t="str">
        <f t="shared" si="44"/>
        <v/>
      </c>
      <c r="I221" s="963" t="e">
        <f t="shared" si="42"/>
        <v>#VALUE!</v>
      </c>
      <c r="J221" s="989"/>
      <c r="K221" s="950"/>
    </row>
    <row r="222" spans="1:11">
      <c r="A222" s="925" t="str">
        <f>IF(Values_Entered,A221+1,"")</f>
        <v/>
      </c>
      <c r="B222" s="991" t="str">
        <f t="shared" si="39"/>
        <v/>
      </c>
      <c r="C222" s="963" t="str">
        <f t="shared" si="45"/>
        <v/>
      </c>
      <c r="D222" s="963" t="str">
        <f t="shared" si="46"/>
        <v/>
      </c>
      <c r="E222" s="964" t="e">
        <f t="shared" si="40"/>
        <v>#VALUE!</v>
      </c>
      <c r="F222" s="965" t="e">
        <f t="shared" si="41"/>
        <v>#VALUE!</v>
      </c>
      <c r="G222" s="963" t="str">
        <f t="shared" si="43"/>
        <v/>
      </c>
      <c r="H222" s="963" t="str">
        <f t="shared" si="44"/>
        <v/>
      </c>
      <c r="I222" s="963" t="e">
        <f t="shared" si="42"/>
        <v>#VALUE!</v>
      </c>
      <c r="J222" s="989"/>
      <c r="K222" s="950"/>
    </row>
    <row r="223" spans="1:11">
      <c r="A223" s="925" t="str">
        <f>IF(Values_Entered,A222+1,"")</f>
        <v/>
      </c>
      <c r="B223" s="991" t="str">
        <f t="shared" si="39"/>
        <v/>
      </c>
      <c r="C223" s="963" t="str">
        <f t="shared" si="45"/>
        <v/>
      </c>
      <c r="D223" s="963" t="str">
        <f t="shared" si="46"/>
        <v/>
      </c>
      <c r="E223" s="964" t="e">
        <f t="shared" si="40"/>
        <v>#VALUE!</v>
      </c>
      <c r="F223" s="965" t="e">
        <f t="shared" si="41"/>
        <v>#VALUE!</v>
      </c>
      <c r="G223" s="963" t="str">
        <f t="shared" si="43"/>
        <v/>
      </c>
      <c r="H223" s="963" t="str">
        <f t="shared" si="44"/>
        <v/>
      </c>
      <c r="I223" s="963" t="e">
        <f t="shared" si="42"/>
        <v>#VALUE!</v>
      </c>
      <c r="J223" s="989"/>
      <c r="K223" s="950"/>
    </row>
    <row r="224" spans="1:11">
      <c r="A224" s="925" t="str">
        <f>IF(Values_Entered,A223+1,"")</f>
        <v/>
      </c>
      <c r="B224" s="991" t="str">
        <f t="shared" si="39"/>
        <v/>
      </c>
      <c r="C224" s="963" t="str">
        <f t="shared" si="45"/>
        <v/>
      </c>
      <c r="D224" s="963" t="str">
        <f t="shared" si="46"/>
        <v/>
      </c>
      <c r="E224" s="964" t="e">
        <f t="shared" si="40"/>
        <v>#VALUE!</v>
      </c>
      <c r="F224" s="965" t="e">
        <f t="shared" si="41"/>
        <v>#VALUE!</v>
      </c>
      <c r="G224" s="963" t="str">
        <f t="shared" si="43"/>
        <v/>
      </c>
      <c r="H224" s="963" t="str">
        <f t="shared" si="44"/>
        <v/>
      </c>
      <c r="I224" s="963" t="e">
        <f t="shared" si="42"/>
        <v>#VALUE!</v>
      </c>
      <c r="J224" s="989"/>
      <c r="K224" s="950"/>
    </row>
    <row r="225" spans="1:11">
      <c r="A225" s="925" t="str">
        <f>IF(Values_Entered,A224+1,"")</f>
        <v/>
      </c>
      <c r="B225" s="991" t="str">
        <f t="shared" si="39"/>
        <v/>
      </c>
      <c r="C225" s="963" t="str">
        <f t="shared" si="45"/>
        <v/>
      </c>
      <c r="D225" s="963" t="str">
        <f t="shared" si="46"/>
        <v/>
      </c>
      <c r="E225" s="964" t="e">
        <f t="shared" si="40"/>
        <v>#VALUE!</v>
      </c>
      <c r="F225" s="965" t="e">
        <f t="shared" si="41"/>
        <v>#VALUE!</v>
      </c>
      <c r="G225" s="963" t="str">
        <f t="shared" si="43"/>
        <v/>
      </c>
      <c r="H225" s="963" t="str">
        <f t="shared" si="44"/>
        <v/>
      </c>
      <c r="I225" s="963" t="e">
        <f t="shared" si="42"/>
        <v>#VALUE!</v>
      </c>
      <c r="J225" s="989"/>
      <c r="K225" s="950"/>
    </row>
    <row r="226" spans="1:11">
      <c r="A226" s="925" t="str">
        <f>IF(Values_Entered,A225+1,"")</f>
        <v/>
      </c>
      <c r="B226" s="991" t="str">
        <f t="shared" si="39"/>
        <v/>
      </c>
      <c r="C226" s="963" t="str">
        <f t="shared" si="45"/>
        <v/>
      </c>
      <c r="D226" s="963" t="str">
        <f t="shared" si="46"/>
        <v/>
      </c>
      <c r="E226" s="964" t="e">
        <f t="shared" si="40"/>
        <v>#VALUE!</v>
      </c>
      <c r="F226" s="965" t="e">
        <f t="shared" si="41"/>
        <v>#VALUE!</v>
      </c>
      <c r="G226" s="963" t="str">
        <f t="shared" si="43"/>
        <v/>
      </c>
      <c r="H226" s="963" t="str">
        <f t="shared" si="44"/>
        <v/>
      </c>
      <c r="I226" s="963" t="e">
        <f t="shared" si="42"/>
        <v>#VALUE!</v>
      </c>
      <c r="J226" s="989"/>
      <c r="K226" s="950"/>
    </row>
    <row r="227" spans="1:11">
      <c r="A227" s="925" t="str">
        <f>IF(Values_Entered,A226+1,"")</f>
        <v/>
      </c>
      <c r="B227" s="991" t="str">
        <f t="shared" si="39"/>
        <v/>
      </c>
      <c r="C227" s="963" t="str">
        <f t="shared" si="45"/>
        <v/>
      </c>
      <c r="D227" s="963" t="str">
        <f t="shared" si="46"/>
        <v/>
      </c>
      <c r="E227" s="964" t="e">
        <f t="shared" si="40"/>
        <v>#VALUE!</v>
      </c>
      <c r="F227" s="965" t="e">
        <f t="shared" si="41"/>
        <v>#VALUE!</v>
      </c>
      <c r="G227" s="963" t="str">
        <f t="shared" si="43"/>
        <v/>
      </c>
      <c r="H227" s="963" t="str">
        <f t="shared" si="44"/>
        <v/>
      </c>
      <c r="I227" s="963" t="e">
        <f t="shared" si="42"/>
        <v>#VALUE!</v>
      </c>
      <c r="J227" s="992"/>
      <c r="K227" s="950"/>
    </row>
    <row r="228" spans="1:11">
      <c r="A228" s="925" t="str">
        <f>IF(Values_Entered,A227+1,"")</f>
        <v/>
      </c>
      <c r="B228" s="991" t="str">
        <f t="shared" si="39"/>
        <v/>
      </c>
      <c r="C228" s="963" t="str">
        <f t="shared" si="45"/>
        <v/>
      </c>
      <c r="D228" s="963" t="str">
        <f t="shared" si="46"/>
        <v/>
      </c>
      <c r="E228" s="964" t="e">
        <f t="shared" si="40"/>
        <v>#VALUE!</v>
      </c>
      <c r="F228" s="965" t="e">
        <f t="shared" si="41"/>
        <v>#VALUE!</v>
      </c>
      <c r="G228" s="963" t="str">
        <f t="shared" si="43"/>
        <v/>
      </c>
      <c r="H228" s="963" t="str">
        <f t="shared" si="44"/>
        <v/>
      </c>
      <c r="I228" s="963" t="e">
        <f t="shared" si="42"/>
        <v>#VALUE!</v>
      </c>
      <c r="J228" s="989"/>
      <c r="K228" s="950"/>
    </row>
    <row r="229" spans="1:11">
      <c r="A229" s="925" t="str">
        <f>IF(Values_Entered,A228+1,"")</f>
        <v/>
      </c>
      <c r="B229" s="991" t="str">
        <f t="shared" si="39"/>
        <v/>
      </c>
      <c r="C229" s="963" t="str">
        <f t="shared" si="45"/>
        <v/>
      </c>
      <c r="D229" s="963" t="str">
        <f t="shared" si="46"/>
        <v/>
      </c>
      <c r="E229" s="964" t="e">
        <f t="shared" si="40"/>
        <v>#VALUE!</v>
      </c>
      <c r="F229" s="965" t="e">
        <f t="shared" si="41"/>
        <v>#VALUE!</v>
      </c>
      <c r="G229" s="963" t="str">
        <f t="shared" si="43"/>
        <v/>
      </c>
      <c r="H229" s="963" t="str">
        <f t="shared" si="44"/>
        <v/>
      </c>
      <c r="I229" s="963" t="e">
        <f t="shared" si="42"/>
        <v>#VALUE!</v>
      </c>
      <c r="J229" s="989"/>
      <c r="K229" s="950"/>
    </row>
    <row r="230" spans="1:11">
      <c r="A230" s="925" t="str">
        <f>IF(Values_Entered,A229+1,"")</f>
        <v/>
      </c>
      <c r="B230" s="991" t="str">
        <f t="shared" si="39"/>
        <v/>
      </c>
      <c r="C230" s="963" t="str">
        <f t="shared" si="45"/>
        <v/>
      </c>
      <c r="D230" s="963" t="str">
        <f t="shared" si="46"/>
        <v/>
      </c>
      <c r="E230" s="964" t="e">
        <f t="shared" si="40"/>
        <v>#VALUE!</v>
      </c>
      <c r="F230" s="965" t="e">
        <f t="shared" si="41"/>
        <v>#VALUE!</v>
      </c>
      <c r="G230" s="963" t="str">
        <f t="shared" si="43"/>
        <v/>
      </c>
      <c r="H230" s="963" t="str">
        <f t="shared" si="44"/>
        <v/>
      </c>
      <c r="I230" s="963" t="e">
        <f t="shared" si="42"/>
        <v>#VALUE!</v>
      </c>
      <c r="J230" s="989"/>
      <c r="K230" s="950"/>
    </row>
    <row r="231" spans="1:11">
      <c r="A231" s="925" t="str">
        <f>IF(Values_Entered,A230+1,"")</f>
        <v/>
      </c>
      <c r="B231" s="991" t="str">
        <f t="shared" si="39"/>
        <v/>
      </c>
      <c r="C231" s="963" t="str">
        <f t="shared" si="45"/>
        <v/>
      </c>
      <c r="D231" s="963" t="str">
        <f t="shared" si="46"/>
        <v/>
      </c>
      <c r="E231" s="964" t="e">
        <f t="shared" si="40"/>
        <v>#VALUE!</v>
      </c>
      <c r="F231" s="965" t="e">
        <f t="shared" si="41"/>
        <v>#VALUE!</v>
      </c>
      <c r="G231" s="963" t="str">
        <f t="shared" si="43"/>
        <v/>
      </c>
      <c r="H231" s="963" t="str">
        <f t="shared" si="44"/>
        <v/>
      </c>
      <c r="I231" s="963" t="e">
        <f t="shared" si="42"/>
        <v>#VALUE!</v>
      </c>
      <c r="J231" s="989"/>
      <c r="K231" s="950"/>
    </row>
    <row r="232" spans="1:11">
      <c r="A232" s="925" t="str">
        <f>IF(Values_Entered,A231+1,"")</f>
        <v/>
      </c>
      <c r="B232" s="991" t="str">
        <f t="shared" si="39"/>
        <v/>
      </c>
      <c r="C232" s="963" t="str">
        <f t="shared" si="45"/>
        <v/>
      </c>
      <c r="D232" s="963" t="str">
        <f t="shared" si="46"/>
        <v/>
      </c>
      <c r="E232" s="964" t="e">
        <f t="shared" si="40"/>
        <v>#VALUE!</v>
      </c>
      <c r="F232" s="965" t="e">
        <f t="shared" si="41"/>
        <v>#VALUE!</v>
      </c>
      <c r="G232" s="963" t="str">
        <f t="shared" si="43"/>
        <v/>
      </c>
      <c r="H232" s="963" t="str">
        <f t="shared" si="44"/>
        <v/>
      </c>
      <c r="I232" s="963" t="e">
        <f t="shared" si="42"/>
        <v>#VALUE!</v>
      </c>
      <c r="J232" s="989"/>
      <c r="K232" s="950"/>
    </row>
    <row r="233" spans="1:11">
      <c r="A233" s="925" t="str">
        <f>IF(Values_Entered,A232+1,"")</f>
        <v/>
      </c>
      <c r="B233" s="991" t="str">
        <f t="shared" si="39"/>
        <v/>
      </c>
      <c r="C233" s="963" t="str">
        <f t="shared" si="45"/>
        <v/>
      </c>
      <c r="D233" s="963" t="str">
        <f t="shared" si="46"/>
        <v/>
      </c>
      <c r="E233" s="964" t="e">
        <f t="shared" si="40"/>
        <v>#VALUE!</v>
      </c>
      <c r="F233" s="965" t="e">
        <f t="shared" si="41"/>
        <v>#VALUE!</v>
      </c>
      <c r="G233" s="963" t="str">
        <f t="shared" si="43"/>
        <v/>
      </c>
      <c r="H233" s="963" t="str">
        <f t="shared" si="44"/>
        <v/>
      </c>
      <c r="I233" s="963" t="e">
        <f t="shared" si="42"/>
        <v>#VALUE!</v>
      </c>
      <c r="J233" s="989"/>
      <c r="K233" s="950"/>
    </row>
    <row r="234" spans="1:11">
      <c r="A234" s="925" t="str">
        <f>IF(Values_Entered,A233+1,"")</f>
        <v/>
      </c>
      <c r="B234" s="991" t="str">
        <f t="shared" si="39"/>
        <v/>
      </c>
      <c r="C234" s="963" t="str">
        <f t="shared" si="45"/>
        <v/>
      </c>
      <c r="D234" s="963" t="str">
        <f t="shared" si="46"/>
        <v/>
      </c>
      <c r="E234" s="964" t="e">
        <f t="shared" si="40"/>
        <v>#VALUE!</v>
      </c>
      <c r="F234" s="965" t="e">
        <f t="shared" si="41"/>
        <v>#VALUE!</v>
      </c>
      <c r="G234" s="963" t="str">
        <f t="shared" si="43"/>
        <v/>
      </c>
      <c r="H234" s="963" t="str">
        <f t="shared" si="44"/>
        <v/>
      </c>
      <c r="I234" s="963" t="e">
        <f t="shared" si="42"/>
        <v>#VALUE!</v>
      </c>
      <c r="J234" s="989"/>
      <c r="K234" s="950"/>
    </row>
    <row r="235" spans="1:11">
      <c r="A235" s="925" t="str">
        <f>IF(Values_Entered,A234+1,"")</f>
        <v/>
      </c>
      <c r="B235" s="991" t="str">
        <f t="shared" si="39"/>
        <v/>
      </c>
      <c r="C235" s="963" t="str">
        <f t="shared" si="45"/>
        <v/>
      </c>
      <c r="D235" s="963" t="str">
        <f t="shared" si="46"/>
        <v/>
      </c>
      <c r="E235" s="964" t="e">
        <f t="shared" si="40"/>
        <v>#VALUE!</v>
      </c>
      <c r="F235" s="965" t="e">
        <f t="shared" si="41"/>
        <v>#VALUE!</v>
      </c>
      <c r="G235" s="963" t="str">
        <f t="shared" si="43"/>
        <v/>
      </c>
      <c r="H235" s="963" t="str">
        <f t="shared" si="44"/>
        <v/>
      </c>
      <c r="I235" s="963" t="e">
        <f t="shared" si="42"/>
        <v>#VALUE!</v>
      </c>
      <c r="J235" s="989"/>
      <c r="K235" s="950"/>
    </row>
    <row r="236" spans="1:11">
      <c r="A236" s="925" t="str">
        <f>IF(Values_Entered,A235+1,"")</f>
        <v/>
      </c>
      <c r="B236" s="991" t="str">
        <f t="shared" si="39"/>
        <v/>
      </c>
      <c r="C236" s="963" t="str">
        <f t="shared" si="45"/>
        <v/>
      </c>
      <c r="D236" s="963" t="str">
        <f t="shared" si="46"/>
        <v/>
      </c>
      <c r="E236" s="964" t="e">
        <f t="shared" si="40"/>
        <v>#VALUE!</v>
      </c>
      <c r="F236" s="965" t="e">
        <f t="shared" si="41"/>
        <v>#VALUE!</v>
      </c>
      <c r="G236" s="963" t="str">
        <f t="shared" si="43"/>
        <v/>
      </c>
      <c r="H236" s="963" t="str">
        <f t="shared" si="44"/>
        <v/>
      </c>
      <c r="I236" s="963" t="e">
        <f t="shared" si="42"/>
        <v>#VALUE!</v>
      </c>
      <c r="J236" s="989"/>
      <c r="K236" s="950"/>
    </row>
    <row r="237" spans="1:11">
      <c r="A237" s="925" t="str">
        <f>IF(Values_Entered,A236+1,"")</f>
        <v/>
      </c>
      <c r="B237" s="991" t="str">
        <f t="shared" si="39"/>
        <v/>
      </c>
      <c r="C237" s="963" t="str">
        <f t="shared" si="45"/>
        <v/>
      </c>
      <c r="D237" s="963" t="str">
        <f t="shared" si="46"/>
        <v/>
      </c>
      <c r="E237" s="964" t="e">
        <f t="shared" si="40"/>
        <v>#VALUE!</v>
      </c>
      <c r="F237" s="965" t="e">
        <f t="shared" si="41"/>
        <v>#VALUE!</v>
      </c>
      <c r="G237" s="963" t="str">
        <f t="shared" si="43"/>
        <v/>
      </c>
      <c r="H237" s="963" t="str">
        <f t="shared" si="44"/>
        <v/>
      </c>
      <c r="I237" s="963" t="e">
        <f t="shared" si="42"/>
        <v>#VALUE!</v>
      </c>
      <c r="J237" s="989"/>
      <c r="K237" s="950"/>
    </row>
    <row r="238" spans="1:11">
      <c r="A238" s="925" t="str">
        <f>IF(Values_Entered,A237+1,"")</f>
        <v/>
      </c>
      <c r="B238" s="991" t="str">
        <f t="shared" si="39"/>
        <v/>
      </c>
      <c r="C238" s="963" t="str">
        <f t="shared" si="45"/>
        <v/>
      </c>
      <c r="D238" s="963" t="str">
        <f t="shared" si="46"/>
        <v/>
      </c>
      <c r="E238" s="964" t="e">
        <f t="shared" si="40"/>
        <v>#VALUE!</v>
      </c>
      <c r="F238" s="965" t="e">
        <f t="shared" si="41"/>
        <v>#VALUE!</v>
      </c>
      <c r="G238" s="963" t="str">
        <f t="shared" si="43"/>
        <v/>
      </c>
      <c r="H238" s="963" t="str">
        <f t="shared" si="44"/>
        <v/>
      </c>
      <c r="I238" s="963" t="e">
        <f t="shared" si="42"/>
        <v>#VALUE!</v>
      </c>
      <c r="J238" s="989"/>
      <c r="K238" s="950"/>
    </row>
    <row r="239" spans="1:11">
      <c r="A239" s="925" t="str">
        <f>IF(Values_Entered,A238+1,"")</f>
        <v/>
      </c>
      <c r="B239" s="991" t="str">
        <f t="shared" si="39"/>
        <v/>
      </c>
      <c r="C239" s="963" t="str">
        <f t="shared" si="45"/>
        <v/>
      </c>
      <c r="D239" s="963" t="str">
        <f t="shared" si="46"/>
        <v/>
      </c>
      <c r="E239" s="964" t="e">
        <f t="shared" si="40"/>
        <v>#VALUE!</v>
      </c>
      <c r="F239" s="965" t="e">
        <f t="shared" si="41"/>
        <v>#VALUE!</v>
      </c>
      <c r="G239" s="963" t="str">
        <f t="shared" si="43"/>
        <v/>
      </c>
      <c r="H239" s="963" t="str">
        <f t="shared" si="44"/>
        <v/>
      </c>
      <c r="I239" s="963" t="e">
        <f t="shared" si="42"/>
        <v>#VALUE!</v>
      </c>
      <c r="J239" s="989"/>
      <c r="K239" s="950"/>
    </row>
    <row r="240" spans="1:11">
      <c r="A240" s="925" t="str">
        <f>IF(Values_Entered,A239+1,"")</f>
        <v/>
      </c>
      <c r="B240" s="991" t="str">
        <f t="shared" si="39"/>
        <v/>
      </c>
      <c r="C240" s="963" t="str">
        <f t="shared" si="45"/>
        <v/>
      </c>
      <c r="D240" s="963" t="str">
        <f t="shared" si="46"/>
        <v/>
      </c>
      <c r="E240" s="964" t="e">
        <f t="shared" si="40"/>
        <v>#VALUE!</v>
      </c>
      <c r="F240" s="965" t="e">
        <f t="shared" si="41"/>
        <v>#VALUE!</v>
      </c>
      <c r="G240" s="963" t="str">
        <f t="shared" si="43"/>
        <v/>
      </c>
      <c r="H240" s="963" t="str">
        <f t="shared" si="44"/>
        <v/>
      </c>
      <c r="I240" s="963" t="e">
        <f t="shared" si="42"/>
        <v>#VALUE!</v>
      </c>
      <c r="J240" s="989"/>
      <c r="K240" s="950"/>
    </row>
    <row r="241" spans="1:11">
      <c r="A241" s="925" t="str">
        <f>IF(Values_Entered,A240+1,"")</f>
        <v/>
      </c>
      <c r="B241" s="991" t="str">
        <f t="shared" si="39"/>
        <v/>
      </c>
      <c r="C241" s="963" t="str">
        <f t="shared" si="45"/>
        <v/>
      </c>
      <c r="D241" s="963" t="str">
        <f t="shared" si="46"/>
        <v/>
      </c>
      <c r="E241" s="964" t="e">
        <f t="shared" si="40"/>
        <v>#VALUE!</v>
      </c>
      <c r="F241" s="965" t="e">
        <f t="shared" si="41"/>
        <v>#VALUE!</v>
      </c>
      <c r="G241" s="963" t="str">
        <f t="shared" si="43"/>
        <v/>
      </c>
      <c r="H241" s="963" t="str">
        <f t="shared" si="44"/>
        <v/>
      </c>
      <c r="I241" s="963" t="e">
        <f t="shared" si="42"/>
        <v>#VALUE!</v>
      </c>
      <c r="J241" s="989"/>
      <c r="K241" s="950"/>
    </row>
    <row r="242" spans="1:11">
      <c r="A242" s="925" t="str">
        <f>IF(Values_Entered,A241+1,"")</f>
        <v/>
      </c>
      <c r="B242" s="991" t="str">
        <f t="shared" si="39"/>
        <v/>
      </c>
      <c r="C242" s="963" t="str">
        <f t="shared" si="45"/>
        <v/>
      </c>
      <c r="D242" s="963" t="str">
        <f t="shared" si="46"/>
        <v/>
      </c>
      <c r="E242" s="964" t="e">
        <f t="shared" si="40"/>
        <v>#VALUE!</v>
      </c>
      <c r="F242" s="965" t="e">
        <f t="shared" si="41"/>
        <v>#VALUE!</v>
      </c>
      <c r="G242" s="963" t="str">
        <f t="shared" si="43"/>
        <v/>
      </c>
      <c r="H242" s="963" t="str">
        <f t="shared" si="44"/>
        <v/>
      </c>
      <c r="I242" s="963" t="e">
        <f t="shared" si="42"/>
        <v>#VALUE!</v>
      </c>
      <c r="J242" s="989"/>
      <c r="K242" s="950"/>
    </row>
    <row r="243" spans="1:11">
      <c r="A243" s="925" t="str">
        <f>IF(Values_Entered,A242+1,"")</f>
        <v/>
      </c>
      <c r="B243" s="991" t="str">
        <f t="shared" si="39"/>
        <v/>
      </c>
      <c r="C243" s="963" t="str">
        <f t="shared" si="45"/>
        <v/>
      </c>
      <c r="D243" s="963" t="str">
        <f t="shared" si="46"/>
        <v/>
      </c>
      <c r="E243" s="964" t="e">
        <f t="shared" si="40"/>
        <v>#VALUE!</v>
      </c>
      <c r="F243" s="965" t="e">
        <f t="shared" si="41"/>
        <v>#VALUE!</v>
      </c>
      <c r="G243" s="963" t="str">
        <f t="shared" si="43"/>
        <v/>
      </c>
      <c r="H243" s="963" t="str">
        <f t="shared" si="44"/>
        <v/>
      </c>
      <c r="I243" s="963" t="e">
        <f t="shared" si="42"/>
        <v>#VALUE!</v>
      </c>
      <c r="J243" s="989"/>
      <c r="K243" s="950"/>
    </row>
    <row r="244" spans="1:11">
      <c r="A244" s="925" t="str">
        <f>IF(Values_Entered,A243+1,"")</f>
        <v/>
      </c>
      <c r="B244" s="991" t="str">
        <f t="shared" si="39"/>
        <v/>
      </c>
      <c r="C244" s="963" t="str">
        <f t="shared" si="45"/>
        <v/>
      </c>
      <c r="D244" s="963" t="str">
        <f t="shared" si="46"/>
        <v/>
      </c>
      <c r="E244" s="964" t="e">
        <f t="shared" si="40"/>
        <v>#VALUE!</v>
      </c>
      <c r="F244" s="965" t="e">
        <f t="shared" si="41"/>
        <v>#VALUE!</v>
      </c>
      <c r="G244" s="963" t="str">
        <f t="shared" si="43"/>
        <v/>
      </c>
      <c r="H244" s="963" t="str">
        <f t="shared" si="44"/>
        <v/>
      </c>
      <c r="I244" s="963" t="e">
        <f t="shared" si="42"/>
        <v>#VALUE!</v>
      </c>
      <c r="J244" s="989"/>
      <c r="K244" s="950"/>
    </row>
    <row r="245" spans="1:11">
      <c r="A245" s="925" t="str">
        <f>IF(Values_Entered,A244+1,"")</f>
        <v/>
      </c>
      <c r="B245" s="991" t="str">
        <f t="shared" si="39"/>
        <v/>
      </c>
      <c r="C245" s="963" t="str">
        <f t="shared" si="45"/>
        <v/>
      </c>
      <c r="D245" s="963" t="str">
        <f t="shared" si="46"/>
        <v/>
      </c>
      <c r="E245" s="964" t="e">
        <f t="shared" si="40"/>
        <v>#VALUE!</v>
      </c>
      <c r="F245" s="965" t="e">
        <f t="shared" si="41"/>
        <v>#VALUE!</v>
      </c>
      <c r="G245" s="963" t="str">
        <f t="shared" si="43"/>
        <v/>
      </c>
      <c r="H245" s="963" t="str">
        <f t="shared" si="44"/>
        <v/>
      </c>
      <c r="I245" s="963" t="e">
        <f t="shared" si="42"/>
        <v>#VALUE!</v>
      </c>
      <c r="J245" s="989"/>
      <c r="K245" s="950"/>
    </row>
    <row r="246" spans="1:11">
      <c r="A246" s="925" t="str">
        <f>IF(Values_Entered,A245+1,"")</f>
        <v/>
      </c>
      <c r="B246" s="991" t="str">
        <f t="shared" si="39"/>
        <v/>
      </c>
      <c r="C246" s="963" t="str">
        <f t="shared" si="45"/>
        <v/>
      </c>
      <c r="D246" s="963" t="str">
        <f t="shared" si="46"/>
        <v/>
      </c>
      <c r="E246" s="964" t="e">
        <f t="shared" si="40"/>
        <v>#VALUE!</v>
      </c>
      <c r="F246" s="965" t="e">
        <f t="shared" si="41"/>
        <v>#VALUE!</v>
      </c>
      <c r="G246" s="963" t="str">
        <f t="shared" si="43"/>
        <v/>
      </c>
      <c r="H246" s="963" t="str">
        <f t="shared" si="44"/>
        <v/>
      </c>
      <c r="I246" s="963" t="e">
        <f t="shared" si="42"/>
        <v>#VALUE!</v>
      </c>
      <c r="J246" s="989"/>
      <c r="K246" s="950"/>
    </row>
    <row r="247" spans="1:11">
      <c r="A247" s="925" t="str">
        <f>IF(Values_Entered,A246+1,"")</f>
        <v/>
      </c>
      <c r="B247" s="991" t="str">
        <f t="shared" si="39"/>
        <v/>
      </c>
      <c r="C247" s="963" t="str">
        <f t="shared" si="45"/>
        <v/>
      </c>
      <c r="D247" s="963" t="str">
        <f t="shared" si="46"/>
        <v/>
      </c>
      <c r="E247" s="964" t="e">
        <f t="shared" si="40"/>
        <v>#VALUE!</v>
      </c>
      <c r="F247" s="965" t="e">
        <f t="shared" si="41"/>
        <v>#VALUE!</v>
      </c>
      <c r="G247" s="963" t="str">
        <f t="shared" si="43"/>
        <v/>
      </c>
      <c r="H247" s="963" t="str">
        <f t="shared" si="44"/>
        <v/>
      </c>
      <c r="I247" s="963" t="e">
        <f t="shared" si="42"/>
        <v>#VALUE!</v>
      </c>
      <c r="J247" s="989"/>
      <c r="K247" s="950"/>
    </row>
    <row r="248" spans="1:11">
      <c r="A248" s="925" t="str">
        <f>IF(Values_Entered,A247+1,"")</f>
        <v/>
      </c>
      <c r="B248" s="991" t="str">
        <f t="shared" si="39"/>
        <v/>
      </c>
      <c r="C248" s="963" t="str">
        <f t="shared" si="45"/>
        <v/>
      </c>
      <c r="D248" s="963" t="str">
        <f t="shared" si="46"/>
        <v/>
      </c>
      <c r="E248" s="964" t="e">
        <f t="shared" si="40"/>
        <v>#VALUE!</v>
      </c>
      <c r="F248" s="965" t="e">
        <f t="shared" si="41"/>
        <v>#VALUE!</v>
      </c>
      <c r="G248" s="963" t="str">
        <f t="shared" si="43"/>
        <v/>
      </c>
      <c r="H248" s="963" t="str">
        <f t="shared" si="44"/>
        <v/>
      </c>
      <c r="I248" s="963" t="e">
        <f t="shared" si="42"/>
        <v>#VALUE!</v>
      </c>
      <c r="J248" s="989"/>
      <c r="K248" s="950"/>
    </row>
    <row r="249" spans="1:11">
      <c r="A249" s="925" t="str">
        <f>IF(Values_Entered,A248+1,"")</f>
        <v/>
      </c>
      <c r="B249" s="991" t="str">
        <f t="shared" si="39"/>
        <v/>
      </c>
      <c r="C249" s="963" t="str">
        <f t="shared" si="45"/>
        <v/>
      </c>
      <c r="D249" s="963" t="str">
        <f t="shared" si="46"/>
        <v/>
      </c>
      <c r="E249" s="964" t="e">
        <f t="shared" si="40"/>
        <v>#VALUE!</v>
      </c>
      <c r="F249" s="965" t="e">
        <f t="shared" si="41"/>
        <v>#VALUE!</v>
      </c>
      <c r="G249" s="963" t="str">
        <f t="shared" si="43"/>
        <v/>
      </c>
      <c r="H249" s="963" t="str">
        <f t="shared" si="44"/>
        <v/>
      </c>
      <c r="I249" s="963" t="e">
        <f t="shared" si="42"/>
        <v>#VALUE!</v>
      </c>
      <c r="J249" s="989"/>
      <c r="K249" s="950"/>
    </row>
    <row r="250" spans="1:11">
      <c r="A250" s="925" t="str">
        <f>IF(Values_Entered,A249+1,"")</f>
        <v/>
      </c>
      <c r="B250" s="991" t="str">
        <f t="shared" si="39"/>
        <v/>
      </c>
      <c r="C250" s="963" t="str">
        <f t="shared" si="45"/>
        <v/>
      </c>
      <c r="D250" s="963" t="str">
        <f t="shared" si="46"/>
        <v/>
      </c>
      <c r="E250" s="964" t="e">
        <f t="shared" si="40"/>
        <v>#VALUE!</v>
      </c>
      <c r="F250" s="965" t="e">
        <f t="shared" si="41"/>
        <v>#VALUE!</v>
      </c>
      <c r="G250" s="963" t="str">
        <f t="shared" si="43"/>
        <v/>
      </c>
      <c r="H250" s="963" t="str">
        <f t="shared" si="44"/>
        <v/>
      </c>
      <c r="I250" s="963" t="e">
        <f t="shared" si="42"/>
        <v>#VALUE!</v>
      </c>
      <c r="J250" s="989"/>
      <c r="K250" s="950"/>
    </row>
    <row r="251" spans="1:11">
      <c r="A251" s="925" t="str">
        <f>IF(Values_Entered,A250+1,"")</f>
        <v/>
      </c>
      <c r="B251" s="991" t="str">
        <f t="shared" si="39"/>
        <v/>
      </c>
      <c r="C251" s="963" t="str">
        <f t="shared" si="45"/>
        <v/>
      </c>
      <c r="D251" s="963" t="str">
        <f t="shared" si="46"/>
        <v/>
      </c>
      <c r="E251" s="964" t="e">
        <f t="shared" si="40"/>
        <v>#VALUE!</v>
      </c>
      <c r="F251" s="965" t="e">
        <f t="shared" si="41"/>
        <v>#VALUE!</v>
      </c>
      <c r="G251" s="963" t="str">
        <f t="shared" si="43"/>
        <v/>
      </c>
      <c r="H251" s="963" t="str">
        <f t="shared" si="44"/>
        <v/>
      </c>
      <c r="I251" s="963" t="e">
        <f t="shared" si="42"/>
        <v>#VALUE!</v>
      </c>
      <c r="J251" s="989"/>
      <c r="K251" s="950"/>
    </row>
    <row r="252" spans="1:11">
      <c r="A252" s="925" t="str">
        <f>IF(Values_Entered,A251+1,"")</f>
        <v/>
      </c>
      <c r="B252" s="991" t="str">
        <f t="shared" si="39"/>
        <v/>
      </c>
      <c r="C252" s="963" t="str">
        <f t="shared" si="45"/>
        <v/>
      </c>
      <c r="D252" s="963" t="str">
        <f t="shared" si="46"/>
        <v/>
      </c>
      <c r="E252" s="964" t="e">
        <f t="shared" si="40"/>
        <v>#VALUE!</v>
      </c>
      <c r="F252" s="965" t="e">
        <f t="shared" si="41"/>
        <v>#VALUE!</v>
      </c>
      <c r="G252" s="963" t="str">
        <f t="shared" si="43"/>
        <v/>
      </c>
      <c r="H252" s="963" t="str">
        <f t="shared" si="44"/>
        <v/>
      </c>
      <c r="I252" s="963" t="e">
        <f t="shared" si="42"/>
        <v>#VALUE!</v>
      </c>
      <c r="J252" s="989"/>
      <c r="K252" s="950"/>
    </row>
    <row r="253" spans="1:11">
      <c r="A253" s="925" t="str">
        <f>IF(Values_Entered,A252+1,"")</f>
        <v/>
      </c>
      <c r="B253" s="991" t="str">
        <f t="shared" si="39"/>
        <v/>
      </c>
      <c r="C253" s="963" t="str">
        <f t="shared" si="45"/>
        <v/>
      </c>
      <c r="D253" s="963" t="str">
        <f t="shared" si="46"/>
        <v/>
      </c>
      <c r="E253" s="964" t="e">
        <f t="shared" si="40"/>
        <v>#VALUE!</v>
      </c>
      <c r="F253" s="965" t="e">
        <f t="shared" si="41"/>
        <v>#VALUE!</v>
      </c>
      <c r="G253" s="963" t="str">
        <f t="shared" si="43"/>
        <v/>
      </c>
      <c r="H253" s="963" t="str">
        <f t="shared" si="44"/>
        <v/>
      </c>
      <c r="I253" s="963" t="e">
        <f t="shared" si="42"/>
        <v>#VALUE!</v>
      </c>
      <c r="J253" s="989"/>
      <c r="K253" s="950"/>
    </row>
    <row r="254" spans="1:11">
      <c r="A254" s="925" t="str">
        <f>IF(Values_Entered,A253+1,"")</f>
        <v/>
      </c>
      <c r="B254" s="991" t="str">
        <f t="shared" si="39"/>
        <v/>
      </c>
      <c r="C254" s="963" t="str">
        <f t="shared" si="45"/>
        <v/>
      </c>
      <c r="D254" s="963" t="str">
        <f t="shared" si="46"/>
        <v/>
      </c>
      <c r="E254" s="964" t="e">
        <f t="shared" si="40"/>
        <v>#VALUE!</v>
      </c>
      <c r="F254" s="965" t="e">
        <f t="shared" si="41"/>
        <v>#VALUE!</v>
      </c>
      <c r="G254" s="963" t="str">
        <f t="shared" si="43"/>
        <v/>
      </c>
      <c r="H254" s="963" t="str">
        <f t="shared" si="44"/>
        <v/>
      </c>
      <c r="I254" s="963" t="e">
        <f t="shared" si="42"/>
        <v>#VALUE!</v>
      </c>
      <c r="J254" s="989"/>
      <c r="K254" s="950"/>
    </row>
    <row r="255" spans="1:11">
      <c r="A255" s="925" t="str">
        <f>IF(Values_Entered,A254+1,"")</f>
        <v/>
      </c>
      <c r="B255" s="991" t="str">
        <f t="shared" si="39"/>
        <v/>
      </c>
      <c r="C255" s="963" t="str">
        <f t="shared" si="45"/>
        <v/>
      </c>
      <c r="D255" s="963" t="str">
        <f t="shared" si="46"/>
        <v/>
      </c>
      <c r="E255" s="964" t="e">
        <f t="shared" si="40"/>
        <v>#VALUE!</v>
      </c>
      <c r="F255" s="965" t="e">
        <f t="shared" si="41"/>
        <v>#VALUE!</v>
      </c>
      <c r="G255" s="963" t="str">
        <f t="shared" si="43"/>
        <v/>
      </c>
      <c r="H255" s="963" t="str">
        <f t="shared" si="44"/>
        <v/>
      </c>
      <c r="I255" s="963" t="e">
        <f t="shared" si="42"/>
        <v>#VALUE!</v>
      </c>
      <c r="J255" s="989"/>
      <c r="K255" s="950"/>
    </row>
    <row r="256" spans="1:11">
      <c r="A256" s="925" t="str">
        <f>IF(Values_Entered,A255+1,"")</f>
        <v/>
      </c>
      <c r="B256" s="991" t="str">
        <f t="shared" si="39"/>
        <v/>
      </c>
      <c r="C256" s="963" t="str">
        <f t="shared" si="45"/>
        <v/>
      </c>
      <c r="D256" s="963" t="str">
        <f t="shared" si="46"/>
        <v/>
      </c>
      <c r="E256" s="964" t="e">
        <f t="shared" si="40"/>
        <v>#VALUE!</v>
      </c>
      <c r="F256" s="965" t="e">
        <f t="shared" si="41"/>
        <v>#VALUE!</v>
      </c>
      <c r="G256" s="963" t="str">
        <f t="shared" si="43"/>
        <v/>
      </c>
      <c r="H256" s="963" t="str">
        <f t="shared" si="44"/>
        <v/>
      </c>
      <c r="I256" s="963" t="e">
        <f t="shared" si="42"/>
        <v>#VALUE!</v>
      </c>
      <c r="J256" s="989"/>
      <c r="K256" s="950"/>
    </row>
    <row r="257" spans="1:11">
      <c r="A257" s="925" t="str">
        <f>IF(Values_Entered,A256+1,"")</f>
        <v/>
      </c>
      <c r="B257" s="991" t="str">
        <f t="shared" si="39"/>
        <v/>
      </c>
      <c r="C257" s="963" t="str">
        <f t="shared" si="45"/>
        <v/>
      </c>
      <c r="D257" s="963" t="str">
        <f t="shared" si="46"/>
        <v/>
      </c>
      <c r="E257" s="964" t="e">
        <f t="shared" si="40"/>
        <v>#VALUE!</v>
      </c>
      <c r="F257" s="965" t="e">
        <f t="shared" si="41"/>
        <v>#VALUE!</v>
      </c>
      <c r="G257" s="963" t="str">
        <f t="shared" si="43"/>
        <v/>
      </c>
      <c r="H257" s="963" t="str">
        <f t="shared" si="44"/>
        <v/>
      </c>
      <c r="I257" s="963" t="e">
        <f t="shared" si="42"/>
        <v>#VALUE!</v>
      </c>
      <c r="J257" s="989"/>
      <c r="K257" s="950"/>
    </row>
    <row r="258" spans="1:11">
      <c r="A258" s="925" t="str">
        <f>IF(Values_Entered,A257+1,"")</f>
        <v/>
      </c>
      <c r="B258" s="991" t="str">
        <f t="shared" si="39"/>
        <v/>
      </c>
      <c r="C258" s="963" t="str">
        <f t="shared" si="45"/>
        <v/>
      </c>
      <c r="D258" s="963" t="str">
        <f t="shared" si="46"/>
        <v/>
      </c>
      <c r="E258" s="964" t="e">
        <f t="shared" si="40"/>
        <v>#VALUE!</v>
      </c>
      <c r="F258" s="965" t="e">
        <f t="shared" si="41"/>
        <v>#VALUE!</v>
      </c>
      <c r="G258" s="963" t="str">
        <f t="shared" si="43"/>
        <v/>
      </c>
      <c r="H258" s="963" t="str">
        <f t="shared" si="44"/>
        <v/>
      </c>
      <c r="I258" s="963" t="e">
        <f t="shared" si="42"/>
        <v>#VALUE!</v>
      </c>
      <c r="J258" s="989"/>
      <c r="K258" s="950"/>
    </row>
    <row r="259" spans="1:11">
      <c r="A259" s="925" t="str">
        <f>IF(Values_Entered,A258+1,"")</f>
        <v/>
      </c>
      <c r="B259" s="991" t="str">
        <f t="shared" si="39"/>
        <v/>
      </c>
      <c r="C259" s="963" t="str">
        <f t="shared" si="45"/>
        <v/>
      </c>
      <c r="D259" s="963" t="str">
        <f t="shared" si="46"/>
        <v/>
      </c>
      <c r="E259" s="964" t="e">
        <f t="shared" si="40"/>
        <v>#VALUE!</v>
      </c>
      <c r="F259" s="965" t="e">
        <f t="shared" si="41"/>
        <v>#VALUE!</v>
      </c>
      <c r="G259" s="963" t="str">
        <f t="shared" si="43"/>
        <v/>
      </c>
      <c r="H259" s="963" t="str">
        <f t="shared" si="44"/>
        <v/>
      </c>
      <c r="I259" s="963" t="e">
        <f t="shared" si="42"/>
        <v>#VALUE!</v>
      </c>
      <c r="J259" s="989"/>
      <c r="K259" s="950"/>
    </row>
    <row r="260" spans="1:11">
      <c r="A260" s="925" t="str">
        <f>IF(Values_Entered,A259+1,"")</f>
        <v/>
      </c>
      <c r="B260" s="991" t="str">
        <f t="shared" si="39"/>
        <v/>
      </c>
      <c r="C260" s="963" t="str">
        <f t="shared" si="45"/>
        <v/>
      </c>
      <c r="D260" s="963" t="str">
        <f t="shared" si="46"/>
        <v/>
      </c>
      <c r="E260" s="964" t="e">
        <f t="shared" si="40"/>
        <v>#VALUE!</v>
      </c>
      <c r="F260" s="965" t="e">
        <f t="shared" si="41"/>
        <v>#VALUE!</v>
      </c>
      <c r="G260" s="963" t="str">
        <f t="shared" si="43"/>
        <v/>
      </c>
      <c r="H260" s="963" t="str">
        <f t="shared" si="44"/>
        <v/>
      </c>
      <c r="I260" s="963" t="e">
        <f t="shared" si="42"/>
        <v>#VALUE!</v>
      </c>
      <c r="J260" s="989"/>
      <c r="K260" s="950"/>
    </row>
    <row r="261" spans="1:11">
      <c r="A261" s="925" t="str">
        <f>IF(Values_Entered,A260+1,"")</f>
        <v/>
      </c>
      <c r="B261" s="991" t="str">
        <f t="shared" si="39"/>
        <v/>
      </c>
      <c r="C261" s="963" t="str">
        <f t="shared" si="45"/>
        <v/>
      </c>
      <c r="D261" s="963" t="str">
        <f t="shared" si="46"/>
        <v/>
      </c>
      <c r="E261" s="964" t="e">
        <f t="shared" si="40"/>
        <v>#VALUE!</v>
      </c>
      <c r="F261" s="965" t="e">
        <f t="shared" si="41"/>
        <v>#VALUE!</v>
      </c>
      <c r="G261" s="963" t="str">
        <f t="shared" si="43"/>
        <v/>
      </c>
      <c r="H261" s="963" t="str">
        <f t="shared" si="44"/>
        <v/>
      </c>
      <c r="I261" s="963" t="e">
        <f t="shared" si="42"/>
        <v>#VALUE!</v>
      </c>
      <c r="J261" s="989"/>
      <c r="K261" s="950"/>
    </row>
    <row r="262" spans="1:11">
      <c r="A262" s="925" t="str">
        <f>IF(Values_Entered,A261+1,"")</f>
        <v/>
      </c>
      <c r="B262" s="991" t="str">
        <f t="shared" si="39"/>
        <v/>
      </c>
      <c r="C262" s="963" t="str">
        <f t="shared" si="45"/>
        <v/>
      </c>
      <c r="D262" s="963" t="str">
        <f t="shared" si="46"/>
        <v/>
      </c>
      <c r="E262" s="964" t="e">
        <f t="shared" si="40"/>
        <v>#VALUE!</v>
      </c>
      <c r="F262" s="965" t="e">
        <f t="shared" si="41"/>
        <v>#VALUE!</v>
      </c>
      <c r="G262" s="963" t="str">
        <f t="shared" si="43"/>
        <v/>
      </c>
      <c r="H262" s="963" t="str">
        <f t="shared" si="44"/>
        <v/>
      </c>
      <c r="I262" s="963" t="e">
        <f t="shared" si="42"/>
        <v>#VALUE!</v>
      </c>
      <c r="J262" s="989"/>
      <c r="K262" s="950"/>
    </row>
    <row r="263" spans="1:11">
      <c r="A263" s="925" t="str">
        <f>IF(Values_Entered,A262+1,"")</f>
        <v/>
      </c>
      <c r="B263" s="991" t="str">
        <f t="shared" si="39"/>
        <v/>
      </c>
      <c r="C263" s="963" t="str">
        <f t="shared" si="45"/>
        <v/>
      </c>
      <c r="D263" s="963" t="str">
        <f t="shared" si="46"/>
        <v/>
      </c>
      <c r="E263" s="964" t="e">
        <f t="shared" si="40"/>
        <v>#VALUE!</v>
      </c>
      <c r="F263" s="965" t="e">
        <f t="shared" si="41"/>
        <v>#VALUE!</v>
      </c>
      <c r="G263" s="963" t="str">
        <f t="shared" si="43"/>
        <v/>
      </c>
      <c r="H263" s="963" t="str">
        <f t="shared" si="44"/>
        <v/>
      </c>
      <c r="I263" s="963" t="e">
        <f t="shared" si="42"/>
        <v>#VALUE!</v>
      </c>
      <c r="J263" s="989"/>
      <c r="K263" s="950"/>
    </row>
    <row r="264" spans="1:11">
      <c r="A264" s="925" t="str">
        <f>IF(Values_Entered,A263+1,"")</f>
        <v/>
      </c>
      <c r="B264" s="991" t="str">
        <f t="shared" si="39"/>
        <v/>
      </c>
      <c r="C264" s="963" t="str">
        <f t="shared" si="45"/>
        <v/>
      </c>
      <c r="D264" s="963" t="str">
        <f t="shared" si="46"/>
        <v/>
      </c>
      <c r="E264" s="964" t="e">
        <f t="shared" si="40"/>
        <v>#VALUE!</v>
      </c>
      <c r="F264" s="965" t="e">
        <f t="shared" si="41"/>
        <v>#VALUE!</v>
      </c>
      <c r="G264" s="963" t="str">
        <f t="shared" si="43"/>
        <v/>
      </c>
      <c r="H264" s="963" t="str">
        <f t="shared" si="44"/>
        <v/>
      </c>
      <c r="I264" s="963" t="e">
        <f t="shared" si="42"/>
        <v>#VALUE!</v>
      </c>
      <c r="J264" s="989"/>
      <c r="K264" s="950"/>
    </row>
    <row r="265" spans="1:11">
      <c r="A265" s="925" t="str">
        <f>IF(Values_Entered,A264+1,"")</f>
        <v/>
      </c>
      <c r="B265" s="991" t="str">
        <f t="shared" si="39"/>
        <v/>
      </c>
      <c r="C265" s="963" t="str">
        <f t="shared" si="45"/>
        <v/>
      </c>
      <c r="D265" s="963" t="str">
        <f t="shared" si="46"/>
        <v/>
      </c>
      <c r="E265" s="964" t="e">
        <f t="shared" si="40"/>
        <v>#VALUE!</v>
      </c>
      <c r="F265" s="965" t="e">
        <f t="shared" si="41"/>
        <v>#VALUE!</v>
      </c>
      <c r="G265" s="963" t="str">
        <f t="shared" si="43"/>
        <v/>
      </c>
      <c r="H265" s="963" t="str">
        <f t="shared" si="44"/>
        <v/>
      </c>
      <c r="I265" s="963" t="e">
        <f t="shared" si="42"/>
        <v>#VALUE!</v>
      </c>
      <c r="J265" s="989"/>
      <c r="K265" s="950"/>
    </row>
    <row r="266" spans="1:11">
      <c r="A266" s="925" t="str">
        <f>IF(Values_Entered,A265+1,"")</f>
        <v/>
      </c>
      <c r="B266" s="991" t="str">
        <f t="shared" si="39"/>
        <v/>
      </c>
      <c r="C266" s="963" t="str">
        <f t="shared" si="45"/>
        <v/>
      </c>
      <c r="D266" s="963" t="str">
        <f t="shared" si="46"/>
        <v/>
      </c>
      <c r="E266" s="964" t="e">
        <f t="shared" si="40"/>
        <v>#VALUE!</v>
      </c>
      <c r="F266" s="965" t="e">
        <f t="shared" si="41"/>
        <v>#VALUE!</v>
      </c>
      <c r="G266" s="963" t="str">
        <f t="shared" si="43"/>
        <v/>
      </c>
      <c r="H266" s="963" t="str">
        <f t="shared" si="44"/>
        <v/>
      </c>
      <c r="I266" s="963" t="e">
        <f t="shared" si="42"/>
        <v>#VALUE!</v>
      </c>
      <c r="J266" s="989"/>
      <c r="K266" s="950"/>
    </row>
    <row r="267" spans="1:11">
      <c r="A267" s="925" t="str">
        <f>IF(Values_Entered,A266+1,"")</f>
        <v/>
      </c>
      <c r="B267" s="991" t="str">
        <f t="shared" si="39"/>
        <v/>
      </c>
      <c r="C267" s="963" t="str">
        <f t="shared" si="45"/>
        <v/>
      </c>
      <c r="D267" s="963" t="str">
        <f t="shared" si="46"/>
        <v/>
      </c>
      <c r="E267" s="964" t="e">
        <f t="shared" si="40"/>
        <v>#VALUE!</v>
      </c>
      <c r="F267" s="965" t="e">
        <f t="shared" si="41"/>
        <v>#VALUE!</v>
      </c>
      <c r="G267" s="963" t="str">
        <f t="shared" si="43"/>
        <v/>
      </c>
      <c r="H267" s="963" t="str">
        <f t="shared" si="44"/>
        <v/>
      </c>
      <c r="I267" s="963" t="e">
        <f t="shared" si="42"/>
        <v>#VALUE!</v>
      </c>
      <c r="J267" s="989"/>
      <c r="K267" s="950"/>
    </row>
    <row r="268" spans="1:11">
      <c r="A268" s="925" t="str">
        <f>IF(Values_Entered,A267+1,"")</f>
        <v/>
      </c>
      <c r="B268" s="991" t="str">
        <f t="shared" si="39"/>
        <v/>
      </c>
      <c r="C268" s="963" t="str">
        <f t="shared" si="45"/>
        <v/>
      </c>
      <c r="D268" s="963" t="str">
        <f t="shared" si="46"/>
        <v/>
      </c>
      <c r="E268" s="964" t="e">
        <f t="shared" si="40"/>
        <v>#VALUE!</v>
      </c>
      <c r="F268" s="965" t="e">
        <f t="shared" si="41"/>
        <v>#VALUE!</v>
      </c>
      <c r="G268" s="963" t="str">
        <f t="shared" si="43"/>
        <v/>
      </c>
      <c r="H268" s="963" t="str">
        <f t="shared" si="44"/>
        <v/>
      </c>
      <c r="I268" s="963" t="e">
        <f t="shared" si="42"/>
        <v>#VALUE!</v>
      </c>
      <c r="J268" s="989"/>
      <c r="K268" s="950"/>
    </row>
    <row r="269" spans="1:11">
      <c r="A269" s="925" t="str">
        <f>IF(Values_Entered,A268+1,"")</f>
        <v/>
      </c>
      <c r="B269" s="991" t="str">
        <f t="shared" si="39"/>
        <v/>
      </c>
      <c r="C269" s="963" t="str">
        <f t="shared" si="45"/>
        <v/>
      </c>
      <c r="D269" s="963" t="str">
        <f t="shared" si="46"/>
        <v/>
      </c>
      <c r="E269" s="964" t="e">
        <f t="shared" si="40"/>
        <v>#VALUE!</v>
      </c>
      <c r="F269" s="965" t="e">
        <f t="shared" si="41"/>
        <v>#VALUE!</v>
      </c>
      <c r="G269" s="963" t="str">
        <f t="shared" si="43"/>
        <v/>
      </c>
      <c r="H269" s="963" t="str">
        <f t="shared" si="44"/>
        <v/>
      </c>
      <c r="I269" s="963" t="e">
        <f t="shared" si="42"/>
        <v>#VALUE!</v>
      </c>
      <c r="J269" s="989"/>
      <c r="K269" s="950"/>
    </row>
    <row r="270" spans="1:11">
      <c r="A270" s="925" t="str">
        <f>IF(Values_Entered,A269+1,"")</f>
        <v/>
      </c>
      <c r="B270" s="991" t="str">
        <f t="shared" si="39"/>
        <v/>
      </c>
      <c r="C270" s="963" t="str">
        <f t="shared" si="45"/>
        <v/>
      </c>
      <c r="D270" s="963" t="str">
        <f t="shared" si="46"/>
        <v/>
      </c>
      <c r="E270" s="964" t="e">
        <f t="shared" si="40"/>
        <v>#VALUE!</v>
      </c>
      <c r="F270" s="965" t="e">
        <f t="shared" si="41"/>
        <v>#VALUE!</v>
      </c>
      <c r="G270" s="963" t="str">
        <f t="shared" si="43"/>
        <v/>
      </c>
      <c r="H270" s="963" t="str">
        <f t="shared" si="44"/>
        <v/>
      </c>
      <c r="I270" s="963" t="e">
        <f t="shared" si="42"/>
        <v>#VALUE!</v>
      </c>
      <c r="J270" s="989"/>
      <c r="K270" s="950"/>
    </row>
    <row r="271" spans="1:11">
      <c r="A271" s="925" t="str">
        <f>IF(Values_Entered,A270+1,"")</f>
        <v/>
      </c>
      <c r="B271" s="991" t="str">
        <f t="shared" si="39"/>
        <v/>
      </c>
      <c r="C271" s="963" t="str">
        <f t="shared" si="45"/>
        <v/>
      </c>
      <c r="D271" s="963" t="str">
        <f t="shared" si="46"/>
        <v/>
      </c>
      <c r="E271" s="964" t="e">
        <f t="shared" si="40"/>
        <v>#VALUE!</v>
      </c>
      <c r="F271" s="965" t="e">
        <f t="shared" si="41"/>
        <v>#VALUE!</v>
      </c>
      <c r="G271" s="963" t="str">
        <f t="shared" si="43"/>
        <v/>
      </c>
      <c r="H271" s="963" t="str">
        <f t="shared" si="44"/>
        <v/>
      </c>
      <c r="I271" s="963" t="e">
        <f t="shared" si="42"/>
        <v>#VALUE!</v>
      </c>
      <c r="J271" s="989"/>
      <c r="K271" s="950"/>
    </row>
    <row r="272" spans="1:11">
      <c r="A272" s="925" t="str">
        <f>IF(Values_Entered,A271+1,"")</f>
        <v/>
      </c>
      <c r="B272" s="991" t="str">
        <f t="shared" si="39"/>
        <v/>
      </c>
      <c r="C272" s="963" t="str">
        <f t="shared" si="45"/>
        <v/>
      </c>
      <c r="D272" s="963" t="str">
        <f t="shared" si="46"/>
        <v/>
      </c>
      <c r="E272" s="964" t="e">
        <f t="shared" si="40"/>
        <v>#VALUE!</v>
      </c>
      <c r="F272" s="965" t="e">
        <f t="shared" si="41"/>
        <v>#VALUE!</v>
      </c>
      <c r="G272" s="963" t="str">
        <f t="shared" si="43"/>
        <v/>
      </c>
      <c r="H272" s="963" t="str">
        <f t="shared" si="44"/>
        <v/>
      </c>
      <c r="I272" s="963" t="e">
        <f t="shared" si="42"/>
        <v>#VALUE!</v>
      </c>
      <c r="J272" s="989"/>
      <c r="K272" s="950"/>
    </row>
    <row r="273" spans="1:11">
      <c r="A273" s="925" t="str">
        <f>IF(Values_Entered,A272+1,"")</f>
        <v/>
      </c>
      <c r="B273" s="991" t="str">
        <f t="shared" si="39"/>
        <v/>
      </c>
      <c r="C273" s="963" t="str">
        <f t="shared" si="45"/>
        <v/>
      </c>
      <c r="D273" s="963" t="str">
        <f t="shared" si="46"/>
        <v/>
      </c>
      <c r="E273" s="964" t="e">
        <f t="shared" si="40"/>
        <v>#VALUE!</v>
      </c>
      <c r="F273" s="965" t="e">
        <f t="shared" si="41"/>
        <v>#VALUE!</v>
      </c>
      <c r="G273" s="963" t="str">
        <f t="shared" si="43"/>
        <v/>
      </c>
      <c r="H273" s="963" t="str">
        <f t="shared" si="44"/>
        <v/>
      </c>
      <c r="I273" s="963" t="e">
        <f t="shared" si="42"/>
        <v>#VALUE!</v>
      </c>
      <c r="J273" s="989"/>
      <c r="K273" s="950"/>
    </row>
    <row r="274" spans="1:11">
      <c r="A274" s="925" t="str">
        <f>IF(Values_Entered,A273+1,"")</f>
        <v/>
      </c>
      <c r="B274" s="991" t="str">
        <f t="shared" si="39"/>
        <v/>
      </c>
      <c r="C274" s="963" t="str">
        <f t="shared" si="45"/>
        <v/>
      </c>
      <c r="D274" s="963" t="str">
        <f t="shared" si="46"/>
        <v/>
      </c>
      <c r="E274" s="964" t="e">
        <f t="shared" si="40"/>
        <v>#VALUE!</v>
      </c>
      <c r="F274" s="965" t="e">
        <f t="shared" si="41"/>
        <v>#VALUE!</v>
      </c>
      <c r="G274" s="963" t="str">
        <f t="shared" si="43"/>
        <v/>
      </c>
      <c r="H274" s="963" t="str">
        <f t="shared" si="44"/>
        <v/>
      </c>
      <c r="I274" s="963" t="e">
        <f t="shared" si="42"/>
        <v>#VALUE!</v>
      </c>
      <c r="J274" s="989"/>
      <c r="K274" s="950"/>
    </row>
    <row r="275" spans="1:11">
      <c r="A275" s="925" t="str">
        <f>IF(Values_Entered,A274+1,"")</f>
        <v/>
      </c>
      <c r="B275" s="991" t="str">
        <f t="shared" si="39"/>
        <v/>
      </c>
      <c r="C275" s="963" t="str">
        <f t="shared" si="45"/>
        <v/>
      </c>
      <c r="D275" s="963" t="str">
        <f t="shared" si="46"/>
        <v/>
      </c>
      <c r="E275" s="964" t="e">
        <f t="shared" si="40"/>
        <v>#VALUE!</v>
      </c>
      <c r="F275" s="965" t="e">
        <f t="shared" si="41"/>
        <v>#VALUE!</v>
      </c>
      <c r="G275" s="963" t="str">
        <f t="shared" si="43"/>
        <v/>
      </c>
      <c r="H275" s="963" t="str">
        <f t="shared" si="44"/>
        <v/>
      </c>
      <c r="I275" s="963" t="e">
        <f t="shared" si="42"/>
        <v>#VALUE!</v>
      </c>
      <c r="J275" s="989"/>
      <c r="K275" s="950"/>
    </row>
    <row r="276" spans="1:11">
      <c r="A276" s="925" t="str">
        <f>IF(Values_Entered,A275+1,"")</f>
        <v/>
      </c>
      <c r="B276" s="991" t="str">
        <f t="shared" si="39"/>
        <v/>
      </c>
      <c r="C276" s="963" t="str">
        <f t="shared" si="45"/>
        <v/>
      </c>
      <c r="D276" s="963" t="str">
        <f t="shared" si="46"/>
        <v/>
      </c>
      <c r="E276" s="964" t="e">
        <f t="shared" si="40"/>
        <v>#VALUE!</v>
      </c>
      <c r="F276" s="965" t="e">
        <f t="shared" si="41"/>
        <v>#VALUE!</v>
      </c>
      <c r="G276" s="963" t="str">
        <f t="shared" si="43"/>
        <v/>
      </c>
      <c r="H276" s="963" t="str">
        <f t="shared" si="44"/>
        <v/>
      </c>
      <c r="I276" s="963" t="e">
        <f t="shared" si="42"/>
        <v>#VALUE!</v>
      </c>
      <c r="J276" s="989"/>
      <c r="K276" s="950"/>
    </row>
    <row r="277" spans="1:11">
      <c r="A277" s="925" t="str">
        <f>IF(Values_Entered,A276+1,"")</f>
        <v/>
      </c>
      <c r="B277" s="991" t="str">
        <f t="shared" si="39"/>
        <v/>
      </c>
      <c r="C277" s="963" t="str">
        <f t="shared" si="45"/>
        <v/>
      </c>
      <c r="D277" s="963" t="str">
        <f t="shared" si="46"/>
        <v/>
      </c>
      <c r="E277" s="964" t="e">
        <f t="shared" si="40"/>
        <v>#VALUE!</v>
      </c>
      <c r="F277" s="965" t="e">
        <f t="shared" si="41"/>
        <v>#VALUE!</v>
      </c>
      <c r="G277" s="963" t="str">
        <f t="shared" si="43"/>
        <v/>
      </c>
      <c r="H277" s="963" t="str">
        <f t="shared" si="44"/>
        <v/>
      </c>
      <c r="I277" s="963" t="e">
        <f t="shared" si="42"/>
        <v>#VALUE!</v>
      </c>
      <c r="J277" s="989"/>
      <c r="K277" s="950"/>
    </row>
    <row r="278" spans="1:11">
      <c r="A278" s="925" t="str">
        <f>IF(Values_Entered,A277+1,"")</f>
        <v/>
      </c>
      <c r="B278" s="991" t="str">
        <f t="shared" si="39"/>
        <v/>
      </c>
      <c r="C278" s="963" t="str">
        <f t="shared" si="45"/>
        <v/>
      </c>
      <c r="D278" s="963" t="str">
        <f t="shared" si="46"/>
        <v/>
      </c>
      <c r="E278" s="964" t="e">
        <f t="shared" si="40"/>
        <v>#VALUE!</v>
      </c>
      <c r="F278" s="965" t="e">
        <f t="shared" si="41"/>
        <v>#VALUE!</v>
      </c>
      <c r="G278" s="963" t="str">
        <f t="shared" si="43"/>
        <v/>
      </c>
      <c r="H278" s="963" t="str">
        <f t="shared" si="44"/>
        <v/>
      </c>
      <c r="I278" s="963" t="e">
        <f t="shared" si="42"/>
        <v>#VALUE!</v>
      </c>
      <c r="J278" s="989"/>
      <c r="K278" s="950"/>
    </row>
    <row r="279" spans="1:11">
      <c r="A279" s="925" t="str">
        <f>IF(Values_Entered,A278+1,"")</f>
        <v/>
      </c>
      <c r="B279" s="991" t="str">
        <f t="shared" si="39"/>
        <v/>
      </c>
      <c r="C279" s="963" t="str">
        <f t="shared" si="45"/>
        <v/>
      </c>
      <c r="D279" s="963" t="str">
        <f t="shared" si="46"/>
        <v/>
      </c>
      <c r="E279" s="964" t="e">
        <f t="shared" si="40"/>
        <v>#VALUE!</v>
      </c>
      <c r="F279" s="965" t="e">
        <f t="shared" si="41"/>
        <v>#VALUE!</v>
      </c>
      <c r="G279" s="963" t="str">
        <f t="shared" si="43"/>
        <v/>
      </c>
      <c r="H279" s="963" t="str">
        <f t="shared" si="44"/>
        <v/>
      </c>
      <c r="I279" s="963" t="e">
        <f t="shared" si="42"/>
        <v>#VALUE!</v>
      </c>
      <c r="J279" s="989"/>
      <c r="K279" s="950"/>
    </row>
    <row r="280" spans="1:11">
      <c r="A280" s="925" t="str">
        <f>IF(Values_Entered,A279+1,"")</f>
        <v/>
      </c>
      <c r="B280" s="991" t="str">
        <f t="shared" si="39"/>
        <v/>
      </c>
      <c r="C280" s="963" t="str">
        <f t="shared" si="45"/>
        <v/>
      </c>
      <c r="D280" s="963" t="str">
        <f t="shared" si="46"/>
        <v/>
      </c>
      <c r="E280" s="964" t="e">
        <f t="shared" si="40"/>
        <v>#VALUE!</v>
      </c>
      <c r="F280" s="965" t="e">
        <f t="shared" si="41"/>
        <v>#VALUE!</v>
      </c>
      <c r="G280" s="963" t="str">
        <f t="shared" si="43"/>
        <v/>
      </c>
      <c r="H280" s="963" t="str">
        <f t="shared" si="44"/>
        <v/>
      </c>
      <c r="I280" s="963" t="e">
        <f t="shared" si="42"/>
        <v>#VALUE!</v>
      </c>
      <c r="J280" s="989"/>
      <c r="K280" s="950"/>
    </row>
    <row r="281" spans="1:11">
      <c r="A281" s="925" t="str">
        <f>IF(Values_Entered,A280+1,"")</f>
        <v/>
      </c>
      <c r="B281" s="991" t="str">
        <f t="shared" ref="B281:B344" si="47">IF(Pay_Num&lt;&gt;"",DATE(YEAR(Loan_Start),MONTH(Loan_Start)+(Pay_Num)*12/Num_Pmt_Per_Year,DAY(Loan_Start)),"")</f>
        <v/>
      </c>
      <c r="C281" s="963" t="str">
        <f t="shared" si="45"/>
        <v/>
      </c>
      <c r="D281" s="963" t="str">
        <f t="shared" si="46"/>
        <v/>
      </c>
      <c r="E281" s="964" t="e">
        <f t="shared" ref="E281:E344" si="48">IF(AND(Pay_Num&lt;&gt;"",Sched_Pay+Scheduled_Extra_Payments&lt;Beg_Bal),Scheduled_Extra_Payments,IF(AND(Pay_Num&lt;&gt;"",Beg_Bal-Sched_Pay&gt;0),Beg_Bal-Sched_Pay,IF(Pay_Num&lt;&gt;"",0,"")))</f>
        <v>#VALUE!</v>
      </c>
      <c r="F281" s="965" t="e">
        <f t="shared" ref="F281:F344" si="49">IF(AND(Pay_Num&lt;&gt;"",Sched_Pay+Extra_Pay&lt;Beg_Bal),Sched_Pay+Extra_Pay,IF(Pay_Num&lt;&gt;"",Beg_Bal,""))</f>
        <v>#VALUE!</v>
      </c>
      <c r="G281" s="963" t="str">
        <f t="shared" si="43"/>
        <v/>
      </c>
      <c r="H281" s="963" t="str">
        <f t="shared" si="44"/>
        <v/>
      </c>
      <c r="I281" s="963" t="e">
        <f t="shared" ref="I281:I344" si="50">IF(AND(Pay_Num&lt;&gt;"",Sched_Pay+Extra_Pay&lt;Beg_Bal),Beg_Bal-Princ,IF(Pay_Num&lt;&gt;"",0,""))</f>
        <v>#VALUE!</v>
      </c>
      <c r="J281" s="989"/>
      <c r="K281" s="950"/>
    </row>
    <row r="282" spans="1:11">
      <c r="A282" s="925" t="str">
        <f>IF(Values_Entered,A281+1,"")</f>
        <v/>
      </c>
      <c r="B282" s="991" t="str">
        <f t="shared" si="47"/>
        <v/>
      </c>
      <c r="C282" s="963" t="str">
        <f t="shared" si="45"/>
        <v/>
      </c>
      <c r="D282" s="963" t="str">
        <f t="shared" si="46"/>
        <v/>
      </c>
      <c r="E282" s="964" t="e">
        <f t="shared" si="48"/>
        <v>#VALUE!</v>
      </c>
      <c r="F282" s="965" t="e">
        <f t="shared" si="49"/>
        <v>#VALUE!</v>
      </c>
      <c r="G282" s="963" t="str">
        <f t="shared" ref="G282:G345" si="51">IF(Pay_Num&lt;&gt;"",Total_Pay-Int,"")</f>
        <v/>
      </c>
      <c r="H282" s="963" t="str">
        <f t="shared" ref="H282:H345" si="52">IF(Pay_Num&lt;&gt;"",Beg_Bal*Interest_Rate/Num_Pmt_Per_Year,"")</f>
        <v/>
      </c>
      <c r="I282" s="963" t="e">
        <f t="shared" si="50"/>
        <v>#VALUE!</v>
      </c>
      <c r="J282" s="989"/>
      <c r="K282" s="950"/>
    </row>
    <row r="283" spans="1:11">
      <c r="A283" s="925" t="str">
        <f>IF(Values_Entered,A282+1,"")</f>
        <v/>
      </c>
      <c r="B283" s="991" t="str">
        <f t="shared" si="47"/>
        <v/>
      </c>
      <c r="C283" s="963" t="str">
        <f t="shared" ref="C283:C346" si="53">IF(Pay_Num&lt;&gt;"",I282,"")</f>
        <v/>
      </c>
      <c r="D283" s="963" t="str">
        <f t="shared" ref="D283:D346" si="54">IF(Pay_Num&lt;&gt;"",Scheduled_Monthly_Payment,"")</f>
        <v/>
      </c>
      <c r="E283" s="964" t="e">
        <f t="shared" si="48"/>
        <v>#VALUE!</v>
      </c>
      <c r="F283" s="965" t="e">
        <f t="shared" si="49"/>
        <v>#VALUE!</v>
      </c>
      <c r="G283" s="963" t="str">
        <f t="shared" si="51"/>
        <v/>
      </c>
      <c r="H283" s="963" t="str">
        <f t="shared" si="52"/>
        <v/>
      </c>
      <c r="I283" s="963" t="e">
        <f t="shared" si="50"/>
        <v>#VALUE!</v>
      </c>
      <c r="J283" s="989"/>
      <c r="K283" s="950"/>
    </row>
    <row r="284" spans="1:11">
      <c r="A284" s="925" t="str">
        <f>IF(Values_Entered,A283+1,"")</f>
        <v/>
      </c>
      <c r="B284" s="991" t="str">
        <f t="shared" si="47"/>
        <v/>
      </c>
      <c r="C284" s="963" t="str">
        <f t="shared" si="53"/>
        <v/>
      </c>
      <c r="D284" s="963" t="str">
        <f t="shared" si="54"/>
        <v/>
      </c>
      <c r="E284" s="964" t="e">
        <f t="shared" si="48"/>
        <v>#VALUE!</v>
      </c>
      <c r="F284" s="965" t="e">
        <f t="shared" si="49"/>
        <v>#VALUE!</v>
      </c>
      <c r="G284" s="963" t="str">
        <f t="shared" si="51"/>
        <v/>
      </c>
      <c r="H284" s="963" t="str">
        <f t="shared" si="52"/>
        <v/>
      </c>
      <c r="I284" s="963" t="e">
        <f t="shared" si="50"/>
        <v>#VALUE!</v>
      </c>
      <c r="J284" s="989"/>
      <c r="K284" s="950"/>
    </row>
    <row r="285" spans="1:11">
      <c r="A285" s="925" t="str">
        <f>IF(Values_Entered,A284+1,"")</f>
        <v/>
      </c>
      <c r="B285" s="991" t="str">
        <f t="shared" si="47"/>
        <v/>
      </c>
      <c r="C285" s="963" t="str">
        <f t="shared" si="53"/>
        <v/>
      </c>
      <c r="D285" s="963" t="str">
        <f t="shared" si="54"/>
        <v/>
      </c>
      <c r="E285" s="964" t="e">
        <f t="shared" si="48"/>
        <v>#VALUE!</v>
      </c>
      <c r="F285" s="965" t="e">
        <f t="shared" si="49"/>
        <v>#VALUE!</v>
      </c>
      <c r="G285" s="963" t="str">
        <f t="shared" si="51"/>
        <v/>
      </c>
      <c r="H285" s="963" t="str">
        <f t="shared" si="52"/>
        <v/>
      </c>
      <c r="I285" s="963" t="e">
        <f t="shared" si="50"/>
        <v>#VALUE!</v>
      </c>
      <c r="J285" s="989"/>
      <c r="K285" s="950"/>
    </row>
    <row r="286" spans="1:11">
      <c r="A286" s="925" t="str">
        <f>IF(Values_Entered,A285+1,"")</f>
        <v/>
      </c>
      <c r="B286" s="991" t="str">
        <f t="shared" si="47"/>
        <v/>
      </c>
      <c r="C286" s="963" t="str">
        <f t="shared" si="53"/>
        <v/>
      </c>
      <c r="D286" s="963" t="str">
        <f t="shared" si="54"/>
        <v/>
      </c>
      <c r="E286" s="964" t="e">
        <f t="shared" si="48"/>
        <v>#VALUE!</v>
      </c>
      <c r="F286" s="965" t="e">
        <f t="shared" si="49"/>
        <v>#VALUE!</v>
      </c>
      <c r="G286" s="963" t="str">
        <f t="shared" si="51"/>
        <v/>
      </c>
      <c r="H286" s="963" t="str">
        <f t="shared" si="52"/>
        <v/>
      </c>
      <c r="I286" s="963" t="e">
        <f t="shared" si="50"/>
        <v>#VALUE!</v>
      </c>
      <c r="J286" s="989"/>
      <c r="K286" s="950"/>
    </row>
    <row r="287" spans="1:11">
      <c r="A287" s="925" t="str">
        <f>IF(Values_Entered,A286+1,"")</f>
        <v/>
      </c>
      <c r="B287" s="991" t="str">
        <f t="shared" si="47"/>
        <v/>
      </c>
      <c r="C287" s="963" t="str">
        <f t="shared" si="53"/>
        <v/>
      </c>
      <c r="D287" s="963" t="str">
        <f t="shared" si="54"/>
        <v/>
      </c>
      <c r="E287" s="964" t="e">
        <f t="shared" si="48"/>
        <v>#VALUE!</v>
      </c>
      <c r="F287" s="965" t="e">
        <f t="shared" si="49"/>
        <v>#VALUE!</v>
      </c>
      <c r="G287" s="963" t="str">
        <f t="shared" si="51"/>
        <v/>
      </c>
      <c r="H287" s="963" t="str">
        <f t="shared" si="52"/>
        <v/>
      </c>
      <c r="I287" s="963" t="e">
        <f t="shared" si="50"/>
        <v>#VALUE!</v>
      </c>
      <c r="J287" s="989"/>
      <c r="K287" s="950"/>
    </row>
    <row r="288" spans="1:11">
      <c r="A288" s="925" t="str">
        <f>IF(Values_Entered,A287+1,"")</f>
        <v/>
      </c>
      <c r="B288" s="991" t="str">
        <f t="shared" si="47"/>
        <v/>
      </c>
      <c r="C288" s="963" t="str">
        <f t="shared" si="53"/>
        <v/>
      </c>
      <c r="D288" s="963" t="str">
        <f t="shared" si="54"/>
        <v/>
      </c>
      <c r="E288" s="964" t="e">
        <f t="shared" si="48"/>
        <v>#VALUE!</v>
      </c>
      <c r="F288" s="965" t="e">
        <f t="shared" si="49"/>
        <v>#VALUE!</v>
      </c>
      <c r="G288" s="963" t="str">
        <f t="shared" si="51"/>
        <v/>
      </c>
      <c r="H288" s="963" t="str">
        <f t="shared" si="52"/>
        <v/>
      </c>
      <c r="I288" s="963" t="e">
        <f t="shared" si="50"/>
        <v>#VALUE!</v>
      </c>
      <c r="J288" s="989"/>
      <c r="K288" s="950"/>
    </row>
    <row r="289" spans="1:11">
      <c r="A289" s="925" t="str">
        <f>IF(Values_Entered,A288+1,"")</f>
        <v/>
      </c>
      <c r="B289" s="991" t="str">
        <f t="shared" si="47"/>
        <v/>
      </c>
      <c r="C289" s="963" t="str">
        <f t="shared" si="53"/>
        <v/>
      </c>
      <c r="D289" s="963" t="str">
        <f t="shared" si="54"/>
        <v/>
      </c>
      <c r="E289" s="964" t="e">
        <f t="shared" si="48"/>
        <v>#VALUE!</v>
      </c>
      <c r="F289" s="965" t="e">
        <f t="shared" si="49"/>
        <v>#VALUE!</v>
      </c>
      <c r="G289" s="963" t="str">
        <f t="shared" si="51"/>
        <v/>
      </c>
      <c r="H289" s="963" t="str">
        <f t="shared" si="52"/>
        <v/>
      </c>
      <c r="I289" s="963" t="e">
        <f t="shared" si="50"/>
        <v>#VALUE!</v>
      </c>
      <c r="J289" s="989"/>
      <c r="K289" s="950"/>
    </row>
    <row r="290" spans="1:11">
      <c r="A290" s="925" t="str">
        <f>IF(Values_Entered,A289+1,"")</f>
        <v/>
      </c>
      <c r="B290" s="991" t="str">
        <f t="shared" si="47"/>
        <v/>
      </c>
      <c r="C290" s="963" t="str">
        <f t="shared" si="53"/>
        <v/>
      </c>
      <c r="D290" s="963" t="str">
        <f t="shared" si="54"/>
        <v/>
      </c>
      <c r="E290" s="964" t="e">
        <f t="shared" si="48"/>
        <v>#VALUE!</v>
      </c>
      <c r="F290" s="965" t="e">
        <f t="shared" si="49"/>
        <v>#VALUE!</v>
      </c>
      <c r="G290" s="963" t="str">
        <f t="shared" si="51"/>
        <v/>
      </c>
      <c r="H290" s="963" t="str">
        <f t="shared" si="52"/>
        <v/>
      </c>
      <c r="I290" s="963" t="e">
        <f t="shared" si="50"/>
        <v>#VALUE!</v>
      </c>
      <c r="J290" s="989"/>
      <c r="K290" s="950"/>
    </row>
    <row r="291" spans="1:11">
      <c r="A291" s="925" t="str">
        <f>IF(Values_Entered,A290+1,"")</f>
        <v/>
      </c>
      <c r="B291" s="991" t="str">
        <f t="shared" si="47"/>
        <v/>
      </c>
      <c r="C291" s="963" t="str">
        <f t="shared" si="53"/>
        <v/>
      </c>
      <c r="D291" s="963" t="str">
        <f t="shared" si="54"/>
        <v/>
      </c>
      <c r="E291" s="964" t="e">
        <f t="shared" si="48"/>
        <v>#VALUE!</v>
      </c>
      <c r="F291" s="965" t="e">
        <f t="shared" si="49"/>
        <v>#VALUE!</v>
      </c>
      <c r="G291" s="963" t="str">
        <f t="shared" si="51"/>
        <v/>
      </c>
      <c r="H291" s="963" t="str">
        <f t="shared" si="52"/>
        <v/>
      </c>
      <c r="I291" s="963" t="e">
        <f t="shared" si="50"/>
        <v>#VALUE!</v>
      </c>
      <c r="J291" s="989"/>
      <c r="K291" s="950"/>
    </row>
    <row r="292" spans="1:11" ht="14.1">
      <c r="A292" s="925" t="str">
        <f>IF(Values_Entered,A291+1,"")</f>
        <v/>
      </c>
      <c r="B292" s="991" t="str">
        <f t="shared" si="47"/>
        <v/>
      </c>
      <c r="C292" s="963" t="str">
        <f t="shared" si="53"/>
        <v/>
      </c>
      <c r="D292" s="963" t="str">
        <f t="shared" si="54"/>
        <v/>
      </c>
      <c r="E292" s="964" t="e">
        <f t="shared" si="48"/>
        <v>#VALUE!</v>
      </c>
      <c r="F292" s="965" t="e">
        <f t="shared" si="49"/>
        <v>#VALUE!</v>
      </c>
      <c r="G292" s="993" t="e">
        <f>SUM(G25:G291)</f>
        <v>#VALUE!</v>
      </c>
      <c r="H292" s="963" t="str">
        <f t="shared" si="52"/>
        <v/>
      </c>
      <c r="I292" s="963" t="e">
        <f t="shared" si="50"/>
        <v>#VALUE!</v>
      </c>
      <c r="J292" s="989"/>
      <c r="K292" s="950"/>
    </row>
    <row r="293" spans="1:11">
      <c r="A293" s="925" t="str">
        <f>IF(Values_Entered,A292+1,"")</f>
        <v/>
      </c>
      <c r="B293" s="991" t="str">
        <f t="shared" si="47"/>
        <v/>
      </c>
      <c r="C293" s="963" t="str">
        <f t="shared" si="53"/>
        <v/>
      </c>
      <c r="D293" s="963" t="str">
        <f t="shared" si="54"/>
        <v/>
      </c>
      <c r="E293" s="964" t="e">
        <f t="shared" si="48"/>
        <v>#VALUE!</v>
      </c>
      <c r="F293" s="965" t="e">
        <f t="shared" si="49"/>
        <v>#VALUE!</v>
      </c>
      <c r="G293" s="963" t="str">
        <f t="shared" si="51"/>
        <v/>
      </c>
      <c r="H293" s="963" t="str">
        <f t="shared" si="52"/>
        <v/>
      </c>
      <c r="I293" s="963" t="e">
        <f t="shared" si="50"/>
        <v>#VALUE!</v>
      </c>
      <c r="J293" s="989"/>
      <c r="K293" s="950"/>
    </row>
    <row r="294" spans="1:11">
      <c r="A294" s="925" t="str">
        <f>IF(Values_Entered,A293+1,"")</f>
        <v/>
      </c>
      <c r="B294" s="991" t="str">
        <f t="shared" si="47"/>
        <v/>
      </c>
      <c r="C294" s="963" t="str">
        <f t="shared" si="53"/>
        <v/>
      </c>
      <c r="D294" s="963" t="str">
        <f t="shared" si="54"/>
        <v/>
      </c>
      <c r="E294" s="964" t="e">
        <f t="shared" si="48"/>
        <v>#VALUE!</v>
      </c>
      <c r="F294" s="965" t="e">
        <f t="shared" si="49"/>
        <v>#VALUE!</v>
      </c>
      <c r="G294" s="963" t="str">
        <f t="shared" si="51"/>
        <v/>
      </c>
      <c r="H294" s="963" t="str">
        <f t="shared" si="52"/>
        <v/>
      </c>
      <c r="I294" s="963" t="e">
        <f t="shared" si="50"/>
        <v>#VALUE!</v>
      </c>
      <c r="J294" s="989"/>
      <c r="K294" s="950"/>
    </row>
    <row r="295" spans="1:11">
      <c r="A295" s="925" t="str">
        <f>IF(Values_Entered,A294+1,"")</f>
        <v/>
      </c>
      <c r="B295" s="991" t="str">
        <f t="shared" si="47"/>
        <v/>
      </c>
      <c r="C295" s="963" t="str">
        <f t="shared" si="53"/>
        <v/>
      </c>
      <c r="D295" s="963" t="str">
        <f t="shared" si="54"/>
        <v/>
      </c>
      <c r="E295" s="964" t="e">
        <f t="shared" si="48"/>
        <v>#VALUE!</v>
      </c>
      <c r="F295" s="965" t="e">
        <f t="shared" si="49"/>
        <v>#VALUE!</v>
      </c>
      <c r="G295" s="963" t="str">
        <f t="shared" si="51"/>
        <v/>
      </c>
      <c r="H295" s="963" t="str">
        <f t="shared" si="52"/>
        <v/>
      </c>
      <c r="I295" s="963" t="e">
        <f t="shared" si="50"/>
        <v>#VALUE!</v>
      </c>
      <c r="J295" s="989"/>
      <c r="K295" s="950"/>
    </row>
    <row r="296" spans="1:11">
      <c r="A296" s="925" t="str">
        <f>IF(Values_Entered,A295+1,"")</f>
        <v/>
      </c>
      <c r="B296" s="991" t="str">
        <f t="shared" si="47"/>
        <v/>
      </c>
      <c r="C296" s="963" t="str">
        <f t="shared" si="53"/>
        <v/>
      </c>
      <c r="D296" s="963" t="str">
        <f t="shared" si="54"/>
        <v/>
      </c>
      <c r="E296" s="964" t="e">
        <f t="shared" si="48"/>
        <v>#VALUE!</v>
      </c>
      <c r="F296" s="965" t="e">
        <f t="shared" si="49"/>
        <v>#VALUE!</v>
      </c>
      <c r="G296" s="963" t="str">
        <f t="shared" si="51"/>
        <v/>
      </c>
      <c r="H296" s="963" t="str">
        <f t="shared" si="52"/>
        <v/>
      </c>
      <c r="I296" s="963" t="e">
        <f t="shared" si="50"/>
        <v>#VALUE!</v>
      </c>
      <c r="J296" s="989"/>
      <c r="K296" s="950"/>
    </row>
    <row r="297" spans="1:11">
      <c r="A297" s="925" t="str">
        <f>IF(Values_Entered,A296+1,"")</f>
        <v/>
      </c>
      <c r="B297" s="991" t="str">
        <f t="shared" si="47"/>
        <v/>
      </c>
      <c r="C297" s="963" t="str">
        <f t="shared" si="53"/>
        <v/>
      </c>
      <c r="D297" s="963" t="str">
        <f t="shared" si="54"/>
        <v/>
      </c>
      <c r="E297" s="964" t="e">
        <f t="shared" si="48"/>
        <v>#VALUE!</v>
      </c>
      <c r="F297" s="965" t="e">
        <f t="shared" si="49"/>
        <v>#VALUE!</v>
      </c>
      <c r="G297" s="963" t="str">
        <f t="shared" si="51"/>
        <v/>
      </c>
      <c r="H297" s="963" t="str">
        <f t="shared" si="52"/>
        <v/>
      </c>
      <c r="I297" s="963" t="e">
        <f t="shared" si="50"/>
        <v>#VALUE!</v>
      </c>
      <c r="J297" s="989"/>
      <c r="K297" s="950"/>
    </row>
    <row r="298" spans="1:11">
      <c r="A298" s="925" t="str">
        <f>IF(Values_Entered,A297+1,"")</f>
        <v/>
      </c>
      <c r="B298" s="991" t="str">
        <f t="shared" si="47"/>
        <v/>
      </c>
      <c r="C298" s="963" t="str">
        <f t="shared" si="53"/>
        <v/>
      </c>
      <c r="D298" s="963" t="str">
        <f t="shared" si="54"/>
        <v/>
      </c>
      <c r="E298" s="964" t="e">
        <f t="shared" si="48"/>
        <v>#VALUE!</v>
      </c>
      <c r="F298" s="965" t="e">
        <f t="shared" si="49"/>
        <v>#VALUE!</v>
      </c>
      <c r="G298" s="963" t="str">
        <f t="shared" si="51"/>
        <v/>
      </c>
      <c r="H298" s="963" t="str">
        <f t="shared" si="52"/>
        <v/>
      </c>
      <c r="I298" s="963" t="e">
        <f t="shared" si="50"/>
        <v>#VALUE!</v>
      </c>
      <c r="J298" s="989"/>
      <c r="K298" s="950"/>
    </row>
    <row r="299" spans="1:11">
      <c r="A299" s="925" t="str">
        <f>IF(Values_Entered,A298+1,"")</f>
        <v/>
      </c>
      <c r="B299" s="991" t="str">
        <f t="shared" si="47"/>
        <v/>
      </c>
      <c r="C299" s="963" t="str">
        <f t="shared" si="53"/>
        <v/>
      </c>
      <c r="D299" s="963" t="str">
        <f t="shared" si="54"/>
        <v/>
      </c>
      <c r="E299" s="964" t="e">
        <f t="shared" si="48"/>
        <v>#VALUE!</v>
      </c>
      <c r="F299" s="965" t="e">
        <f t="shared" si="49"/>
        <v>#VALUE!</v>
      </c>
      <c r="G299" s="963" t="str">
        <f t="shared" si="51"/>
        <v/>
      </c>
      <c r="H299" s="963" t="str">
        <f t="shared" si="52"/>
        <v/>
      </c>
      <c r="I299" s="963" t="e">
        <f t="shared" si="50"/>
        <v>#VALUE!</v>
      </c>
      <c r="J299" s="989"/>
      <c r="K299" s="950"/>
    </row>
    <row r="300" spans="1:11">
      <c r="A300" s="925" t="str">
        <f>IF(Values_Entered,A299+1,"")</f>
        <v/>
      </c>
      <c r="B300" s="991" t="str">
        <f t="shared" si="47"/>
        <v/>
      </c>
      <c r="C300" s="963" t="str">
        <f t="shared" si="53"/>
        <v/>
      </c>
      <c r="D300" s="963" t="str">
        <f t="shared" si="54"/>
        <v/>
      </c>
      <c r="E300" s="964" t="e">
        <f t="shared" si="48"/>
        <v>#VALUE!</v>
      </c>
      <c r="F300" s="965" t="e">
        <f t="shared" si="49"/>
        <v>#VALUE!</v>
      </c>
      <c r="G300" s="963" t="str">
        <f t="shared" si="51"/>
        <v/>
      </c>
      <c r="H300" s="963" t="str">
        <f t="shared" si="52"/>
        <v/>
      </c>
      <c r="I300" s="963" t="e">
        <f t="shared" si="50"/>
        <v>#VALUE!</v>
      </c>
      <c r="J300" s="989"/>
      <c r="K300" s="950"/>
    </row>
    <row r="301" spans="1:11">
      <c r="A301" s="925" t="str">
        <f>IF(Values_Entered,A300+1,"")</f>
        <v/>
      </c>
      <c r="B301" s="991" t="str">
        <f t="shared" si="47"/>
        <v/>
      </c>
      <c r="C301" s="963" t="str">
        <f t="shared" si="53"/>
        <v/>
      </c>
      <c r="D301" s="963" t="str">
        <f t="shared" si="54"/>
        <v/>
      </c>
      <c r="E301" s="964" t="e">
        <f t="shared" si="48"/>
        <v>#VALUE!</v>
      </c>
      <c r="F301" s="965" t="e">
        <f t="shared" si="49"/>
        <v>#VALUE!</v>
      </c>
      <c r="G301" s="963" t="str">
        <f t="shared" si="51"/>
        <v/>
      </c>
      <c r="H301" s="963" t="str">
        <f t="shared" si="52"/>
        <v/>
      </c>
      <c r="I301" s="963" t="e">
        <f t="shared" si="50"/>
        <v>#VALUE!</v>
      </c>
      <c r="J301" s="989"/>
      <c r="K301" s="950"/>
    </row>
    <row r="302" spans="1:11">
      <c r="A302" s="925" t="str">
        <f>IF(Values_Entered,A301+1,"")</f>
        <v/>
      </c>
      <c r="B302" s="991" t="str">
        <f t="shared" si="47"/>
        <v/>
      </c>
      <c r="C302" s="963" t="str">
        <f t="shared" si="53"/>
        <v/>
      </c>
      <c r="D302" s="963" t="str">
        <f t="shared" si="54"/>
        <v/>
      </c>
      <c r="E302" s="964" t="e">
        <f t="shared" si="48"/>
        <v>#VALUE!</v>
      </c>
      <c r="F302" s="965" t="e">
        <f t="shared" si="49"/>
        <v>#VALUE!</v>
      </c>
      <c r="G302" s="963" t="str">
        <f t="shared" si="51"/>
        <v/>
      </c>
      <c r="H302" s="963" t="str">
        <f t="shared" si="52"/>
        <v/>
      </c>
      <c r="I302" s="963" t="e">
        <f t="shared" si="50"/>
        <v>#VALUE!</v>
      </c>
      <c r="J302" s="989"/>
      <c r="K302" s="950"/>
    </row>
    <row r="303" spans="1:11">
      <c r="A303" s="925" t="str">
        <f>IF(Values_Entered,A302+1,"")</f>
        <v/>
      </c>
      <c r="B303" s="991" t="str">
        <f t="shared" si="47"/>
        <v/>
      </c>
      <c r="C303" s="963" t="str">
        <f t="shared" si="53"/>
        <v/>
      </c>
      <c r="D303" s="963" t="str">
        <f t="shared" si="54"/>
        <v/>
      </c>
      <c r="E303" s="964" t="e">
        <f t="shared" si="48"/>
        <v>#VALUE!</v>
      </c>
      <c r="F303" s="965" t="e">
        <f t="shared" si="49"/>
        <v>#VALUE!</v>
      </c>
      <c r="G303" s="963" t="str">
        <f t="shared" si="51"/>
        <v/>
      </c>
      <c r="H303" s="963" t="str">
        <f t="shared" si="52"/>
        <v/>
      </c>
      <c r="I303" s="963" t="e">
        <f t="shared" si="50"/>
        <v>#VALUE!</v>
      </c>
      <c r="J303" s="989"/>
      <c r="K303" s="950"/>
    </row>
    <row r="304" spans="1:11">
      <c r="A304" s="925" t="str">
        <f>IF(Values_Entered,A303+1,"")</f>
        <v/>
      </c>
      <c r="B304" s="991" t="str">
        <f t="shared" si="47"/>
        <v/>
      </c>
      <c r="C304" s="963" t="str">
        <f t="shared" si="53"/>
        <v/>
      </c>
      <c r="D304" s="963" t="str">
        <f t="shared" si="54"/>
        <v/>
      </c>
      <c r="E304" s="964" t="e">
        <f t="shared" si="48"/>
        <v>#VALUE!</v>
      </c>
      <c r="F304" s="965" t="e">
        <f t="shared" si="49"/>
        <v>#VALUE!</v>
      </c>
      <c r="G304" s="963" t="str">
        <f t="shared" si="51"/>
        <v/>
      </c>
      <c r="H304" s="963" t="str">
        <f t="shared" si="52"/>
        <v/>
      </c>
      <c r="I304" s="963" t="e">
        <f t="shared" si="50"/>
        <v>#VALUE!</v>
      </c>
      <c r="J304" s="989"/>
      <c r="K304" s="950"/>
    </row>
    <row r="305" spans="1:11">
      <c r="A305" s="925" t="str">
        <f>IF(Values_Entered,A304+1,"")</f>
        <v/>
      </c>
      <c r="B305" s="991" t="str">
        <f t="shared" si="47"/>
        <v/>
      </c>
      <c r="C305" s="963" t="str">
        <f t="shared" si="53"/>
        <v/>
      </c>
      <c r="D305" s="963" t="str">
        <f t="shared" si="54"/>
        <v/>
      </c>
      <c r="E305" s="964" t="e">
        <f t="shared" si="48"/>
        <v>#VALUE!</v>
      </c>
      <c r="F305" s="965" t="e">
        <f t="shared" si="49"/>
        <v>#VALUE!</v>
      </c>
      <c r="G305" s="963" t="str">
        <f t="shared" si="51"/>
        <v/>
      </c>
      <c r="H305" s="963" t="str">
        <f t="shared" si="52"/>
        <v/>
      </c>
      <c r="I305" s="963" t="e">
        <f t="shared" si="50"/>
        <v>#VALUE!</v>
      </c>
      <c r="J305" s="989"/>
      <c r="K305" s="950"/>
    </row>
    <row r="306" spans="1:11">
      <c r="A306" s="925" t="str">
        <f>IF(Values_Entered,A305+1,"")</f>
        <v/>
      </c>
      <c r="B306" s="991" t="str">
        <f t="shared" si="47"/>
        <v/>
      </c>
      <c r="C306" s="963" t="str">
        <f t="shared" si="53"/>
        <v/>
      </c>
      <c r="D306" s="963" t="str">
        <f t="shared" si="54"/>
        <v/>
      </c>
      <c r="E306" s="964" t="e">
        <f t="shared" si="48"/>
        <v>#VALUE!</v>
      </c>
      <c r="F306" s="965" t="e">
        <f t="shared" si="49"/>
        <v>#VALUE!</v>
      </c>
      <c r="G306" s="963" t="str">
        <f t="shared" si="51"/>
        <v/>
      </c>
      <c r="H306" s="963" t="str">
        <f t="shared" si="52"/>
        <v/>
      </c>
      <c r="I306" s="963" t="e">
        <f t="shared" si="50"/>
        <v>#VALUE!</v>
      </c>
      <c r="J306" s="989"/>
      <c r="K306" s="950"/>
    </row>
    <row r="307" spans="1:11">
      <c r="A307" s="925" t="str">
        <f>IF(Values_Entered,A306+1,"")</f>
        <v/>
      </c>
      <c r="B307" s="991" t="str">
        <f t="shared" si="47"/>
        <v/>
      </c>
      <c r="C307" s="963" t="str">
        <f t="shared" si="53"/>
        <v/>
      </c>
      <c r="D307" s="963" t="str">
        <f t="shared" si="54"/>
        <v/>
      </c>
      <c r="E307" s="964" t="e">
        <f t="shared" si="48"/>
        <v>#VALUE!</v>
      </c>
      <c r="F307" s="965" t="e">
        <f t="shared" si="49"/>
        <v>#VALUE!</v>
      </c>
      <c r="G307" s="963" t="str">
        <f t="shared" si="51"/>
        <v/>
      </c>
      <c r="H307" s="963" t="str">
        <f t="shared" si="52"/>
        <v/>
      </c>
      <c r="I307" s="963" t="e">
        <f t="shared" si="50"/>
        <v>#VALUE!</v>
      </c>
      <c r="J307" s="989"/>
      <c r="K307" s="950"/>
    </row>
    <row r="308" spans="1:11">
      <c r="A308" s="925" t="str">
        <f>IF(Values_Entered,A307+1,"")</f>
        <v/>
      </c>
      <c r="B308" s="991" t="str">
        <f t="shared" si="47"/>
        <v/>
      </c>
      <c r="C308" s="963" t="str">
        <f t="shared" si="53"/>
        <v/>
      </c>
      <c r="D308" s="963" t="str">
        <f t="shared" si="54"/>
        <v/>
      </c>
      <c r="E308" s="964" t="e">
        <f t="shared" si="48"/>
        <v>#VALUE!</v>
      </c>
      <c r="F308" s="965" t="e">
        <f t="shared" si="49"/>
        <v>#VALUE!</v>
      </c>
      <c r="G308" s="963" t="str">
        <f t="shared" si="51"/>
        <v/>
      </c>
      <c r="H308" s="963" t="str">
        <f t="shared" si="52"/>
        <v/>
      </c>
      <c r="I308" s="963" t="e">
        <f t="shared" si="50"/>
        <v>#VALUE!</v>
      </c>
      <c r="J308" s="989"/>
      <c r="K308" s="950"/>
    </row>
    <row r="309" spans="1:11">
      <c r="A309" s="925" t="str">
        <f>IF(Values_Entered,A308+1,"")</f>
        <v/>
      </c>
      <c r="B309" s="991" t="str">
        <f t="shared" si="47"/>
        <v/>
      </c>
      <c r="C309" s="963" t="str">
        <f t="shared" si="53"/>
        <v/>
      </c>
      <c r="D309" s="963" t="str">
        <f t="shared" si="54"/>
        <v/>
      </c>
      <c r="E309" s="964" t="e">
        <f t="shared" si="48"/>
        <v>#VALUE!</v>
      </c>
      <c r="F309" s="965" t="e">
        <f t="shared" si="49"/>
        <v>#VALUE!</v>
      </c>
      <c r="G309" s="963" t="str">
        <f t="shared" si="51"/>
        <v/>
      </c>
      <c r="H309" s="963" t="str">
        <f t="shared" si="52"/>
        <v/>
      </c>
      <c r="I309" s="963" t="e">
        <f t="shared" si="50"/>
        <v>#VALUE!</v>
      </c>
      <c r="J309" s="989"/>
      <c r="K309" s="950"/>
    </row>
    <row r="310" spans="1:11">
      <c r="A310" s="925" t="str">
        <f>IF(Values_Entered,A309+1,"")</f>
        <v/>
      </c>
      <c r="B310" s="991" t="str">
        <f t="shared" si="47"/>
        <v/>
      </c>
      <c r="C310" s="963" t="str">
        <f t="shared" si="53"/>
        <v/>
      </c>
      <c r="D310" s="963" t="str">
        <f t="shared" si="54"/>
        <v/>
      </c>
      <c r="E310" s="964" t="e">
        <f t="shared" si="48"/>
        <v>#VALUE!</v>
      </c>
      <c r="F310" s="965" t="e">
        <f t="shared" si="49"/>
        <v>#VALUE!</v>
      </c>
      <c r="G310" s="963" t="str">
        <f t="shared" si="51"/>
        <v/>
      </c>
      <c r="H310" s="963" t="str">
        <f t="shared" si="52"/>
        <v/>
      </c>
      <c r="I310" s="963" t="e">
        <f t="shared" si="50"/>
        <v>#VALUE!</v>
      </c>
      <c r="J310" s="989"/>
      <c r="K310" s="950"/>
    </row>
    <row r="311" spans="1:11">
      <c r="A311" s="925" t="str">
        <f>IF(Values_Entered,A310+1,"")</f>
        <v/>
      </c>
      <c r="B311" s="991" t="str">
        <f t="shared" si="47"/>
        <v/>
      </c>
      <c r="C311" s="963" t="str">
        <f t="shared" si="53"/>
        <v/>
      </c>
      <c r="D311" s="963" t="str">
        <f t="shared" si="54"/>
        <v/>
      </c>
      <c r="E311" s="964" t="e">
        <f t="shared" si="48"/>
        <v>#VALUE!</v>
      </c>
      <c r="F311" s="965" t="e">
        <f t="shared" si="49"/>
        <v>#VALUE!</v>
      </c>
      <c r="G311" s="963" t="str">
        <f t="shared" si="51"/>
        <v/>
      </c>
      <c r="H311" s="963" t="str">
        <f t="shared" si="52"/>
        <v/>
      </c>
      <c r="I311" s="963" t="e">
        <f t="shared" si="50"/>
        <v>#VALUE!</v>
      </c>
      <c r="J311" s="989"/>
      <c r="K311" s="950"/>
    </row>
    <row r="312" spans="1:11">
      <c r="A312" s="925" t="str">
        <f>IF(Values_Entered,A311+1,"")</f>
        <v/>
      </c>
      <c r="B312" s="991" t="str">
        <f t="shared" si="47"/>
        <v/>
      </c>
      <c r="C312" s="963" t="str">
        <f t="shared" si="53"/>
        <v/>
      </c>
      <c r="D312" s="963" t="str">
        <f t="shared" si="54"/>
        <v/>
      </c>
      <c r="E312" s="964" t="e">
        <f t="shared" si="48"/>
        <v>#VALUE!</v>
      </c>
      <c r="F312" s="965" t="e">
        <f t="shared" si="49"/>
        <v>#VALUE!</v>
      </c>
      <c r="G312" s="963" t="str">
        <f t="shared" si="51"/>
        <v/>
      </c>
      <c r="H312" s="963" t="str">
        <f t="shared" si="52"/>
        <v/>
      </c>
      <c r="I312" s="963" t="e">
        <f t="shared" si="50"/>
        <v>#VALUE!</v>
      </c>
      <c r="J312" s="989"/>
      <c r="K312" s="950"/>
    </row>
    <row r="313" spans="1:11">
      <c r="A313" s="925" t="str">
        <f>IF(Values_Entered,A312+1,"")</f>
        <v/>
      </c>
      <c r="B313" s="991" t="str">
        <f t="shared" si="47"/>
        <v/>
      </c>
      <c r="C313" s="963" t="str">
        <f t="shared" si="53"/>
        <v/>
      </c>
      <c r="D313" s="963" t="str">
        <f t="shared" si="54"/>
        <v/>
      </c>
      <c r="E313" s="964" t="e">
        <f t="shared" si="48"/>
        <v>#VALUE!</v>
      </c>
      <c r="F313" s="965" t="e">
        <f t="shared" si="49"/>
        <v>#VALUE!</v>
      </c>
      <c r="G313" s="963" t="str">
        <f t="shared" si="51"/>
        <v/>
      </c>
      <c r="H313" s="963" t="str">
        <f t="shared" si="52"/>
        <v/>
      </c>
      <c r="I313" s="963" t="e">
        <f t="shared" si="50"/>
        <v>#VALUE!</v>
      </c>
      <c r="J313" s="989"/>
      <c r="K313" s="950"/>
    </row>
    <row r="314" spans="1:11">
      <c r="A314" s="925" t="str">
        <f>IF(Values_Entered,A313+1,"")</f>
        <v/>
      </c>
      <c r="B314" s="991" t="str">
        <f t="shared" si="47"/>
        <v/>
      </c>
      <c r="C314" s="963" t="str">
        <f t="shared" si="53"/>
        <v/>
      </c>
      <c r="D314" s="963" t="str">
        <f t="shared" si="54"/>
        <v/>
      </c>
      <c r="E314" s="964" t="e">
        <f t="shared" si="48"/>
        <v>#VALUE!</v>
      </c>
      <c r="F314" s="965" t="e">
        <f t="shared" si="49"/>
        <v>#VALUE!</v>
      </c>
      <c r="G314" s="963" t="str">
        <f t="shared" si="51"/>
        <v/>
      </c>
      <c r="H314" s="963" t="str">
        <f t="shared" si="52"/>
        <v/>
      </c>
      <c r="I314" s="963" t="e">
        <f t="shared" si="50"/>
        <v>#VALUE!</v>
      </c>
      <c r="J314" s="989"/>
      <c r="K314" s="950"/>
    </row>
    <row r="315" spans="1:11">
      <c r="A315" s="925" t="str">
        <f>IF(Values_Entered,A314+1,"")</f>
        <v/>
      </c>
      <c r="B315" s="991" t="str">
        <f t="shared" si="47"/>
        <v/>
      </c>
      <c r="C315" s="963" t="str">
        <f t="shared" si="53"/>
        <v/>
      </c>
      <c r="D315" s="963" t="str">
        <f t="shared" si="54"/>
        <v/>
      </c>
      <c r="E315" s="964" t="e">
        <f t="shared" si="48"/>
        <v>#VALUE!</v>
      </c>
      <c r="F315" s="965" t="e">
        <f t="shared" si="49"/>
        <v>#VALUE!</v>
      </c>
      <c r="G315" s="963" t="str">
        <f t="shared" si="51"/>
        <v/>
      </c>
      <c r="H315" s="963" t="str">
        <f t="shared" si="52"/>
        <v/>
      </c>
      <c r="I315" s="963" t="e">
        <f t="shared" si="50"/>
        <v>#VALUE!</v>
      </c>
      <c r="J315" s="989"/>
      <c r="K315" s="950"/>
    </row>
    <row r="316" spans="1:11">
      <c r="A316" s="925" t="str">
        <f>IF(Values_Entered,A315+1,"")</f>
        <v/>
      </c>
      <c r="B316" s="991" t="str">
        <f t="shared" si="47"/>
        <v/>
      </c>
      <c r="C316" s="963" t="str">
        <f t="shared" si="53"/>
        <v/>
      </c>
      <c r="D316" s="963" t="str">
        <f t="shared" si="54"/>
        <v/>
      </c>
      <c r="E316" s="964" t="e">
        <f t="shared" si="48"/>
        <v>#VALUE!</v>
      </c>
      <c r="F316" s="965" t="e">
        <f t="shared" si="49"/>
        <v>#VALUE!</v>
      </c>
      <c r="G316" s="963" t="str">
        <f t="shared" si="51"/>
        <v/>
      </c>
      <c r="H316" s="963" t="str">
        <f t="shared" si="52"/>
        <v/>
      </c>
      <c r="I316" s="963" t="e">
        <f t="shared" si="50"/>
        <v>#VALUE!</v>
      </c>
      <c r="J316" s="989"/>
      <c r="K316" s="950"/>
    </row>
    <row r="317" spans="1:11">
      <c r="A317" s="925" t="str">
        <f>IF(Values_Entered,A316+1,"")</f>
        <v/>
      </c>
      <c r="B317" s="991" t="str">
        <f t="shared" si="47"/>
        <v/>
      </c>
      <c r="C317" s="963" t="str">
        <f t="shared" si="53"/>
        <v/>
      </c>
      <c r="D317" s="963" t="str">
        <f t="shared" si="54"/>
        <v/>
      </c>
      <c r="E317" s="964" t="e">
        <f t="shared" si="48"/>
        <v>#VALUE!</v>
      </c>
      <c r="F317" s="965" t="e">
        <f t="shared" si="49"/>
        <v>#VALUE!</v>
      </c>
      <c r="G317" s="963" t="str">
        <f t="shared" si="51"/>
        <v/>
      </c>
      <c r="H317" s="963" t="str">
        <f t="shared" si="52"/>
        <v/>
      </c>
      <c r="I317" s="963" t="e">
        <f t="shared" si="50"/>
        <v>#VALUE!</v>
      </c>
      <c r="J317" s="989"/>
      <c r="K317" s="950"/>
    </row>
    <row r="318" spans="1:11">
      <c r="A318" s="925" t="str">
        <f>IF(Values_Entered,A317+1,"")</f>
        <v/>
      </c>
      <c r="B318" s="991" t="str">
        <f t="shared" si="47"/>
        <v/>
      </c>
      <c r="C318" s="963" t="str">
        <f t="shared" si="53"/>
        <v/>
      </c>
      <c r="D318" s="963" t="str">
        <f t="shared" si="54"/>
        <v/>
      </c>
      <c r="E318" s="964" t="e">
        <f t="shared" si="48"/>
        <v>#VALUE!</v>
      </c>
      <c r="F318" s="965" t="e">
        <f t="shared" si="49"/>
        <v>#VALUE!</v>
      </c>
      <c r="G318" s="963" t="str">
        <f t="shared" si="51"/>
        <v/>
      </c>
      <c r="H318" s="963" t="str">
        <f t="shared" si="52"/>
        <v/>
      </c>
      <c r="I318" s="963" t="e">
        <f t="shared" si="50"/>
        <v>#VALUE!</v>
      </c>
      <c r="J318" s="989"/>
      <c r="K318" s="950"/>
    </row>
    <row r="319" spans="1:11">
      <c r="A319" s="925" t="str">
        <f>IF(Values_Entered,A318+1,"")</f>
        <v/>
      </c>
      <c r="B319" s="991" t="str">
        <f t="shared" si="47"/>
        <v/>
      </c>
      <c r="C319" s="963" t="str">
        <f t="shared" si="53"/>
        <v/>
      </c>
      <c r="D319" s="963" t="str">
        <f t="shared" si="54"/>
        <v/>
      </c>
      <c r="E319" s="964" t="e">
        <f t="shared" si="48"/>
        <v>#VALUE!</v>
      </c>
      <c r="F319" s="965" t="e">
        <f t="shared" si="49"/>
        <v>#VALUE!</v>
      </c>
      <c r="G319" s="963" t="str">
        <f t="shared" si="51"/>
        <v/>
      </c>
      <c r="H319" s="963" t="str">
        <f t="shared" si="52"/>
        <v/>
      </c>
      <c r="I319" s="963" t="e">
        <f t="shared" si="50"/>
        <v>#VALUE!</v>
      </c>
      <c r="J319" s="989"/>
      <c r="K319" s="950"/>
    </row>
    <row r="320" spans="1:11">
      <c r="A320" s="925" t="str">
        <f>IF(Values_Entered,A319+1,"")</f>
        <v/>
      </c>
      <c r="B320" s="991" t="str">
        <f t="shared" si="47"/>
        <v/>
      </c>
      <c r="C320" s="963" t="str">
        <f t="shared" si="53"/>
        <v/>
      </c>
      <c r="D320" s="963" t="str">
        <f t="shared" si="54"/>
        <v/>
      </c>
      <c r="E320" s="964" t="e">
        <f t="shared" si="48"/>
        <v>#VALUE!</v>
      </c>
      <c r="F320" s="965" t="e">
        <f t="shared" si="49"/>
        <v>#VALUE!</v>
      </c>
      <c r="G320" s="963" t="str">
        <f t="shared" si="51"/>
        <v/>
      </c>
      <c r="H320" s="963" t="str">
        <f t="shared" si="52"/>
        <v/>
      </c>
      <c r="I320" s="963" t="e">
        <f t="shared" si="50"/>
        <v>#VALUE!</v>
      </c>
      <c r="J320" s="989"/>
      <c r="K320" s="950"/>
    </row>
    <row r="321" spans="1:11">
      <c r="A321" s="925" t="str">
        <f>IF(Values_Entered,A320+1,"")</f>
        <v/>
      </c>
      <c r="B321" s="991" t="str">
        <f t="shared" si="47"/>
        <v/>
      </c>
      <c r="C321" s="963" t="str">
        <f t="shared" si="53"/>
        <v/>
      </c>
      <c r="D321" s="963" t="str">
        <f t="shared" si="54"/>
        <v/>
      </c>
      <c r="E321" s="964" t="e">
        <f t="shared" si="48"/>
        <v>#VALUE!</v>
      </c>
      <c r="F321" s="965" t="e">
        <f t="shared" si="49"/>
        <v>#VALUE!</v>
      </c>
      <c r="G321" s="963" t="str">
        <f t="shared" si="51"/>
        <v/>
      </c>
      <c r="H321" s="963" t="str">
        <f t="shared" si="52"/>
        <v/>
      </c>
      <c r="I321" s="963" t="e">
        <f t="shared" si="50"/>
        <v>#VALUE!</v>
      </c>
      <c r="J321" s="989"/>
      <c r="K321" s="950"/>
    </row>
    <row r="322" spans="1:11">
      <c r="A322" s="925" t="str">
        <f>IF(Values_Entered,A321+1,"")</f>
        <v/>
      </c>
      <c r="B322" s="991" t="str">
        <f t="shared" si="47"/>
        <v/>
      </c>
      <c r="C322" s="963" t="str">
        <f t="shared" si="53"/>
        <v/>
      </c>
      <c r="D322" s="963" t="str">
        <f t="shared" si="54"/>
        <v/>
      </c>
      <c r="E322" s="964" t="e">
        <f t="shared" si="48"/>
        <v>#VALUE!</v>
      </c>
      <c r="F322" s="965" t="e">
        <f t="shared" si="49"/>
        <v>#VALUE!</v>
      </c>
      <c r="G322" s="963" t="str">
        <f t="shared" si="51"/>
        <v/>
      </c>
      <c r="H322" s="963" t="str">
        <f t="shared" si="52"/>
        <v/>
      </c>
      <c r="I322" s="963" t="e">
        <f t="shared" si="50"/>
        <v>#VALUE!</v>
      </c>
      <c r="J322" s="989"/>
      <c r="K322" s="950"/>
    </row>
    <row r="323" spans="1:11">
      <c r="A323" s="925" t="str">
        <f>IF(Values_Entered,A322+1,"")</f>
        <v/>
      </c>
      <c r="B323" s="991" t="str">
        <f t="shared" si="47"/>
        <v/>
      </c>
      <c r="C323" s="963" t="str">
        <f t="shared" si="53"/>
        <v/>
      </c>
      <c r="D323" s="963" t="str">
        <f t="shared" si="54"/>
        <v/>
      </c>
      <c r="E323" s="964" t="e">
        <f t="shared" si="48"/>
        <v>#VALUE!</v>
      </c>
      <c r="F323" s="965" t="e">
        <f t="shared" si="49"/>
        <v>#VALUE!</v>
      </c>
      <c r="G323" s="963" t="str">
        <f t="shared" si="51"/>
        <v/>
      </c>
      <c r="H323" s="963" t="str">
        <f t="shared" si="52"/>
        <v/>
      </c>
      <c r="I323" s="963" t="e">
        <f t="shared" si="50"/>
        <v>#VALUE!</v>
      </c>
      <c r="J323" s="989"/>
      <c r="K323" s="950"/>
    </row>
    <row r="324" spans="1:11">
      <c r="A324" s="925" t="str">
        <f>IF(Values_Entered,A323+1,"")</f>
        <v/>
      </c>
      <c r="B324" s="991" t="str">
        <f t="shared" si="47"/>
        <v/>
      </c>
      <c r="C324" s="963" t="str">
        <f t="shared" si="53"/>
        <v/>
      </c>
      <c r="D324" s="963" t="str">
        <f t="shared" si="54"/>
        <v/>
      </c>
      <c r="E324" s="964" t="e">
        <f t="shared" si="48"/>
        <v>#VALUE!</v>
      </c>
      <c r="F324" s="965" t="e">
        <f t="shared" si="49"/>
        <v>#VALUE!</v>
      </c>
      <c r="G324" s="963" t="str">
        <f t="shared" si="51"/>
        <v/>
      </c>
      <c r="H324" s="963" t="str">
        <f t="shared" si="52"/>
        <v/>
      </c>
      <c r="I324" s="963" t="e">
        <f t="shared" si="50"/>
        <v>#VALUE!</v>
      </c>
      <c r="J324" s="989"/>
      <c r="K324" s="950"/>
    </row>
    <row r="325" spans="1:11">
      <c r="A325" s="925" t="str">
        <f>IF(Values_Entered,A324+1,"")</f>
        <v/>
      </c>
      <c r="B325" s="991" t="str">
        <f t="shared" si="47"/>
        <v/>
      </c>
      <c r="C325" s="963" t="str">
        <f t="shared" si="53"/>
        <v/>
      </c>
      <c r="D325" s="963" t="str">
        <f t="shared" si="54"/>
        <v/>
      </c>
      <c r="E325" s="964" t="e">
        <f t="shared" si="48"/>
        <v>#VALUE!</v>
      </c>
      <c r="F325" s="965" t="e">
        <f t="shared" si="49"/>
        <v>#VALUE!</v>
      </c>
      <c r="G325" s="963" t="str">
        <f t="shared" si="51"/>
        <v/>
      </c>
      <c r="H325" s="963" t="str">
        <f t="shared" si="52"/>
        <v/>
      </c>
      <c r="I325" s="963" t="e">
        <f t="shared" si="50"/>
        <v>#VALUE!</v>
      </c>
      <c r="J325" s="989"/>
      <c r="K325" s="950"/>
    </row>
    <row r="326" spans="1:11">
      <c r="A326" s="925" t="str">
        <f>IF(Values_Entered,A325+1,"")</f>
        <v/>
      </c>
      <c r="B326" s="991" t="str">
        <f t="shared" si="47"/>
        <v/>
      </c>
      <c r="C326" s="963" t="str">
        <f t="shared" si="53"/>
        <v/>
      </c>
      <c r="D326" s="963" t="str">
        <f t="shared" si="54"/>
        <v/>
      </c>
      <c r="E326" s="964" t="e">
        <f t="shared" si="48"/>
        <v>#VALUE!</v>
      </c>
      <c r="F326" s="965" t="e">
        <f t="shared" si="49"/>
        <v>#VALUE!</v>
      </c>
      <c r="G326" s="963" t="str">
        <f t="shared" si="51"/>
        <v/>
      </c>
      <c r="H326" s="963" t="str">
        <f t="shared" si="52"/>
        <v/>
      </c>
      <c r="I326" s="963" t="e">
        <f t="shared" si="50"/>
        <v>#VALUE!</v>
      </c>
      <c r="J326" s="989"/>
      <c r="K326" s="950"/>
    </row>
    <row r="327" spans="1:11">
      <c r="A327" s="925" t="str">
        <f>IF(Values_Entered,A326+1,"")</f>
        <v/>
      </c>
      <c r="B327" s="991" t="str">
        <f t="shared" si="47"/>
        <v/>
      </c>
      <c r="C327" s="963" t="str">
        <f t="shared" si="53"/>
        <v/>
      </c>
      <c r="D327" s="963" t="str">
        <f t="shared" si="54"/>
        <v/>
      </c>
      <c r="E327" s="964" t="e">
        <f t="shared" si="48"/>
        <v>#VALUE!</v>
      </c>
      <c r="F327" s="965" t="e">
        <f t="shared" si="49"/>
        <v>#VALUE!</v>
      </c>
      <c r="G327" s="963" t="str">
        <f t="shared" si="51"/>
        <v/>
      </c>
      <c r="H327" s="963" t="str">
        <f t="shared" si="52"/>
        <v/>
      </c>
      <c r="I327" s="963" t="e">
        <f t="shared" si="50"/>
        <v>#VALUE!</v>
      </c>
      <c r="J327" s="989"/>
      <c r="K327" s="950"/>
    </row>
    <row r="328" spans="1:11">
      <c r="A328" s="925" t="str">
        <f>IF(Values_Entered,A327+1,"")</f>
        <v/>
      </c>
      <c r="B328" s="991" t="str">
        <f t="shared" si="47"/>
        <v/>
      </c>
      <c r="C328" s="963" t="str">
        <f t="shared" si="53"/>
        <v/>
      </c>
      <c r="D328" s="963" t="str">
        <f t="shared" si="54"/>
        <v/>
      </c>
      <c r="E328" s="964" t="e">
        <f t="shared" si="48"/>
        <v>#VALUE!</v>
      </c>
      <c r="F328" s="965" t="e">
        <f t="shared" si="49"/>
        <v>#VALUE!</v>
      </c>
      <c r="G328" s="963" t="str">
        <f t="shared" si="51"/>
        <v/>
      </c>
      <c r="H328" s="963" t="str">
        <f t="shared" si="52"/>
        <v/>
      </c>
      <c r="I328" s="963" t="e">
        <f t="shared" si="50"/>
        <v>#VALUE!</v>
      </c>
      <c r="J328" s="989"/>
      <c r="K328" s="950"/>
    </row>
    <row r="329" spans="1:11">
      <c r="A329" s="925" t="str">
        <f>IF(Values_Entered,A328+1,"")</f>
        <v/>
      </c>
      <c r="B329" s="991" t="str">
        <f t="shared" si="47"/>
        <v/>
      </c>
      <c r="C329" s="963" t="str">
        <f t="shared" si="53"/>
        <v/>
      </c>
      <c r="D329" s="963" t="str">
        <f t="shared" si="54"/>
        <v/>
      </c>
      <c r="E329" s="964" t="e">
        <f t="shared" si="48"/>
        <v>#VALUE!</v>
      </c>
      <c r="F329" s="965" t="e">
        <f t="shared" si="49"/>
        <v>#VALUE!</v>
      </c>
      <c r="G329" s="963" t="str">
        <f t="shared" si="51"/>
        <v/>
      </c>
      <c r="H329" s="963" t="str">
        <f t="shared" si="52"/>
        <v/>
      </c>
      <c r="I329" s="963" t="e">
        <f t="shared" si="50"/>
        <v>#VALUE!</v>
      </c>
      <c r="J329" s="989"/>
      <c r="K329" s="950"/>
    </row>
    <row r="330" spans="1:11">
      <c r="A330" s="925" t="str">
        <f>IF(Values_Entered,A329+1,"")</f>
        <v/>
      </c>
      <c r="B330" s="991" t="str">
        <f t="shared" si="47"/>
        <v/>
      </c>
      <c r="C330" s="963" t="str">
        <f t="shared" si="53"/>
        <v/>
      </c>
      <c r="D330" s="963" t="str">
        <f t="shared" si="54"/>
        <v/>
      </c>
      <c r="E330" s="964" t="e">
        <f t="shared" si="48"/>
        <v>#VALUE!</v>
      </c>
      <c r="F330" s="965" t="e">
        <f t="shared" si="49"/>
        <v>#VALUE!</v>
      </c>
      <c r="G330" s="963" t="str">
        <f t="shared" si="51"/>
        <v/>
      </c>
      <c r="H330" s="963" t="str">
        <f t="shared" si="52"/>
        <v/>
      </c>
      <c r="I330" s="963" t="e">
        <f t="shared" si="50"/>
        <v>#VALUE!</v>
      </c>
      <c r="J330" s="989"/>
      <c r="K330" s="950"/>
    </row>
    <row r="331" spans="1:11">
      <c r="A331" s="925" t="str">
        <f>IF(Values_Entered,A330+1,"")</f>
        <v/>
      </c>
      <c r="B331" s="991" t="str">
        <f t="shared" si="47"/>
        <v/>
      </c>
      <c r="C331" s="963" t="str">
        <f t="shared" si="53"/>
        <v/>
      </c>
      <c r="D331" s="963" t="str">
        <f t="shared" si="54"/>
        <v/>
      </c>
      <c r="E331" s="964" t="e">
        <f t="shared" si="48"/>
        <v>#VALUE!</v>
      </c>
      <c r="F331" s="965" t="e">
        <f t="shared" si="49"/>
        <v>#VALUE!</v>
      </c>
      <c r="G331" s="963" t="str">
        <f t="shared" si="51"/>
        <v/>
      </c>
      <c r="H331" s="963" t="str">
        <f t="shared" si="52"/>
        <v/>
      </c>
      <c r="I331" s="963" t="e">
        <f t="shared" si="50"/>
        <v>#VALUE!</v>
      </c>
      <c r="J331" s="989"/>
      <c r="K331" s="950"/>
    </row>
    <row r="332" spans="1:11">
      <c r="A332" s="925" t="str">
        <f>IF(Values_Entered,A331+1,"")</f>
        <v/>
      </c>
      <c r="B332" s="991" t="str">
        <f t="shared" si="47"/>
        <v/>
      </c>
      <c r="C332" s="963" t="str">
        <f t="shared" si="53"/>
        <v/>
      </c>
      <c r="D332" s="963" t="str">
        <f t="shared" si="54"/>
        <v/>
      </c>
      <c r="E332" s="964" t="e">
        <f t="shared" si="48"/>
        <v>#VALUE!</v>
      </c>
      <c r="F332" s="965" t="e">
        <f t="shared" si="49"/>
        <v>#VALUE!</v>
      </c>
      <c r="G332" s="963" t="str">
        <f t="shared" si="51"/>
        <v/>
      </c>
      <c r="H332" s="963" t="str">
        <f t="shared" si="52"/>
        <v/>
      </c>
      <c r="I332" s="963" t="e">
        <f t="shared" si="50"/>
        <v>#VALUE!</v>
      </c>
      <c r="J332" s="989"/>
      <c r="K332" s="950"/>
    </row>
    <row r="333" spans="1:11">
      <c r="A333" s="925" t="str">
        <f>IF(Values_Entered,A332+1,"")</f>
        <v/>
      </c>
      <c r="B333" s="991" t="str">
        <f t="shared" si="47"/>
        <v/>
      </c>
      <c r="C333" s="963" t="str">
        <f t="shared" si="53"/>
        <v/>
      </c>
      <c r="D333" s="963" t="str">
        <f t="shared" si="54"/>
        <v/>
      </c>
      <c r="E333" s="964" t="e">
        <f t="shared" si="48"/>
        <v>#VALUE!</v>
      </c>
      <c r="F333" s="965" t="e">
        <f t="shared" si="49"/>
        <v>#VALUE!</v>
      </c>
      <c r="G333" s="963" t="str">
        <f t="shared" si="51"/>
        <v/>
      </c>
      <c r="H333" s="963" t="str">
        <f t="shared" si="52"/>
        <v/>
      </c>
      <c r="I333" s="963" t="e">
        <f t="shared" si="50"/>
        <v>#VALUE!</v>
      </c>
      <c r="J333" s="989"/>
      <c r="K333" s="950"/>
    </row>
    <row r="334" spans="1:11">
      <c r="A334" s="925" t="str">
        <f>IF(Values_Entered,A333+1,"")</f>
        <v/>
      </c>
      <c r="B334" s="991" t="str">
        <f t="shared" si="47"/>
        <v/>
      </c>
      <c r="C334" s="963" t="str">
        <f t="shared" si="53"/>
        <v/>
      </c>
      <c r="D334" s="963" t="str">
        <f t="shared" si="54"/>
        <v/>
      </c>
      <c r="E334" s="964" t="e">
        <f t="shared" si="48"/>
        <v>#VALUE!</v>
      </c>
      <c r="F334" s="965" t="e">
        <f t="shared" si="49"/>
        <v>#VALUE!</v>
      </c>
      <c r="G334" s="963" t="str">
        <f t="shared" si="51"/>
        <v/>
      </c>
      <c r="H334" s="963" t="str">
        <f t="shared" si="52"/>
        <v/>
      </c>
      <c r="I334" s="963" t="e">
        <f t="shared" si="50"/>
        <v>#VALUE!</v>
      </c>
      <c r="J334" s="989"/>
      <c r="K334" s="950"/>
    </row>
    <row r="335" spans="1:11">
      <c r="A335" s="925" t="str">
        <f>IF(Values_Entered,A334+1,"")</f>
        <v/>
      </c>
      <c r="B335" s="991" t="str">
        <f t="shared" si="47"/>
        <v/>
      </c>
      <c r="C335" s="963" t="str">
        <f t="shared" si="53"/>
        <v/>
      </c>
      <c r="D335" s="963" t="str">
        <f t="shared" si="54"/>
        <v/>
      </c>
      <c r="E335" s="964" t="e">
        <f t="shared" si="48"/>
        <v>#VALUE!</v>
      </c>
      <c r="F335" s="965" t="e">
        <f t="shared" si="49"/>
        <v>#VALUE!</v>
      </c>
      <c r="G335" s="963" t="str">
        <f t="shared" si="51"/>
        <v/>
      </c>
      <c r="H335" s="963" t="str">
        <f t="shared" si="52"/>
        <v/>
      </c>
      <c r="I335" s="963" t="e">
        <f t="shared" si="50"/>
        <v>#VALUE!</v>
      </c>
      <c r="J335" s="989"/>
      <c r="K335" s="950"/>
    </row>
    <row r="336" spans="1:11">
      <c r="A336" s="925" t="str">
        <f>IF(Values_Entered,A335+1,"")</f>
        <v/>
      </c>
      <c r="B336" s="991" t="str">
        <f t="shared" si="47"/>
        <v/>
      </c>
      <c r="C336" s="963" t="str">
        <f t="shared" si="53"/>
        <v/>
      </c>
      <c r="D336" s="963" t="str">
        <f t="shared" si="54"/>
        <v/>
      </c>
      <c r="E336" s="964" t="e">
        <f t="shared" si="48"/>
        <v>#VALUE!</v>
      </c>
      <c r="F336" s="965" t="e">
        <f t="shared" si="49"/>
        <v>#VALUE!</v>
      </c>
      <c r="G336" s="963" t="str">
        <f t="shared" si="51"/>
        <v/>
      </c>
      <c r="H336" s="963" t="str">
        <f t="shared" si="52"/>
        <v/>
      </c>
      <c r="I336" s="963" t="e">
        <f t="shared" si="50"/>
        <v>#VALUE!</v>
      </c>
      <c r="J336" s="989"/>
      <c r="K336" s="950"/>
    </row>
    <row r="337" spans="1:11">
      <c r="A337" s="925" t="str">
        <f>IF(Values_Entered,A336+1,"")</f>
        <v/>
      </c>
      <c r="B337" s="991" t="str">
        <f t="shared" si="47"/>
        <v/>
      </c>
      <c r="C337" s="963" t="str">
        <f t="shared" si="53"/>
        <v/>
      </c>
      <c r="D337" s="963" t="str">
        <f t="shared" si="54"/>
        <v/>
      </c>
      <c r="E337" s="964" t="e">
        <f t="shared" si="48"/>
        <v>#VALUE!</v>
      </c>
      <c r="F337" s="965" t="e">
        <f t="shared" si="49"/>
        <v>#VALUE!</v>
      </c>
      <c r="G337" s="963" t="str">
        <f t="shared" si="51"/>
        <v/>
      </c>
      <c r="H337" s="963" t="str">
        <f t="shared" si="52"/>
        <v/>
      </c>
      <c r="I337" s="963" t="e">
        <f t="shared" si="50"/>
        <v>#VALUE!</v>
      </c>
      <c r="J337" s="989"/>
      <c r="K337" s="950"/>
    </row>
    <row r="338" spans="1:11">
      <c r="A338" s="925" t="str">
        <f>IF(Values_Entered,A337+1,"")</f>
        <v/>
      </c>
      <c r="B338" s="991" t="str">
        <f t="shared" si="47"/>
        <v/>
      </c>
      <c r="C338" s="963" t="str">
        <f t="shared" si="53"/>
        <v/>
      </c>
      <c r="D338" s="963" t="str">
        <f t="shared" si="54"/>
        <v/>
      </c>
      <c r="E338" s="964" t="e">
        <f t="shared" si="48"/>
        <v>#VALUE!</v>
      </c>
      <c r="F338" s="965" t="e">
        <f t="shared" si="49"/>
        <v>#VALUE!</v>
      </c>
      <c r="G338" s="963" t="str">
        <f t="shared" si="51"/>
        <v/>
      </c>
      <c r="H338" s="963" t="str">
        <f t="shared" si="52"/>
        <v/>
      </c>
      <c r="I338" s="963" t="e">
        <f t="shared" si="50"/>
        <v>#VALUE!</v>
      </c>
      <c r="J338" s="989"/>
      <c r="K338" s="950"/>
    </row>
    <row r="339" spans="1:11">
      <c r="A339" s="925" t="str">
        <f>IF(Values_Entered,A338+1,"")</f>
        <v/>
      </c>
      <c r="B339" s="991" t="str">
        <f t="shared" si="47"/>
        <v/>
      </c>
      <c r="C339" s="963" t="str">
        <f t="shared" si="53"/>
        <v/>
      </c>
      <c r="D339" s="963" t="str">
        <f t="shared" si="54"/>
        <v/>
      </c>
      <c r="E339" s="964" t="e">
        <f t="shared" si="48"/>
        <v>#VALUE!</v>
      </c>
      <c r="F339" s="965" t="e">
        <f t="shared" si="49"/>
        <v>#VALUE!</v>
      </c>
      <c r="G339" s="963" t="str">
        <f t="shared" si="51"/>
        <v/>
      </c>
      <c r="H339" s="963" t="str">
        <f t="shared" si="52"/>
        <v/>
      </c>
      <c r="I339" s="963" t="e">
        <f t="shared" si="50"/>
        <v>#VALUE!</v>
      </c>
      <c r="J339" s="989"/>
      <c r="K339" s="950"/>
    </row>
    <row r="340" spans="1:11">
      <c r="A340" s="925" t="str">
        <f>IF(Values_Entered,A339+1,"")</f>
        <v/>
      </c>
      <c r="B340" s="991" t="str">
        <f t="shared" si="47"/>
        <v/>
      </c>
      <c r="C340" s="963" t="str">
        <f t="shared" si="53"/>
        <v/>
      </c>
      <c r="D340" s="963" t="str">
        <f t="shared" si="54"/>
        <v/>
      </c>
      <c r="E340" s="964" t="e">
        <f t="shared" si="48"/>
        <v>#VALUE!</v>
      </c>
      <c r="F340" s="965" t="e">
        <f t="shared" si="49"/>
        <v>#VALUE!</v>
      </c>
      <c r="G340" s="963" t="str">
        <f t="shared" si="51"/>
        <v/>
      </c>
      <c r="H340" s="963" t="str">
        <f t="shared" si="52"/>
        <v/>
      </c>
      <c r="I340" s="963" t="e">
        <f t="shared" si="50"/>
        <v>#VALUE!</v>
      </c>
      <c r="J340" s="989"/>
      <c r="K340" s="950"/>
    </row>
    <row r="341" spans="1:11">
      <c r="A341" s="925" t="str">
        <f>IF(Values_Entered,A340+1,"")</f>
        <v/>
      </c>
      <c r="B341" s="991" t="str">
        <f t="shared" si="47"/>
        <v/>
      </c>
      <c r="C341" s="963" t="str">
        <f t="shared" si="53"/>
        <v/>
      </c>
      <c r="D341" s="963" t="str">
        <f t="shared" si="54"/>
        <v/>
      </c>
      <c r="E341" s="964" t="e">
        <f t="shared" si="48"/>
        <v>#VALUE!</v>
      </c>
      <c r="F341" s="965" t="e">
        <f t="shared" si="49"/>
        <v>#VALUE!</v>
      </c>
      <c r="G341" s="963" t="str">
        <f t="shared" si="51"/>
        <v/>
      </c>
      <c r="H341" s="963" t="str">
        <f t="shared" si="52"/>
        <v/>
      </c>
      <c r="I341" s="963" t="e">
        <f t="shared" si="50"/>
        <v>#VALUE!</v>
      </c>
      <c r="J341" s="989"/>
      <c r="K341" s="950"/>
    </row>
    <row r="342" spans="1:11">
      <c r="A342" s="925" t="str">
        <f>IF(Values_Entered,A341+1,"")</f>
        <v/>
      </c>
      <c r="B342" s="991" t="str">
        <f t="shared" si="47"/>
        <v/>
      </c>
      <c r="C342" s="963" t="str">
        <f t="shared" si="53"/>
        <v/>
      </c>
      <c r="D342" s="963" t="str">
        <f t="shared" si="54"/>
        <v/>
      </c>
      <c r="E342" s="964" t="e">
        <f t="shared" si="48"/>
        <v>#VALUE!</v>
      </c>
      <c r="F342" s="965" t="e">
        <f t="shared" si="49"/>
        <v>#VALUE!</v>
      </c>
      <c r="G342" s="963" t="str">
        <f t="shared" si="51"/>
        <v/>
      </c>
      <c r="H342" s="963" t="str">
        <f t="shared" si="52"/>
        <v/>
      </c>
      <c r="I342" s="963" t="e">
        <f t="shared" si="50"/>
        <v>#VALUE!</v>
      </c>
      <c r="J342" s="989"/>
      <c r="K342" s="950"/>
    </row>
    <row r="343" spans="1:11">
      <c r="A343" s="925" t="str">
        <f>IF(Values_Entered,A342+1,"")</f>
        <v/>
      </c>
      <c r="B343" s="991" t="str">
        <f t="shared" si="47"/>
        <v/>
      </c>
      <c r="C343" s="963" t="str">
        <f t="shared" si="53"/>
        <v/>
      </c>
      <c r="D343" s="963" t="str">
        <f t="shared" si="54"/>
        <v/>
      </c>
      <c r="E343" s="964" t="e">
        <f t="shared" si="48"/>
        <v>#VALUE!</v>
      </c>
      <c r="F343" s="965" t="e">
        <f t="shared" si="49"/>
        <v>#VALUE!</v>
      </c>
      <c r="G343" s="963" t="str">
        <f t="shared" si="51"/>
        <v/>
      </c>
      <c r="H343" s="963" t="str">
        <f t="shared" si="52"/>
        <v/>
      </c>
      <c r="I343" s="963" t="e">
        <f t="shared" si="50"/>
        <v>#VALUE!</v>
      </c>
      <c r="J343" s="989"/>
      <c r="K343" s="950"/>
    </row>
    <row r="344" spans="1:11">
      <c r="A344" s="925" t="str">
        <f>IF(Values_Entered,A343+1,"")</f>
        <v/>
      </c>
      <c r="B344" s="991" t="str">
        <f t="shared" si="47"/>
        <v/>
      </c>
      <c r="C344" s="963" t="str">
        <f t="shared" si="53"/>
        <v/>
      </c>
      <c r="D344" s="963" t="str">
        <f t="shared" si="54"/>
        <v/>
      </c>
      <c r="E344" s="964" t="e">
        <f t="shared" si="48"/>
        <v>#VALUE!</v>
      </c>
      <c r="F344" s="965" t="e">
        <f t="shared" si="49"/>
        <v>#VALUE!</v>
      </c>
      <c r="G344" s="963" t="str">
        <f t="shared" si="51"/>
        <v/>
      </c>
      <c r="H344" s="963" t="str">
        <f t="shared" si="52"/>
        <v/>
      </c>
      <c r="I344" s="963" t="e">
        <f t="shared" si="50"/>
        <v>#VALUE!</v>
      </c>
      <c r="J344" s="989"/>
      <c r="K344" s="950"/>
    </row>
    <row r="345" spans="1:11">
      <c r="A345" s="925" t="str">
        <f>IF(Values_Entered,A344+1,"")</f>
        <v/>
      </c>
      <c r="B345" s="991" t="str">
        <f t="shared" ref="B345:B384" si="55">IF(Pay_Num&lt;&gt;"",DATE(YEAR(Loan_Start),MONTH(Loan_Start)+(Pay_Num)*12/Num_Pmt_Per_Year,DAY(Loan_Start)),"")</f>
        <v/>
      </c>
      <c r="C345" s="963" t="str">
        <f t="shared" si="53"/>
        <v/>
      </c>
      <c r="D345" s="963" t="str">
        <f t="shared" si="54"/>
        <v/>
      </c>
      <c r="E345" s="964" t="e">
        <f t="shared" ref="E345:E384" si="56">IF(AND(Pay_Num&lt;&gt;"",Sched_Pay+Scheduled_Extra_Payments&lt;Beg_Bal),Scheduled_Extra_Payments,IF(AND(Pay_Num&lt;&gt;"",Beg_Bal-Sched_Pay&gt;0),Beg_Bal-Sched_Pay,IF(Pay_Num&lt;&gt;"",0,"")))</f>
        <v>#VALUE!</v>
      </c>
      <c r="F345" s="965" t="e">
        <f t="shared" ref="F345:F384" si="57">IF(AND(Pay_Num&lt;&gt;"",Sched_Pay+Extra_Pay&lt;Beg_Bal),Sched_Pay+Extra_Pay,IF(Pay_Num&lt;&gt;"",Beg_Bal,""))</f>
        <v>#VALUE!</v>
      </c>
      <c r="G345" s="963" t="str">
        <f t="shared" si="51"/>
        <v/>
      </c>
      <c r="H345" s="963" t="str">
        <f t="shared" si="52"/>
        <v/>
      </c>
      <c r="I345" s="963" t="e">
        <f t="shared" ref="I345:I384" si="58">IF(AND(Pay_Num&lt;&gt;"",Sched_Pay+Extra_Pay&lt;Beg_Bal),Beg_Bal-Princ,IF(Pay_Num&lt;&gt;"",0,""))</f>
        <v>#VALUE!</v>
      </c>
      <c r="J345" s="989"/>
      <c r="K345" s="950"/>
    </row>
    <row r="346" spans="1:11">
      <c r="A346" s="925" t="str">
        <f>IF(Values_Entered,A345+1,"")</f>
        <v/>
      </c>
      <c r="B346" s="991" t="str">
        <f t="shared" si="55"/>
        <v/>
      </c>
      <c r="C346" s="963" t="str">
        <f t="shared" si="53"/>
        <v/>
      </c>
      <c r="D346" s="963" t="str">
        <f t="shared" si="54"/>
        <v/>
      </c>
      <c r="E346" s="964" t="e">
        <f t="shared" si="56"/>
        <v>#VALUE!</v>
      </c>
      <c r="F346" s="965" t="e">
        <f t="shared" si="57"/>
        <v>#VALUE!</v>
      </c>
      <c r="G346" s="963" t="str">
        <f t="shared" ref="G346:G384" si="59">IF(Pay_Num&lt;&gt;"",Total_Pay-Int,"")</f>
        <v/>
      </c>
      <c r="H346" s="963" t="str">
        <f t="shared" ref="H346:H384" si="60">IF(Pay_Num&lt;&gt;"",Beg_Bal*Interest_Rate/Num_Pmt_Per_Year,"")</f>
        <v/>
      </c>
      <c r="I346" s="963" t="e">
        <f t="shared" si="58"/>
        <v>#VALUE!</v>
      </c>
      <c r="J346" s="989"/>
      <c r="K346" s="950"/>
    </row>
    <row r="347" spans="1:11">
      <c r="A347" s="925" t="str">
        <f>IF(Values_Entered,A346+1,"")</f>
        <v/>
      </c>
      <c r="B347" s="991" t="str">
        <f t="shared" si="55"/>
        <v/>
      </c>
      <c r="C347" s="963" t="str">
        <f t="shared" ref="C347:C384" si="61">IF(Pay_Num&lt;&gt;"",I346,"")</f>
        <v/>
      </c>
      <c r="D347" s="963" t="str">
        <f t="shared" ref="D347:D384" si="62">IF(Pay_Num&lt;&gt;"",Scheduled_Monthly_Payment,"")</f>
        <v/>
      </c>
      <c r="E347" s="964" t="e">
        <f t="shared" si="56"/>
        <v>#VALUE!</v>
      </c>
      <c r="F347" s="965" t="e">
        <f t="shared" si="57"/>
        <v>#VALUE!</v>
      </c>
      <c r="G347" s="963" t="str">
        <f t="shared" si="59"/>
        <v/>
      </c>
      <c r="H347" s="963" t="str">
        <f t="shared" si="60"/>
        <v/>
      </c>
      <c r="I347" s="963" t="e">
        <f t="shared" si="58"/>
        <v>#VALUE!</v>
      </c>
      <c r="J347" s="989"/>
      <c r="K347" s="950"/>
    </row>
    <row r="348" spans="1:11">
      <c r="A348" s="925" t="str">
        <f>IF(Values_Entered,A347+1,"")</f>
        <v/>
      </c>
      <c r="B348" s="991" t="str">
        <f t="shared" si="55"/>
        <v/>
      </c>
      <c r="C348" s="963" t="str">
        <f t="shared" si="61"/>
        <v/>
      </c>
      <c r="D348" s="963" t="str">
        <f t="shared" si="62"/>
        <v/>
      </c>
      <c r="E348" s="964" t="e">
        <f t="shared" si="56"/>
        <v>#VALUE!</v>
      </c>
      <c r="F348" s="965" t="e">
        <f t="shared" si="57"/>
        <v>#VALUE!</v>
      </c>
      <c r="G348" s="963" t="str">
        <f t="shared" si="59"/>
        <v/>
      </c>
      <c r="H348" s="963" t="str">
        <f t="shared" si="60"/>
        <v/>
      </c>
      <c r="I348" s="963" t="e">
        <f t="shared" si="58"/>
        <v>#VALUE!</v>
      </c>
      <c r="J348" s="989"/>
      <c r="K348" s="950"/>
    </row>
    <row r="349" spans="1:11">
      <c r="A349" s="925" t="str">
        <f>IF(Values_Entered,A348+1,"")</f>
        <v/>
      </c>
      <c r="B349" s="991" t="str">
        <f t="shared" si="55"/>
        <v/>
      </c>
      <c r="C349" s="963" t="str">
        <f t="shared" si="61"/>
        <v/>
      </c>
      <c r="D349" s="963" t="str">
        <f t="shared" si="62"/>
        <v/>
      </c>
      <c r="E349" s="964" t="e">
        <f t="shared" si="56"/>
        <v>#VALUE!</v>
      </c>
      <c r="F349" s="965" t="e">
        <f t="shared" si="57"/>
        <v>#VALUE!</v>
      </c>
      <c r="G349" s="963" t="str">
        <f t="shared" si="59"/>
        <v/>
      </c>
      <c r="H349" s="963" t="str">
        <f t="shared" si="60"/>
        <v/>
      </c>
      <c r="I349" s="963" t="e">
        <f t="shared" si="58"/>
        <v>#VALUE!</v>
      </c>
      <c r="J349" s="989"/>
      <c r="K349" s="950"/>
    </row>
    <row r="350" spans="1:11">
      <c r="A350" s="925" t="str">
        <f>IF(Values_Entered,A349+1,"")</f>
        <v/>
      </c>
      <c r="B350" s="991" t="str">
        <f t="shared" si="55"/>
        <v/>
      </c>
      <c r="C350" s="963" t="str">
        <f t="shared" si="61"/>
        <v/>
      </c>
      <c r="D350" s="963" t="str">
        <f t="shared" si="62"/>
        <v/>
      </c>
      <c r="E350" s="964" t="e">
        <f t="shared" si="56"/>
        <v>#VALUE!</v>
      </c>
      <c r="F350" s="965" t="e">
        <f t="shared" si="57"/>
        <v>#VALUE!</v>
      </c>
      <c r="G350" s="963" t="str">
        <f t="shared" si="59"/>
        <v/>
      </c>
      <c r="H350" s="963" t="str">
        <f t="shared" si="60"/>
        <v/>
      </c>
      <c r="I350" s="963" t="e">
        <f t="shared" si="58"/>
        <v>#VALUE!</v>
      </c>
      <c r="J350" s="989"/>
      <c r="K350" s="950"/>
    </row>
    <row r="351" spans="1:11">
      <c r="A351" s="925" t="str">
        <f>IF(Values_Entered,A350+1,"")</f>
        <v/>
      </c>
      <c r="B351" s="991" t="str">
        <f t="shared" si="55"/>
        <v/>
      </c>
      <c r="C351" s="963" t="str">
        <f t="shared" si="61"/>
        <v/>
      </c>
      <c r="D351" s="963" t="str">
        <f t="shared" si="62"/>
        <v/>
      </c>
      <c r="E351" s="964" t="e">
        <f t="shared" si="56"/>
        <v>#VALUE!</v>
      </c>
      <c r="F351" s="965" t="e">
        <f t="shared" si="57"/>
        <v>#VALUE!</v>
      </c>
      <c r="G351" s="963" t="str">
        <f t="shared" si="59"/>
        <v/>
      </c>
      <c r="H351" s="963" t="str">
        <f t="shared" si="60"/>
        <v/>
      </c>
      <c r="I351" s="963" t="e">
        <f t="shared" si="58"/>
        <v>#VALUE!</v>
      </c>
      <c r="J351" s="989"/>
      <c r="K351" s="950"/>
    </row>
    <row r="352" spans="1:11">
      <c r="A352" s="925" t="str">
        <f>IF(Values_Entered,A351+1,"")</f>
        <v/>
      </c>
      <c r="B352" s="991" t="str">
        <f t="shared" si="55"/>
        <v/>
      </c>
      <c r="C352" s="963" t="str">
        <f t="shared" si="61"/>
        <v/>
      </c>
      <c r="D352" s="963" t="str">
        <f t="shared" si="62"/>
        <v/>
      </c>
      <c r="E352" s="964" t="e">
        <f t="shared" si="56"/>
        <v>#VALUE!</v>
      </c>
      <c r="F352" s="965" t="e">
        <f t="shared" si="57"/>
        <v>#VALUE!</v>
      </c>
      <c r="G352" s="963" t="str">
        <f t="shared" si="59"/>
        <v/>
      </c>
      <c r="H352" s="963" t="str">
        <f t="shared" si="60"/>
        <v/>
      </c>
      <c r="I352" s="963" t="e">
        <f t="shared" si="58"/>
        <v>#VALUE!</v>
      </c>
      <c r="J352" s="989"/>
      <c r="K352" s="950"/>
    </row>
    <row r="353" spans="1:11">
      <c r="A353" s="925" t="str">
        <f>IF(Values_Entered,A352+1,"")</f>
        <v/>
      </c>
      <c r="B353" s="991" t="str">
        <f t="shared" si="55"/>
        <v/>
      </c>
      <c r="C353" s="963" t="str">
        <f t="shared" si="61"/>
        <v/>
      </c>
      <c r="D353" s="963" t="str">
        <f t="shared" si="62"/>
        <v/>
      </c>
      <c r="E353" s="964" t="e">
        <f t="shared" si="56"/>
        <v>#VALUE!</v>
      </c>
      <c r="F353" s="965" t="e">
        <f t="shared" si="57"/>
        <v>#VALUE!</v>
      </c>
      <c r="G353" s="963" t="str">
        <f t="shared" si="59"/>
        <v/>
      </c>
      <c r="H353" s="963" t="str">
        <f t="shared" si="60"/>
        <v/>
      </c>
      <c r="I353" s="963" t="e">
        <f t="shared" si="58"/>
        <v>#VALUE!</v>
      </c>
      <c r="J353" s="989"/>
      <c r="K353" s="950"/>
    </row>
    <row r="354" spans="1:11">
      <c r="A354" s="925" t="str">
        <f>IF(Values_Entered,A353+1,"")</f>
        <v/>
      </c>
      <c r="B354" s="991" t="str">
        <f t="shared" si="55"/>
        <v/>
      </c>
      <c r="C354" s="963" t="str">
        <f t="shared" si="61"/>
        <v/>
      </c>
      <c r="D354" s="963" t="str">
        <f t="shared" si="62"/>
        <v/>
      </c>
      <c r="E354" s="964" t="e">
        <f t="shared" si="56"/>
        <v>#VALUE!</v>
      </c>
      <c r="F354" s="965" t="e">
        <f t="shared" si="57"/>
        <v>#VALUE!</v>
      </c>
      <c r="G354" s="963" t="str">
        <f t="shared" si="59"/>
        <v/>
      </c>
      <c r="H354" s="963" t="str">
        <f t="shared" si="60"/>
        <v/>
      </c>
      <c r="I354" s="963" t="e">
        <f t="shared" si="58"/>
        <v>#VALUE!</v>
      </c>
      <c r="J354" s="989"/>
      <c r="K354" s="950"/>
    </row>
    <row r="355" spans="1:11">
      <c r="A355" s="925" t="str">
        <f>IF(Values_Entered,A354+1,"")</f>
        <v/>
      </c>
      <c r="B355" s="991" t="str">
        <f t="shared" si="55"/>
        <v/>
      </c>
      <c r="C355" s="963" t="str">
        <f t="shared" si="61"/>
        <v/>
      </c>
      <c r="D355" s="963" t="str">
        <f t="shared" si="62"/>
        <v/>
      </c>
      <c r="E355" s="964" t="e">
        <f t="shared" si="56"/>
        <v>#VALUE!</v>
      </c>
      <c r="F355" s="965" t="e">
        <f t="shared" si="57"/>
        <v>#VALUE!</v>
      </c>
      <c r="G355" s="963" t="str">
        <f t="shared" si="59"/>
        <v/>
      </c>
      <c r="H355" s="963" t="str">
        <f t="shared" si="60"/>
        <v/>
      </c>
      <c r="I355" s="963" t="e">
        <f t="shared" si="58"/>
        <v>#VALUE!</v>
      </c>
      <c r="J355" s="989"/>
      <c r="K355" s="950"/>
    </row>
    <row r="356" spans="1:11">
      <c r="A356" s="925" t="str">
        <f>IF(Values_Entered,A355+1,"")</f>
        <v/>
      </c>
      <c r="B356" s="991" t="str">
        <f t="shared" si="55"/>
        <v/>
      </c>
      <c r="C356" s="963" t="str">
        <f t="shared" si="61"/>
        <v/>
      </c>
      <c r="D356" s="963" t="str">
        <f t="shared" si="62"/>
        <v/>
      </c>
      <c r="E356" s="964" t="e">
        <f t="shared" si="56"/>
        <v>#VALUE!</v>
      </c>
      <c r="F356" s="965" t="e">
        <f t="shared" si="57"/>
        <v>#VALUE!</v>
      </c>
      <c r="G356" s="963" t="str">
        <f t="shared" si="59"/>
        <v/>
      </c>
      <c r="H356" s="963" t="str">
        <f t="shared" si="60"/>
        <v/>
      </c>
      <c r="I356" s="963" t="e">
        <f t="shared" si="58"/>
        <v>#VALUE!</v>
      </c>
      <c r="J356" s="989"/>
      <c r="K356" s="950"/>
    </row>
    <row r="357" spans="1:11">
      <c r="A357" s="925" t="str">
        <f>IF(Values_Entered,A356+1,"")</f>
        <v/>
      </c>
      <c r="B357" s="991" t="str">
        <f t="shared" si="55"/>
        <v/>
      </c>
      <c r="C357" s="963" t="str">
        <f t="shared" si="61"/>
        <v/>
      </c>
      <c r="D357" s="963" t="str">
        <f t="shared" si="62"/>
        <v/>
      </c>
      <c r="E357" s="964" t="e">
        <f t="shared" si="56"/>
        <v>#VALUE!</v>
      </c>
      <c r="F357" s="965" t="e">
        <f t="shared" si="57"/>
        <v>#VALUE!</v>
      </c>
      <c r="G357" s="963" t="str">
        <f t="shared" si="59"/>
        <v/>
      </c>
      <c r="H357" s="963" t="str">
        <f t="shared" si="60"/>
        <v/>
      </c>
      <c r="I357" s="963" t="e">
        <f t="shared" si="58"/>
        <v>#VALUE!</v>
      </c>
      <c r="J357" s="989"/>
      <c r="K357" s="950"/>
    </row>
    <row r="358" spans="1:11">
      <c r="A358" s="925" t="str">
        <f>IF(Values_Entered,A357+1,"")</f>
        <v/>
      </c>
      <c r="B358" s="991" t="str">
        <f t="shared" si="55"/>
        <v/>
      </c>
      <c r="C358" s="963" t="str">
        <f t="shared" si="61"/>
        <v/>
      </c>
      <c r="D358" s="963" t="str">
        <f t="shared" si="62"/>
        <v/>
      </c>
      <c r="E358" s="964" t="e">
        <f t="shared" si="56"/>
        <v>#VALUE!</v>
      </c>
      <c r="F358" s="965" t="e">
        <f t="shared" si="57"/>
        <v>#VALUE!</v>
      </c>
      <c r="G358" s="963" t="str">
        <f t="shared" si="59"/>
        <v/>
      </c>
      <c r="H358" s="963" t="str">
        <f t="shared" si="60"/>
        <v/>
      </c>
      <c r="I358" s="963" t="e">
        <f t="shared" si="58"/>
        <v>#VALUE!</v>
      </c>
      <c r="J358" s="989"/>
      <c r="K358" s="950"/>
    </row>
    <row r="359" spans="1:11">
      <c r="A359" s="925" t="str">
        <f>IF(Values_Entered,A358+1,"")</f>
        <v/>
      </c>
      <c r="B359" s="991" t="str">
        <f t="shared" si="55"/>
        <v/>
      </c>
      <c r="C359" s="963" t="str">
        <f t="shared" si="61"/>
        <v/>
      </c>
      <c r="D359" s="963" t="str">
        <f t="shared" si="62"/>
        <v/>
      </c>
      <c r="E359" s="964" t="e">
        <f t="shared" si="56"/>
        <v>#VALUE!</v>
      </c>
      <c r="F359" s="965" t="e">
        <f t="shared" si="57"/>
        <v>#VALUE!</v>
      </c>
      <c r="G359" s="963" t="str">
        <f t="shared" si="59"/>
        <v/>
      </c>
      <c r="H359" s="963" t="str">
        <f t="shared" si="60"/>
        <v/>
      </c>
      <c r="I359" s="963" t="e">
        <f t="shared" si="58"/>
        <v>#VALUE!</v>
      </c>
      <c r="J359" s="989"/>
      <c r="K359" s="950"/>
    </row>
    <row r="360" spans="1:11">
      <c r="A360" s="925" t="str">
        <f>IF(Values_Entered,A359+1,"")</f>
        <v/>
      </c>
      <c r="B360" s="991" t="str">
        <f t="shared" si="55"/>
        <v/>
      </c>
      <c r="C360" s="963" t="str">
        <f t="shared" si="61"/>
        <v/>
      </c>
      <c r="D360" s="963" t="str">
        <f t="shared" si="62"/>
        <v/>
      </c>
      <c r="E360" s="964" t="e">
        <f t="shared" si="56"/>
        <v>#VALUE!</v>
      </c>
      <c r="F360" s="965" t="e">
        <f t="shared" si="57"/>
        <v>#VALUE!</v>
      </c>
      <c r="G360" s="963" t="str">
        <f t="shared" si="59"/>
        <v/>
      </c>
      <c r="H360" s="963" t="str">
        <f t="shared" si="60"/>
        <v/>
      </c>
      <c r="I360" s="963" t="e">
        <f t="shared" si="58"/>
        <v>#VALUE!</v>
      </c>
      <c r="J360" s="989"/>
      <c r="K360" s="950"/>
    </row>
    <row r="361" spans="1:11">
      <c r="A361" s="925" t="str">
        <f>IF(Values_Entered,A360+1,"")</f>
        <v/>
      </c>
      <c r="B361" s="991" t="str">
        <f t="shared" si="55"/>
        <v/>
      </c>
      <c r="C361" s="963" t="str">
        <f t="shared" si="61"/>
        <v/>
      </c>
      <c r="D361" s="963" t="str">
        <f t="shared" si="62"/>
        <v/>
      </c>
      <c r="E361" s="964" t="e">
        <f t="shared" si="56"/>
        <v>#VALUE!</v>
      </c>
      <c r="F361" s="965" t="e">
        <f t="shared" si="57"/>
        <v>#VALUE!</v>
      </c>
      <c r="G361" s="963" t="str">
        <f t="shared" si="59"/>
        <v/>
      </c>
      <c r="H361" s="963" t="str">
        <f t="shared" si="60"/>
        <v/>
      </c>
      <c r="I361" s="963" t="e">
        <f t="shared" si="58"/>
        <v>#VALUE!</v>
      </c>
      <c r="J361" s="989"/>
      <c r="K361" s="950"/>
    </row>
    <row r="362" spans="1:11">
      <c r="A362" s="925" t="str">
        <f>IF(Values_Entered,A361+1,"")</f>
        <v/>
      </c>
      <c r="B362" s="991" t="str">
        <f t="shared" si="55"/>
        <v/>
      </c>
      <c r="C362" s="963" t="str">
        <f t="shared" si="61"/>
        <v/>
      </c>
      <c r="D362" s="963" t="str">
        <f t="shared" si="62"/>
        <v/>
      </c>
      <c r="E362" s="964" t="e">
        <f t="shared" si="56"/>
        <v>#VALUE!</v>
      </c>
      <c r="F362" s="965" t="e">
        <f t="shared" si="57"/>
        <v>#VALUE!</v>
      </c>
      <c r="G362" s="963" t="str">
        <f t="shared" si="59"/>
        <v/>
      </c>
      <c r="H362" s="963" t="str">
        <f t="shared" si="60"/>
        <v/>
      </c>
      <c r="I362" s="963" t="e">
        <f t="shared" si="58"/>
        <v>#VALUE!</v>
      </c>
      <c r="J362" s="989"/>
      <c r="K362" s="950"/>
    </row>
    <row r="363" spans="1:11">
      <c r="A363" s="925" t="str">
        <f>IF(Values_Entered,A362+1,"")</f>
        <v/>
      </c>
      <c r="B363" s="991" t="str">
        <f t="shared" si="55"/>
        <v/>
      </c>
      <c r="C363" s="963" t="str">
        <f t="shared" si="61"/>
        <v/>
      </c>
      <c r="D363" s="963" t="str">
        <f t="shared" si="62"/>
        <v/>
      </c>
      <c r="E363" s="964" t="e">
        <f t="shared" si="56"/>
        <v>#VALUE!</v>
      </c>
      <c r="F363" s="965" t="e">
        <f t="shared" si="57"/>
        <v>#VALUE!</v>
      </c>
      <c r="G363" s="963" t="str">
        <f t="shared" si="59"/>
        <v/>
      </c>
      <c r="H363" s="963" t="str">
        <f t="shared" si="60"/>
        <v/>
      </c>
      <c r="I363" s="963" t="e">
        <f t="shared" si="58"/>
        <v>#VALUE!</v>
      </c>
      <c r="J363" s="989"/>
      <c r="K363" s="950"/>
    </row>
    <row r="364" spans="1:11">
      <c r="A364" s="925" t="str">
        <f>IF(Values_Entered,A363+1,"")</f>
        <v/>
      </c>
      <c r="B364" s="991" t="str">
        <f t="shared" si="55"/>
        <v/>
      </c>
      <c r="C364" s="963" t="str">
        <f t="shared" si="61"/>
        <v/>
      </c>
      <c r="D364" s="963" t="str">
        <f t="shared" si="62"/>
        <v/>
      </c>
      <c r="E364" s="964" t="e">
        <f t="shared" si="56"/>
        <v>#VALUE!</v>
      </c>
      <c r="F364" s="965" t="e">
        <f t="shared" si="57"/>
        <v>#VALUE!</v>
      </c>
      <c r="G364" s="963" t="str">
        <f t="shared" si="59"/>
        <v/>
      </c>
      <c r="H364" s="963" t="str">
        <f t="shared" si="60"/>
        <v/>
      </c>
      <c r="I364" s="963" t="e">
        <f t="shared" si="58"/>
        <v>#VALUE!</v>
      </c>
      <c r="J364" s="989"/>
      <c r="K364" s="950"/>
    </row>
    <row r="365" spans="1:11">
      <c r="A365" s="925" t="str">
        <f>IF(Values_Entered,A364+1,"")</f>
        <v/>
      </c>
      <c r="B365" s="991" t="str">
        <f t="shared" si="55"/>
        <v/>
      </c>
      <c r="C365" s="963" t="str">
        <f t="shared" si="61"/>
        <v/>
      </c>
      <c r="D365" s="963" t="str">
        <f t="shared" si="62"/>
        <v/>
      </c>
      <c r="E365" s="964" t="e">
        <f t="shared" si="56"/>
        <v>#VALUE!</v>
      </c>
      <c r="F365" s="965" t="e">
        <f t="shared" si="57"/>
        <v>#VALUE!</v>
      </c>
      <c r="G365" s="963" t="str">
        <f t="shared" si="59"/>
        <v/>
      </c>
      <c r="H365" s="963" t="str">
        <f t="shared" si="60"/>
        <v/>
      </c>
      <c r="I365" s="963" t="e">
        <f t="shared" si="58"/>
        <v>#VALUE!</v>
      </c>
      <c r="J365" s="989"/>
      <c r="K365" s="950"/>
    </row>
    <row r="366" spans="1:11">
      <c r="A366" s="925" t="str">
        <f>IF(Values_Entered,A365+1,"")</f>
        <v/>
      </c>
      <c r="B366" s="991" t="str">
        <f t="shared" si="55"/>
        <v/>
      </c>
      <c r="C366" s="963" t="str">
        <f t="shared" si="61"/>
        <v/>
      </c>
      <c r="D366" s="963" t="str">
        <f t="shared" si="62"/>
        <v/>
      </c>
      <c r="E366" s="964" t="e">
        <f t="shared" si="56"/>
        <v>#VALUE!</v>
      </c>
      <c r="F366" s="965" t="e">
        <f t="shared" si="57"/>
        <v>#VALUE!</v>
      </c>
      <c r="G366" s="963" t="str">
        <f t="shared" si="59"/>
        <v/>
      </c>
      <c r="H366" s="963" t="str">
        <f t="shared" si="60"/>
        <v/>
      </c>
      <c r="I366" s="963" t="e">
        <f t="shared" si="58"/>
        <v>#VALUE!</v>
      </c>
      <c r="J366" s="989"/>
      <c r="K366" s="950"/>
    </row>
    <row r="367" spans="1:11">
      <c r="A367" s="925" t="str">
        <f>IF(Values_Entered,A366+1,"")</f>
        <v/>
      </c>
      <c r="B367" s="991" t="str">
        <f t="shared" si="55"/>
        <v/>
      </c>
      <c r="C367" s="963" t="str">
        <f t="shared" si="61"/>
        <v/>
      </c>
      <c r="D367" s="963" t="str">
        <f t="shared" si="62"/>
        <v/>
      </c>
      <c r="E367" s="964" t="e">
        <f t="shared" si="56"/>
        <v>#VALUE!</v>
      </c>
      <c r="F367" s="965" t="e">
        <f t="shared" si="57"/>
        <v>#VALUE!</v>
      </c>
      <c r="G367" s="963" t="str">
        <f t="shared" si="59"/>
        <v/>
      </c>
      <c r="H367" s="963" t="str">
        <f t="shared" si="60"/>
        <v/>
      </c>
      <c r="I367" s="963" t="e">
        <f t="shared" si="58"/>
        <v>#VALUE!</v>
      </c>
      <c r="J367" s="989"/>
      <c r="K367" s="950"/>
    </row>
    <row r="368" spans="1:11">
      <c r="A368" s="925" t="str">
        <f>IF(Values_Entered,A367+1,"")</f>
        <v/>
      </c>
      <c r="B368" s="991" t="str">
        <f t="shared" si="55"/>
        <v/>
      </c>
      <c r="C368" s="963" t="str">
        <f t="shared" si="61"/>
        <v/>
      </c>
      <c r="D368" s="963" t="str">
        <f t="shared" si="62"/>
        <v/>
      </c>
      <c r="E368" s="964" t="e">
        <f t="shared" si="56"/>
        <v>#VALUE!</v>
      </c>
      <c r="F368" s="965" t="e">
        <f t="shared" si="57"/>
        <v>#VALUE!</v>
      </c>
      <c r="G368" s="963" t="str">
        <f t="shared" si="59"/>
        <v/>
      </c>
      <c r="H368" s="963" t="str">
        <f t="shared" si="60"/>
        <v/>
      </c>
      <c r="I368" s="963" t="e">
        <f t="shared" si="58"/>
        <v>#VALUE!</v>
      </c>
      <c r="J368" s="989"/>
      <c r="K368" s="950"/>
    </row>
    <row r="369" spans="1:11">
      <c r="A369" s="925" t="str">
        <f>IF(Values_Entered,A368+1,"")</f>
        <v/>
      </c>
      <c r="B369" s="991" t="str">
        <f t="shared" si="55"/>
        <v/>
      </c>
      <c r="C369" s="963" t="str">
        <f t="shared" si="61"/>
        <v/>
      </c>
      <c r="D369" s="963" t="str">
        <f t="shared" si="62"/>
        <v/>
      </c>
      <c r="E369" s="964" t="e">
        <f t="shared" si="56"/>
        <v>#VALUE!</v>
      </c>
      <c r="F369" s="965" t="e">
        <f t="shared" si="57"/>
        <v>#VALUE!</v>
      </c>
      <c r="G369" s="963" t="str">
        <f t="shared" si="59"/>
        <v/>
      </c>
      <c r="H369" s="963" t="str">
        <f t="shared" si="60"/>
        <v/>
      </c>
      <c r="I369" s="963" t="e">
        <f t="shared" si="58"/>
        <v>#VALUE!</v>
      </c>
      <c r="J369" s="989"/>
      <c r="K369" s="950"/>
    </row>
    <row r="370" spans="1:11">
      <c r="A370" s="925" t="str">
        <f>IF(Values_Entered,A369+1,"")</f>
        <v/>
      </c>
      <c r="B370" s="991" t="str">
        <f t="shared" si="55"/>
        <v/>
      </c>
      <c r="C370" s="963" t="str">
        <f t="shared" si="61"/>
        <v/>
      </c>
      <c r="D370" s="963" t="str">
        <f t="shared" si="62"/>
        <v/>
      </c>
      <c r="E370" s="964" t="e">
        <f t="shared" si="56"/>
        <v>#VALUE!</v>
      </c>
      <c r="F370" s="965" t="e">
        <f t="shared" si="57"/>
        <v>#VALUE!</v>
      </c>
      <c r="G370" s="963" t="str">
        <f t="shared" si="59"/>
        <v/>
      </c>
      <c r="H370" s="963" t="str">
        <f t="shared" si="60"/>
        <v/>
      </c>
      <c r="I370" s="963" t="e">
        <f t="shared" si="58"/>
        <v>#VALUE!</v>
      </c>
      <c r="J370" s="989"/>
      <c r="K370" s="950"/>
    </row>
    <row r="371" spans="1:11">
      <c r="A371" s="925" t="str">
        <f>IF(Values_Entered,A370+1,"")</f>
        <v/>
      </c>
      <c r="B371" s="991" t="str">
        <f t="shared" si="55"/>
        <v/>
      </c>
      <c r="C371" s="963" t="str">
        <f t="shared" si="61"/>
        <v/>
      </c>
      <c r="D371" s="963" t="str">
        <f t="shared" si="62"/>
        <v/>
      </c>
      <c r="E371" s="964" t="e">
        <f t="shared" si="56"/>
        <v>#VALUE!</v>
      </c>
      <c r="F371" s="965" t="e">
        <f t="shared" si="57"/>
        <v>#VALUE!</v>
      </c>
      <c r="G371" s="963" t="str">
        <f t="shared" si="59"/>
        <v/>
      </c>
      <c r="H371" s="963" t="str">
        <f t="shared" si="60"/>
        <v/>
      </c>
      <c r="I371" s="963" t="e">
        <f t="shared" si="58"/>
        <v>#VALUE!</v>
      </c>
      <c r="J371" s="989"/>
      <c r="K371" s="950"/>
    </row>
    <row r="372" spans="1:11">
      <c r="A372" s="925" t="str">
        <f>IF(Values_Entered,A371+1,"")</f>
        <v/>
      </c>
      <c r="B372" s="991" t="str">
        <f t="shared" si="55"/>
        <v/>
      </c>
      <c r="C372" s="963" t="str">
        <f t="shared" si="61"/>
        <v/>
      </c>
      <c r="D372" s="963" t="str">
        <f t="shared" si="62"/>
        <v/>
      </c>
      <c r="E372" s="964" t="e">
        <f t="shared" si="56"/>
        <v>#VALUE!</v>
      </c>
      <c r="F372" s="965" t="e">
        <f t="shared" si="57"/>
        <v>#VALUE!</v>
      </c>
      <c r="G372" s="963" t="str">
        <f t="shared" si="59"/>
        <v/>
      </c>
      <c r="H372" s="963" t="str">
        <f t="shared" si="60"/>
        <v/>
      </c>
      <c r="I372" s="963" t="e">
        <f t="shared" si="58"/>
        <v>#VALUE!</v>
      </c>
      <c r="J372" s="989"/>
      <c r="K372" s="950"/>
    </row>
    <row r="373" spans="1:11">
      <c r="A373" s="925" t="str">
        <f>IF(Values_Entered,A372+1,"")</f>
        <v/>
      </c>
      <c r="B373" s="991" t="str">
        <f t="shared" si="55"/>
        <v/>
      </c>
      <c r="C373" s="963" t="str">
        <f t="shared" si="61"/>
        <v/>
      </c>
      <c r="D373" s="963" t="str">
        <f t="shared" si="62"/>
        <v/>
      </c>
      <c r="E373" s="964" t="e">
        <f t="shared" si="56"/>
        <v>#VALUE!</v>
      </c>
      <c r="F373" s="965" t="e">
        <f t="shared" si="57"/>
        <v>#VALUE!</v>
      </c>
      <c r="G373" s="963" t="str">
        <f t="shared" si="59"/>
        <v/>
      </c>
      <c r="H373" s="963" t="str">
        <f t="shared" si="60"/>
        <v/>
      </c>
      <c r="I373" s="963" t="e">
        <f t="shared" si="58"/>
        <v>#VALUE!</v>
      </c>
      <c r="J373" s="989"/>
      <c r="K373" s="950"/>
    </row>
    <row r="374" spans="1:11">
      <c r="A374" s="925" t="str">
        <f>IF(Values_Entered,A373+1,"")</f>
        <v/>
      </c>
      <c r="B374" s="991" t="str">
        <f t="shared" si="55"/>
        <v/>
      </c>
      <c r="C374" s="963" t="str">
        <f t="shared" si="61"/>
        <v/>
      </c>
      <c r="D374" s="963" t="str">
        <f t="shared" si="62"/>
        <v/>
      </c>
      <c r="E374" s="964" t="e">
        <f t="shared" si="56"/>
        <v>#VALUE!</v>
      </c>
      <c r="F374" s="965" t="e">
        <f t="shared" si="57"/>
        <v>#VALUE!</v>
      </c>
      <c r="G374" s="963" t="str">
        <f t="shared" si="59"/>
        <v/>
      </c>
      <c r="H374" s="963" t="str">
        <f t="shared" si="60"/>
        <v/>
      </c>
      <c r="I374" s="963" t="e">
        <f t="shared" si="58"/>
        <v>#VALUE!</v>
      </c>
      <c r="J374" s="989"/>
      <c r="K374" s="950"/>
    </row>
    <row r="375" spans="1:11">
      <c r="A375" s="925" t="str">
        <f>IF(Values_Entered,A374+1,"")</f>
        <v/>
      </c>
      <c r="B375" s="991" t="str">
        <f t="shared" si="55"/>
        <v/>
      </c>
      <c r="C375" s="963" t="str">
        <f t="shared" si="61"/>
        <v/>
      </c>
      <c r="D375" s="963" t="str">
        <f t="shared" si="62"/>
        <v/>
      </c>
      <c r="E375" s="964" t="e">
        <f t="shared" si="56"/>
        <v>#VALUE!</v>
      </c>
      <c r="F375" s="965" t="e">
        <f t="shared" si="57"/>
        <v>#VALUE!</v>
      </c>
      <c r="G375" s="963" t="str">
        <f t="shared" si="59"/>
        <v/>
      </c>
      <c r="H375" s="963" t="str">
        <f t="shared" si="60"/>
        <v/>
      </c>
      <c r="I375" s="963" t="e">
        <f t="shared" si="58"/>
        <v>#VALUE!</v>
      </c>
      <c r="J375" s="989"/>
      <c r="K375" s="950"/>
    </row>
    <row r="376" spans="1:11">
      <c r="A376" s="925" t="str">
        <f>IF(Values_Entered,A375+1,"")</f>
        <v/>
      </c>
      <c r="B376" s="991" t="str">
        <f t="shared" si="55"/>
        <v/>
      </c>
      <c r="C376" s="963" t="str">
        <f t="shared" si="61"/>
        <v/>
      </c>
      <c r="D376" s="963" t="str">
        <f t="shared" si="62"/>
        <v/>
      </c>
      <c r="E376" s="964" t="e">
        <f t="shared" si="56"/>
        <v>#VALUE!</v>
      </c>
      <c r="F376" s="965" t="e">
        <f t="shared" si="57"/>
        <v>#VALUE!</v>
      </c>
      <c r="G376" s="963" t="str">
        <f t="shared" si="59"/>
        <v/>
      </c>
      <c r="H376" s="963" t="str">
        <f t="shared" si="60"/>
        <v/>
      </c>
      <c r="I376" s="963" t="e">
        <f t="shared" si="58"/>
        <v>#VALUE!</v>
      </c>
      <c r="J376" s="989"/>
      <c r="K376" s="950"/>
    </row>
    <row r="377" spans="1:11">
      <c r="A377" s="925" t="str">
        <f>IF(Values_Entered,A376+1,"")</f>
        <v/>
      </c>
      <c r="B377" s="991" t="str">
        <f t="shared" si="55"/>
        <v/>
      </c>
      <c r="C377" s="963" t="str">
        <f t="shared" si="61"/>
        <v/>
      </c>
      <c r="D377" s="963" t="str">
        <f t="shared" si="62"/>
        <v/>
      </c>
      <c r="E377" s="964" t="e">
        <f t="shared" si="56"/>
        <v>#VALUE!</v>
      </c>
      <c r="F377" s="965" t="e">
        <f t="shared" si="57"/>
        <v>#VALUE!</v>
      </c>
      <c r="G377" s="963" t="str">
        <f t="shared" si="59"/>
        <v/>
      </c>
      <c r="H377" s="963" t="str">
        <f t="shared" si="60"/>
        <v/>
      </c>
      <c r="I377" s="963" t="e">
        <f t="shared" si="58"/>
        <v>#VALUE!</v>
      </c>
      <c r="J377" s="989"/>
      <c r="K377" s="950"/>
    </row>
    <row r="378" spans="1:11">
      <c r="A378" s="925" t="str">
        <f>IF(Values_Entered,A377+1,"")</f>
        <v/>
      </c>
      <c r="B378" s="991" t="str">
        <f t="shared" si="55"/>
        <v/>
      </c>
      <c r="C378" s="963" t="str">
        <f t="shared" si="61"/>
        <v/>
      </c>
      <c r="D378" s="963" t="str">
        <f t="shared" si="62"/>
        <v/>
      </c>
      <c r="E378" s="964" t="e">
        <f t="shared" si="56"/>
        <v>#VALUE!</v>
      </c>
      <c r="F378" s="965" t="e">
        <f t="shared" si="57"/>
        <v>#VALUE!</v>
      </c>
      <c r="G378" s="963" t="str">
        <f t="shared" si="59"/>
        <v/>
      </c>
      <c r="H378" s="963" t="str">
        <f t="shared" si="60"/>
        <v/>
      </c>
      <c r="I378" s="963" t="e">
        <f t="shared" si="58"/>
        <v>#VALUE!</v>
      </c>
      <c r="J378" s="989"/>
      <c r="K378" s="950"/>
    </row>
    <row r="379" spans="1:11">
      <c r="A379" s="925" t="str">
        <f>IF(Values_Entered,A378+1,"")</f>
        <v/>
      </c>
      <c r="B379" s="991" t="str">
        <f t="shared" si="55"/>
        <v/>
      </c>
      <c r="C379" s="963" t="str">
        <f t="shared" si="61"/>
        <v/>
      </c>
      <c r="D379" s="963" t="str">
        <f t="shared" si="62"/>
        <v/>
      </c>
      <c r="E379" s="964" t="e">
        <f t="shared" si="56"/>
        <v>#VALUE!</v>
      </c>
      <c r="F379" s="965" t="e">
        <f t="shared" si="57"/>
        <v>#VALUE!</v>
      </c>
      <c r="G379" s="963" t="str">
        <f t="shared" si="59"/>
        <v/>
      </c>
      <c r="H379" s="963" t="str">
        <f t="shared" si="60"/>
        <v/>
      </c>
      <c r="I379" s="963" t="e">
        <f t="shared" si="58"/>
        <v>#VALUE!</v>
      </c>
      <c r="J379" s="989"/>
      <c r="K379" s="950"/>
    </row>
    <row r="380" spans="1:11">
      <c r="A380" s="925" t="str">
        <f>IF(Values_Entered,A379+1,"")</f>
        <v/>
      </c>
      <c r="B380" s="991" t="str">
        <f t="shared" si="55"/>
        <v/>
      </c>
      <c r="C380" s="963" t="str">
        <f t="shared" si="61"/>
        <v/>
      </c>
      <c r="D380" s="963" t="str">
        <f t="shared" si="62"/>
        <v/>
      </c>
      <c r="E380" s="964" t="e">
        <f t="shared" si="56"/>
        <v>#VALUE!</v>
      </c>
      <c r="F380" s="965" t="e">
        <f t="shared" si="57"/>
        <v>#VALUE!</v>
      </c>
      <c r="G380" s="963" t="str">
        <f t="shared" si="59"/>
        <v/>
      </c>
      <c r="H380" s="963" t="str">
        <f t="shared" si="60"/>
        <v/>
      </c>
      <c r="I380" s="963" t="e">
        <f t="shared" si="58"/>
        <v>#VALUE!</v>
      </c>
      <c r="J380" s="989"/>
      <c r="K380" s="950"/>
    </row>
    <row r="381" spans="1:11">
      <c r="A381" s="925" t="str">
        <f>IF(Values_Entered,A380+1,"")</f>
        <v/>
      </c>
      <c r="B381" s="991" t="str">
        <f t="shared" si="55"/>
        <v/>
      </c>
      <c r="C381" s="963" t="str">
        <f t="shared" si="61"/>
        <v/>
      </c>
      <c r="D381" s="963" t="str">
        <f t="shared" si="62"/>
        <v/>
      </c>
      <c r="E381" s="964" t="e">
        <f t="shared" si="56"/>
        <v>#VALUE!</v>
      </c>
      <c r="F381" s="965" t="e">
        <f t="shared" si="57"/>
        <v>#VALUE!</v>
      </c>
      <c r="G381" s="963" t="str">
        <f t="shared" si="59"/>
        <v/>
      </c>
      <c r="H381" s="963" t="str">
        <f t="shared" si="60"/>
        <v/>
      </c>
      <c r="I381" s="963" t="e">
        <f t="shared" si="58"/>
        <v>#VALUE!</v>
      </c>
      <c r="J381" s="989"/>
      <c r="K381" s="950"/>
    </row>
    <row r="382" spans="1:11">
      <c r="A382" s="925" t="str">
        <f>IF(Values_Entered,A381+1,"")</f>
        <v/>
      </c>
      <c r="B382" s="991" t="str">
        <f t="shared" si="55"/>
        <v/>
      </c>
      <c r="C382" s="963" t="str">
        <f t="shared" si="61"/>
        <v/>
      </c>
      <c r="D382" s="963" t="str">
        <f t="shared" si="62"/>
        <v/>
      </c>
      <c r="E382" s="964" t="e">
        <f t="shared" si="56"/>
        <v>#VALUE!</v>
      </c>
      <c r="F382" s="965" t="e">
        <f t="shared" si="57"/>
        <v>#VALUE!</v>
      </c>
      <c r="G382" s="963" t="str">
        <f t="shared" si="59"/>
        <v/>
      </c>
      <c r="H382" s="963" t="str">
        <f t="shared" si="60"/>
        <v/>
      </c>
      <c r="I382" s="963" t="e">
        <f t="shared" si="58"/>
        <v>#VALUE!</v>
      </c>
      <c r="J382" s="989"/>
      <c r="K382" s="950"/>
    </row>
    <row r="383" spans="1:11">
      <c r="A383" s="925" t="str">
        <f>IF(Values_Entered,A382+1,"")</f>
        <v/>
      </c>
      <c r="B383" s="991" t="str">
        <f t="shared" si="55"/>
        <v/>
      </c>
      <c r="C383" s="963" t="str">
        <f t="shared" si="61"/>
        <v/>
      </c>
      <c r="D383" s="963" t="str">
        <f t="shared" si="62"/>
        <v/>
      </c>
      <c r="E383" s="964" t="e">
        <f t="shared" si="56"/>
        <v>#VALUE!</v>
      </c>
      <c r="F383" s="965" t="e">
        <f t="shared" si="57"/>
        <v>#VALUE!</v>
      </c>
      <c r="G383" s="963" t="str">
        <f t="shared" si="59"/>
        <v/>
      </c>
      <c r="H383" s="963" t="str">
        <f t="shared" si="60"/>
        <v/>
      </c>
      <c r="I383" s="963" t="e">
        <f t="shared" si="58"/>
        <v>#VALUE!</v>
      </c>
      <c r="J383" s="989"/>
      <c r="K383" s="950"/>
    </row>
    <row r="384" spans="1:11">
      <c r="A384" s="925" t="str">
        <f>IF(Values_Entered,A383+1,"")</f>
        <v/>
      </c>
      <c r="B384" s="991" t="str">
        <f t="shared" si="55"/>
        <v/>
      </c>
      <c r="C384" s="963" t="str">
        <f t="shared" si="61"/>
        <v/>
      </c>
      <c r="D384" s="963" t="str">
        <f t="shared" si="62"/>
        <v/>
      </c>
      <c r="E384" s="964" t="e">
        <f t="shared" si="56"/>
        <v>#VALUE!</v>
      </c>
      <c r="F384" s="965" t="e">
        <f t="shared" si="57"/>
        <v>#VALUE!</v>
      </c>
      <c r="G384" s="963" t="str">
        <f t="shared" si="59"/>
        <v/>
      </c>
      <c r="H384" s="963" t="str">
        <f t="shared" si="60"/>
        <v/>
      </c>
      <c r="I384" s="963" t="e">
        <f t="shared" si="58"/>
        <v>#VALUE!</v>
      </c>
      <c r="J384" s="989"/>
      <c r="K384" s="950"/>
    </row>
    <row r="385" spans="1:9">
      <c r="A385" s="900"/>
      <c r="B385" s="900"/>
      <c r="C385" s="900"/>
      <c r="D385" s="900"/>
      <c r="E385" s="900"/>
      <c r="G385" s="900"/>
      <c r="H385" s="900"/>
      <c r="I385" s="900"/>
    </row>
  </sheetData>
  <sheetProtection password="CC2E" sheet="1" selectLockedCells="1"/>
  <mergeCells count="4">
    <mergeCell ref="H2:J2"/>
    <mergeCell ref="G7:I8"/>
    <mergeCell ref="B13:D13"/>
    <mergeCell ref="F13:H13"/>
  </mergeCells>
  <conditionalFormatting sqref="A25:D384">
    <cfRule type="expression" dxfId="5" priority="2" stopIfTrue="1">
      <formula>IF(ROW(A25)=Last_Row,TRUE, FALSE)</formula>
    </cfRule>
    <cfRule type="expression" dxfId="4" priority="3" stopIfTrue="1">
      <formula>IF(ROW(A25)&lt;Last_Row,TRUE, FALSE)</formula>
    </cfRule>
  </conditionalFormatting>
  <conditionalFormatting sqref="A25:J384">
    <cfRule type="expression" dxfId="3" priority="1" stopIfTrue="1">
      <formula>IF(ROW(A25)&gt;Last_Row,TRUE, FALSE)</formula>
    </cfRule>
  </conditionalFormatting>
  <conditionalFormatting sqref="E25:E384">
    <cfRule type="expression" dxfId="2" priority="8" stopIfTrue="1">
      <formula>IF(ROW(E25)=Last_Row,TRUE, FALSE)</formula>
    </cfRule>
  </conditionalFormatting>
  <conditionalFormatting sqref="F25:J384">
    <cfRule type="expression" dxfId="1" priority="5" stopIfTrue="1">
      <formula>IF(ROW(F25)=Last_Row,TRUE, FALSE)</formula>
    </cfRule>
    <cfRule type="expression" dxfId="0" priority="6" stopIfTrue="1">
      <formula>IF(ROW(F25)&lt;=Last_Row,TRUE, FALSE)</formula>
    </cfRule>
  </conditionalFormatting>
  <dataValidations count="3">
    <dataValidation type="whole" allowBlank="1" showInputMessage="1" showErrorMessage="1" errorTitle="Years" error="Please enter a whole number of years from 1 to 30." sqref="D16 IP16 SL16 ACH16 AMD16 AVZ16 BFV16 BPR16 BZN16 CJJ16 CTF16 DDB16 DMX16 DWT16 EGP16 EQL16 FAH16 FKD16 FTZ16 GDV16 GNR16 GXN16 HHJ16 HRF16 IBB16 IKX16 IUT16 JEP16 JOL16 JYH16 KID16 KRZ16 LBV16 LLR16 LVN16 MFJ16 MPF16 MZB16 NIX16 NST16 OCP16 OML16 OWH16 PGD16 PPZ16 PZV16 QJR16 QTN16 RDJ16 RNF16 RXB16 SGX16 SQT16 TAP16 TKL16 TUH16 UED16 UNZ16 UXV16 VHR16 VRN16 WBJ16 WLF16 WVB16 D65552 IP65552 SL65552 ACH65552 AMD65552 AVZ65552 BFV65552 BPR65552 BZN65552 CJJ65552 CTF65552 DDB65552 DMX65552 DWT65552 EGP65552 EQL65552 FAH65552 FKD65552 FTZ65552 GDV65552 GNR65552 GXN65552 HHJ65552 HRF65552 IBB65552 IKX65552 IUT65552 JEP65552 JOL65552 JYH65552 KID65552 KRZ65552 LBV65552 LLR65552 LVN65552 MFJ65552 MPF65552 MZB65552 NIX65552 NST65552 OCP65552 OML65552 OWH65552 PGD65552 PPZ65552 PZV65552 QJR65552 QTN65552 RDJ65552 RNF65552 RXB65552 SGX65552 SQT65552 TAP65552 TKL65552 TUH65552 UED65552 UNZ65552 UXV65552 VHR65552 VRN65552 WBJ65552 WLF65552 WVB65552 D131088 IP131088 SL131088 ACH131088 AMD131088 AVZ131088 BFV131088 BPR131088 BZN131088 CJJ131088 CTF131088 DDB131088 DMX131088 DWT131088 EGP131088 EQL131088 FAH131088 FKD131088 FTZ131088 GDV131088 GNR131088 GXN131088 HHJ131088 HRF131088 IBB131088 IKX131088 IUT131088 JEP131088 JOL131088 JYH131088 KID131088 KRZ131088 LBV131088 LLR131088 LVN131088 MFJ131088 MPF131088 MZB131088 NIX131088 NST131088 OCP131088 OML131088 OWH131088 PGD131088 PPZ131088 PZV131088 QJR131088 QTN131088 RDJ131088 RNF131088 RXB131088 SGX131088 SQT131088 TAP131088 TKL131088 TUH131088 UED131088 UNZ131088 UXV131088 VHR131088 VRN131088 WBJ131088 WLF131088 WVB131088 D196624 IP196624 SL196624 ACH196624 AMD196624 AVZ196624 BFV196624 BPR196624 BZN196624 CJJ196624 CTF196624 DDB196624 DMX196624 DWT196624 EGP196624 EQL196624 FAH196624 FKD196624 FTZ196624 GDV196624 GNR196624 GXN196624 HHJ196624 HRF196624 IBB196624 IKX196624 IUT196624 JEP196624 JOL196624 JYH196624 KID196624 KRZ196624 LBV196624 LLR196624 LVN196624 MFJ196624 MPF196624 MZB196624 NIX196624 NST196624 OCP196624 OML196624 OWH196624 PGD196624 PPZ196624 PZV196624 QJR196624 QTN196624 RDJ196624 RNF196624 RXB196624 SGX196624 SQT196624 TAP196624 TKL196624 TUH196624 UED196624 UNZ196624 UXV196624 VHR196624 VRN196624 WBJ196624 WLF196624 WVB196624 D262160 IP262160 SL262160 ACH262160 AMD262160 AVZ262160 BFV262160 BPR262160 BZN262160 CJJ262160 CTF262160 DDB262160 DMX262160 DWT262160 EGP262160 EQL262160 FAH262160 FKD262160 FTZ262160 GDV262160 GNR262160 GXN262160 HHJ262160 HRF262160 IBB262160 IKX262160 IUT262160 JEP262160 JOL262160 JYH262160 KID262160 KRZ262160 LBV262160 LLR262160 LVN262160 MFJ262160 MPF262160 MZB262160 NIX262160 NST262160 OCP262160 OML262160 OWH262160 PGD262160 PPZ262160 PZV262160 QJR262160 QTN262160 RDJ262160 RNF262160 RXB262160 SGX262160 SQT262160 TAP262160 TKL262160 TUH262160 UED262160 UNZ262160 UXV262160 VHR262160 VRN262160 WBJ262160 WLF262160 WVB262160 D327696 IP327696 SL327696 ACH327696 AMD327696 AVZ327696 BFV327696 BPR327696 BZN327696 CJJ327696 CTF327696 DDB327696 DMX327696 DWT327696 EGP327696 EQL327696 FAH327696 FKD327696 FTZ327696 GDV327696 GNR327696 GXN327696 HHJ327696 HRF327696 IBB327696 IKX327696 IUT327696 JEP327696 JOL327696 JYH327696 KID327696 KRZ327696 LBV327696 LLR327696 LVN327696 MFJ327696 MPF327696 MZB327696 NIX327696 NST327696 OCP327696 OML327696 OWH327696 PGD327696 PPZ327696 PZV327696 QJR327696 QTN327696 RDJ327696 RNF327696 RXB327696 SGX327696 SQT327696 TAP327696 TKL327696 TUH327696 UED327696 UNZ327696 UXV327696 VHR327696 VRN327696 WBJ327696 WLF327696 WVB327696 D393232 IP393232 SL393232 ACH393232 AMD393232 AVZ393232 BFV393232 BPR393232 BZN393232 CJJ393232 CTF393232 DDB393232 DMX393232 DWT393232 EGP393232 EQL393232 FAH393232 FKD393232 FTZ393232 GDV393232 GNR393232 GXN393232 HHJ393232 HRF393232 IBB393232 IKX393232 IUT393232 JEP393232 JOL393232 JYH393232 KID393232 KRZ393232 LBV393232 LLR393232 LVN393232 MFJ393232 MPF393232 MZB393232 NIX393232 NST393232 OCP393232 OML393232 OWH393232 PGD393232 PPZ393232 PZV393232 QJR393232 QTN393232 RDJ393232 RNF393232 RXB393232 SGX393232 SQT393232 TAP393232 TKL393232 TUH393232 UED393232 UNZ393232 UXV393232 VHR393232 VRN393232 WBJ393232 WLF393232 WVB393232 D458768 IP458768 SL458768 ACH458768 AMD458768 AVZ458768 BFV458768 BPR458768 BZN458768 CJJ458768 CTF458768 DDB458768 DMX458768 DWT458768 EGP458768 EQL458768 FAH458768 FKD458768 FTZ458768 GDV458768 GNR458768 GXN458768 HHJ458768 HRF458768 IBB458768 IKX458768 IUT458768 JEP458768 JOL458768 JYH458768 KID458768 KRZ458768 LBV458768 LLR458768 LVN458768 MFJ458768 MPF458768 MZB458768 NIX458768 NST458768 OCP458768 OML458768 OWH458768 PGD458768 PPZ458768 PZV458768 QJR458768 QTN458768 RDJ458768 RNF458768 RXB458768 SGX458768 SQT458768 TAP458768 TKL458768 TUH458768 UED458768 UNZ458768 UXV458768 VHR458768 VRN458768 WBJ458768 WLF458768 WVB458768 D524304 IP524304 SL524304 ACH524304 AMD524304 AVZ524304 BFV524304 BPR524304 BZN524304 CJJ524304 CTF524304 DDB524304 DMX524304 DWT524304 EGP524304 EQL524304 FAH524304 FKD524304 FTZ524304 GDV524304 GNR524304 GXN524304 HHJ524304 HRF524304 IBB524304 IKX524304 IUT524304 JEP524304 JOL524304 JYH524304 KID524304 KRZ524304 LBV524304 LLR524304 LVN524304 MFJ524304 MPF524304 MZB524304 NIX524304 NST524304 OCP524304 OML524304 OWH524304 PGD524304 PPZ524304 PZV524304 QJR524304 QTN524304 RDJ524304 RNF524304 RXB524304 SGX524304 SQT524304 TAP524304 TKL524304 TUH524304 UED524304 UNZ524304 UXV524304 VHR524304 VRN524304 WBJ524304 WLF524304 WVB524304 D589840 IP589840 SL589840 ACH589840 AMD589840 AVZ589840 BFV589840 BPR589840 BZN589840 CJJ589840 CTF589840 DDB589840 DMX589840 DWT589840 EGP589840 EQL589840 FAH589840 FKD589840 FTZ589840 GDV589840 GNR589840 GXN589840 HHJ589840 HRF589840 IBB589840 IKX589840 IUT589840 JEP589840 JOL589840 JYH589840 KID589840 KRZ589840 LBV589840 LLR589840 LVN589840 MFJ589840 MPF589840 MZB589840 NIX589840 NST589840 OCP589840 OML589840 OWH589840 PGD589840 PPZ589840 PZV589840 QJR589840 QTN589840 RDJ589840 RNF589840 RXB589840 SGX589840 SQT589840 TAP589840 TKL589840 TUH589840 UED589840 UNZ589840 UXV589840 VHR589840 VRN589840 WBJ589840 WLF589840 WVB589840 D655376 IP655376 SL655376 ACH655376 AMD655376 AVZ655376 BFV655376 BPR655376 BZN655376 CJJ655376 CTF655376 DDB655376 DMX655376 DWT655376 EGP655376 EQL655376 FAH655376 FKD655376 FTZ655376 GDV655376 GNR655376 GXN655376 HHJ655376 HRF655376 IBB655376 IKX655376 IUT655376 JEP655376 JOL655376 JYH655376 KID655376 KRZ655376 LBV655376 LLR655376 LVN655376 MFJ655376 MPF655376 MZB655376 NIX655376 NST655376 OCP655376 OML655376 OWH655376 PGD655376 PPZ655376 PZV655376 QJR655376 QTN655376 RDJ655376 RNF655376 RXB655376 SGX655376 SQT655376 TAP655376 TKL655376 TUH655376 UED655376 UNZ655376 UXV655376 VHR655376 VRN655376 WBJ655376 WLF655376 WVB655376 D720912 IP720912 SL720912 ACH720912 AMD720912 AVZ720912 BFV720912 BPR720912 BZN720912 CJJ720912 CTF720912 DDB720912 DMX720912 DWT720912 EGP720912 EQL720912 FAH720912 FKD720912 FTZ720912 GDV720912 GNR720912 GXN720912 HHJ720912 HRF720912 IBB720912 IKX720912 IUT720912 JEP720912 JOL720912 JYH720912 KID720912 KRZ720912 LBV720912 LLR720912 LVN720912 MFJ720912 MPF720912 MZB720912 NIX720912 NST720912 OCP720912 OML720912 OWH720912 PGD720912 PPZ720912 PZV720912 QJR720912 QTN720912 RDJ720912 RNF720912 RXB720912 SGX720912 SQT720912 TAP720912 TKL720912 TUH720912 UED720912 UNZ720912 UXV720912 VHR720912 VRN720912 WBJ720912 WLF720912 WVB720912 D786448 IP786448 SL786448 ACH786448 AMD786448 AVZ786448 BFV786448 BPR786448 BZN786448 CJJ786448 CTF786448 DDB786448 DMX786448 DWT786448 EGP786448 EQL786448 FAH786448 FKD786448 FTZ786448 GDV786448 GNR786448 GXN786448 HHJ786448 HRF786448 IBB786448 IKX786448 IUT786448 JEP786448 JOL786448 JYH786448 KID786448 KRZ786448 LBV786448 LLR786448 LVN786448 MFJ786448 MPF786448 MZB786448 NIX786448 NST786448 OCP786448 OML786448 OWH786448 PGD786448 PPZ786448 PZV786448 QJR786448 QTN786448 RDJ786448 RNF786448 RXB786448 SGX786448 SQT786448 TAP786448 TKL786448 TUH786448 UED786448 UNZ786448 UXV786448 VHR786448 VRN786448 WBJ786448 WLF786448 WVB786448 D851984 IP851984 SL851984 ACH851984 AMD851984 AVZ851984 BFV851984 BPR851984 BZN851984 CJJ851984 CTF851984 DDB851984 DMX851984 DWT851984 EGP851984 EQL851984 FAH851984 FKD851984 FTZ851984 GDV851984 GNR851984 GXN851984 HHJ851984 HRF851984 IBB851984 IKX851984 IUT851984 JEP851984 JOL851984 JYH851984 KID851984 KRZ851984 LBV851984 LLR851984 LVN851984 MFJ851984 MPF851984 MZB851984 NIX851984 NST851984 OCP851984 OML851984 OWH851984 PGD851984 PPZ851984 PZV851984 QJR851984 QTN851984 RDJ851984 RNF851984 RXB851984 SGX851984 SQT851984 TAP851984 TKL851984 TUH851984 UED851984 UNZ851984 UXV851984 VHR851984 VRN851984 WBJ851984 WLF851984 WVB851984 D917520 IP917520 SL917520 ACH917520 AMD917520 AVZ917520 BFV917520 BPR917520 BZN917520 CJJ917520 CTF917520 DDB917520 DMX917520 DWT917520 EGP917520 EQL917520 FAH917520 FKD917520 FTZ917520 GDV917520 GNR917520 GXN917520 HHJ917520 HRF917520 IBB917520 IKX917520 IUT917520 JEP917520 JOL917520 JYH917520 KID917520 KRZ917520 LBV917520 LLR917520 LVN917520 MFJ917520 MPF917520 MZB917520 NIX917520 NST917520 OCP917520 OML917520 OWH917520 PGD917520 PPZ917520 PZV917520 QJR917520 QTN917520 RDJ917520 RNF917520 RXB917520 SGX917520 SQT917520 TAP917520 TKL917520 TUH917520 UED917520 UNZ917520 UXV917520 VHR917520 VRN917520 WBJ917520 WLF917520 WVB917520 D983056 IP983056 SL983056 ACH983056 AMD983056 AVZ983056 BFV983056 BPR983056 BZN983056 CJJ983056 CTF983056 DDB983056 DMX983056 DWT983056 EGP983056 EQL983056 FAH983056 FKD983056 FTZ983056 GDV983056 GNR983056 GXN983056 HHJ983056 HRF983056 IBB983056 IKX983056 IUT983056 JEP983056 JOL983056 JYH983056 KID983056 KRZ983056 LBV983056 LLR983056 LVN983056 MFJ983056 MPF983056 MZB983056 NIX983056 NST983056 OCP983056 OML983056 OWH983056 PGD983056 PPZ983056 PZV983056 QJR983056 QTN983056 RDJ983056 RNF983056 RXB983056 SGX983056 SQT983056 TAP983056 TKL983056 TUH983056 UED983056 UNZ983056 UXV983056 VHR983056 VRN983056 WBJ983056 WLF983056 WVB983056" xr:uid="{00000000-0002-0000-0100-000000000000}">
      <formula1>1</formula1>
      <formula2>30</formula2>
    </dataValidation>
    <dataValidation type="date" operator="greaterThanOrEqual" allowBlank="1" showInputMessage="1" showErrorMessage="1" errorTitle="Date" error="Please enter a valid date greater than or equal to January 1, 1900." sqref="D17:D18 IP17:IP18 SL17:SL18 ACH17:ACH18 AMD17:AMD18 AVZ17:AVZ18 BFV17:BFV18 BPR17:BPR18 BZN17:BZN18 CJJ17:CJJ18 CTF17:CTF18 DDB17:DDB18 DMX17:DMX18 DWT17:DWT18 EGP17:EGP18 EQL17:EQL18 FAH17:FAH18 FKD17:FKD18 FTZ17:FTZ18 GDV17:GDV18 GNR17:GNR18 GXN17:GXN18 HHJ17:HHJ18 HRF17:HRF18 IBB17:IBB18 IKX17:IKX18 IUT17:IUT18 JEP17:JEP18 JOL17:JOL18 JYH17:JYH18 KID17:KID18 KRZ17:KRZ18 LBV17:LBV18 LLR17:LLR18 LVN17:LVN18 MFJ17:MFJ18 MPF17:MPF18 MZB17:MZB18 NIX17:NIX18 NST17:NST18 OCP17:OCP18 OML17:OML18 OWH17:OWH18 PGD17:PGD18 PPZ17:PPZ18 PZV17:PZV18 QJR17:QJR18 QTN17:QTN18 RDJ17:RDJ18 RNF17:RNF18 RXB17:RXB18 SGX17:SGX18 SQT17:SQT18 TAP17:TAP18 TKL17:TKL18 TUH17:TUH18 UED17:UED18 UNZ17:UNZ18 UXV17:UXV18 VHR17:VHR18 VRN17:VRN18 WBJ17:WBJ18 WLF17:WLF18 WVB17:WVB18 D65553:D65554 IP65553:IP65554 SL65553:SL65554 ACH65553:ACH65554 AMD65553:AMD65554 AVZ65553:AVZ65554 BFV65553:BFV65554 BPR65553:BPR65554 BZN65553:BZN65554 CJJ65553:CJJ65554 CTF65553:CTF65554 DDB65553:DDB65554 DMX65553:DMX65554 DWT65553:DWT65554 EGP65553:EGP65554 EQL65553:EQL65554 FAH65553:FAH65554 FKD65553:FKD65554 FTZ65553:FTZ65554 GDV65553:GDV65554 GNR65553:GNR65554 GXN65553:GXN65554 HHJ65553:HHJ65554 HRF65553:HRF65554 IBB65553:IBB65554 IKX65553:IKX65554 IUT65553:IUT65554 JEP65553:JEP65554 JOL65553:JOL65554 JYH65553:JYH65554 KID65553:KID65554 KRZ65553:KRZ65554 LBV65553:LBV65554 LLR65553:LLR65554 LVN65553:LVN65554 MFJ65553:MFJ65554 MPF65553:MPF65554 MZB65553:MZB65554 NIX65553:NIX65554 NST65553:NST65554 OCP65553:OCP65554 OML65553:OML65554 OWH65553:OWH65554 PGD65553:PGD65554 PPZ65553:PPZ65554 PZV65553:PZV65554 QJR65553:QJR65554 QTN65553:QTN65554 RDJ65553:RDJ65554 RNF65553:RNF65554 RXB65553:RXB65554 SGX65553:SGX65554 SQT65553:SQT65554 TAP65553:TAP65554 TKL65553:TKL65554 TUH65553:TUH65554 UED65553:UED65554 UNZ65553:UNZ65554 UXV65553:UXV65554 VHR65553:VHR65554 VRN65553:VRN65554 WBJ65553:WBJ65554 WLF65553:WLF65554 WVB65553:WVB65554 D131089:D131090 IP131089:IP131090 SL131089:SL131090 ACH131089:ACH131090 AMD131089:AMD131090 AVZ131089:AVZ131090 BFV131089:BFV131090 BPR131089:BPR131090 BZN131089:BZN131090 CJJ131089:CJJ131090 CTF131089:CTF131090 DDB131089:DDB131090 DMX131089:DMX131090 DWT131089:DWT131090 EGP131089:EGP131090 EQL131089:EQL131090 FAH131089:FAH131090 FKD131089:FKD131090 FTZ131089:FTZ131090 GDV131089:GDV131090 GNR131089:GNR131090 GXN131089:GXN131090 HHJ131089:HHJ131090 HRF131089:HRF131090 IBB131089:IBB131090 IKX131089:IKX131090 IUT131089:IUT131090 JEP131089:JEP131090 JOL131089:JOL131090 JYH131089:JYH131090 KID131089:KID131090 KRZ131089:KRZ131090 LBV131089:LBV131090 LLR131089:LLR131090 LVN131089:LVN131090 MFJ131089:MFJ131090 MPF131089:MPF131090 MZB131089:MZB131090 NIX131089:NIX131090 NST131089:NST131090 OCP131089:OCP131090 OML131089:OML131090 OWH131089:OWH131090 PGD131089:PGD131090 PPZ131089:PPZ131090 PZV131089:PZV131090 QJR131089:QJR131090 QTN131089:QTN131090 RDJ131089:RDJ131090 RNF131089:RNF131090 RXB131089:RXB131090 SGX131089:SGX131090 SQT131089:SQT131090 TAP131089:TAP131090 TKL131089:TKL131090 TUH131089:TUH131090 UED131089:UED131090 UNZ131089:UNZ131090 UXV131089:UXV131090 VHR131089:VHR131090 VRN131089:VRN131090 WBJ131089:WBJ131090 WLF131089:WLF131090 WVB131089:WVB131090 D196625:D196626 IP196625:IP196626 SL196625:SL196626 ACH196625:ACH196626 AMD196625:AMD196626 AVZ196625:AVZ196626 BFV196625:BFV196626 BPR196625:BPR196626 BZN196625:BZN196626 CJJ196625:CJJ196626 CTF196625:CTF196626 DDB196625:DDB196626 DMX196625:DMX196626 DWT196625:DWT196626 EGP196625:EGP196626 EQL196625:EQL196626 FAH196625:FAH196626 FKD196625:FKD196626 FTZ196625:FTZ196626 GDV196625:GDV196626 GNR196625:GNR196626 GXN196625:GXN196626 HHJ196625:HHJ196626 HRF196625:HRF196626 IBB196625:IBB196626 IKX196625:IKX196626 IUT196625:IUT196626 JEP196625:JEP196626 JOL196625:JOL196626 JYH196625:JYH196626 KID196625:KID196626 KRZ196625:KRZ196626 LBV196625:LBV196626 LLR196625:LLR196626 LVN196625:LVN196626 MFJ196625:MFJ196626 MPF196625:MPF196626 MZB196625:MZB196626 NIX196625:NIX196626 NST196625:NST196626 OCP196625:OCP196626 OML196625:OML196626 OWH196625:OWH196626 PGD196625:PGD196626 PPZ196625:PPZ196626 PZV196625:PZV196626 QJR196625:QJR196626 QTN196625:QTN196626 RDJ196625:RDJ196626 RNF196625:RNF196626 RXB196625:RXB196626 SGX196625:SGX196626 SQT196625:SQT196626 TAP196625:TAP196626 TKL196625:TKL196626 TUH196625:TUH196626 UED196625:UED196626 UNZ196625:UNZ196626 UXV196625:UXV196626 VHR196625:VHR196626 VRN196625:VRN196626 WBJ196625:WBJ196626 WLF196625:WLF196626 WVB196625:WVB196626 D262161:D262162 IP262161:IP262162 SL262161:SL262162 ACH262161:ACH262162 AMD262161:AMD262162 AVZ262161:AVZ262162 BFV262161:BFV262162 BPR262161:BPR262162 BZN262161:BZN262162 CJJ262161:CJJ262162 CTF262161:CTF262162 DDB262161:DDB262162 DMX262161:DMX262162 DWT262161:DWT262162 EGP262161:EGP262162 EQL262161:EQL262162 FAH262161:FAH262162 FKD262161:FKD262162 FTZ262161:FTZ262162 GDV262161:GDV262162 GNR262161:GNR262162 GXN262161:GXN262162 HHJ262161:HHJ262162 HRF262161:HRF262162 IBB262161:IBB262162 IKX262161:IKX262162 IUT262161:IUT262162 JEP262161:JEP262162 JOL262161:JOL262162 JYH262161:JYH262162 KID262161:KID262162 KRZ262161:KRZ262162 LBV262161:LBV262162 LLR262161:LLR262162 LVN262161:LVN262162 MFJ262161:MFJ262162 MPF262161:MPF262162 MZB262161:MZB262162 NIX262161:NIX262162 NST262161:NST262162 OCP262161:OCP262162 OML262161:OML262162 OWH262161:OWH262162 PGD262161:PGD262162 PPZ262161:PPZ262162 PZV262161:PZV262162 QJR262161:QJR262162 QTN262161:QTN262162 RDJ262161:RDJ262162 RNF262161:RNF262162 RXB262161:RXB262162 SGX262161:SGX262162 SQT262161:SQT262162 TAP262161:TAP262162 TKL262161:TKL262162 TUH262161:TUH262162 UED262161:UED262162 UNZ262161:UNZ262162 UXV262161:UXV262162 VHR262161:VHR262162 VRN262161:VRN262162 WBJ262161:WBJ262162 WLF262161:WLF262162 WVB262161:WVB262162 D327697:D327698 IP327697:IP327698 SL327697:SL327698 ACH327697:ACH327698 AMD327697:AMD327698 AVZ327697:AVZ327698 BFV327697:BFV327698 BPR327697:BPR327698 BZN327697:BZN327698 CJJ327697:CJJ327698 CTF327697:CTF327698 DDB327697:DDB327698 DMX327697:DMX327698 DWT327697:DWT327698 EGP327697:EGP327698 EQL327697:EQL327698 FAH327697:FAH327698 FKD327697:FKD327698 FTZ327697:FTZ327698 GDV327697:GDV327698 GNR327697:GNR327698 GXN327697:GXN327698 HHJ327697:HHJ327698 HRF327697:HRF327698 IBB327697:IBB327698 IKX327697:IKX327698 IUT327697:IUT327698 JEP327697:JEP327698 JOL327697:JOL327698 JYH327697:JYH327698 KID327697:KID327698 KRZ327697:KRZ327698 LBV327697:LBV327698 LLR327697:LLR327698 LVN327697:LVN327698 MFJ327697:MFJ327698 MPF327697:MPF327698 MZB327697:MZB327698 NIX327697:NIX327698 NST327697:NST327698 OCP327697:OCP327698 OML327697:OML327698 OWH327697:OWH327698 PGD327697:PGD327698 PPZ327697:PPZ327698 PZV327697:PZV327698 QJR327697:QJR327698 QTN327697:QTN327698 RDJ327697:RDJ327698 RNF327697:RNF327698 RXB327697:RXB327698 SGX327697:SGX327698 SQT327697:SQT327698 TAP327697:TAP327698 TKL327697:TKL327698 TUH327697:TUH327698 UED327697:UED327698 UNZ327697:UNZ327698 UXV327697:UXV327698 VHR327697:VHR327698 VRN327697:VRN327698 WBJ327697:WBJ327698 WLF327697:WLF327698 WVB327697:WVB327698 D393233:D393234 IP393233:IP393234 SL393233:SL393234 ACH393233:ACH393234 AMD393233:AMD393234 AVZ393233:AVZ393234 BFV393233:BFV393234 BPR393233:BPR393234 BZN393233:BZN393234 CJJ393233:CJJ393234 CTF393233:CTF393234 DDB393233:DDB393234 DMX393233:DMX393234 DWT393233:DWT393234 EGP393233:EGP393234 EQL393233:EQL393234 FAH393233:FAH393234 FKD393233:FKD393234 FTZ393233:FTZ393234 GDV393233:GDV393234 GNR393233:GNR393234 GXN393233:GXN393234 HHJ393233:HHJ393234 HRF393233:HRF393234 IBB393233:IBB393234 IKX393233:IKX393234 IUT393233:IUT393234 JEP393233:JEP393234 JOL393233:JOL393234 JYH393233:JYH393234 KID393233:KID393234 KRZ393233:KRZ393234 LBV393233:LBV393234 LLR393233:LLR393234 LVN393233:LVN393234 MFJ393233:MFJ393234 MPF393233:MPF393234 MZB393233:MZB393234 NIX393233:NIX393234 NST393233:NST393234 OCP393233:OCP393234 OML393233:OML393234 OWH393233:OWH393234 PGD393233:PGD393234 PPZ393233:PPZ393234 PZV393233:PZV393234 QJR393233:QJR393234 QTN393233:QTN393234 RDJ393233:RDJ393234 RNF393233:RNF393234 RXB393233:RXB393234 SGX393233:SGX393234 SQT393233:SQT393234 TAP393233:TAP393234 TKL393233:TKL393234 TUH393233:TUH393234 UED393233:UED393234 UNZ393233:UNZ393234 UXV393233:UXV393234 VHR393233:VHR393234 VRN393233:VRN393234 WBJ393233:WBJ393234 WLF393233:WLF393234 WVB393233:WVB393234 D458769:D458770 IP458769:IP458770 SL458769:SL458770 ACH458769:ACH458770 AMD458769:AMD458770 AVZ458769:AVZ458770 BFV458769:BFV458770 BPR458769:BPR458770 BZN458769:BZN458770 CJJ458769:CJJ458770 CTF458769:CTF458770 DDB458769:DDB458770 DMX458769:DMX458770 DWT458769:DWT458770 EGP458769:EGP458770 EQL458769:EQL458770 FAH458769:FAH458770 FKD458769:FKD458770 FTZ458769:FTZ458770 GDV458769:GDV458770 GNR458769:GNR458770 GXN458769:GXN458770 HHJ458769:HHJ458770 HRF458769:HRF458770 IBB458769:IBB458770 IKX458769:IKX458770 IUT458769:IUT458770 JEP458769:JEP458770 JOL458769:JOL458770 JYH458769:JYH458770 KID458769:KID458770 KRZ458769:KRZ458770 LBV458769:LBV458770 LLR458769:LLR458770 LVN458769:LVN458770 MFJ458769:MFJ458770 MPF458769:MPF458770 MZB458769:MZB458770 NIX458769:NIX458770 NST458769:NST458770 OCP458769:OCP458770 OML458769:OML458770 OWH458769:OWH458770 PGD458769:PGD458770 PPZ458769:PPZ458770 PZV458769:PZV458770 QJR458769:QJR458770 QTN458769:QTN458770 RDJ458769:RDJ458770 RNF458769:RNF458770 RXB458769:RXB458770 SGX458769:SGX458770 SQT458769:SQT458770 TAP458769:TAP458770 TKL458769:TKL458770 TUH458769:TUH458770 UED458769:UED458770 UNZ458769:UNZ458770 UXV458769:UXV458770 VHR458769:VHR458770 VRN458769:VRN458770 WBJ458769:WBJ458770 WLF458769:WLF458770 WVB458769:WVB458770 D524305:D524306 IP524305:IP524306 SL524305:SL524306 ACH524305:ACH524306 AMD524305:AMD524306 AVZ524305:AVZ524306 BFV524305:BFV524306 BPR524305:BPR524306 BZN524305:BZN524306 CJJ524305:CJJ524306 CTF524305:CTF524306 DDB524305:DDB524306 DMX524305:DMX524306 DWT524305:DWT524306 EGP524305:EGP524306 EQL524305:EQL524306 FAH524305:FAH524306 FKD524305:FKD524306 FTZ524305:FTZ524306 GDV524305:GDV524306 GNR524305:GNR524306 GXN524305:GXN524306 HHJ524305:HHJ524306 HRF524305:HRF524306 IBB524305:IBB524306 IKX524305:IKX524306 IUT524305:IUT524306 JEP524305:JEP524306 JOL524305:JOL524306 JYH524305:JYH524306 KID524305:KID524306 KRZ524305:KRZ524306 LBV524305:LBV524306 LLR524305:LLR524306 LVN524305:LVN524306 MFJ524305:MFJ524306 MPF524305:MPF524306 MZB524305:MZB524306 NIX524305:NIX524306 NST524305:NST524306 OCP524305:OCP524306 OML524305:OML524306 OWH524305:OWH524306 PGD524305:PGD524306 PPZ524305:PPZ524306 PZV524305:PZV524306 QJR524305:QJR524306 QTN524305:QTN524306 RDJ524305:RDJ524306 RNF524305:RNF524306 RXB524305:RXB524306 SGX524305:SGX524306 SQT524305:SQT524306 TAP524305:TAP524306 TKL524305:TKL524306 TUH524305:TUH524306 UED524305:UED524306 UNZ524305:UNZ524306 UXV524305:UXV524306 VHR524305:VHR524306 VRN524305:VRN524306 WBJ524305:WBJ524306 WLF524305:WLF524306 WVB524305:WVB524306 D589841:D589842 IP589841:IP589842 SL589841:SL589842 ACH589841:ACH589842 AMD589841:AMD589842 AVZ589841:AVZ589842 BFV589841:BFV589842 BPR589841:BPR589842 BZN589841:BZN589842 CJJ589841:CJJ589842 CTF589841:CTF589842 DDB589841:DDB589842 DMX589841:DMX589842 DWT589841:DWT589842 EGP589841:EGP589842 EQL589841:EQL589842 FAH589841:FAH589842 FKD589841:FKD589842 FTZ589841:FTZ589842 GDV589841:GDV589842 GNR589841:GNR589842 GXN589841:GXN589842 HHJ589841:HHJ589842 HRF589841:HRF589842 IBB589841:IBB589842 IKX589841:IKX589842 IUT589841:IUT589842 JEP589841:JEP589842 JOL589841:JOL589842 JYH589841:JYH589842 KID589841:KID589842 KRZ589841:KRZ589842 LBV589841:LBV589842 LLR589841:LLR589842 LVN589841:LVN589842 MFJ589841:MFJ589842 MPF589841:MPF589842 MZB589841:MZB589842 NIX589841:NIX589842 NST589841:NST589842 OCP589841:OCP589842 OML589841:OML589842 OWH589841:OWH589842 PGD589841:PGD589842 PPZ589841:PPZ589842 PZV589841:PZV589842 QJR589841:QJR589842 QTN589841:QTN589842 RDJ589841:RDJ589842 RNF589841:RNF589842 RXB589841:RXB589842 SGX589841:SGX589842 SQT589841:SQT589842 TAP589841:TAP589842 TKL589841:TKL589842 TUH589841:TUH589842 UED589841:UED589842 UNZ589841:UNZ589842 UXV589841:UXV589842 VHR589841:VHR589842 VRN589841:VRN589842 WBJ589841:WBJ589842 WLF589841:WLF589842 WVB589841:WVB589842 D655377:D655378 IP655377:IP655378 SL655377:SL655378 ACH655377:ACH655378 AMD655377:AMD655378 AVZ655377:AVZ655378 BFV655377:BFV655378 BPR655377:BPR655378 BZN655377:BZN655378 CJJ655377:CJJ655378 CTF655377:CTF655378 DDB655377:DDB655378 DMX655377:DMX655378 DWT655377:DWT655378 EGP655377:EGP655378 EQL655377:EQL655378 FAH655377:FAH655378 FKD655377:FKD655378 FTZ655377:FTZ655378 GDV655377:GDV655378 GNR655377:GNR655378 GXN655377:GXN655378 HHJ655377:HHJ655378 HRF655377:HRF655378 IBB655377:IBB655378 IKX655377:IKX655378 IUT655377:IUT655378 JEP655377:JEP655378 JOL655377:JOL655378 JYH655377:JYH655378 KID655377:KID655378 KRZ655377:KRZ655378 LBV655377:LBV655378 LLR655377:LLR655378 LVN655377:LVN655378 MFJ655377:MFJ655378 MPF655377:MPF655378 MZB655377:MZB655378 NIX655377:NIX655378 NST655377:NST655378 OCP655377:OCP655378 OML655377:OML655378 OWH655377:OWH655378 PGD655377:PGD655378 PPZ655377:PPZ655378 PZV655377:PZV655378 QJR655377:QJR655378 QTN655377:QTN655378 RDJ655377:RDJ655378 RNF655377:RNF655378 RXB655377:RXB655378 SGX655377:SGX655378 SQT655377:SQT655378 TAP655377:TAP655378 TKL655377:TKL655378 TUH655377:TUH655378 UED655377:UED655378 UNZ655377:UNZ655378 UXV655377:UXV655378 VHR655377:VHR655378 VRN655377:VRN655378 WBJ655377:WBJ655378 WLF655377:WLF655378 WVB655377:WVB655378 D720913:D720914 IP720913:IP720914 SL720913:SL720914 ACH720913:ACH720914 AMD720913:AMD720914 AVZ720913:AVZ720914 BFV720913:BFV720914 BPR720913:BPR720914 BZN720913:BZN720914 CJJ720913:CJJ720914 CTF720913:CTF720914 DDB720913:DDB720914 DMX720913:DMX720914 DWT720913:DWT720914 EGP720913:EGP720914 EQL720913:EQL720914 FAH720913:FAH720914 FKD720913:FKD720914 FTZ720913:FTZ720914 GDV720913:GDV720914 GNR720913:GNR720914 GXN720913:GXN720914 HHJ720913:HHJ720914 HRF720913:HRF720914 IBB720913:IBB720914 IKX720913:IKX720914 IUT720913:IUT720914 JEP720913:JEP720914 JOL720913:JOL720914 JYH720913:JYH720914 KID720913:KID720914 KRZ720913:KRZ720914 LBV720913:LBV720914 LLR720913:LLR720914 LVN720913:LVN720914 MFJ720913:MFJ720914 MPF720913:MPF720914 MZB720913:MZB720914 NIX720913:NIX720914 NST720913:NST720914 OCP720913:OCP720914 OML720913:OML720914 OWH720913:OWH720914 PGD720913:PGD720914 PPZ720913:PPZ720914 PZV720913:PZV720914 QJR720913:QJR720914 QTN720913:QTN720914 RDJ720913:RDJ720914 RNF720913:RNF720914 RXB720913:RXB720914 SGX720913:SGX720914 SQT720913:SQT720914 TAP720913:TAP720914 TKL720913:TKL720914 TUH720913:TUH720914 UED720913:UED720914 UNZ720913:UNZ720914 UXV720913:UXV720914 VHR720913:VHR720914 VRN720913:VRN720914 WBJ720913:WBJ720914 WLF720913:WLF720914 WVB720913:WVB720914 D786449:D786450 IP786449:IP786450 SL786449:SL786450 ACH786449:ACH786450 AMD786449:AMD786450 AVZ786449:AVZ786450 BFV786449:BFV786450 BPR786449:BPR786450 BZN786449:BZN786450 CJJ786449:CJJ786450 CTF786449:CTF786450 DDB786449:DDB786450 DMX786449:DMX786450 DWT786449:DWT786450 EGP786449:EGP786450 EQL786449:EQL786450 FAH786449:FAH786450 FKD786449:FKD786450 FTZ786449:FTZ786450 GDV786449:GDV786450 GNR786449:GNR786450 GXN786449:GXN786450 HHJ786449:HHJ786450 HRF786449:HRF786450 IBB786449:IBB786450 IKX786449:IKX786450 IUT786449:IUT786450 JEP786449:JEP786450 JOL786449:JOL786450 JYH786449:JYH786450 KID786449:KID786450 KRZ786449:KRZ786450 LBV786449:LBV786450 LLR786449:LLR786450 LVN786449:LVN786450 MFJ786449:MFJ786450 MPF786449:MPF786450 MZB786449:MZB786450 NIX786449:NIX786450 NST786449:NST786450 OCP786449:OCP786450 OML786449:OML786450 OWH786449:OWH786450 PGD786449:PGD786450 PPZ786449:PPZ786450 PZV786449:PZV786450 QJR786449:QJR786450 QTN786449:QTN786450 RDJ786449:RDJ786450 RNF786449:RNF786450 RXB786449:RXB786450 SGX786449:SGX786450 SQT786449:SQT786450 TAP786449:TAP786450 TKL786449:TKL786450 TUH786449:TUH786450 UED786449:UED786450 UNZ786449:UNZ786450 UXV786449:UXV786450 VHR786449:VHR786450 VRN786449:VRN786450 WBJ786449:WBJ786450 WLF786449:WLF786450 WVB786449:WVB786450 D851985:D851986 IP851985:IP851986 SL851985:SL851986 ACH851985:ACH851986 AMD851985:AMD851986 AVZ851985:AVZ851986 BFV851985:BFV851986 BPR851985:BPR851986 BZN851985:BZN851986 CJJ851985:CJJ851986 CTF851985:CTF851986 DDB851985:DDB851986 DMX851985:DMX851986 DWT851985:DWT851986 EGP851985:EGP851986 EQL851985:EQL851986 FAH851985:FAH851986 FKD851985:FKD851986 FTZ851985:FTZ851986 GDV851985:GDV851986 GNR851985:GNR851986 GXN851985:GXN851986 HHJ851985:HHJ851986 HRF851985:HRF851986 IBB851985:IBB851986 IKX851985:IKX851986 IUT851985:IUT851986 JEP851985:JEP851986 JOL851985:JOL851986 JYH851985:JYH851986 KID851985:KID851986 KRZ851985:KRZ851986 LBV851985:LBV851986 LLR851985:LLR851986 LVN851985:LVN851986 MFJ851985:MFJ851986 MPF851985:MPF851986 MZB851985:MZB851986 NIX851985:NIX851986 NST851985:NST851986 OCP851985:OCP851986 OML851985:OML851986 OWH851985:OWH851986 PGD851985:PGD851986 PPZ851985:PPZ851986 PZV851985:PZV851986 QJR851985:QJR851986 QTN851985:QTN851986 RDJ851985:RDJ851986 RNF851985:RNF851986 RXB851985:RXB851986 SGX851985:SGX851986 SQT851985:SQT851986 TAP851985:TAP851986 TKL851985:TKL851986 TUH851985:TUH851986 UED851985:UED851986 UNZ851985:UNZ851986 UXV851985:UXV851986 VHR851985:VHR851986 VRN851985:VRN851986 WBJ851985:WBJ851986 WLF851985:WLF851986 WVB851985:WVB851986 D917521:D917522 IP917521:IP917522 SL917521:SL917522 ACH917521:ACH917522 AMD917521:AMD917522 AVZ917521:AVZ917522 BFV917521:BFV917522 BPR917521:BPR917522 BZN917521:BZN917522 CJJ917521:CJJ917522 CTF917521:CTF917522 DDB917521:DDB917522 DMX917521:DMX917522 DWT917521:DWT917522 EGP917521:EGP917522 EQL917521:EQL917522 FAH917521:FAH917522 FKD917521:FKD917522 FTZ917521:FTZ917522 GDV917521:GDV917522 GNR917521:GNR917522 GXN917521:GXN917522 HHJ917521:HHJ917522 HRF917521:HRF917522 IBB917521:IBB917522 IKX917521:IKX917522 IUT917521:IUT917522 JEP917521:JEP917522 JOL917521:JOL917522 JYH917521:JYH917522 KID917521:KID917522 KRZ917521:KRZ917522 LBV917521:LBV917522 LLR917521:LLR917522 LVN917521:LVN917522 MFJ917521:MFJ917522 MPF917521:MPF917522 MZB917521:MZB917522 NIX917521:NIX917522 NST917521:NST917522 OCP917521:OCP917522 OML917521:OML917522 OWH917521:OWH917522 PGD917521:PGD917522 PPZ917521:PPZ917522 PZV917521:PZV917522 QJR917521:QJR917522 QTN917521:QTN917522 RDJ917521:RDJ917522 RNF917521:RNF917522 RXB917521:RXB917522 SGX917521:SGX917522 SQT917521:SQT917522 TAP917521:TAP917522 TKL917521:TKL917522 TUH917521:TUH917522 UED917521:UED917522 UNZ917521:UNZ917522 UXV917521:UXV917522 VHR917521:VHR917522 VRN917521:VRN917522 WBJ917521:WBJ917522 WLF917521:WLF917522 WVB917521:WVB917522 D983057:D983058 IP983057:IP983058 SL983057:SL983058 ACH983057:ACH983058 AMD983057:AMD983058 AVZ983057:AVZ983058 BFV983057:BFV983058 BPR983057:BPR983058 BZN983057:BZN983058 CJJ983057:CJJ983058 CTF983057:CTF983058 DDB983057:DDB983058 DMX983057:DMX983058 DWT983057:DWT983058 EGP983057:EGP983058 EQL983057:EQL983058 FAH983057:FAH983058 FKD983057:FKD983058 FTZ983057:FTZ983058 GDV983057:GDV983058 GNR983057:GNR983058 GXN983057:GXN983058 HHJ983057:HHJ983058 HRF983057:HRF983058 IBB983057:IBB983058 IKX983057:IKX983058 IUT983057:IUT983058 JEP983057:JEP983058 JOL983057:JOL983058 JYH983057:JYH983058 KID983057:KID983058 KRZ983057:KRZ983058 LBV983057:LBV983058 LLR983057:LLR983058 LVN983057:LVN983058 MFJ983057:MFJ983058 MPF983057:MPF983058 MZB983057:MZB983058 NIX983057:NIX983058 NST983057:NST983058 OCP983057:OCP983058 OML983057:OML983058 OWH983057:OWH983058 PGD983057:PGD983058 PPZ983057:PPZ983058 PZV983057:PZV983058 QJR983057:QJR983058 QTN983057:QTN983058 RDJ983057:RDJ983058 RNF983057:RNF983058 RXB983057:RXB983058 SGX983057:SGX983058 SQT983057:SQT983058 TAP983057:TAP983058 TKL983057:TKL983058 TUH983057:TUH983058 UED983057:UED983058 UNZ983057:UNZ983058 UXV983057:UXV983058 VHR983057:VHR983058 VRN983057:VRN983058 WBJ983057:WBJ983058 WLF983057:WLF983058 WVB983057:WVB983058" xr:uid="{00000000-0002-0000-0100-000001000000}">
      <formula1>1</formula1>
    </dataValidation>
    <dataValidation allowBlank="1" showInputMessage="1" showErrorMessage="1" promptTitle="Extra Payments" prompt="Enter an amount here if you want to make additional principal payments every pay period._x000a__x000a_For occasional extra payments, enter the extra principal amounts directly in the 'Extra Payment' column below." sqref="D19 IP19 SL19 ACH19 AMD19 AVZ19 BFV19 BPR19 BZN19 CJJ19 CTF19 DDB19 DMX19 DWT19 EGP19 EQL19 FAH19 FKD19 FTZ19 GDV19 GNR19 GXN19 HHJ19 HRF19 IBB19 IKX19 IUT19 JEP19 JOL19 JYH19 KID19 KRZ19 LBV19 LLR19 LVN19 MFJ19 MPF19 MZB19 NIX19 NST19 OCP19 OML19 OWH19 PGD19 PPZ19 PZV19 QJR19 QTN19 RDJ19 RNF19 RXB19 SGX19 SQT19 TAP19 TKL19 TUH19 UED19 UNZ19 UXV19 VHR19 VRN19 WBJ19 WLF19 WVB19 D65555 IP65555 SL65555 ACH65555 AMD65555 AVZ65555 BFV65555 BPR65555 BZN65555 CJJ65555 CTF65555 DDB65555 DMX65555 DWT65555 EGP65555 EQL65555 FAH65555 FKD65555 FTZ65555 GDV65555 GNR65555 GXN65555 HHJ65555 HRF65555 IBB65555 IKX65555 IUT65555 JEP65555 JOL65555 JYH65555 KID65555 KRZ65555 LBV65555 LLR65555 LVN65555 MFJ65555 MPF65555 MZB65555 NIX65555 NST65555 OCP65555 OML65555 OWH65555 PGD65555 PPZ65555 PZV65555 QJR65555 QTN65555 RDJ65555 RNF65555 RXB65555 SGX65555 SQT65555 TAP65555 TKL65555 TUH65555 UED65555 UNZ65555 UXV65555 VHR65555 VRN65555 WBJ65555 WLF65555 WVB65555 D131091 IP131091 SL131091 ACH131091 AMD131091 AVZ131091 BFV131091 BPR131091 BZN131091 CJJ131091 CTF131091 DDB131091 DMX131091 DWT131091 EGP131091 EQL131091 FAH131091 FKD131091 FTZ131091 GDV131091 GNR131091 GXN131091 HHJ131091 HRF131091 IBB131091 IKX131091 IUT131091 JEP131091 JOL131091 JYH131091 KID131091 KRZ131091 LBV131091 LLR131091 LVN131091 MFJ131091 MPF131091 MZB131091 NIX131091 NST131091 OCP131091 OML131091 OWH131091 PGD131091 PPZ131091 PZV131091 QJR131091 QTN131091 RDJ131091 RNF131091 RXB131091 SGX131091 SQT131091 TAP131091 TKL131091 TUH131091 UED131091 UNZ131091 UXV131091 VHR131091 VRN131091 WBJ131091 WLF131091 WVB131091 D196627 IP196627 SL196627 ACH196627 AMD196627 AVZ196627 BFV196627 BPR196627 BZN196627 CJJ196627 CTF196627 DDB196627 DMX196627 DWT196627 EGP196627 EQL196627 FAH196627 FKD196627 FTZ196627 GDV196627 GNR196627 GXN196627 HHJ196627 HRF196627 IBB196627 IKX196627 IUT196627 JEP196627 JOL196627 JYH196627 KID196627 KRZ196627 LBV196627 LLR196627 LVN196627 MFJ196627 MPF196627 MZB196627 NIX196627 NST196627 OCP196627 OML196627 OWH196627 PGD196627 PPZ196627 PZV196627 QJR196627 QTN196627 RDJ196627 RNF196627 RXB196627 SGX196627 SQT196627 TAP196627 TKL196627 TUH196627 UED196627 UNZ196627 UXV196627 VHR196627 VRN196627 WBJ196627 WLF196627 WVB196627 D262163 IP262163 SL262163 ACH262163 AMD262163 AVZ262163 BFV262163 BPR262163 BZN262163 CJJ262163 CTF262163 DDB262163 DMX262163 DWT262163 EGP262163 EQL262163 FAH262163 FKD262163 FTZ262163 GDV262163 GNR262163 GXN262163 HHJ262163 HRF262163 IBB262163 IKX262163 IUT262163 JEP262163 JOL262163 JYH262163 KID262163 KRZ262163 LBV262163 LLR262163 LVN262163 MFJ262163 MPF262163 MZB262163 NIX262163 NST262163 OCP262163 OML262163 OWH262163 PGD262163 PPZ262163 PZV262163 QJR262163 QTN262163 RDJ262163 RNF262163 RXB262163 SGX262163 SQT262163 TAP262163 TKL262163 TUH262163 UED262163 UNZ262163 UXV262163 VHR262163 VRN262163 WBJ262163 WLF262163 WVB262163 D327699 IP327699 SL327699 ACH327699 AMD327699 AVZ327699 BFV327699 BPR327699 BZN327699 CJJ327699 CTF327699 DDB327699 DMX327699 DWT327699 EGP327699 EQL327699 FAH327699 FKD327699 FTZ327699 GDV327699 GNR327699 GXN327699 HHJ327699 HRF327699 IBB327699 IKX327699 IUT327699 JEP327699 JOL327699 JYH327699 KID327699 KRZ327699 LBV327699 LLR327699 LVN327699 MFJ327699 MPF327699 MZB327699 NIX327699 NST327699 OCP327699 OML327699 OWH327699 PGD327699 PPZ327699 PZV327699 QJR327699 QTN327699 RDJ327699 RNF327699 RXB327699 SGX327699 SQT327699 TAP327699 TKL327699 TUH327699 UED327699 UNZ327699 UXV327699 VHR327699 VRN327699 WBJ327699 WLF327699 WVB327699 D393235 IP393235 SL393235 ACH393235 AMD393235 AVZ393235 BFV393235 BPR393235 BZN393235 CJJ393235 CTF393235 DDB393235 DMX393235 DWT393235 EGP393235 EQL393235 FAH393235 FKD393235 FTZ393235 GDV393235 GNR393235 GXN393235 HHJ393235 HRF393235 IBB393235 IKX393235 IUT393235 JEP393235 JOL393235 JYH393235 KID393235 KRZ393235 LBV393235 LLR393235 LVN393235 MFJ393235 MPF393235 MZB393235 NIX393235 NST393235 OCP393235 OML393235 OWH393235 PGD393235 PPZ393235 PZV393235 QJR393235 QTN393235 RDJ393235 RNF393235 RXB393235 SGX393235 SQT393235 TAP393235 TKL393235 TUH393235 UED393235 UNZ393235 UXV393235 VHR393235 VRN393235 WBJ393235 WLF393235 WVB393235 D458771 IP458771 SL458771 ACH458771 AMD458771 AVZ458771 BFV458771 BPR458771 BZN458771 CJJ458771 CTF458771 DDB458771 DMX458771 DWT458771 EGP458771 EQL458771 FAH458771 FKD458771 FTZ458771 GDV458771 GNR458771 GXN458771 HHJ458771 HRF458771 IBB458771 IKX458771 IUT458771 JEP458771 JOL458771 JYH458771 KID458771 KRZ458771 LBV458771 LLR458771 LVN458771 MFJ458771 MPF458771 MZB458771 NIX458771 NST458771 OCP458771 OML458771 OWH458771 PGD458771 PPZ458771 PZV458771 QJR458771 QTN458771 RDJ458771 RNF458771 RXB458771 SGX458771 SQT458771 TAP458771 TKL458771 TUH458771 UED458771 UNZ458771 UXV458771 VHR458771 VRN458771 WBJ458771 WLF458771 WVB458771 D524307 IP524307 SL524307 ACH524307 AMD524307 AVZ524307 BFV524307 BPR524307 BZN524307 CJJ524307 CTF524307 DDB524307 DMX524307 DWT524307 EGP524307 EQL524307 FAH524307 FKD524307 FTZ524307 GDV524307 GNR524307 GXN524307 HHJ524307 HRF524307 IBB524307 IKX524307 IUT524307 JEP524307 JOL524307 JYH524307 KID524307 KRZ524307 LBV524307 LLR524307 LVN524307 MFJ524307 MPF524307 MZB524307 NIX524307 NST524307 OCP524307 OML524307 OWH524307 PGD524307 PPZ524307 PZV524307 QJR524307 QTN524307 RDJ524307 RNF524307 RXB524307 SGX524307 SQT524307 TAP524307 TKL524307 TUH524307 UED524307 UNZ524307 UXV524307 VHR524307 VRN524307 WBJ524307 WLF524307 WVB524307 D589843 IP589843 SL589843 ACH589843 AMD589843 AVZ589843 BFV589843 BPR589843 BZN589843 CJJ589843 CTF589843 DDB589843 DMX589843 DWT589843 EGP589843 EQL589843 FAH589843 FKD589843 FTZ589843 GDV589843 GNR589843 GXN589843 HHJ589843 HRF589843 IBB589843 IKX589843 IUT589843 JEP589843 JOL589843 JYH589843 KID589843 KRZ589843 LBV589843 LLR589843 LVN589843 MFJ589843 MPF589843 MZB589843 NIX589843 NST589843 OCP589843 OML589843 OWH589843 PGD589843 PPZ589843 PZV589843 QJR589843 QTN589843 RDJ589843 RNF589843 RXB589843 SGX589843 SQT589843 TAP589843 TKL589843 TUH589843 UED589843 UNZ589843 UXV589843 VHR589843 VRN589843 WBJ589843 WLF589843 WVB589843 D655379 IP655379 SL655379 ACH655379 AMD655379 AVZ655379 BFV655379 BPR655379 BZN655379 CJJ655379 CTF655379 DDB655379 DMX655379 DWT655379 EGP655379 EQL655379 FAH655379 FKD655379 FTZ655379 GDV655379 GNR655379 GXN655379 HHJ655379 HRF655379 IBB655379 IKX655379 IUT655379 JEP655379 JOL655379 JYH655379 KID655379 KRZ655379 LBV655379 LLR655379 LVN655379 MFJ655379 MPF655379 MZB655379 NIX655379 NST655379 OCP655379 OML655379 OWH655379 PGD655379 PPZ655379 PZV655379 QJR655379 QTN655379 RDJ655379 RNF655379 RXB655379 SGX655379 SQT655379 TAP655379 TKL655379 TUH655379 UED655379 UNZ655379 UXV655379 VHR655379 VRN655379 WBJ655379 WLF655379 WVB655379 D720915 IP720915 SL720915 ACH720915 AMD720915 AVZ720915 BFV720915 BPR720915 BZN720915 CJJ720915 CTF720915 DDB720915 DMX720915 DWT720915 EGP720915 EQL720915 FAH720915 FKD720915 FTZ720915 GDV720915 GNR720915 GXN720915 HHJ720915 HRF720915 IBB720915 IKX720915 IUT720915 JEP720915 JOL720915 JYH720915 KID720915 KRZ720915 LBV720915 LLR720915 LVN720915 MFJ720915 MPF720915 MZB720915 NIX720915 NST720915 OCP720915 OML720915 OWH720915 PGD720915 PPZ720915 PZV720915 QJR720915 QTN720915 RDJ720915 RNF720915 RXB720915 SGX720915 SQT720915 TAP720915 TKL720915 TUH720915 UED720915 UNZ720915 UXV720915 VHR720915 VRN720915 WBJ720915 WLF720915 WVB720915 D786451 IP786451 SL786451 ACH786451 AMD786451 AVZ786451 BFV786451 BPR786451 BZN786451 CJJ786451 CTF786451 DDB786451 DMX786451 DWT786451 EGP786451 EQL786451 FAH786451 FKD786451 FTZ786451 GDV786451 GNR786451 GXN786451 HHJ786451 HRF786451 IBB786451 IKX786451 IUT786451 JEP786451 JOL786451 JYH786451 KID786451 KRZ786451 LBV786451 LLR786451 LVN786451 MFJ786451 MPF786451 MZB786451 NIX786451 NST786451 OCP786451 OML786451 OWH786451 PGD786451 PPZ786451 PZV786451 QJR786451 QTN786451 RDJ786451 RNF786451 RXB786451 SGX786451 SQT786451 TAP786451 TKL786451 TUH786451 UED786451 UNZ786451 UXV786451 VHR786451 VRN786451 WBJ786451 WLF786451 WVB786451 D851987 IP851987 SL851987 ACH851987 AMD851987 AVZ851987 BFV851987 BPR851987 BZN851987 CJJ851987 CTF851987 DDB851987 DMX851987 DWT851987 EGP851987 EQL851987 FAH851987 FKD851987 FTZ851987 GDV851987 GNR851987 GXN851987 HHJ851987 HRF851987 IBB851987 IKX851987 IUT851987 JEP851987 JOL851987 JYH851987 KID851987 KRZ851987 LBV851987 LLR851987 LVN851987 MFJ851987 MPF851987 MZB851987 NIX851987 NST851987 OCP851987 OML851987 OWH851987 PGD851987 PPZ851987 PZV851987 QJR851987 QTN851987 RDJ851987 RNF851987 RXB851987 SGX851987 SQT851987 TAP851987 TKL851987 TUH851987 UED851987 UNZ851987 UXV851987 VHR851987 VRN851987 WBJ851987 WLF851987 WVB851987 D917523 IP917523 SL917523 ACH917523 AMD917523 AVZ917523 BFV917523 BPR917523 BZN917523 CJJ917523 CTF917523 DDB917523 DMX917523 DWT917523 EGP917523 EQL917523 FAH917523 FKD917523 FTZ917523 GDV917523 GNR917523 GXN917523 HHJ917523 HRF917523 IBB917523 IKX917523 IUT917523 JEP917523 JOL917523 JYH917523 KID917523 KRZ917523 LBV917523 LLR917523 LVN917523 MFJ917523 MPF917523 MZB917523 NIX917523 NST917523 OCP917523 OML917523 OWH917523 PGD917523 PPZ917523 PZV917523 QJR917523 QTN917523 RDJ917523 RNF917523 RXB917523 SGX917523 SQT917523 TAP917523 TKL917523 TUH917523 UED917523 UNZ917523 UXV917523 VHR917523 VRN917523 WBJ917523 WLF917523 WVB917523 D983059 IP983059 SL983059 ACH983059 AMD983059 AVZ983059 BFV983059 BPR983059 BZN983059 CJJ983059 CTF983059 DDB983059 DMX983059 DWT983059 EGP983059 EQL983059 FAH983059 FKD983059 FTZ983059 GDV983059 GNR983059 GXN983059 HHJ983059 HRF983059 IBB983059 IKX983059 IUT983059 JEP983059 JOL983059 JYH983059 KID983059 KRZ983059 LBV983059 LLR983059 LVN983059 MFJ983059 MPF983059 MZB983059 NIX983059 NST983059 OCP983059 OML983059 OWH983059 PGD983059 PPZ983059 PZV983059 QJR983059 QTN983059 RDJ983059 RNF983059 RXB983059 SGX983059 SQT983059 TAP983059 TKL983059 TUH983059 UED983059 UNZ983059 UXV983059 VHR983059 VRN983059 WBJ983059 WLF983059 WVB983059" xr:uid="{00000000-0002-0000-0100-000002000000}"/>
  </dataValidations>
  <printOptions horizontalCentered="1"/>
  <pageMargins left="0.25" right="0.25" top="0.75" bottom="0.75" header="0.3" footer="0.3"/>
  <pageSetup paperSize="5" scale="70"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8">
    <tabColor rgb="FFFFC000"/>
  </sheetPr>
  <dimension ref="A1:AU1000"/>
  <sheetViews>
    <sheetView zoomScale="85" zoomScaleNormal="85" workbookViewId="0">
      <pane xSplit="4" ySplit="6" topLeftCell="Q7" activePane="bottomRight" state="frozen"/>
      <selection pane="bottomRight" activeCell="S2" sqref="S2"/>
      <selection pane="bottomLeft" activeCell="A7" sqref="A7"/>
      <selection pane="topRight" activeCell="E1" sqref="E1"/>
    </sheetView>
  </sheetViews>
  <sheetFormatPr defaultColWidth="14.42578125" defaultRowHeight="14.45"/>
  <cols>
    <col min="1" max="1" width="14.5703125" customWidth="1"/>
    <col min="2" max="2" width="11.85546875" hidden="1" customWidth="1"/>
    <col min="3" max="3" width="11.85546875" customWidth="1"/>
    <col min="4" max="4" width="9" customWidth="1"/>
    <col min="5" max="5" width="10.85546875" customWidth="1"/>
    <col min="6" max="6" width="14.140625" customWidth="1"/>
    <col min="7" max="8" width="14.140625" style="132" customWidth="1"/>
    <col min="9" max="10" width="13.85546875" style="132" customWidth="1"/>
    <col min="11" max="11" width="13.85546875" style="769" customWidth="1"/>
    <col min="12" max="12" width="13.85546875" style="780" customWidth="1"/>
    <col min="13" max="13" width="13.85546875" customWidth="1"/>
    <col min="14" max="15" width="13.85546875" style="753" hidden="1" customWidth="1"/>
    <col min="16" max="16" width="13.85546875" customWidth="1"/>
    <col min="17" max="17" width="11.5703125" bestFit="1" customWidth="1"/>
    <col min="18" max="18" width="18.140625" style="130" customWidth="1"/>
    <col min="19" max="19" width="13.85546875" style="746" bestFit="1" customWidth="1"/>
    <col min="20" max="22" width="14.42578125" customWidth="1"/>
    <col min="23" max="23" width="11" customWidth="1"/>
    <col min="24" max="24" width="13.140625" customWidth="1"/>
    <col min="25" max="25" width="16.42578125" bestFit="1" customWidth="1"/>
    <col min="26" max="26" width="12.42578125" customWidth="1"/>
    <col min="27" max="27" width="12.140625" customWidth="1"/>
    <col min="28" max="28" width="11.85546875" customWidth="1"/>
    <col min="29" max="29" width="11.140625" customWidth="1"/>
    <col min="30" max="30" width="8.85546875" customWidth="1"/>
    <col min="31" max="31" width="17" customWidth="1"/>
    <col min="32" max="32" width="17.42578125" bestFit="1" customWidth="1"/>
    <col min="33" max="33" width="15.140625" customWidth="1"/>
    <col min="34" max="34" width="11" customWidth="1"/>
    <col min="35" max="35" width="15.42578125" customWidth="1"/>
    <col min="36" max="36" width="13.42578125" customWidth="1"/>
    <col min="37" max="38" width="8.85546875" customWidth="1"/>
    <col min="39" max="39" width="9.85546875" customWidth="1"/>
    <col min="40" max="40" width="14.42578125" style="153"/>
    <col min="41" max="41" width="17.85546875" style="150" customWidth="1"/>
    <col min="42" max="42" width="15.5703125" style="150" customWidth="1"/>
    <col min="43" max="43" width="7.140625" customWidth="1"/>
    <col min="44" max="46" width="9.85546875" customWidth="1"/>
    <col min="47" max="47" width="12.5703125" customWidth="1"/>
  </cols>
  <sheetData>
    <row r="1" spans="1:47" ht="14.25" customHeight="1">
      <c r="A1" s="502" t="s">
        <v>51</v>
      </c>
      <c r="B1" s="502"/>
      <c r="C1" s="502"/>
      <c r="D1" s="503"/>
      <c r="L1" s="776"/>
      <c r="R1" s="130" t="s">
        <v>52</v>
      </c>
      <c r="S1" s="741"/>
      <c r="W1" s="503"/>
    </row>
    <row r="2" spans="1:47" ht="14.25" customHeight="1">
      <c r="A2" s="502" t="s">
        <v>53</v>
      </c>
      <c r="B2" s="502"/>
      <c r="C2" s="502"/>
      <c r="D2" s="503"/>
      <c r="L2" s="776"/>
      <c r="R2" s="130" t="s">
        <v>54</v>
      </c>
      <c r="S2" s="554">
        <v>3199200</v>
      </c>
      <c r="W2" s="503"/>
    </row>
    <row r="3" spans="1:47" ht="14.25" customHeight="1">
      <c r="A3" s="502" t="s">
        <v>55</v>
      </c>
      <c r="B3" s="502"/>
      <c r="C3" s="502"/>
      <c r="D3" s="503"/>
      <c r="J3" s="751" t="s">
        <v>56</v>
      </c>
      <c r="L3" s="776"/>
      <c r="S3" s="741"/>
      <c r="W3" s="503"/>
    </row>
    <row r="4" spans="1:47" ht="14.25" customHeight="1">
      <c r="A4" s="773" t="s">
        <v>57</v>
      </c>
      <c r="B4" s="502"/>
      <c r="C4" s="502"/>
      <c r="D4" s="503"/>
      <c r="G4" s="726" t="s">
        <v>58</v>
      </c>
      <c r="H4" s="726" t="s">
        <v>58</v>
      </c>
      <c r="I4" s="726" t="s">
        <v>58</v>
      </c>
      <c r="J4" s="726" t="s">
        <v>58</v>
      </c>
      <c r="K4" s="770"/>
      <c r="L4" s="777"/>
      <c r="M4" s="504">
        <v>100000</v>
      </c>
      <c r="N4" s="754" t="s">
        <v>59</v>
      </c>
      <c r="O4" s="754" t="s">
        <v>59</v>
      </c>
      <c r="P4" s="504"/>
      <c r="Q4" s="505"/>
      <c r="S4" s="742"/>
      <c r="T4" s="534"/>
      <c r="U4" s="534"/>
      <c r="V4" s="534"/>
      <c r="W4" s="506"/>
      <c r="AA4" s="506" t="s">
        <v>60</v>
      </c>
    </row>
    <row r="5" spans="1:47" s="288" customFormat="1" ht="14.25" customHeight="1" thickBot="1">
      <c r="A5" s="570"/>
      <c r="B5" s="570"/>
      <c r="C5" s="570"/>
      <c r="D5" s="570"/>
      <c r="E5" s="570"/>
      <c r="F5" s="570"/>
      <c r="G5" s="570"/>
      <c r="H5" s="752">
        <v>5000</v>
      </c>
      <c r="I5" s="751">
        <v>0.12</v>
      </c>
      <c r="J5" s="751">
        <v>0.91</v>
      </c>
      <c r="K5" s="771" t="s">
        <v>56</v>
      </c>
      <c r="L5" s="778" t="s">
        <v>56</v>
      </c>
      <c r="M5" s="507">
        <v>90000</v>
      </c>
      <c r="N5" s="755"/>
      <c r="O5" s="755"/>
      <c r="P5" s="759">
        <v>7.4999999999999997E-2</v>
      </c>
      <c r="Q5" s="760">
        <v>2.5000000000000001E-2</v>
      </c>
      <c r="R5" s="570"/>
      <c r="S5" s="761">
        <v>0.1</v>
      </c>
      <c r="T5" s="506"/>
      <c r="U5" s="571">
        <v>15000</v>
      </c>
      <c r="V5" s="506"/>
      <c r="W5" s="750">
        <v>22</v>
      </c>
      <c r="X5" s="570"/>
      <c r="Y5" s="570"/>
      <c r="Z5" s="570">
        <v>7.7529893561887461E-3</v>
      </c>
      <c r="AA5" s="508">
        <v>8.9882826999999992E-3</v>
      </c>
      <c r="AB5" s="550">
        <v>1.1610847921862406E-2</v>
      </c>
      <c r="AC5" s="550">
        <v>1.9801198540349535E-2</v>
      </c>
      <c r="AD5" s="570"/>
      <c r="AE5" s="570"/>
      <c r="AF5" s="570"/>
      <c r="AG5" s="570"/>
      <c r="AH5" s="570"/>
      <c r="AI5" s="570"/>
      <c r="AJ5" s="570"/>
      <c r="AK5" s="570"/>
      <c r="AL5" s="570"/>
      <c r="AM5" s="570"/>
      <c r="AN5" s="600"/>
      <c r="AO5" s="767"/>
      <c r="AP5" s="767"/>
    </row>
    <row r="6" spans="1:47" ht="52.5" thickBot="1">
      <c r="A6" s="734" t="s">
        <v>61</v>
      </c>
      <c r="B6" s="735" t="s">
        <v>62</v>
      </c>
      <c r="C6" s="735" t="s">
        <v>63</v>
      </c>
      <c r="D6" s="736" t="s">
        <v>64</v>
      </c>
      <c r="E6" s="736" t="s">
        <v>65</v>
      </c>
      <c r="F6" s="737" t="s">
        <v>66</v>
      </c>
      <c r="G6" s="722" t="s">
        <v>67</v>
      </c>
      <c r="H6" s="723" t="s">
        <v>68</v>
      </c>
      <c r="I6" s="740" t="s">
        <v>69</v>
      </c>
      <c r="J6" s="740" t="s">
        <v>70</v>
      </c>
      <c r="K6" s="774" t="s">
        <v>71</v>
      </c>
      <c r="L6" s="775" t="s">
        <v>71</v>
      </c>
      <c r="M6" s="738" t="s">
        <v>72</v>
      </c>
      <c r="N6" s="756" t="s">
        <v>73</v>
      </c>
      <c r="O6" s="756" t="s">
        <v>74</v>
      </c>
      <c r="P6" s="739" t="s">
        <v>75</v>
      </c>
      <c r="Q6" s="736" t="s">
        <v>76</v>
      </c>
      <c r="R6" s="736" t="s">
        <v>77</v>
      </c>
      <c r="S6" s="743" t="s">
        <v>78</v>
      </c>
      <c r="T6" s="736" t="s">
        <v>79</v>
      </c>
      <c r="U6" s="736" t="s">
        <v>80</v>
      </c>
      <c r="V6" s="736" t="s">
        <v>81</v>
      </c>
      <c r="W6" s="738" t="s">
        <v>82</v>
      </c>
      <c r="X6" s="736" t="s">
        <v>83</v>
      </c>
      <c r="Y6" s="736" t="s">
        <v>84</v>
      </c>
      <c r="Z6" s="551" t="s">
        <v>85</v>
      </c>
      <c r="AA6" s="551" t="s">
        <v>86</v>
      </c>
      <c r="AB6" s="551" t="s">
        <v>87</v>
      </c>
      <c r="AC6" s="552" t="s">
        <v>88</v>
      </c>
      <c r="AD6" s="509"/>
      <c r="AE6" s="1333" t="s">
        <v>89</v>
      </c>
      <c r="AF6" s="1334"/>
      <c r="AG6" s="1859"/>
      <c r="AH6" s="1859"/>
      <c r="AI6" s="1859"/>
      <c r="AJ6" s="1860"/>
      <c r="AK6" s="509"/>
      <c r="AL6" s="509"/>
      <c r="AM6" s="794"/>
      <c r="AN6" s="795" t="s">
        <v>90</v>
      </c>
      <c r="AR6" s="1335" t="s">
        <v>91</v>
      </c>
      <c r="AS6" s="1335"/>
      <c r="AT6" s="1335"/>
    </row>
    <row r="7" spans="1:47" ht="14.25" customHeight="1">
      <c r="A7" s="727" t="s">
        <v>92</v>
      </c>
      <c r="B7" s="728">
        <f>M7/E7</f>
        <v>105880.04545454546</v>
      </c>
      <c r="C7" s="729" t="s">
        <v>93</v>
      </c>
      <c r="D7" s="729" t="s">
        <v>94</v>
      </c>
      <c r="E7" s="729">
        <v>22</v>
      </c>
      <c r="F7" s="730" t="s">
        <v>95</v>
      </c>
      <c r="G7" s="731">
        <v>2000000</v>
      </c>
      <c r="H7" s="732">
        <f>H$5*E7</f>
        <v>110000</v>
      </c>
      <c r="I7" s="731">
        <f>H7*I$5</f>
        <v>13200</v>
      </c>
      <c r="J7" s="731">
        <f>+(N7+O7)*$J$5</f>
        <v>63700</v>
      </c>
      <c r="K7" s="772">
        <v>75000</v>
      </c>
      <c r="L7" s="779">
        <f>(G7+H7+J7+K7)*3%</f>
        <v>67461</v>
      </c>
      <c r="M7" s="733">
        <f>G7+H7+I7+J7+K7+L7</f>
        <v>2329361</v>
      </c>
      <c r="N7" s="757">
        <v>20000</v>
      </c>
      <c r="O7" s="757">
        <v>50000</v>
      </c>
      <c r="P7" s="733">
        <f>M7*P$5</f>
        <v>174702.07499999998</v>
      </c>
      <c r="Q7" s="728">
        <f>M7*Q$5</f>
        <v>58234.025000000001</v>
      </c>
      <c r="R7" s="728">
        <f>+M7+P7+Q7</f>
        <v>2562297.1</v>
      </c>
      <c r="S7" s="744">
        <f>S$5</f>
        <v>0.1</v>
      </c>
      <c r="T7" s="728">
        <f>R7*S7</f>
        <v>256229.71000000002</v>
      </c>
      <c r="U7" s="733">
        <f>U$5</f>
        <v>15000</v>
      </c>
      <c r="V7" s="728">
        <f>T7-U7</f>
        <v>241229.71000000002</v>
      </c>
      <c r="W7" s="729">
        <f>W$5</f>
        <v>22</v>
      </c>
      <c r="X7" s="728">
        <f>V7/W7</f>
        <v>10964.986818181818</v>
      </c>
      <c r="Y7" s="728">
        <f>R7-T7</f>
        <v>2306067.39</v>
      </c>
      <c r="Z7" s="728">
        <f>Y7*Z$5</f>
        <v>17878.915929323965</v>
      </c>
      <c r="AA7" s="553">
        <f>Y7*AA$5</f>
        <v>20727.585626571152</v>
      </c>
      <c r="AB7" s="553">
        <f>Y7*AB$5</f>
        <v>26775.397762856166</v>
      </c>
      <c r="AC7" s="553">
        <f>Y7*AC$5</f>
        <v>45662.898236815665</v>
      </c>
      <c r="AD7" s="544"/>
      <c r="AE7" s="510" t="s">
        <v>81</v>
      </c>
      <c r="AF7" s="556"/>
      <c r="AG7" s="511">
        <f>V7</f>
        <v>241229.71000000002</v>
      </c>
      <c r="AH7" s="512"/>
      <c r="AI7" s="512"/>
      <c r="AJ7" s="513"/>
      <c r="AN7" s="768" t="s">
        <v>96</v>
      </c>
      <c r="AR7" s="765">
        <v>1</v>
      </c>
      <c r="AS7" s="765" t="s">
        <v>97</v>
      </c>
      <c r="AT7" s="765">
        <v>22</v>
      </c>
      <c r="AU7" s="766">
        <f>AT7-E7</f>
        <v>0</v>
      </c>
    </row>
    <row r="8" spans="1:47" ht="14.25" customHeight="1">
      <c r="A8" s="546" t="s">
        <v>92</v>
      </c>
      <c r="B8" s="549">
        <f t="shared" ref="B8:B71" si="0">M8/E8</f>
        <v>105880.04545454546</v>
      </c>
      <c r="C8" s="533" t="s">
        <v>93</v>
      </c>
      <c r="D8" s="533" t="s">
        <v>98</v>
      </c>
      <c r="E8" s="533">
        <v>22</v>
      </c>
      <c r="F8" s="545" t="s">
        <v>95</v>
      </c>
      <c r="G8" s="724">
        <v>2000000</v>
      </c>
      <c r="H8" s="725">
        <f t="shared" ref="H8:H71" si="1">H$5*E8</f>
        <v>110000</v>
      </c>
      <c r="I8" s="724">
        <f t="shared" ref="I8:I71" si="2">H8*I$5</f>
        <v>13200</v>
      </c>
      <c r="J8" s="731">
        <f t="shared" ref="J8:J71" si="3">+(N8+O8)*$J$5</f>
        <v>63700</v>
      </c>
      <c r="K8" s="772">
        <v>75000</v>
      </c>
      <c r="L8" s="779">
        <f t="shared" ref="L8:L71" si="4">(G8+H8+J8+K8)*3%</f>
        <v>67461</v>
      </c>
      <c r="M8" s="733">
        <f t="shared" ref="M8:M71" si="5">G8+H8+I8+J8+K8+L8</f>
        <v>2329361</v>
      </c>
      <c r="N8" s="758">
        <v>20000</v>
      </c>
      <c r="O8" s="758">
        <v>50000</v>
      </c>
      <c r="P8" s="548">
        <f t="shared" ref="P8:P15" si="6">M8*P$5</f>
        <v>174702.07499999998</v>
      </c>
      <c r="Q8" s="549">
        <f>M8*Q$5</f>
        <v>58234.025000000001</v>
      </c>
      <c r="R8" s="728">
        <f t="shared" ref="R8:R17" si="7">+M8+P8+Q8</f>
        <v>2562297.1</v>
      </c>
      <c r="S8" s="745">
        <f t="shared" ref="S8:S71" si="8">S$5</f>
        <v>0.1</v>
      </c>
      <c r="T8" s="549">
        <f t="shared" ref="T8:T71" si="9">R8*S8</f>
        <v>256229.71000000002</v>
      </c>
      <c r="U8" s="548">
        <f t="shared" ref="U8:U71" si="10">U$5</f>
        <v>15000</v>
      </c>
      <c r="V8" s="549">
        <f t="shared" ref="V8:V71" si="11">T8-U8</f>
        <v>241229.71000000002</v>
      </c>
      <c r="W8" s="533">
        <f t="shared" ref="W8:W71" si="12">W$5</f>
        <v>22</v>
      </c>
      <c r="X8" s="549">
        <f t="shared" ref="X8:X71" si="13">V8/W8</f>
        <v>10964.986818181818</v>
      </c>
      <c r="Y8" s="549">
        <f t="shared" ref="Y8:Y71" si="14">R8-T8</f>
        <v>2306067.39</v>
      </c>
      <c r="Z8" s="728">
        <f t="shared" ref="Z8:Z71" si="15">Y8*Z$5</f>
        <v>17878.915929323965</v>
      </c>
      <c r="AA8" s="553">
        <f t="shared" ref="AA8:AA71" si="16">Y8*AA$5</f>
        <v>20727.585626571152</v>
      </c>
      <c r="AB8" s="553">
        <f t="shared" ref="AB8:AB71" si="17">Y8*AB$5</f>
        <v>26775.397762856166</v>
      </c>
      <c r="AC8" s="553">
        <f t="shared" ref="AC8:AC71" si="18">Y8*AC$5</f>
        <v>45662.898236815665</v>
      </c>
      <c r="AD8" s="544"/>
      <c r="AE8" s="518"/>
      <c r="AF8" s="559" t="s">
        <v>99</v>
      </c>
      <c r="AG8" s="519" t="s">
        <v>100</v>
      </c>
      <c r="AH8" s="519" t="s">
        <v>101</v>
      </c>
      <c r="AI8" s="519" t="s">
        <v>102</v>
      </c>
      <c r="AJ8" s="520" t="s">
        <v>103</v>
      </c>
      <c r="AN8" s="768" t="s">
        <v>96</v>
      </c>
      <c r="AR8" s="765">
        <v>2</v>
      </c>
      <c r="AS8" s="765" t="s">
        <v>104</v>
      </c>
      <c r="AT8" s="765">
        <v>22</v>
      </c>
      <c r="AU8" s="766">
        <f t="shared" ref="AU8:AU71" si="19">AT8-E8</f>
        <v>0</v>
      </c>
    </row>
    <row r="9" spans="1:47" ht="14.25" customHeight="1">
      <c r="A9" s="546" t="s">
        <v>92</v>
      </c>
      <c r="B9" s="549">
        <f t="shared" si="0"/>
        <v>105880.04545454546</v>
      </c>
      <c r="C9" s="533" t="s">
        <v>93</v>
      </c>
      <c r="D9" s="533" t="s">
        <v>105</v>
      </c>
      <c r="E9" s="533">
        <v>22</v>
      </c>
      <c r="F9" s="545" t="s">
        <v>95</v>
      </c>
      <c r="G9" s="724">
        <v>2000000</v>
      </c>
      <c r="H9" s="725">
        <f t="shared" si="1"/>
        <v>110000</v>
      </c>
      <c r="I9" s="724">
        <f t="shared" si="2"/>
        <v>13200</v>
      </c>
      <c r="J9" s="731">
        <f t="shared" si="3"/>
        <v>63700</v>
      </c>
      <c r="K9" s="772">
        <v>75000</v>
      </c>
      <c r="L9" s="779">
        <f t="shared" si="4"/>
        <v>67461</v>
      </c>
      <c r="M9" s="733">
        <f t="shared" si="5"/>
        <v>2329361</v>
      </c>
      <c r="N9" s="758">
        <v>20000</v>
      </c>
      <c r="O9" s="758">
        <v>50000</v>
      </c>
      <c r="P9" s="548">
        <f t="shared" si="6"/>
        <v>174702.07499999998</v>
      </c>
      <c r="Q9" s="549">
        <f>M9*Q$5</f>
        <v>58234.025000000001</v>
      </c>
      <c r="R9" s="728">
        <f t="shared" si="7"/>
        <v>2562297.1</v>
      </c>
      <c r="S9" s="745">
        <f t="shared" si="8"/>
        <v>0.1</v>
      </c>
      <c r="T9" s="549">
        <f t="shared" si="9"/>
        <v>256229.71000000002</v>
      </c>
      <c r="U9" s="548">
        <f t="shared" si="10"/>
        <v>15000</v>
      </c>
      <c r="V9" s="549">
        <f t="shared" si="11"/>
        <v>241229.71000000002</v>
      </c>
      <c r="W9" s="533">
        <f t="shared" si="12"/>
        <v>22</v>
      </c>
      <c r="X9" s="549">
        <f t="shared" si="13"/>
        <v>10964.986818181818</v>
      </c>
      <c r="Y9" s="549">
        <f t="shared" si="14"/>
        <v>2306067.39</v>
      </c>
      <c r="Z9" s="728">
        <f t="shared" si="15"/>
        <v>17878.915929323965</v>
      </c>
      <c r="AA9" s="553">
        <f t="shared" si="16"/>
        <v>20727.585626571152</v>
      </c>
      <c r="AB9" s="553">
        <f t="shared" si="17"/>
        <v>26775.397762856166</v>
      </c>
      <c r="AC9" s="553">
        <f t="shared" si="18"/>
        <v>45662.898236815665</v>
      </c>
      <c r="AD9" s="544"/>
      <c r="AE9" s="518" t="s">
        <v>106</v>
      </c>
      <c r="AF9" s="561" t="s">
        <v>107</v>
      </c>
      <c r="AG9" s="516">
        <v>7</v>
      </c>
      <c r="AH9" s="515">
        <v>0.25</v>
      </c>
      <c r="AI9" s="514">
        <f>AG7*AH9</f>
        <v>60307.427500000005</v>
      </c>
      <c r="AJ9" s="517">
        <f>AI9/AG9</f>
        <v>8615.3467857142859</v>
      </c>
      <c r="AN9" s="768" t="s">
        <v>96</v>
      </c>
      <c r="AR9" s="765">
        <v>3</v>
      </c>
      <c r="AS9" s="765" t="s">
        <v>108</v>
      </c>
      <c r="AT9" s="765">
        <v>22</v>
      </c>
      <c r="AU9" s="766">
        <f t="shared" si="19"/>
        <v>0</v>
      </c>
    </row>
    <row r="10" spans="1:47" ht="14.25" customHeight="1">
      <c r="A10" s="546" t="s">
        <v>92</v>
      </c>
      <c r="B10" s="549">
        <f t="shared" si="0"/>
        <v>105880.04545454546</v>
      </c>
      <c r="C10" s="533" t="s">
        <v>93</v>
      </c>
      <c r="D10" s="533" t="s">
        <v>109</v>
      </c>
      <c r="E10" s="533">
        <v>22</v>
      </c>
      <c r="F10" s="545" t="s">
        <v>95</v>
      </c>
      <c r="G10" s="724">
        <v>2000000</v>
      </c>
      <c r="H10" s="725">
        <f t="shared" si="1"/>
        <v>110000</v>
      </c>
      <c r="I10" s="724">
        <f t="shared" si="2"/>
        <v>13200</v>
      </c>
      <c r="J10" s="731">
        <f t="shared" si="3"/>
        <v>63700</v>
      </c>
      <c r="K10" s="772">
        <v>75000</v>
      </c>
      <c r="L10" s="779">
        <f t="shared" si="4"/>
        <v>67461</v>
      </c>
      <c r="M10" s="733">
        <f t="shared" si="5"/>
        <v>2329361</v>
      </c>
      <c r="N10" s="758">
        <v>20000</v>
      </c>
      <c r="O10" s="758">
        <v>50000</v>
      </c>
      <c r="P10" s="548">
        <f t="shared" si="6"/>
        <v>174702.07499999998</v>
      </c>
      <c r="Q10" s="549">
        <f>M10*Q$5</f>
        <v>58234.025000000001</v>
      </c>
      <c r="R10" s="728">
        <f t="shared" si="7"/>
        <v>2562297.1</v>
      </c>
      <c r="S10" s="745">
        <f t="shared" si="8"/>
        <v>0.1</v>
      </c>
      <c r="T10" s="549">
        <f t="shared" si="9"/>
        <v>256229.71000000002</v>
      </c>
      <c r="U10" s="548">
        <f t="shared" si="10"/>
        <v>15000</v>
      </c>
      <c r="V10" s="549">
        <f t="shared" si="11"/>
        <v>241229.71000000002</v>
      </c>
      <c r="W10" s="533">
        <f t="shared" si="12"/>
        <v>22</v>
      </c>
      <c r="X10" s="549">
        <f t="shared" si="13"/>
        <v>10964.986818181818</v>
      </c>
      <c r="Y10" s="549">
        <f t="shared" si="14"/>
        <v>2306067.39</v>
      </c>
      <c r="Z10" s="728">
        <f t="shared" si="15"/>
        <v>17878.915929323965</v>
      </c>
      <c r="AA10" s="553">
        <f t="shared" si="16"/>
        <v>20727.585626571152</v>
      </c>
      <c r="AB10" s="553">
        <f t="shared" si="17"/>
        <v>26775.397762856166</v>
      </c>
      <c r="AC10" s="553">
        <f t="shared" si="18"/>
        <v>45662.898236815665</v>
      </c>
      <c r="AD10" s="544"/>
      <c r="AE10" s="518" t="s">
        <v>110</v>
      </c>
      <c r="AF10" s="561" t="s">
        <v>111</v>
      </c>
      <c r="AG10" s="516">
        <v>7</v>
      </c>
      <c r="AH10" s="515">
        <v>0.35</v>
      </c>
      <c r="AI10" s="514">
        <f>AG7*AH10</f>
        <v>84430.398499999996</v>
      </c>
      <c r="AJ10" s="517">
        <f>AI10/AG10</f>
        <v>12061.485499999999</v>
      </c>
      <c r="AN10" s="768" t="s">
        <v>96</v>
      </c>
      <c r="AR10" s="765">
        <v>4</v>
      </c>
      <c r="AS10" s="765" t="s">
        <v>112</v>
      </c>
      <c r="AT10" s="765">
        <v>22</v>
      </c>
      <c r="AU10" s="766">
        <f t="shared" si="19"/>
        <v>0</v>
      </c>
    </row>
    <row r="11" spans="1:47" ht="14.25" customHeight="1">
      <c r="A11" s="546" t="s">
        <v>92</v>
      </c>
      <c r="B11" s="549">
        <f t="shared" si="0"/>
        <v>105880.04545454546</v>
      </c>
      <c r="C11" s="533" t="s">
        <v>93</v>
      </c>
      <c r="D11" s="533" t="s">
        <v>113</v>
      </c>
      <c r="E11" s="533">
        <v>22</v>
      </c>
      <c r="F11" s="545" t="s">
        <v>95</v>
      </c>
      <c r="G11" s="724">
        <v>2000000</v>
      </c>
      <c r="H11" s="725">
        <f t="shared" si="1"/>
        <v>110000</v>
      </c>
      <c r="I11" s="724">
        <f t="shared" si="2"/>
        <v>13200</v>
      </c>
      <c r="J11" s="731">
        <f t="shared" si="3"/>
        <v>63700</v>
      </c>
      <c r="K11" s="772">
        <v>75000</v>
      </c>
      <c r="L11" s="779">
        <f t="shared" si="4"/>
        <v>67461</v>
      </c>
      <c r="M11" s="733">
        <f t="shared" si="5"/>
        <v>2329361</v>
      </c>
      <c r="N11" s="758">
        <v>20000</v>
      </c>
      <c r="O11" s="758">
        <v>50000</v>
      </c>
      <c r="P11" s="548">
        <f t="shared" si="6"/>
        <v>174702.07499999998</v>
      </c>
      <c r="Q11" s="549">
        <f t="shared" ref="Q11:Q71" si="20">M11*Q$5</f>
        <v>58234.025000000001</v>
      </c>
      <c r="R11" s="728">
        <f t="shared" si="7"/>
        <v>2562297.1</v>
      </c>
      <c r="S11" s="745">
        <f t="shared" si="8"/>
        <v>0.1</v>
      </c>
      <c r="T11" s="549">
        <f t="shared" si="9"/>
        <v>256229.71000000002</v>
      </c>
      <c r="U11" s="548">
        <f t="shared" si="10"/>
        <v>15000</v>
      </c>
      <c r="V11" s="549">
        <f t="shared" si="11"/>
        <v>241229.71000000002</v>
      </c>
      <c r="W11" s="533">
        <f t="shared" si="12"/>
        <v>22</v>
      </c>
      <c r="X11" s="549">
        <f t="shared" si="13"/>
        <v>10964.986818181818</v>
      </c>
      <c r="Y11" s="549">
        <f t="shared" si="14"/>
        <v>2306067.39</v>
      </c>
      <c r="Z11" s="728">
        <f t="shared" si="15"/>
        <v>17878.915929323965</v>
      </c>
      <c r="AA11" s="553">
        <f t="shared" si="16"/>
        <v>20727.585626571152</v>
      </c>
      <c r="AB11" s="553">
        <f t="shared" si="17"/>
        <v>26775.397762856166</v>
      </c>
      <c r="AC11" s="553">
        <f t="shared" si="18"/>
        <v>45662.898236815665</v>
      </c>
      <c r="AD11" s="544"/>
      <c r="AE11" s="518" t="s">
        <v>114</v>
      </c>
      <c r="AF11" s="561" t="s">
        <v>115</v>
      </c>
      <c r="AG11" s="516">
        <v>8</v>
      </c>
      <c r="AH11" s="515">
        <v>0.4</v>
      </c>
      <c r="AI11" s="514">
        <f>AG7*AH11</f>
        <v>96491.88400000002</v>
      </c>
      <c r="AJ11" s="517">
        <f>AI11/AG11</f>
        <v>12061.485500000003</v>
      </c>
      <c r="AN11" s="768" t="s">
        <v>96</v>
      </c>
      <c r="AR11" s="765">
        <v>5</v>
      </c>
      <c r="AS11" s="765" t="s">
        <v>116</v>
      </c>
      <c r="AT11" s="765">
        <v>22</v>
      </c>
      <c r="AU11" s="766">
        <f t="shared" si="19"/>
        <v>0</v>
      </c>
    </row>
    <row r="12" spans="1:47" ht="14.25" customHeight="1" thickBot="1">
      <c r="A12" s="546" t="s">
        <v>92</v>
      </c>
      <c r="B12" s="549">
        <f t="shared" si="0"/>
        <v>105880.04545454546</v>
      </c>
      <c r="C12" s="533" t="s">
        <v>117</v>
      </c>
      <c r="D12" s="533" t="s">
        <v>118</v>
      </c>
      <c r="E12" s="533">
        <v>22</v>
      </c>
      <c r="F12" s="545" t="s">
        <v>95</v>
      </c>
      <c r="G12" s="724">
        <v>2000000</v>
      </c>
      <c r="H12" s="725">
        <f t="shared" si="1"/>
        <v>110000</v>
      </c>
      <c r="I12" s="724">
        <f t="shared" si="2"/>
        <v>13200</v>
      </c>
      <c r="J12" s="731">
        <f t="shared" si="3"/>
        <v>63700</v>
      </c>
      <c r="K12" s="772">
        <v>75000</v>
      </c>
      <c r="L12" s="779">
        <f t="shared" si="4"/>
        <v>67461</v>
      </c>
      <c r="M12" s="733">
        <f t="shared" si="5"/>
        <v>2329361</v>
      </c>
      <c r="N12" s="758">
        <v>20000</v>
      </c>
      <c r="O12" s="758">
        <v>50000</v>
      </c>
      <c r="P12" s="548">
        <f t="shared" si="6"/>
        <v>174702.07499999998</v>
      </c>
      <c r="Q12" s="549">
        <f t="shared" si="20"/>
        <v>58234.025000000001</v>
      </c>
      <c r="R12" s="728">
        <f t="shared" si="7"/>
        <v>2562297.1</v>
      </c>
      <c r="S12" s="745">
        <f t="shared" si="8"/>
        <v>0.1</v>
      </c>
      <c r="T12" s="549">
        <f t="shared" si="9"/>
        <v>256229.71000000002</v>
      </c>
      <c r="U12" s="548">
        <f t="shared" si="10"/>
        <v>15000</v>
      </c>
      <c r="V12" s="549">
        <f t="shared" si="11"/>
        <v>241229.71000000002</v>
      </c>
      <c r="W12" s="533">
        <f t="shared" si="12"/>
        <v>22</v>
      </c>
      <c r="X12" s="549">
        <f t="shared" si="13"/>
        <v>10964.986818181818</v>
      </c>
      <c r="Y12" s="549">
        <f t="shared" si="14"/>
        <v>2306067.39</v>
      </c>
      <c r="Z12" s="728">
        <f t="shared" si="15"/>
        <v>17878.915929323965</v>
      </c>
      <c r="AA12" s="553">
        <f t="shared" si="16"/>
        <v>20727.585626571152</v>
      </c>
      <c r="AB12" s="553">
        <f t="shared" si="17"/>
        <v>26775.397762856166</v>
      </c>
      <c r="AC12" s="553">
        <f t="shared" si="18"/>
        <v>45662.898236815665</v>
      </c>
      <c r="AD12" s="544"/>
      <c r="AE12" s="521" t="s">
        <v>102</v>
      </c>
      <c r="AF12" s="560"/>
      <c r="AG12" s="522">
        <f>SUM(AG9:AG11)</f>
        <v>22</v>
      </c>
      <c r="AH12" s="523">
        <f>SUM(AH9:AH11)</f>
        <v>1</v>
      </c>
      <c r="AI12" s="524">
        <f>SUM(AI9:AI11)</f>
        <v>241229.71000000002</v>
      </c>
      <c r="AJ12" s="525"/>
      <c r="AN12" s="768" t="s">
        <v>96</v>
      </c>
      <c r="AR12" s="765">
        <v>6</v>
      </c>
      <c r="AS12" s="765" t="s">
        <v>119</v>
      </c>
      <c r="AT12" s="765">
        <v>22</v>
      </c>
      <c r="AU12" s="766">
        <f t="shared" si="19"/>
        <v>0</v>
      </c>
    </row>
    <row r="13" spans="1:47" ht="14.25" customHeight="1" thickBot="1">
      <c r="A13" s="546" t="s">
        <v>92</v>
      </c>
      <c r="B13" s="549">
        <f t="shared" si="0"/>
        <v>104356.13249776186</v>
      </c>
      <c r="C13" s="533" t="s">
        <v>117</v>
      </c>
      <c r="D13" s="533" t="s">
        <v>120</v>
      </c>
      <c r="E13" s="533">
        <v>22.34</v>
      </c>
      <c r="F13" s="545" t="s">
        <v>95</v>
      </c>
      <c r="G13" s="724">
        <v>2000000</v>
      </c>
      <c r="H13" s="725">
        <f t="shared" si="1"/>
        <v>111700</v>
      </c>
      <c r="I13" s="724">
        <f t="shared" si="2"/>
        <v>13404</v>
      </c>
      <c r="J13" s="731">
        <f t="shared" si="3"/>
        <v>63700</v>
      </c>
      <c r="K13" s="772">
        <v>75000</v>
      </c>
      <c r="L13" s="779">
        <f t="shared" si="4"/>
        <v>67512</v>
      </c>
      <c r="M13" s="733">
        <f t="shared" si="5"/>
        <v>2331316</v>
      </c>
      <c r="N13" s="758">
        <v>20000</v>
      </c>
      <c r="O13" s="758">
        <v>50000</v>
      </c>
      <c r="P13" s="548">
        <f t="shared" si="6"/>
        <v>174848.69999999998</v>
      </c>
      <c r="Q13" s="549">
        <f t="shared" si="20"/>
        <v>58282.9</v>
      </c>
      <c r="R13" s="728">
        <f t="shared" si="7"/>
        <v>2564447.6</v>
      </c>
      <c r="S13" s="745">
        <f t="shared" si="8"/>
        <v>0.1</v>
      </c>
      <c r="T13" s="549">
        <f t="shared" si="9"/>
        <v>256444.76</v>
      </c>
      <c r="U13" s="548">
        <f t="shared" si="10"/>
        <v>15000</v>
      </c>
      <c r="V13" s="549">
        <f t="shared" si="11"/>
        <v>241444.76</v>
      </c>
      <c r="W13" s="533">
        <f t="shared" si="12"/>
        <v>22</v>
      </c>
      <c r="X13" s="549">
        <f t="shared" si="13"/>
        <v>10974.761818181818</v>
      </c>
      <c r="Y13" s="549">
        <f t="shared" si="14"/>
        <v>2308002.84</v>
      </c>
      <c r="Z13" s="728">
        <f t="shared" si="15"/>
        <v>17893.921452573395</v>
      </c>
      <c r="AA13" s="553">
        <f t="shared" si="16"/>
        <v>20744.981998322866</v>
      </c>
      <c r="AB13" s="553">
        <f t="shared" si="17"/>
        <v>26797.86997846653</v>
      </c>
      <c r="AC13" s="553">
        <f t="shared" si="18"/>
        <v>45701.222466530577</v>
      </c>
      <c r="AD13" s="544"/>
      <c r="AE13" s="526"/>
      <c r="AF13" s="527"/>
      <c r="AG13" s="527"/>
      <c r="AH13" s="527"/>
      <c r="AI13" s="527"/>
      <c r="AJ13" s="528"/>
      <c r="AN13" s="768" t="s">
        <v>96</v>
      </c>
      <c r="AR13" s="765">
        <v>7</v>
      </c>
      <c r="AS13" s="765" t="s">
        <v>121</v>
      </c>
      <c r="AT13" s="765">
        <v>22.34</v>
      </c>
      <c r="AU13" s="766">
        <f t="shared" si="19"/>
        <v>0</v>
      </c>
    </row>
    <row r="14" spans="1:47" ht="14.25" customHeight="1">
      <c r="A14" s="546" t="s">
        <v>92</v>
      </c>
      <c r="B14" s="549">
        <f t="shared" si="0"/>
        <v>105880.04545454546</v>
      </c>
      <c r="C14" s="533" t="s">
        <v>93</v>
      </c>
      <c r="D14" s="533" t="s">
        <v>122</v>
      </c>
      <c r="E14" s="533">
        <v>22</v>
      </c>
      <c r="F14" s="545" t="s">
        <v>95</v>
      </c>
      <c r="G14" s="724">
        <v>2000000</v>
      </c>
      <c r="H14" s="725">
        <f t="shared" si="1"/>
        <v>110000</v>
      </c>
      <c r="I14" s="724">
        <f t="shared" si="2"/>
        <v>13200</v>
      </c>
      <c r="J14" s="731">
        <f t="shared" si="3"/>
        <v>63700</v>
      </c>
      <c r="K14" s="772">
        <v>75000</v>
      </c>
      <c r="L14" s="779">
        <f t="shared" si="4"/>
        <v>67461</v>
      </c>
      <c r="M14" s="733">
        <f t="shared" si="5"/>
        <v>2329361</v>
      </c>
      <c r="N14" s="758">
        <v>20000</v>
      </c>
      <c r="O14" s="758">
        <v>50000</v>
      </c>
      <c r="P14" s="548">
        <f t="shared" si="6"/>
        <v>174702.07499999998</v>
      </c>
      <c r="Q14" s="549">
        <f t="shared" si="20"/>
        <v>58234.025000000001</v>
      </c>
      <c r="R14" s="728">
        <f t="shared" si="7"/>
        <v>2562297.1</v>
      </c>
      <c r="S14" s="745">
        <f t="shared" si="8"/>
        <v>0.1</v>
      </c>
      <c r="T14" s="549">
        <f t="shared" si="9"/>
        <v>256229.71000000002</v>
      </c>
      <c r="U14" s="548">
        <f t="shared" si="10"/>
        <v>15000</v>
      </c>
      <c r="V14" s="549">
        <f t="shared" si="11"/>
        <v>241229.71000000002</v>
      </c>
      <c r="W14" s="533">
        <f t="shared" si="12"/>
        <v>22</v>
      </c>
      <c r="X14" s="549">
        <f t="shared" si="13"/>
        <v>10964.986818181818</v>
      </c>
      <c r="Y14" s="549">
        <f t="shared" si="14"/>
        <v>2306067.39</v>
      </c>
      <c r="Z14" s="728">
        <f t="shared" si="15"/>
        <v>17878.915929323965</v>
      </c>
      <c r="AA14" s="553">
        <f t="shared" si="16"/>
        <v>20727.585626571152</v>
      </c>
      <c r="AB14" s="553">
        <f t="shared" si="17"/>
        <v>26775.397762856166</v>
      </c>
      <c r="AC14" s="553">
        <f t="shared" si="18"/>
        <v>45662.898236815665</v>
      </c>
      <c r="AD14" s="544"/>
      <c r="AE14" s="510" t="s">
        <v>81</v>
      </c>
      <c r="AF14" s="556"/>
      <c r="AG14" s="511">
        <f>V31</f>
        <v>241444.76</v>
      </c>
      <c r="AH14" s="512"/>
      <c r="AI14" s="512"/>
      <c r="AJ14" s="513"/>
      <c r="AN14" s="768" t="s">
        <v>96</v>
      </c>
      <c r="AR14" s="765">
        <v>8</v>
      </c>
      <c r="AS14" s="765" t="s">
        <v>123</v>
      </c>
      <c r="AT14" s="765">
        <v>22</v>
      </c>
      <c r="AU14" s="766">
        <f t="shared" si="19"/>
        <v>0</v>
      </c>
    </row>
    <row r="15" spans="1:47" ht="14.25" customHeight="1">
      <c r="A15" s="546" t="s">
        <v>92</v>
      </c>
      <c r="B15" s="549">
        <f t="shared" si="0"/>
        <v>105880.04545454546</v>
      </c>
      <c r="C15" s="533" t="s">
        <v>93</v>
      </c>
      <c r="D15" s="533" t="s">
        <v>124</v>
      </c>
      <c r="E15" s="533">
        <v>22</v>
      </c>
      <c r="F15" s="545" t="s">
        <v>95</v>
      </c>
      <c r="G15" s="724">
        <v>2000000</v>
      </c>
      <c r="H15" s="725">
        <f t="shared" si="1"/>
        <v>110000</v>
      </c>
      <c r="I15" s="724">
        <f t="shared" si="2"/>
        <v>13200</v>
      </c>
      <c r="J15" s="731">
        <f t="shared" si="3"/>
        <v>63700</v>
      </c>
      <c r="K15" s="772">
        <v>75000</v>
      </c>
      <c r="L15" s="779">
        <f t="shared" si="4"/>
        <v>67461</v>
      </c>
      <c r="M15" s="733">
        <f t="shared" si="5"/>
        <v>2329361</v>
      </c>
      <c r="N15" s="758">
        <v>20000</v>
      </c>
      <c r="O15" s="758">
        <v>50000</v>
      </c>
      <c r="P15" s="548">
        <f t="shared" si="6"/>
        <v>174702.07499999998</v>
      </c>
      <c r="Q15" s="549">
        <f t="shared" si="20"/>
        <v>58234.025000000001</v>
      </c>
      <c r="R15" s="728">
        <f t="shared" si="7"/>
        <v>2562297.1</v>
      </c>
      <c r="S15" s="745">
        <f t="shared" si="8"/>
        <v>0.1</v>
      </c>
      <c r="T15" s="549">
        <f t="shared" si="9"/>
        <v>256229.71000000002</v>
      </c>
      <c r="U15" s="548">
        <f t="shared" si="10"/>
        <v>15000</v>
      </c>
      <c r="V15" s="549">
        <f t="shared" si="11"/>
        <v>241229.71000000002</v>
      </c>
      <c r="W15" s="533">
        <f t="shared" si="12"/>
        <v>22</v>
      </c>
      <c r="X15" s="549">
        <f t="shared" si="13"/>
        <v>10964.986818181818</v>
      </c>
      <c r="Y15" s="549">
        <f t="shared" si="14"/>
        <v>2306067.39</v>
      </c>
      <c r="Z15" s="728">
        <f t="shared" si="15"/>
        <v>17878.915929323965</v>
      </c>
      <c r="AA15" s="553">
        <f t="shared" si="16"/>
        <v>20727.585626571152</v>
      </c>
      <c r="AB15" s="553">
        <f t="shared" si="17"/>
        <v>26775.397762856166</v>
      </c>
      <c r="AC15" s="553">
        <f t="shared" si="18"/>
        <v>45662.898236815665</v>
      </c>
      <c r="AD15" s="544"/>
      <c r="AE15" s="518"/>
      <c r="AF15" s="557"/>
      <c r="AG15" s="519" t="s">
        <v>100</v>
      </c>
      <c r="AH15" s="519" t="s">
        <v>101</v>
      </c>
      <c r="AI15" s="519" t="s">
        <v>102</v>
      </c>
      <c r="AJ15" s="520" t="s">
        <v>103</v>
      </c>
      <c r="AN15" s="768" t="s">
        <v>96</v>
      </c>
      <c r="AR15" s="765">
        <v>9</v>
      </c>
      <c r="AS15" s="765" t="s">
        <v>125</v>
      </c>
      <c r="AT15" s="765">
        <v>22</v>
      </c>
      <c r="AU15" s="766">
        <f t="shared" si="19"/>
        <v>0</v>
      </c>
    </row>
    <row r="16" spans="1:47" ht="14.25" customHeight="1">
      <c r="A16" s="546" t="s">
        <v>92</v>
      </c>
      <c r="B16" s="549">
        <f t="shared" si="0"/>
        <v>105880.04545454546</v>
      </c>
      <c r="C16" s="533" t="s">
        <v>93</v>
      </c>
      <c r="D16" s="533" t="s">
        <v>126</v>
      </c>
      <c r="E16" s="533">
        <v>22</v>
      </c>
      <c r="F16" s="545" t="s">
        <v>95</v>
      </c>
      <c r="G16" s="724">
        <v>2000000</v>
      </c>
      <c r="H16" s="725">
        <f t="shared" si="1"/>
        <v>110000</v>
      </c>
      <c r="I16" s="724">
        <f t="shared" si="2"/>
        <v>13200</v>
      </c>
      <c r="J16" s="731">
        <f t="shared" si="3"/>
        <v>63700</v>
      </c>
      <c r="K16" s="772">
        <v>75000</v>
      </c>
      <c r="L16" s="779">
        <f t="shared" si="4"/>
        <v>67461</v>
      </c>
      <c r="M16" s="733">
        <f t="shared" si="5"/>
        <v>2329361</v>
      </c>
      <c r="N16" s="758">
        <v>20000</v>
      </c>
      <c r="O16" s="758">
        <v>50000</v>
      </c>
      <c r="P16" s="548">
        <f t="shared" ref="P16:P71" si="21">M16*P$5</f>
        <v>174702.07499999998</v>
      </c>
      <c r="Q16" s="549">
        <f t="shared" si="20"/>
        <v>58234.025000000001</v>
      </c>
      <c r="R16" s="728">
        <f t="shared" si="7"/>
        <v>2562297.1</v>
      </c>
      <c r="S16" s="745">
        <f t="shared" si="8"/>
        <v>0.1</v>
      </c>
      <c r="T16" s="549">
        <f t="shared" si="9"/>
        <v>256229.71000000002</v>
      </c>
      <c r="U16" s="548">
        <f t="shared" si="10"/>
        <v>15000</v>
      </c>
      <c r="V16" s="549">
        <f t="shared" si="11"/>
        <v>241229.71000000002</v>
      </c>
      <c r="W16" s="533">
        <f t="shared" si="12"/>
        <v>22</v>
      </c>
      <c r="X16" s="549">
        <f t="shared" si="13"/>
        <v>10964.986818181818</v>
      </c>
      <c r="Y16" s="549">
        <f t="shared" si="14"/>
        <v>2306067.39</v>
      </c>
      <c r="Z16" s="728">
        <f t="shared" si="15"/>
        <v>17878.915929323965</v>
      </c>
      <c r="AA16" s="553">
        <f t="shared" si="16"/>
        <v>20727.585626571152</v>
      </c>
      <c r="AB16" s="553">
        <f t="shared" si="17"/>
        <v>26775.397762856166</v>
      </c>
      <c r="AC16" s="553">
        <f t="shared" si="18"/>
        <v>45662.898236815665</v>
      </c>
      <c r="AD16" s="544"/>
      <c r="AE16" s="518" t="s">
        <v>106</v>
      </c>
      <c r="AF16" s="557"/>
      <c r="AG16" s="516"/>
      <c r="AH16" s="515">
        <v>0.25</v>
      </c>
      <c r="AI16" s="514">
        <f>AG14*AH16</f>
        <v>60361.19</v>
      </c>
      <c r="AJ16" s="517" t="e">
        <f>AI16/AG16</f>
        <v>#DIV/0!</v>
      </c>
      <c r="AN16" s="768" t="s">
        <v>96</v>
      </c>
      <c r="AR16" s="765">
        <v>10</v>
      </c>
      <c r="AS16" s="765" t="s">
        <v>127</v>
      </c>
      <c r="AT16" s="765">
        <v>22</v>
      </c>
      <c r="AU16" s="766">
        <f t="shared" si="19"/>
        <v>0</v>
      </c>
    </row>
    <row r="17" spans="1:47" ht="14.25" customHeight="1">
      <c r="A17" s="546" t="s">
        <v>92</v>
      </c>
      <c r="B17" s="549">
        <f t="shared" si="0"/>
        <v>105880.04545454546</v>
      </c>
      <c r="C17" s="533" t="s">
        <v>93</v>
      </c>
      <c r="D17" s="533" t="s">
        <v>128</v>
      </c>
      <c r="E17" s="533">
        <v>22</v>
      </c>
      <c r="F17" s="545" t="s">
        <v>95</v>
      </c>
      <c r="G17" s="724">
        <v>2000000</v>
      </c>
      <c r="H17" s="725">
        <f t="shared" si="1"/>
        <v>110000</v>
      </c>
      <c r="I17" s="724">
        <f t="shared" si="2"/>
        <v>13200</v>
      </c>
      <c r="J17" s="731">
        <f t="shared" si="3"/>
        <v>63700</v>
      </c>
      <c r="K17" s="772">
        <v>75000</v>
      </c>
      <c r="L17" s="779">
        <f t="shared" si="4"/>
        <v>67461</v>
      </c>
      <c r="M17" s="733">
        <f t="shared" si="5"/>
        <v>2329361</v>
      </c>
      <c r="N17" s="758">
        <v>20000</v>
      </c>
      <c r="O17" s="758">
        <v>50000</v>
      </c>
      <c r="P17" s="548">
        <f t="shared" si="21"/>
        <v>174702.07499999998</v>
      </c>
      <c r="Q17" s="549">
        <f t="shared" si="20"/>
        <v>58234.025000000001</v>
      </c>
      <c r="R17" s="728">
        <f t="shared" si="7"/>
        <v>2562297.1</v>
      </c>
      <c r="S17" s="745">
        <f t="shared" si="8"/>
        <v>0.1</v>
      </c>
      <c r="T17" s="549">
        <f t="shared" si="9"/>
        <v>256229.71000000002</v>
      </c>
      <c r="U17" s="548">
        <f t="shared" si="10"/>
        <v>15000</v>
      </c>
      <c r="V17" s="549">
        <f t="shared" si="11"/>
        <v>241229.71000000002</v>
      </c>
      <c r="W17" s="533">
        <f t="shared" si="12"/>
        <v>22</v>
      </c>
      <c r="X17" s="549">
        <f t="shared" si="13"/>
        <v>10964.986818181818</v>
      </c>
      <c r="Y17" s="549">
        <f t="shared" si="14"/>
        <v>2306067.39</v>
      </c>
      <c r="Z17" s="728">
        <f t="shared" si="15"/>
        <v>17878.915929323965</v>
      </c>
      <c r="AA17" s="553">
        <f t="shared" si="16"/>
        <v>20727.585626571152</v>
      </c>
      <c r="AB17" s="553">
        <f t="shared" si="17"/>
        <v>26775.397762856166</v>
      </c>
      <c r="AC17" s="553">
        <f t="shared" si="18"/>
        <v>45662.898236815665</v>
      </c>
      <c r="AD17" s="544"/>
      <c r="AE17" s="518" t="s">
        <v>110</v>
      </c>
      <c r="AF17" s="557"/>
      <c r="AG17" s="516"/>
      <c r="AH17" s="515">
        <v>0.35</v>
      </c>
      <c r="AI17" s="514">
        <f>AG14*AH17</f>
        <v>84505.665999999997</v>
      </c>
      <c r="AJ17" s="517" t="e">
        <f>AI17/AG17</f>
        <v>#DIV/0!</v>
      </c>
      <c r="AN17" s="768" t="s">
        <v>96</v>
      </c>
      <c r="AR17" s="765">
        <v>11</v>
      </c>
      <c r="AS17" s="765" t="s">
        <v>129</v>
      </c>
      <c r="AT17" s="765">
        <v>22</v>
      </c>
      <c r="AU17" s="766">
        <f t="shared" si="19"/>
        <v>0</v>
      </c>
    </row>
    <row r="18" spans="1:47" ht="14.25" customHeight="1">
      <c r="A18" s="546" t="s">
        <v>92</v>
      </c>
      <c r="B18" s="549">
        <f t="shared" si="0"/>
        <v>105880.04545454546</v>
      </c>
      <c r="C18" s="533" t="s">
        <v>93</v>
      </c>
      <c r="D18" s="533" t="s">
        <v>130</v>
      </c>
      <c r="E18" s="533">
        <v>22</v>
      </c>
      <c r="F18" s="545" t="s">
        <v>95</v>
      </c>
      <c r="G18" s="724">
        <v>2000000</v>
      </c>
      <c r="H18" s="725">
        <f t="shared" si="1"/>
        <v>110000</v>
      </c>
      <c r="I18" s="724">
        <f t="shared" si="2"/>
        <v>13200</v>
      </c>
      <c r="J18" s="731">
        <f t="shared" si="3"/>
        <v>63700</v>
      </c>
      <c r="K18" s="772">
        <v>75000</v>
      </c>
      <c r="L18" s="779">
        <f t="shared" si="4"/>
        <v>67461</v>
      </c>
      <c r="M18" s="733">
        <f t="shared" si="5"/>
        <v>2329361</v>
      </c>
      <c r="N18" s="758">
        <v>20000</v>
      </c>
      <c r="O18" s="758">
        <v>50000</v>
      </c>
      <c r="P18" s="548">
        <f t="shared" si="21"/>
        <v>174702.07499999998</v>
      </c>
      <c r="Q18" s="549">
        <f t="shared" si="20"/>
        <v>58234.025000000001</v>
      </c>
      <c r="R18" s="728">
        <f t="shared" ref="R18:R71" si="22">+M18+P18+Q18</f>
        <v>2562297.1</v>
      </c>
      <c r="S18" s="745">
        <f t="shared" si="8"/>
        <v>0.1</v>
      </c>
      <c r="T18" s="549">
        <f t="shared" si="9"/>
        <v>256229.71000000002</v>
      </c>
      <c r="U18" s="548">
        <f t="shared" si="10"/>
        <v>15000</v>
      </c>
      <c r="V18" s="549">
        <f t="shared" si="11"/>
        <v>241229.71000000002</v>
      </c>
      <c r="W18" s="533">
        <f t="shared" si="12"/>
        <v>22</v>
      </c>
      <c r="X18" s="549">
        <f t="shared" si="13"/>
        <v>10964.986818181818</v>
      </c>
      <c r="Y18" s="549">
        <f t="shared" si="14"/>
        <v>2306067.39</v>
      </c>
      <c r="Z18" s="728">
        <f t="shared" si="15"/>
        <v>17878.915929323965</v>
      </c>
      <c r="AA18" s="553">
        <f t="shared" si="16"/>
        <v>20727.585626571152</v>
      </c>
      <c r="AB18" s="553">
        <f t="shared" si="17"/>
        <v>26775.397762856166</v>
      </c>
      <c r="AC18" s="553">
        <f t="shared" si="18"/>
        <v>45662.898236815665</v>
      </c>
      <c r="AD18" s="544"/>
      <c r="AE18" s="518" t="s">
        <v>114</v>
      </c>
      <c r="AF18" s="557"/>
      <c r="AG18" s="516"/>
      <c r="AH18" s="515">
        <v>0.4</v>
      </c>
      <c r="AI18" s="514">
        <f>AG14*AH18</f>
        <v>96577.90400000001</v>
      </c>
      <c r="AJ18" s="517" t="e">
        <f>AI18/AG18</f>
        <v>#DIV/0!</v>
      </c>
      <c r="AN18" s="768" t="s">
        <v>96</v>
      </c>
      <c r="AR18" s="765">
        <v>12</v>
      </c>
      <c r="AS18" s="765" t="s">
        <v>131</v>
      </c>
      <c r="AT18" s="765">
        <v>22</v>
      </c>
      <c r="AU18" s="766">
        <f t="shared" si="19"/>
        <v>0</v>
      </c>
    </row>
    <row r="19" spans="1:47" ht="14.25" customHeight="1" thickBot="1">
      <c r="A19" s="546" t="s">
        <v>92</v>
      </c>
      <c r="B19" s="549">
        <f t="shared" si="0"/>
        <v>105880.04545454546</v>
      </c>
      <c r="C19" s="533" t="s">
        <v>93</v>
      </c>
      <c r="D19" s="533" t="s">
        <v>132</v>
      </c>
      <c r="E19" s="533">
        <v>22</v>
      </c>
      <c r="F19" s="545" t="s">
        <v>95</v>
      </c>
      <c r="G19" s="724">
        <v>2000000</v>
      </c>
      <c r="H19" s="725">
        <f t="shared" si="1"/>
        <v>110000</v>
      </c>
      <c r="I19" s="724">
        <f t="shared" si="2"/>
        <v>13200</v>
      </c>
      <c r="J19" s="731">
        <f t="shared" si="3"/>
        <v>63700</v>
      </c>
      <c r="K19" s="772">
        <v>75000</v>
      </c>
      <c r="L19" s="779">
        <f t="shared" si="4"/>
        <v>67461</v>
      </c>
      <c r="M19" s="733">
        <f t="shared" si="5"/>
        <v>2329361</v>
      </c>
      <c r="N19" s="758">
        <v>20000</v>
      </c>
      <c r="O19" s="758">
        <v>50000</v>
      </c>
      <c r="P19" s="548">
        <f>M19*P$5</f>
        <v>174702.07499999998</v>
      </c>
      <c r="Q19" s="549">
        <f t="shared" si="20"/>
        <v>58234.025000000001</v>
      </c>
      <c r="R19" s="728">
        <f>+M19+P19+Q19</f>
        <v>2562297.1</v>
      </c>
      <c r="S19" s="745">
        <f t="shared" si="8"/>
        <v>0.1</v>
      </c>
      <c r="T19" s="549">
        <f t="shared" si="9"/>
        <v>256229.71000000002</v>
      </c>
      <c r="U19" s="548">
        <f t="shared" si="10"/>
        <v>15000</v>
      </c>
      <c r="V19" s="549">
        <f t="shared" si="11"/>
        <v>241229.71000000002</v>
      </c>
      <c r="W19" s="533">
        <f t="shared" si="12"/>
        <v>22</v>
      </c>
      <c r="X19" s="549">
        <f t="shared" si="13"/>
        <v>10964.986818181818</v>
      </c>
      <c r="Y19" s="549">
        <f t="shared" si="14"/>
        <v>2306067.39</v>
      </c>
      <c r="Z19" s="728">
        <f t="shared" si="15"/>
        <v>17878.915929323965</v>
      </c>
      <c r="AA19" s="553">
        <f t="shared" si="16"/>
        <v>20727.585626571152</v>
      </c>
      <c r="AB19" s="553">
        <f t="shared" si="17"/>
        <v>26775.397762856166</v>
      </c>
      <c r="AC19" s="553">
        <f t="shared" si="18"/>
        <v>45662.898236815665</v>
      </c>
      <c r="AD19" s="544"/>
      <c r="AE19" s="521" t="s">
        <v>102</v>
      </c>
      <c r="AF19" s="558"/>
      <c r="AG19" s="522">
        <f>SUM(AG16:AG18)</f>
        <v>0</v>
      </c>
      <c r="AH19" s="523">
        <f>SUM(AH16:AH18)</f>
        <v>1</v>
      </c>
      <c r="AI19" s="524">
        <f>SUM(AI16:AI18)</f>
        <v>241444.76</v>
      </c>
      <c r="AJ19" s="525"/>
      <c r="AN19" s="768" t="s">
        <v>96</v>
      </c>
      <c r="AR19" s="765">
        <v>13</v>
      </c>
      <c r="AS19" s="765" t="s">
        <v>133</v>
      </c>
      <c r="AT19" s="765">
        <v>22</v>
      </c>
      <c r="AU19" s="766">
        <f t="shared" si="19"/>
        <v>0</v>
      </c>
    </row>
    <row r="20" spans="1:47" ht="14.25" customHeight="1" thickBot="1">
      <c r="A20" s="546" t="s">
        <v>92</v>
      </c>
      <c r="B20" s="549">
        <f t="shared" si="0"/>
        <v>105880.04545454546</v>
      </c>
      <c r="C20" s="533" t="s">
        <v>93</v>
      </c>
      <c r="D20" s="533" t="s">
        <v>134</v>
      </c>
      <c r="E20" s="533">
        <v>22</v>
      </c>
      <c r="F20" s="545" t="s">
        <v>95</v>
      </c>
      <c r="G20" s="724">
        <v>2000000</v>
      </c>
      <c r="H20" s="725">
        <f t="shared" si="1"/>
        <v>110000</v>
      </c>
      <c r="I20" s="724">
        <f t="shared" si="2"/>
        <v>13200</v>
      </c>
      <c r="J20" s="731">
        <f t="shared" si="3"/>
        <v>63700</v>
      </c>
      <c r="K20" s="772">
        <v>75000</v>
      </c>
      <c r="L20" s="779">
        <f t="shared" si="4"/>
        <v>67461</v>
      </c>
      <c r="M20" s="733">
        <f t="shared" si="5"/>
        <v>2329361</v>
      </c>
      <c r="N20" s="758">
        <v>20000</v>
      </c>
      <c r="O20" s="758">
        <v>50000</v>
      </c>
      <c r="P20" s="548">
        <f>M20*P$5</f>
        <v>174702.07499999998</v>
      </c>
      <c r="Q20" s="549">
        <f t="shared" si="20"/>
        <v>58234.025000000001</v>
      </c>
      <c r="R20" s="728">
        <f>+M20+P20+Q20</f>
        <v>2562297.1</v>
      </c>
      <c r="S20" s="745">
        <f t="shared" si="8"/>
        <v>0.1</v>
      </c>
      <c r="T20" s="549">
        <f t="shared" si="9"/>
        <v>256229.71000000002</v>
      </c>
      <c r="U20" s="548">
        <f t="shared" si="10"/>
        <v>15000</v>
      </c>
      <c r="V20" s="549">
        <f t="shared" si="11"/>
        <v>241229.71000000002</v>
      </c>
      <c r="W20" s="533">
        <f t="shared" si="12"/>
        <v>22</v>
      </c>
      <c r="X20" s="549">
        <f t="shared" si="13"/>
        <v>10964.986818181818</v>
      </c>
      <c r="Y20" s="549">
        <f t="shared" si="14"/>
        <v>2306067.39</v>
      </c>
      <c r="Z20" s="728">
        <f t="shared" si="15"/>
        <v>17878.915929323965</v>
      </c>
      <c r="AA20" s="553">
        <f t="shared" si="16"/>
        <v>20727.585626571152</v>
      </c>
      <c r="AB20" s="553">
        <f t="shared" si="17"/>
        <v>26775.397762856166</v>
      </c>
      <c r="AC20" s="553">
        <f t="shared" si="18"/>
        <v>45662.898236815665</v>
      </c>
      <c r="AD20" s="544"/>
      <c r="AE20" s="529"/>
      <c r="AF20" s="530"/>
      <c r="AG20" s="530"/>
      <c r="AH20" s="530"/>
      <c r="AI20" s="530"/>
      <c r="AJ20" s="531"/>
      <c r="AN20" s="768" t="s">
        <v>96</v>
      </c>
      <c r="AR20" s="765">
        <v>14</v>
      </c>
      <c r="AS20" s="765" t="s">
        <v>135</v>
      </c>
      <c r="AT20" s="765">
        <v>22</v>
      </c>
      <c r="AU20" s="766">
        <f t="shared" si="19"/>
        <v>0</v>
      </c>
    </row>
    <row r="21" spans="1:47" ht="14.25" customHeight="1">
      <c r="A21" s="546" t="s">
        <v>92</v>
      </c>
      <c r="B21" s="549">
        <f t="shared" si="0"/>
        <v>105880.04545454546</v>
      </c>
      <c r="C21" s="533" t="s">
        <v>93</v>
      </c>
      <c r="D21" s="533" t="s">
        <v>136</v>
      </c>
      <c r="E21" s="533">
        <v>22</v>
      </c>
      <c r="F21" s="545" t="s">
        <v>95</v>
      </c>
      <c r="G21" s="724">
        <v>2000000</v>
      </c>
      <c r="H21" s="725">
        <f t="shared" si="1"/>
        <v>110000</v>
      </c>
      <c r="I21" s="724">
        <f t="shared" si="2"/>
        <v>13200</v>
      </c>
      <c r="J21" s="731">
        <f t="shared" si="3"/>
        <v>63700</v>
      </c>
      <c r="K21" s="772">
        <v>75000</v>
      </c>
      <c r="L21" s="779">
        <f t="shared" si="4"/>
        <v>67461</v>
      </c>
      <c r="M21" s="733">
        <f t="shared" si="5"/>
        <v>2329361</v>
      </c>
      <c r="N21" s="758">
        <v>20000</v>
      </c>
      <c r="O21" s="758">
        <v>50000</v>
      </c>
      <c r="P21" s="548">
        <f t="shared" si="21"/>
        <v>174702.07499999998</v>
      </c>
      <c r="Q21" s="549">
        <f t="shared" si="20"/>
        <v>58234.025000000001</v>
      </c>
      <c r="R21" s="728">
        <f>+M21+P21+Q21</f>
        <v>2562297.1</v>
      </c>
      <c r="S21" s="745">
        <f t="shared" si="8"/>
        <v>0.1</v>
      </c>
      <c r="T21" s="549">
        <f t="shared" si="9"/>
        <v>256229.71000000002</v>
      </c>
      <c r="U21" s="548">
        <f t="shared" si="10"/>
        <v>15000</v>
      </c>
      <c r="V21" s="549">
        <f t="shared" si="11"/>
        <v>241229.71000000002</v>
      </c>
      <c r="W21" s="533">
        <f t="shared" si="12"/>
        <v>22</v>
      </c>
      <c r="X21" s="549">
        <f t="shared" si="13"/>
        <v>10964.986818181818</v>
      </c>
      <c r="Y21" s="549">
        <f t="shared" si="14"/>
        <v>2306067.39</v>
      </c>
      <c r="Z21" s="728">
        <f t="shared" si="15"/>
        <v>17878.915929323965</v>
      </c>
      <c r="AA21" s="553">
        <f t="shared" si="16"/>
        <v>20727.585626571152</v>
      </c>
      <c r="AB21" s="553">
        <f t="shared" si="17"/>
        <v>26775.397762856166</v>
      </c>
      <c r="AC21" s="553">
        <f t="shared" si="18"/>
        <v>45662.898236815665</v>
      </c>
      <c r="AD21" s="544"/>
      <c r="AF21" s="573" t="s">
        <v>137</v>
      </c>
      <c r="AN21" s="768" t="s">
        <v>96</v>
      </c>
      <c r="AR21" s="765">
        <v>15</v>
      </c>
      <c r="AS21" s="765" t="s">
        <v>138</v>
      </c>
      <c r="AT21" s="765">
        <v>22</v>
      </c>
      <c r="AU21" s="766">
        <f t="shared" si="19"/>
        <v>0</v>
      </c>
    </row>
    <row r="22" spans="1:47" ht="14.25" customHeight="1">
      <c r="A22" s="546" t="s">
        <v>92</v>
      </c>
      <c r="B22" s="549">
        <f t="shared" si="0"/>
        <v>105880.04545454546</v>
      </c>
      <c r="C22" s="533" t="s">
        <v>93</v>
      </c>
      <c r="D22" s="533" t="s">
        <v>139</v>
      </c>
      <c r="E22" s="533">
        <v>22</v>
      </c>
      <c r="F22" s="545" t="s">
        <v>95</v>
      </c>
      <c r="G22" s="724">
        <v>2000000</v>
      </c>
      <c r="H22" s="725">
        <f t="shared" si="1"/>
        <v>110000</v>
      </c>
      <c r="I22" s="724">
        <f t="shared" si="2"/>
        <v>13200</v>
      </c>
      <c r="J22" s="731">
        <f t="shared" si="3"/>
        <v>63700</v>
      </c>
      <c r="K22" s="772">
        <v>75000</v>
      </c>
      <c r="L22" s="779">
        <f t="shared" si="4"/>
        <v>67461</v>
      </c>
      <c r="M22" s="733">
        <f t="shared" si="5"/>
        <v>2329361</v>
      </c>
      <c r="N22" s="758">
        <v>20000</v>
      </c>
      <c r="O22" s="758">
        <v>50000</v>
      </c>
      <c r="P22" s="548">
        <f t="shared" si="21"/>
        <v>174702.07499999998</v>
      </c>
      <c r="Q22" s="549">
        <f t="shared" si="20"/>
        <v>58234.025000000001</v>
      </c>
      <c r="R22" s="728">
        <f>+M22+P22+Q22</f>
        <v>2562297.1</v>
      </c>
      <c r="S22" s="745">
        <f t="shared" si="8"/>
        <v>0.1</v>
      </c>
      <c r="T22" s="549">
        <f t="shared" si="9"/>
        <v>256229.71000000002</v>
      </c>
      <c r="U22" s="548">
        <f t="shared" si="10"/>
        <v>15000</v>
      </c>
      <c r="V22" s="549">
        <f t="shared" si="11"/>
        <v>241229.71000000002</v>
      </c>
      <c r="W22" s="533">
        <f t="shared" si="12"/>
        <v>22</v>
      </c>
      <c r="X22" s="549">
        <f t="shared" si="13"/>
        <v>10964.986818181818</v>
      </c>
      <c r="Y22" s="549">
        <f t="shared" si="14"/>
        <v>2306067.39</v>
      </c>
      <c r="Z22" s="728">
        <f t="shared" si="15"/>
        <v>17878.915929323965</v>
      </c>
      <c r="AA22" s="553">
        <f t="shared" si="16"/>
        <v>20727.585626571152</v>
      </c>
      <c r="AB22" s="553">
        <f t="shared" si="17"/>
        <v>26775.397762856166</v>
      </c>
      <c r="AC22" s="553">
        <f t="shared" si="18"/>
        <v>45662.898236815665</v>
      </c>
      <c r="AD22" s="544"/>
      <c r="AF22" s="574" t="s">
        <v>140</v>
      </c>
      <c r="AG22" s="762" t="s">
        <v>141</v>
      </c>
      <c r="AN22" s="768" t="s">
        <v>96</v>
      </c>
      <c r="AR22" s="765">
        <v>16</v>
      </c>
      <c r="AS22" s="765" t="s">
        <v>142</v>
      </c>
      <c r="AT22" s="765">
        <v>22</v>
      </c>
      <c r="AU22" s="766">
        <f t="shared" si="19"/>
        <v>0</v>
      </c>
    </row>
    <row r="23" spans="1:47" ht="14.25" customHeight="1">
      <c r="A23" s="546" t="s">
        <v>92</v>
      </c>
      <c r="B23" s="549">
        <f t="shared" si="0"/>
        <v>104356.13249776186</v>
      </c>
      <c r="C23" s="533" t="s">
        <v>117</v>
      </c>
      <c r="D23" s="533" t="s">
        <v>143</v>
      </c>
      <c r="E23" s="533">
        <v>22.34</v>
      </c>
      <c r="F23" s="545" t="s">
        <v>95</v>
      </c>
      <c r="G23" s="724">
        <v>2000000</v>
      </c>
      <c r="H23" s="725">
        <f t="shared" si="1"/>
        <v>111700</v>
      </c>
      <c r="I23" s="724">
        <f t="shared" si="2"/>
        <v>13404</v>
      </c>
      <c r="J23" s="731">
        <f t="shared" si="3"/>
        <v>63700</v>
      </c>
      <c r="K23" s="772">
        <v>75000</v>
      </c>
      <c r="L23" s="779">
        <f t="shared" si="4"/>
        <v>67512</v>
      </c>
      <c r="M23" s="733">
        <f t="shared" si="5"/>
        <v>2331316</v>
      </c>
      <c r="N23" s="758">
        <v>20000</v>
      </c>
      <c r="O23" s="758">
        <v>50000</v>
      </c>
      <c r="P23" s="548">
        <f>M23*P$5</f>
        <v>174848.69999999998</v>
      </c>
      <c r="Q23" s="549">
        <f t="shared" si="20"/>
        <v>58282.9</v>
      </c>
      <c r="R23" s="728">
        <f>+M23+P23+Q23</f>
        <v>2564447.6</v>
      </c>
      <c r="S23" s="745">
        <f t="shared" si="8"/>
        <v>0.1</v>
      </c>
      <c r="T23" s="549">
        <f t="shared" si="9"/>
        <v>256444.76</v>
      </c>
      <c r="U23" s="548">
        <f t="shared" si="10"/>
        <v>15000</v>
      </c>
      <c r="V23" s="549">
        <f t="shared" si="11"/>
        <v>241444.76</v>
      </c>
      <c r="W23" s="533">
        <f t="shared" si="12"/>
        <v>22</v>
      </c>
      <c r="X23" s="549">
        <f t="shared" si="13"/>
        <v>10974.761818181818</v>
      </c>
      <c r="Y23" s="549">
        <f t="shared" si="14"/>
        <v>2308002.84</v>
      </c>
      <c r="Z23" s="728">
        <f t="shared" si="15"/>
        <v>17893.921452573395</v>
      </c>
      <c r="AA23" s="553">
        <f t="shared" si="16"/>
        <v>20744.981998322866</v>
      </c>
      <c r="AB23" s="553">
        <f t="shared" si="17"/>
        <v>26797.86997846653</v>
      </c>
      <c r="AC23" s="553">
        <f t="shared" si="18"/>
        <v>45701.222466530577</v>
      </c>
      <c r="AD23" s="544"/>
      <c r="AG23" s="132"/>
      <c r="AN23" s="768" t="s">
        <v>96</v>
      </c>
      <c r="AR23" s="765">
        <v>17</v>
      </c>
      <c r="AS23" s="765" t="s">
        <v>144</v>
      </c>
      <c r="AT23" s="765">
        <v>22.34</v>
      </c>
      <c r="AU23" s="766">
        <f t="shared" si="19"/>
        <v>0</v>
      </c>
    </row>
    <row r="24" spans="1:47" ht="14.25" customHeight="1">
      <c r="A24" s="546" t="s">
        <v>145</v>
      </c>
      <c r="B24" s="549">
        <f t="shared" si="0"/>
        <v>105880.04545454546</v>
      </c>
      <c r="C24" s="533" t="s">
        <v>93</v>
      </c>
      <c r="D24" s="533" t="s">
        <v>146</v>
      </c>
      <c r="E24" s="533">
        <v>22</v>
      </c>
      <c r="F24" s="545" t="s">
        <v>95</v>
      </c>
      <c r="G24" s="724">
        <v>2000000</v>
      </c>
      <c r="H24" s="725">
        <f t="shared" si="1"/>
        <v>110000</v>
      </c>
      <c r="I24" s="724">
        <f t="shared" si="2"/>
        <v>13200</v>
      </c>
      <c r="J24" s="731">
        <f t="shared" si="3"/>
        <v>63700</v>
      </c>
      <c r="K24" s="772">
        <v>75000</v>
      </c>
      <c r="L24" s="779">
        <f t="shared" si="4"/>
        <v>67461</v>
      </c>
      <c r="M24" s="733">
        <f t="shared" si="5"/>
        <v>2329361</v>
      </c>
      <c r="N24" s="758">
        <v>20000</v>
      </c>
      <c r="O24" s="758">
        <v>50000</v>
      </c>
      <c r="P24" s="548">
        <f t="shared" si="21"/>
        <v>174702.07499999998</v>
      </c>
      <c r="Q24" s="549">
        <f t="shared" si="20"/>
        <v>58234.025000000001</v>
      </c>
      <c r="R24" s="728">
        <f t="shared" si="22"/>
        <v>2562297.1</v>
      </c>
      <c r="S24" s="745">
        <f t="shared" si="8"/>
        <v>0.1</v>
      </c>
      <c r="T24" s="549">
        <f t="shared" si="9"/>
        <v>256229.71000000002</v>
      </c>
      <c r="U24" s="548">
        <f t="shared" si="10"/>
        <v>15000</v>
      </c>
      <c r="V24" s="549">
        <f t="shared" si="11"/>
        <v>241229.71000000002</v>
      </c>
      <c r="W24" s="533">
        <f t="shared" si="12"/>
        <v>22</v>
      </c>
      <c r="X24" s="549">
        <f t="shared" si="13"/>
        <v>10964.986818181818</v>
      </c>
      <c r="Y24" s="549">
        <f t="shared" si="14"/>
        <v>2306067.39</v>
      </c>
      <c r="Z24" s="728">
        <f t="shared" si="15"/>
        <v>17878.915929323965</v>
      </c>
      <c r="AA24" s="553">
        <f t="shared" si="16"/>
        <v>20727.585626571152</v>
      </c>
      <c r="AB24" s="553">
        <f t="shared" si="17"/>
        <v>26775.397762856166</v>
      </c>
      <c r="AC24" s="553">
        <f t="shared" si="18"/>
        <v>45662.898236815665</v>
      </c>
      <c r="AD24" s="544"/>
      <c r="AE24" s="209" t="s">
        <v>147</v>
      </c>
      <c r="AF24" s="575" t="s">
        <v>148</v>
      </c>
      <c r="AG24" s="132"/>
      <c r="AN24" s="768" t="s">
        <v>149</v>
      </c>
      <c r="AR24" s="765">
        <v>1</v>
      </c>
      <c r="AS24" s="765" t="s">
        <v>97</v>
      </c>
      <c r="AT24" s="765">
        <v>22</v>
      </c>
      <c r="AU24" s="766">
        <f t="shared" si="19"/>
        <v>0</v>
      </c>
    </row>
    <row r="25" spans="1:47" ht="14.25" customHeight="1">
      <c r="A25" s="546" t="s">
        <v>145</v>
      </c>
      <c r="B25" s="549">
        <f t="shared" si="0"/>
        <v>105880.04545454546</v>
      </c>
      <c r="C25" s="533" t="s">
        <v>93</v>
      </c>
      <c r="D25" s="533" t="s">
        <v>150</v>
      </c>
      <c r="E25" s="533">
        <v>22</v>
      </c>
      <c r="F25" s="545" t="s">
        <v>95</v>
      </c>
      <c r="G25" s="724">
        <v>2000000</v>
      </c>
      <c r="H25" s="725">
        <f t="shared" si="1"/>
        <v>110000</v>
      </c>
      <c r="I25" s="724">
        <f t="shared" si="2"/>
        <v>13200</v>
      </c>
      <c r="J25" s="731">
        <f t="shared" si="3"/>
        <v>63700</v>
      </c>
      <c r="K25" s="772">
        <v>75000</v>
      </c>
      <c r="L25" s="779">
        <f t="shared" si="4"/>
        <v>67461</v>
      </c>
      <c r="M25" s="733">
        <f t="shared" si="5"/>
        <v>2329361</v>
      </c>
      <c r="N25" s="758">
        <v>20000</v>
      </c>
      <c r="O25" s="758">
        <v>50000</v>
      </c>
      <c r="P25" s="548">
        <f t="shared" si="21"/>
        <v>174702.07499999998</v>
      </c>
      <c r="Q25" s="549">
        <f t="shared" si="20"/>
        <v>58234.025000000001</v>
      </c>
      <c r="R25" s="728">
        <f t="shared" si="22"/>
        <v>2562297.1</v>
      </c>
      <c r="S25" s="745">
        <f t="shared" si="8"/>
        <v>0.1</v>
      </c>
      <c r="T25" s="549">
        <f t="shared" si="9"/>
        <v>256229.71000000002</v>
      </c>
      <c r="U25" s="548">
        <f t="shared" si="10"/>
        <v>15000</v>
      </c>
      <c r="V25" s="549">
        <f t="shared" si="11"/>
        <v>241229.71000000002</v>
      </c>
      <c r="W25" s="533">
        <f t="shared" si="12"/>
        <v>22</v>
      </c>
      <c r="X25" s="549">
        <f t="shared" si="13"/>
        <v>10964.986818181818</v>
      </c>
      <c r="Y25" s="549">
        <f t="shared" si="14"/>
        <v>2306067.39</v>
      </c>
      <c r="Z25" s="728">
        <f t="shared" si="15"/>
        <v>17878.915929323965</v>
      </c>
      <c r="AA25" s="553">
        <f t="shared" si="16"/>
        <v>20727.585626571152</v>
      </c>
      <c r="AB25" s="553">
        <f t="shared" si="17"/>
        <v>26775.397762856166</v>
      </c>
      <c r="AC25" s="553">
        <f t="shared" si="18"/>
        <v>45662.898236815665</v>
      </c>
      <c r="AD25" s="544"/>
      <c r="AE25" s="209" t="s">
        <v>151</v>
      </c>
      <c r="AF25" s="575" t="s">
        <v>140</v>
      </c>
      <c r="AG25" s="132" t="s">
        <v>152</v>
      </c>
      <c r="AN25" s="768" t="s">
        <v>149</v>
      </c>
      <c r="AR25" s="765">
        <v>2</v>
      </c>
      <c r="AS25" s="765" t="s">
        <v>104</v>
      </c>
      <c r="AT25" s="765">
        <v>22</v>
      </c>
      <c r="AU25" s="766">
        <f t="shared" si="19"/>
        <v>0</v>
      </c>
    </row>
    <row r="26" spans="1:47" ht="14.25" customHeight="1">
      <c r="A26" s="546" t="s">
        <v>145</v>
      </c>
      <c r="B26" s="549">
        <f t="shared" si="0"/>
        <v>105880.04545454546</v>
      </c>
      <c r="C26" s="533" t="s">
        <v>93</v>
      </c>
      <c r="D26" s="533" t="s">
        <v>153</v>
      </c>
      <c r="E26" s="533">
        <v>22</v>
      </c>
      <c r="F26" s="545" t="s">
        <v>95</v>
      </c>
      <c r="G26" s="724">
        <v>2000000</v>
      </c>
      <c r="H26" s="725">
        <f t="shared" si="1"/>
        <v>110000</v>
      </c>
      <c r="I26" s="724">
        <f t="shared" si="2"/>
        <v>13200</v>
      </c>
      <c r="J26" s="731">
        <f t="shared" si="3"/>
        <v>63700</v>
      </c>
      <c r="K26" s="772">
        <v>75000</v>
      </c>
      <c r="L26" s="779">
        <f t="shared" si="4"/>
        <v>67461</v>
      </c>
      <c r="M26" s="733">
        <f t="shared" si="5"/>
        <v>2329361</v>
      </c>
      <c r="N26" s="758">
        <v>20000</v>
      </c>
      <c r="O26" s="758">
        <v>50000</v>
      </c>
      <c r="P26" s="548">
        <f t="shared" si="21"/>
        <v>174702.07499999998</v>
      </c>
      <c r="Q26" s="549">
        <f t="shared" si="20"/>
        <v>58234.025000000001</v>
      </c>
      <c r="R26" s="728">
        <f t="shared" si="22"/>
        <v>2562297.1</v>
      </c>
      <c r="S26" s="745">
        <f t="shared" si="8"/>
        <v>0.1</v>
      </c>
      <c r="T26" s="549">
        <f t="shared" si="9"/>
        <v>256229.71000000002</v>
      </c>
      <c r="U26" s="548">
        <f t="shared" si="10"/>
        <v>15000</v>
      </c>
      <c r="V26" s="549">
        <f t="shared" si="11"/>
        <v>241229.71000000002</v>
      </c>
      <c r="W26" s="533">
        <f t="shared" si="12"/>
        <v>22</v>
      </c>
      <c r="X26" s="549">
        <f t="shared" si="13"/>
        <v>10964.986818181818</v>
      </c>
      <c r="Y26" s="549">
        <f t="shared" si="14"/>
        <v>2306067.39</v>
      </c>
      <c r="Z26" s="728">
        <f t="shared" si="15"/>
        <v>17878.915929323965</v>
      </c>
      <c r="AA26" s="553">
        <f t="shared" si="16"/>
        <v>20727.585626571152</v>
      </c>
      <c r="AB26" s="553">
        <f t="shared" si="17"/>
        <v>26775.397762856166</v>
      </c>
      <c r="AC26" s="553">
        <f t="shared" si="18"/>
        <v>45662.898236815665</v>
      </c>
      <c r="AD26" s="544"/>
      <c r="AE26" s="209" t="s">
        <v>154</v>
      </c>
      <c r="AF26" s="575" t="s">
        <v>140</v>
      </c>
      <c r="AG26" s="132" t="s">
        <v>155</v>
      </c>
      <c r="AN26" s="768" t="s">
        <v>149</v>
      </c>
      <c r="AR26" s="765">
        <v>3</v>
      </c>
      <c r="AS26" s="765" t="s">
        <v>108</v>
      </c>
      <c r="AT26" s="765">
        <v>22</v>
      </c>
      <c r="AU26" s="766">
        <f t="shared" si="19"/>
        <v>0</v>
      </c>
    </row>
    <row r="27" spans="1:47" ht="14.25" customHeight="1">
      <c r="A27" s="546" t="s">
        <v>145</v>
      </c>
      <c r="B27" s="549">
        <f t="shared" si="0"/>
        <v>105880.04545454546</v>
      </c>
      <c r="C27" s="533" t="s">
        <v>93</v>
      </c>
      <c r="D27" s="533" t="s">
        <v>156</v>
      </c>
      <c r="E27" s="533">
        <v>22</v>
      </c>
      <c r="F27" s="545" t="s">
        <v>95</v>
      </c>
      <c r="G27" s="724">
        <v>2000000</v>
      </c>
      <c r="H27" s="725">
        <f t="shared" si="1"/>
        <v>110000</v>
      </c>
      <c r="I27" s="724">
        <f t="shared" si="2"/>
        <v>13200</v>
      </c>
      <c r="J27" s="731">
        <f t="shared" si="3"/>
        <v>63700</v>
      </c>
      <c r="K27" s="772">
        <v>75000</v>
      </c>
      <c r="L27" s="779">
        <f t="shared" si="4"/>
        <v>67461</v>
      </c>
      <c r="M27" s="733">
        <f t="shared" si="5"/>
        <v>2329361</v>
      </c>
      <c r="N27" s="758">
        <v>20000</v>
      </c>
      <c r="O27" s="758">
        <v>50000</v>
      </c>
      <c r="P27" s="548">
        <f>M27*P$5</f>
        <v>174702.07499999998</v>
      </c>
      <c r="Q27" s="549">
        <f t="shared" si="20"/>
        <v>58234.025000000001</v>
      </c>
      <c r="R27" s="728">
        <f>+M27+P27+Q27</f>
        <v>2562297.1</v>
      </c>
      <c r="S27" s="745">
        <f t="shared" si="8"/>
        <v>0.1</v>
      </c>
      <c r="T27" s="549">
        <f t="shared" si="9"/>
        <v>256229.71000000002</v>
      </c>
      <c r="U27" s="548">
        <f t="shared" si="10"/>
        <v>15000</v>
      </c>
      <c r="V27" s="549">
        <f t="shared" si="11"/>
        <v>241229.71000000002</v>
      </c>
      <c r="W27" s="533">
        <f t="shared" si="12"/>
        <v>22</v>
      </c>
      <c r="X27" s="549">
        <f t="shared" si="13"/>
        <v>10964.986818181818</v>
      </c>
      <c r="Y27" s="549">
        <f t="shared" si="14"/>
        <v>2306067.39</v>
      </c>
      <c r="Z27" s="728">
        <f t="shared" si="15"/>
        <v>17878.915929323965</v>
      </c>
      <c r="AA27" s="553">
        <f t="shared" si="16"/>
        <v>20727.585626571152</v>
      </c>
      <c r="AB27" s="553">
        <f t="shared" si="17"/>
        <v>26775.397762856166</v>
      </c>
      <c r="AC27" s="553">
        <f t="shared" si="18"/>
        <v>45662.898236815665</v>
      </c>
      <c r="AD27" s="544"/>
      <c r="AN27" s="768" t="s">
        <v>149</v>
      </c>
      <c r="AR27" s="765">
        <v>4</v>
      </c>
      <c r="AS27" s="765" t="s">
        <v>112</v>
      </c>
      <c r="AT27" s="765">
        <v>22</v>
      </c>
      <c r="AU27" s="766">
        <f t="shared" si="19"/>
        <v>0</v>
      </c>
    </row>
    <row r="28" spans="1:47" ht="14.25" customHeight="1">
      <c r="A28" s="546" t="s">
        <v>145</v>
      </c>
      <c r="B28" s="549">
        <f t="shared" si="0"/>
        <v>105880.04545454546</v>
      </c>
      <c r="C28" s="533" t="s">
        <v>93</v>
      </c>
      <c r="D28" s="533" t="s">
        <v>157</v>
      </c>
      <c r="E28" s="533">
        <v>22</v>
      </c>
      <c r="F28" s="545" t="s">
        <v>95</v>
      </c>
      <c r="G28" s="724">
        <v>2000000</v>
      </c>
      <c r="H28" s="725">
        <f t="shared" si="1"/>
        <v>110000</v>
      </c>
      <c r="I28" s="724">
        <f t="shared" si="2"/>
        <v>13200</v>
      </c>
      <c r="J28" s="731">
        <f t="shared" si="3"/>
        <v>63700</v>
      </c>
      <c r="K28" s="772">
        <v>75000</v>
      </c>
      <c r="L28" s="779">
        <f t="shared" si="4"/>
        <v>67461</v>
      </c>
      <c r="M28" s="733">
        <f t="shared" si="5"/>
        <v>2329361</v>
      </c>
      <c r="N28" s="758">
        <v>20000</v>
      </c>
      <c r="O28" s="758">
        <v>50000</v>
      </c>
      <c r="P28" s="548">
        <f t="shared" si="21"/>
        <v>174702.07499999998</v>
      </c>
      <c r="Q28" s="549">
        <f t="shared" si="20"/>
        <v>58234.025000000001</v>
      </c>
      <c r="R28" s="728">
        <f t="shared" si="22"/>
        <v>2562297.1</v>
      </c>
      <c r="S28" s="745">
        <f t="shared" si="8"/>
        <v>0.1</v>
      </c>
      <c r="T28" s="549">
        <f t="shared" si="9"/>
        <v>256229.71000000002</v>
      </c>
      <c r="U28" s="548">
        <f t="shared" si="10"/>
        <v>15000</v>
      </c>
      <c r="V28" s="549">
        <f t="shared" si="11"/>
        <v>241229.71000000002</v>
      </c>
      <c r="W28" s="533">
        <f t="shared" si="12"/>
        <v>22</v>
      </c>
      <c r="X28" s="549">
        <f t="shared" si="13"/>
        <v>10964.986818181818</v>
      </c>
      <c r="Y28" s="549">
        <f t="shared" si="14"/>
        <v>2306067.39</v>
      </c>
      <c r="Z28" s="728">
        <f t="shared" si="15"/>
        <v>17878.915929323965</v>
      </c>
      <c r="AA28" s="553">
        <f t="shared" si="16"/>
        <v>20727.585626571152</v>
      </c>
      <c r="AB28" s="553">
        <f t="shared" si="17"/>
        <v>26775.397762856166</v>
      </c>
      <c r="AC28" s="553">
        <f t="shared" si="18"/>
        <v>45662.898236815665</v>
      </c>
      <c r="AD28" s="544"/>
      <c r="AN28" s="768" t="s">
        <v>149</v>
      </c>
      <c r="AR28" s="765">
        <v>5</v>
      </c>
      <c r="AS28" s="765" t="s">
        <v>116</v>
      </c>
      <c r="AT28" s="765">
        <v>22</v>
      </c>
      <c r="AU28" s="766">
        <f t="shared" si="19"/>
        <v>0</v>
      </c>
    </row>
    <row r="29" spans="1:47" ht="14.25" customHeight="1">
      <c r="A29" s="546" t="s">
        <v>145</v>
      </c>
      <c r="B29" s="549">
        <f t="shared" si="0"/>
        <v>105880.04545454546</v>
      </c>
      <c r="C29" s="533" t="s">
        <v>93</v>
      </c>
      <c r="D29" s="533" t="s">
        <v>158</v>
      </c>
      <c r="E29" s="533">
        <v>22</v>
      </c>
      <c r="F29" s="545" t="s">
        <v>95</v>
      </c>
      <c r="G29" s="724">
        <v>2000000</v>
      </c>
      <c r="H29" s="725">
        <f t="shared" si="1"/>
        <v>110000</v>
      </c>
      <c r="I29" s="724">
        <f t="shared" si="2"/>
        <v>13200</v>
      </c>
      <c r="J29" s="731">
        <f t="shared" si="3"/>
        <v>63700</v>
      </c>
      <c r="K29" s="772">
        <v>75000</v>
      </c>
      <c r="L29" s="779">
        <f t="shared" si="4"/>
        <v>67461</v>
      </c>
      <c r="M29" s="733">
        <f t="shared" si="5"/>
        <v>2329361</v>
      </c>
      <c r="N29" s="758">
        <v>20000</v>
      </c>
      <c r="O29" s="758">
        <v>50000</v>
      </c>
      <c r="P29" s="548">
        <f t="shared" si="21"/>
        <v>174702.07499999998</v>
      </c>
      <c r="Q29" s="549">
        <f t="shared" si="20"/>
        <v>58234.025000000001</v>
      </c>
      <c r="R29" s="728">
        <f t="shared" si="22"/>
        <v>2562297.1</v>
      </c>
      <c r="S29" s="745">
        <f t="shared" si="8"/>
        <v>0.1</v>
      </c>
      <c r="T29" s="549">
        <f t="shared" si="9"/>
        <v>256229.71000000002</v>
      </c>
      <c r="U29" s="548">
        <f t="shared" si="10"/>
        <v>15000</v>
      </c>
      <c r="V29" s="549">
        <f t="shared" si="11"/>
        <v>241229.71000000002</v>
      </c>
      <c r="W29" s="533">
        <f t="shared" si="12"/>
        <v>22</v>
      </c>
      <c r="X29" s="549">
        <f t="shared" si="13"/>
        <v>10964.986818181818</v>
      </c>
      <c r="Y29" s="549">
        <f t="shared" si="14"/>
        <v>2306067.39</v>
      </c>
      <c r="Z29" s="728">
        <f t="shared" si="15"/>
        <v>17878.915929323965</v>
      </c>
      <c r="AA29" s="553">
        <f t="shared" si="16"/>
        <v>20727.585626571152</v>
      </c>
      <c r="AB29" s="553">
        <f t="shared" si="17"/>
        <v>26775.397762856166</v>
      </c>
      <c r="AC29" s="553">
        <f t="shared" si="18"/>
        <v>45662.898236815665</v>
      </c>
      <c r="AD29" s="544"/>
      <c r="AN29" s="768" t="s">
        <v>149</v>
      </c>
      <c r="AR29" s="765">
        <v>6</v>
      </c>
      <c r="AS29" s="765" t="s">
        <v>119</v>
      </c>
      <c r="AT29" s="765">
        <v>22</v>
      </c>
      <c r="AU29" s="766">
        <f t="shared" si="19"/>
        <v>0</v>
      </c>
    </row>
    <row r="30" spans="1:47" ht="14.25" customHeight="1">
      <c r="A30" s="546" t="s">
        <v>145</v>
      </c>
      <c r="B30" s="549">
        <f t="shared" si="0"/>
        <v>105880.04545454546</v>
      </c>
      <c r="C30" s="533" t="s">
        <v>117</v>
      </c>
      <c r="D30" s="533" t="s">
        <v>159</v>
      </c>
      <c r="E30" s="533">
        <v>22</v>
      </c>
      <c r="F30" s="545" t="s">
        <v>95</v>
      </c>
      <c r="G30" s="724">
        <v>2000000</v>
      </c>
      <c r="H30" s="725">
        <f t="shared" si="1"/>
        <v>110000</v>
      </c>
      <c r="I30" s="724">
        <f t="shared" si="2"/>
        <v>13200</v>
      </c>
      <c r="J30" s="731">
        <f t="shared" si="3"/>
        <v>63700</v>
      </c>
      <c r="K30" s="772">
        <v>75000</v>
      </c>
      <c r="L30" s="779">
        <f t="shared" si="4"/>
        <v>67461</v>
      </c>
      <c r="M30" s="733">
        <f t="shared" si="5"/>
        <v>2329361</v>
      </c>
      <c r="N30" s="758">
        <v>20000</v>
      </c>
      <c r="O30" s="758">
        <v>50000</v>
      </c>
      <c r="P30" s="548">
        <f t="shared" si="21"/>
        <v>174702.07499999998</v>
      </c>
      <c r="Q30" s="549">
        <f t="shared" si="20"/>
        <v>58234.025000000001</v>
      </c>
      <c r="R30" s="728">
        <f t="shared" si="22"/>
        <v>2562297.1</v>
      </c>
      <c r="S30" s="745">
        <f t="shared" si="8"/>
        <v>0.1</v>
      </c>
      <c r="T30" s="549">
        <f t="shared" si="9"/>
        <v>256229.71000000002</v>
      </c>
      <c r="U30" s="548">
        <f t="shared" si="10"/>
        <v>15000</v>
      </c>
      <c r="V30" s="549">
        <f t="shared" si="11"/>
        <v>241229.71000000002</v>
      </c>
      <c r="W30" s="533">
        <f t="shared" si="12"/>
        <v>22</v>
      </c>
      <c r="X30" s="549">
        <f t="shared" si="13"/>
        <v>10964.986818181818</v>
      </c>
      <c r="Y30" s="549">
        <f t="shared" si="14"/>
        <v>2306067.39</v>
      </c>
      <c r="Z30" s="728">
        <f t="shared" si="15"/>
        <v>17878.915929323965</v>
      </c>
      <c r="AA30" s="553">
        <f t="shared" si="16"/>
        <v>20727.585626571152</v>
      </c>
      <c r="AB30" s="553">
        <f t="shared" si="17"/>
        <v>26775.397762856166</v>
      </c>
      <c r="AC30" s="553">
        <f t="shared" si="18"/>
        <v>45662.898236815665</v>
      </c>
      <c r="AD30" s="544"/>
      <c r="AE30" s="209" t="s">
        <v>160</v>
      </c>
      <c r="AN30" s="768" t="s">
        <v>149</v>
      </c>
      <c r="AR30" s="765">
        <v>7</v>
      </c>
      <c r="AS30" s="765" t="s">
        <v>121</v>
      </c>
      <c r="AT30" s="765">
        <v>22</v>
      </c>
      <c r="AU30" s="766">
        <f t="shared" si="19"/>
        <v>0</v>
      </c>
    </row>
    <row r="31" spans="1:47" ht="14.25" customHeight="1">
      <c r="A31" s="546" t="s">
        <v>145</v>
      </c>
      <c r="B31" s="549">
        <f t="shared" si="0"/>
        <v>104356.13249776186</v>
      </c>
      <c r="C31" s="533" t="s">
        <v>117</v>
      </c>
      <c r="D31" s="533" t="s">
        <v>161</v>
      </c>
      <c r="E31" s="533">
        <v>22.34</v>
      </c>
      <c r="F31" s="545" t="s">
        <v>95</v>
      </c>
      <c r="G31" s="724">
        <v>2000000</v>
      </c>
      <c r="H31" s="725">
        <f t="shared" si="1"/>
        <v>111700</v>
      </c>
      <c r="I31" s="724">
        <f t="shared" si="2"/>
        <v>13404</v>
      </c>
      <c r="J31" s="731">
        <f t="shared" si="3"/>
        <v>63700</v>
      </c>
      <c r="K31" s="772">
        <v>75000</v>
      </c>
      <c r="L31" s="779">
        <f t="shared" si="4"/>
        <v>67512</v>
      </c>
      <c r="M31" s="733">
        <f t="shared" si="5"/>
        <v>2331316</v>
      </c>
      <c r="N31" s="758">
        <v>20000</v>
      </c>
      <c r="O31" s="758">
        <v>50000</v>
      </c>
      <c r="P31" s="548">
        <f>M31*P$5</f>
        <v>174848.69999999998</v>
      </c>
      <c r="Q31" s="549">
        <f t="shared" si="20"/>
        <v>58282.9</v>
      </c>
      <c r="R31" s="728">
        <f>+M31+P31+Q31</f>
        <v>2564447.6</v>
      </c>
      <c r="S31" s="745">
        <f t="shared" si="8"/>
        <v>0.1</v>
      </c>
      <c r="T31" s="549">
        <f t="shared" si="9"/>
        <v>256444.76</v>
      </c>
      <c r="U31" s="548">
        <f t="shared" si="10"/>
        <v>15000</v>
      </c>
      <c r="V31" s="549">
        <f t="shared" si="11"/>
        <v>241444.76</v>
      </c>
      <c r="W31" s="533">
        <f t="shared" si="12"/>
        <v>22</v>
      </c>
      <c r="X31" s="549">
        <f t="shared" si="13"/>
        <v>10974.761818181818</v>
      </c>
      <c r="Y31" s="549">
        <f t="shared" si="14"/>
        <v>2308002.84</v>
      </c>
      <c r="Z31" s="728">
        <f t="shared" si="15"/>
        <v>17893.921452573395</v>
      </c>
      <c r="AA31" s="553">
        <f t="shared" si="16"/>
        <v>20744.981998322866</v>
      </c>
      <c r="AB31" s="553">
        <f t="shared" si="17"/>
        <v>26797.86997846653</v>
      </c>
      <c r="AC31" s="553">
        <f t="shared" si="18"/>
        <v>45701.222466530577</v>
      </c>
      <c r="AD31" s="544"/>
      <c r="AE31" s="532">
        <f>AG9</f>
        <v>7</v>
      </c>
      <c r="AF31" t="str">
        <f>AF9</f>
        <v>1st to 7th Month</v>
      </c>
      <c r="AN31" s="768" t="s">
        <v>149</v>
      </c>
      <c r="AR31" s="765">
        <v>8</v>
      </c>
      <c r="AS31" s="765" t="s">
        <v>123</v>
      </c>
      <c r="AT31" s="765">
        <v>22.34</v>
      </c>
      <c r="AU31" s="766">
        <f t="shared" si="19"/>
        <v>0</v>
      </c>
    </row>
    <row r="32" spans="1:47" ht="14.25" customHeight="1">
      <c r="A32" s="546" t="s">
        <v>145</v>
      </c>
      <c r="B32" s="549">
        <f t="shared" si="0"/>
        <v>105880.04545454546</v>
      </c>
      <c r="C32" s="533" t="s">
        <v>93</v>
      </c>
      <c r="D32" s="533" t="s">
        <v>162</v>
      </c>
      <c r="E32" s="533">
        <v>22</v>
      </c>
      <c r="F32" s="545" t="s">
        <v>95</v>
      </c>
      <c r="G32" s="724">
        <v>2000000</v>
      </c>
      <c r="H32" s="725">
        <f t="shared" si="1"/>
        <v>110000</v>
      </c>
      <c r="I32" s="724">
        <f t="shared" si="2"/>
        <v>13200</v>
      </c>
      <c r="J32" s="731">
        <f t="shared" si="3"/>
        <v>63700</v>
      </c>
      <c r="K32" s="772">
        <v>75000</v>
      </c>
      <c r="L32" s="779">
        <f t="shared" si="4"/>
        <v>67461</v>
      </c>
      <c r="M32" s="733">
        <f t="shared" si="5"/>
        <v>2329361</v>
      </c>
      <c r="N32" s="758">
        <v>20000</v>
      </c>
      <c r="O32" s="758">
        <v>50000</v>
      </c>
      <c r="P32" s="548">
        <f t="shared" si="21"/>
        <v>174702.07499999998</v>
      </c>
      <c r="Q32" s="549">
        <f t="shared" si="20"/>
        <v>58234.025000000001</v>
      </c>
      <c r="R32" s="728">
        <f t="shared" si="22"/>
        <v>2562297.1</v>
      </c>
      <c r="S32" s="745">
        <f t="shared" si="8"/>
        <v>0.1</v>
      </c>
      <c r="T32" s="549">
        <f t="shared" si="9"/>
        <v>256229.71000000002</v>
      </c>
      <c r="U32" s="548">
        <f t="shared" si="10"/>
        <v>15000</v>
      </c>
      <c r="V32" s="549">
        <f t="shared" si="11"/>
        <v>241229.71000000002</v>
      </c>
      <c r="W32" s="533">
        <f t="shared" si="12"/>
        <v>22</v>
      </c>
      <c r="X32" s="549">
        <f t="shared" si="13"/>
        <v>10964.986818181818</v>
      </c>
      <c r="Y32" s="549">
        <f t="shared" si="14"/>
        <v>2306067.39</v>
      </c>
      <c r="Z32" s="728">
        <f t="shared" si="15"/>
        <v>17878.915929323965</v>
      </c>
      <c r="AA32" s="553">
        <f t="shared" si="16"/>
        <v>20727.585626571152</v>
      </c>
      <c r="AB32" s="553">
        <f t="shared" si="17"/>
        <v>26775.397762856166</v>
      </c>
      <c r="AC32" s="553">
        <f t="shared" si="18"/>
        <v>45662.898236815665</v>
      </c>
      <c r="AD32" s="544"/>
      <c r="AE32" s="532">
        <f>AG10</f>
        <v>7</v>
      </c>
      <c r="AF32" t="str">
        <f>AF10</f>
        <v>8th to 14th Month</v>
      </c>
      <c r="AN32" s="768" t="s">
        <v>149</v>
      </c>
      <c r="AR32" s="765">
        <v>9</v>
      </c>
      <c r="AS32" s="765" t="s">
        <v>125</v>
      </c>
      <c r="AT32" s="765">
        <v>22</v>
      </c>
      <c r="AU32" s="766">
        <f t="shared" si="19"/>
        <v>0</v>
      </c>
    </row>
    <row r="33" spans="1:47" ht="14.25" customHeight="1">
      <c r="A33" s="546" t="s">
        <v>145</v>
      </c>
      <c r="B33" s="549">
        <f t="shared" si="0"/>
        <v>105880.04545454546</v>
      </c>
      <c r="C33" s="533" t="s">
        <v>93</v>
      </c>
      <c r="D33" s="533" t="s">
        <v>163</v>
      </c>
      <c r="E33" s="533">
        <v>22</v>
      </c>
      <c r="F33" s="545" t="s">
        <v>95</v>
      </c>
      <c r="G33" s="724">
        <v>2000000</v>
      </c>
      <c r="H33" s="725">
        <f t="shared" si="1"/>
        <v>110000</v>
      </c>
      <c r="I33" s="724">
        <f t="shared" si="2"/>
        <v>13200</v>
      </c>
      <c r="J33" s="731">
        <f t="shared" si="3"/>
        <v>63700</v>
      </c>
      <c r="K33" s="772">
        <v>75000</v>
      </c>
      <c r="L33" s="779">
        <f t="shared" si="4"/>
        <v>67461</v>
      </c>
      <c r="M33" s="733">
        <f t="shared" si="5"/>
        <v>2329361</v>
      </c>
      <c r="N33" s="758">
        <v>20000</v>
      </c>
      <c r="O33" s="758">
        <v>50000</v>
      </c>
      <c r="P33" s="548">
        <f t="shared" si="21"/>
        <v>174702.07499999998</v>
      </c>
      <c r="Q33" s="549">
        <f t="shared" si="20"/>
        <v>58234.025000000001</v>
      </c>
      <c r="R33" s="728">
        <f t="shared" si="22"/>
        <v>2562297.1</v>
      </c>
      <c r="S33" s="745">
        <f t="shared" si="8"/>
        <v>0.1</v>
      </c>
      <c r="T33" s="549">
        <f t="shared" si="9"/>
        <v>256229.71000000002</v>
      </c>
      <c r="U33" s="548">
        <f t="shared" si="10"/>
        <v>15000</v>
      </c>
      <c r="V33" s="549">
        <f t="shared" si="11"/>
        <v>241229.71000000002</v>
      </c>
      <c r="W33" s="533">
        <f t="shared" si="12"/>
        <v>22</v>
      </c>
      <c r="X33" s="549">
        <f t="shared" si="13"/>
        <v>10964.986818181818</v>
      </c>
      <c r="Y33" s="549">
        <f t="shared" si="14"/>
        <v>2306067.39</v>
      </c>
      <c r="Z33" s="728">
        <f t="shared" si="15"/>
        <v>17878.915929323965</v>
      </c>
      <c r="AA33" s="553">
        <f t="shared" si="16"/>
        <v>20727.585626571152</v>
      </c>
      <c r="AB33" s="553">
        <f t="shared" si="17"/>
        <v>26775.397762856166</v>
      </c>
      <c r="AC33" s="553">
        <f t="shared" si="18"/>
        <v>45662.898236815665</v>
      </c>
      <c r="AD33" s="544"/>
      <c r="AE33" s="532">
        <f>AG11</f>
        <v>8</v>
      </c>
      <c r="AF33" t="str">
        <f>AF11</f>
        <v>15th to 22nd Month</v>
      </c>
      <c r="AN33" s="768" t="s">
        <v>149</v>
      </c>
      <c r="AR33" s="765">
        <v>10</v>
      </c>
      <c r="AS33" s="765" t="s">
        <v>127</v>
      </c>
      <c r="AT33" s="765">
        <v>22</v>
      </c>
      <c r="AU33" s="766">
        <f t="shared" si="19"/>
        <v>0</v>
      </c>
    </row>
    <row r="34" spans="1:47" ht="14.25" customHeight="1">
      <c r="A34" s="546" t="s">
        <v>145</v>
      </c>
      <c r="B34" s="549">
        <f t="shared" si="0"/>
        <v>105880.04545454546</v>
      </c>
      <c r="C34" s="533" t="s">
        <v>93</v>
      </c>
      <c r="D34" s="533" t="s">
        <v>164</v>
      </c>
      <c r="E34" s="533">
        <v>22</v>
      </c>
      <c r="F34" s="545" t="s">
        <v>95</v>
      </c>
      <c r="G34" s="724">
        <v>2000000</v>
      </c>
      <c r="H34" s="725">
        <f t="shared" si="1"/>
        <v>110000</v>
      </c>
      <c r="I34" s="724">
        <f t="shared" si="2"/>
        <v>13200</v>
      </c>
      <c r="J34" s="731">
        <f t="shared" si="3"/>
        <v>63700</v>
      </c>
      <c r="K34" s="772">
        <v>75000</v>
      </c>
      <c r="L34" s="779">
        <f t="shared" si="4"/>
        <v>67461</v>
      </c>
      <c r="M34" s="733">
        <f t="shared" si="5"/>
        <v>2329361</v>
      </c>
      <c r="N34" s="758">
        <v>20000</v>
      </c>
      <c r="O34" s="758">
        <v>50000</v>
      </c>
      <c r="P34" s="548">
        <f t="shared" si="21"/>
        <v>174702.07499999998</v>
      </c>
      <c r="Q34" s="549">
        <f t="shared" si="20"/>
        <v>58234.025000000001</v>
      </c>
      <c r="R34" s="728">
        <f t="shared" si="22"/>
        <v>2562297.1</v>
      </c>
      <c r="S34" s="745">
        <f t="shared" si="8"/>
        <v>0.1</v>
      </c>
      <c r="T34" s="549">
        <f t="shared" si="9"/>
        <v>256229.71000000002</v>
      </c>
      <c r="U34" s="548">
        <f t="shared" si="10"/>
        <v>15000</v>
      </c>
      <c r="V34" s="549">
        <f t="shared" si="11"/>
        <v>241229.71000000002</v>
      </c>
      <c r="W34" s="533">
        <f t="shared" si="12"/>
        <v>22</v>
      </c>
      <c r="X34" s="549">
        <f t="shared" si="13"/>
        <v>10964.986818181818</v>
      </c>
      <c r="Y34" s="549">
        <f t="shared" si="14"/>
        <v>2306067.39</v>
      </c>
      <c r="Z34" s="728">
        <f t="shared" si="15"/>
        <v>17878.915929323965</v>
      </c>
      <c r="AA34" s="553">
        <f t="shared" si="16"/>
        <v>20727.585626571152</v>
      </c>
      <c r="AB34" s="553">
        <f t="shared" si="17"/>
        <v>26775.397762856166</v>
      </c>
      <c r="AC34" s="553">
        <f t="shared" si="18"/>
        <v>45662.898236815665</v>
      </c>
      <c r="AD34" s="544"/>
      <c r="AE34" s="797">
        <f>SUM(AE31:AE33)</f>
        <v>22</v>
      </c>
      <c r="AN34" s="768" t="s">
        <v>149</v>
      </c>
      <c r="AR34" s="765">
        <v>11</v>
      </c>
      <c r="AS34" s="765" t="s">
        <v>129</v>
      </c>
      <c r="AT34" s="765">
        <v>22</v>
      </c>
      <c r="AU34" s="766">
        <f t="shared" si="19"/>
        <v>0</v>
      </c>
    </row>
    <row r="35" spans="1:47" ht="14.25" customHeight="1">
      <c r="A35" s="546" t="s">
        <v>145</v>
      </c>
      <c r="B35" s="549">
        <f t="shared" si="0"/>
        <v>105880.04545454546</v>
      </c>
      <c r="C35" s="533" t="s">
        <v>93</v>
      </c>
      <c r="D35" s="533" t="s">
        <v>165</v>
      </c>
      <c r="E35" s="533">
        <v>22</v>
      </c>
      <c r="F35" s="545" t="s">
        <v>95</v>
      </c>
      <c r="G35" s="724">
        <v>2000000</v>
      </c>
      <c r="H35" s="725">
        <f t="shared" si="1"/>
        <v>110000</v>
      </c>
      <c r="I35" s="724">
        <f t="shared" si="2"/>
        <v>13200</v>
      </c>
      <c r="J35" s="731">
        <f t="shared" si="3"/>
        <v>63700</v>
      </c>
      <c r="K35" s="772">
        <v>75000</v>
      </c>
      <c r="L35" s="779">
        <f t="shared" si="4"/>
        <v>67461</v>
      </c>
      <c r="M35" s="733">
        <f t="shared" si="5"/>
        <v>2329361</v>
      </c>
      <c r="N35" s="758">
        <v>20000</v>
      </c>
      <c r="O35" s="758">
        <v>50000</v>
      </c>
      <c r="P35" s="548">
        <f t="shared" si="21"/>
        <v>174702.07499999998</v>
      </c>
      <c r="Q35" s="549">
        <f t="shared" si="20"/>
        <v>58234.025000000001</v>
      </c>
      <c r="R35" s="728">
        <f t="shared" si="22"/>
        <v>2562297.1</v>
      </c>
      <c r="S35" s="745">
        <f t="shared" si="8"/>
        <v>0.1</v>
      </c>
      <c r="T35" s="549">
        <f t="shared" si="9"/>
        <v>256229.71000000002</v>
      </c>
      <c r="U35" s="548">
        <f t="shared" si="10"/>
        <v>15000</v>
      </c>
      <c r="V35" s="549">
        <f t="shared" si="11"/>
        <v>241229.71000000002</v>
      </c>
      <c r="W35" s="533">
        <f t="shared" si="12"/>
        <v>22</v>
      </c>
      <c r="X35" s="549">
        <f t="shared" si="13"/>
        <v>10964.986818181818</v>
      </c>
      <c r="Y35" s="549">
        <f t="shared" si="14"/>
        <v>2306067.39</v>
      </c>
      <c r="Z35" s="728">
        <f t="shared" si="15"/>
        <v>17878.915929323965</v>
      </c>
      <c r="AA35" s="553">
        <f t="shared" si="16"/>
        <v>20727.585626571152</v>
      </c>
      <c r="AB35" s="553">
        <f t="shared" si="17"/>
        <v>26775.397762856166</v>
      </c>
      <c r="AC35" s="553">
        <f t="shared" si="18"/>
        <v>45662.898236815665</v>
      </c>
      <c r="AD35" s="544"/>
      <c r="AF35" t="s">
        <v>166</v>
      </c>
      <c r="AN35" s="768" t="s">
        <v>96</v>
      </c>
      <c r="AR35" s="765">
        <v>12</v>
      </c>
      <c r="AS35" s="765" t="s">
        <v>131</v>
      </c>
      <c r="AT35" s="765">
        <v>22</v>
      </c>
      <c r="AU35" s="766">
        <f t="shared" si="19"/>
        <v>0</v>
      </c>
    </row>
    <row r="36" spans="1:47" ht="14.25" customHeight="1">
      <c r="A36" s="546" t="s">
        <v>145</v>
      </c>
      <c r="B36" s="549">
        <f t="shared" si="0"/>
        <v>105880.04545454546</v>
      </c>
      <c r="C36" s="533" t="s">
        <v>93</v>
      </c>
      <c r="D36" s="533" t="s">
        <v>167</v>
      </c>
      <c r="E36" s="533">
        <v>22</v>
      </c>
      <c r="F36" s="545" t="s">
        <v>95</v>
      </c>
      <c r="G36" s="724">
        <v>2000000</v>
      </c>
      <c r="H36" s="725">
        <f>H$5*E36</f>
        <v>110000</v>
      </c>
      <c r="I36" s="724">
        <f t="shared" si="2"/>
        <v>13200</v>
      </c>
      <c r="J36" s="731">
        <f t="shared" si="3"/>
        <v>63700</v>
      </c>
      <c r="K36" s="772">
        <v>75000</v>
      </c>
      <c r="L36" s="779">
        <f t="shared" si="4"/>
        <v>67461</v>
      </c>
      <c r="M36" s="733">
        <f t="shared" si="5"/>
        <v>2329361</v>
      </c>
      <c r="N36" s="758">
        <v>20000</v>
      </c>
      <c r="O36" s="758">
        <v>50000</v>
      </c>
      <c r="P36" s="548">
        <f t="shared" si="21"/>
        <v>174702.07499999998</v>
      </c>
      <c r="Q36" s="549">
        <f t="shared" si="20"/>
        <v>58234.025000000001</v>
      </c>
      <c r="R36" s="728">
        <f t="shared" si="22"/>
        <v>2562297.1</v>
      </c>
      <c r="S36" s="745">
        <f t="shared" si="8"/>
        <v>0.1</v>
      </c>
      <c r="T36" s="549">
        <f t="shared" si="9"/>
        <v>256229.71000000002</v>
      </c>
      <c r="U36" s="548">
        <f t="shared" si="10"/>
        <v>15000</v>
      </c>
      <c r="V36" s="549">
        <f t="shared" si="11"/>
        <v>241229.71000000002</v>
      </c>
      <c r="W36" s="533">
        <f t="shared" si="12"/>
        <v>22</v>
      </c>
      <c r="X36" s="549">
        <f t="shared" si="13"/>
        <v>10964.986818181818</v>
      </c>
      <c r="Y36" s="549">
        <f t="shared" si="14"/>
        <v>2306067.39</v>
      </c>
      <c r="Z36" s="728">
        <f t="shared" si="15"/>
        <v>17878.915929323965</v>
      </c>
      <c r="AA36" s="553">
        <f t="shared" si="16"/>
        <v>20727.585626571152</v>
      </c>
      <c r="AB36" s="553">
        <f t="shared" si="17"/>
        <v>26775.397762856166</v>
      </c>
      <c r="AC36" s="553">
        <f t="shared" si="18"/>
        <v>45662.898236815665</v>
      </c>
      <c r="AD36" s="544"/>
      <c r="AN36" s="768" t="s">
        <v>149</v>
      </c>
      <c r="AR36" s="765">
        <v>13</v>
      </c>
      <c r="AS36" s="765" t="s">
        <v>133</v>
      </c>
      <c r="AT36" s="765">
        <v>22</v>
      </c>
      <c r="AU36" s="766">
        <f t="shared" si="19"/>
        <v>0</v>
      </c>
    </row>
    <row r="37" spans="1:47" ht="14.25" customHeight="1">
      <c r="A37" s="546" t="s">
        <v>145</v>
      </c>
      <c r="B37" s="549">
        <f t="shared" si="0"/>
        <v>105880.04545454546</v>
      </c>
      <c r="C37" s="533" t="s">
        <v>93</v>
      </c>
      <c r="D37" s="533" t="s">
        <v>168</v>
      </c>
      <c r="E37" s="533">
        <v>22</v>
      </c>
      <c r="F37" s="545" t="s">
        <v>95</v>
      </c>
      <c r="G37" s="724">
        <v>2000000</v>
      </c>
      <c r="H37" s="725">
        <f t="shared" si="1"/>
        <v>110000</v>
      </c>
      <c r="I37" s="724">
        <f t="shared" si="2"/>
        <v>13200</v>
      </c>
      <c r="J37" s="731">
        <f t="shared" si="3"/>
        <v>63700</v>
      </c>
      <c r="K37" s="772">
        <v>75000</v>
      </c>
      <c r="L37" s="779">
        <f t="shared" si="4"/>
        <v>67461</v>
      </c>
      <c r="M37" s="733">
        <f t="shared" si="5"/>
        <v>2329361</v>
      </c>
      <c r="N37" s="758">
        <v>20000</v>
      </c>
      <c r="O37" s="758">
        <v>50000</v>
      </c>
      <c r="P37" s="548">
        <f t="shared" si="21"/>
        <v>174702.07499999998</v>
      </c>
      <c r="Q37" s="549">
        <f t="shared" si="20"/>
        <v>58234.025000000001</v>
      </c>
      <c r="R37" s="728">
        <f t="shared" si="22"/>
        <v>2562297.1</v>
      </c>
      <c r="S37" s="745">
        <f t="shared" si="8"/>
        <v>0.1</v>
      </c>
      <c r="T37" s="549">
        <f t="shared" si="9"/>
        <v>256229.71000000002</v>
      </c>
      <c r="U37" s="548">
        <f t="shared" si="10"/>
        <v>15000</v>
      </c>
      <c r="V37" s="549">
        <f t="shared" si="11"/>
        <v>241229.71000000002</v>
      </c>
      <c r="W37" s="533">
        <f t="shared" si="12"/>
        <v>22</v>
      </c>
      <c r="X37" s="549">
        <f t="shared" si="13"/>
        <v>10964.986818181818</v>
      </c>
      <c r="Y37" s="549">
        <f t="shared" si="14"/>
        <v>2306067.39</v>
      </c>
      <c r="Z37" s="728">
        <f t="shared" si="15"/>
        <v>17878.915929323965</v>
      </c>
      <c r="AA37" s="553">
        <f t="shared" si="16"/>
        <v>20727.585626571152</v>
      </c>
      <c r="AB37" s="553">
        <f t="shared" si="17"/>
        <v>26775.397762856166</v>
      </c>
      <c r="AC37" s="553">
        <f t="shared" si="18"/>
        <v>45662.898236815665</v>
      </c>
      <c r="AD37" s="544"/>
      <c r="AN37" s="768" t="s">
        <v>149</v>
      </c>
      <c r="AR37" s="765">
        <v>14</v>
      </c>
      <c r="AS37" s="765" t="s">
        <v>135</v>
      </c>
      <c r="AT37" s="765">
        <v>22</v>
      </c>
      <c r="AU37" s="766">
        <f t="shared" si="19"/>
        <v>0</v>
      </c>
    </row>
    <row r="38" spans="1:47" ht="14.25" customHeight="1">
      <c r="A38" s="546" t="s">
        <v>145</v>
      </c>
      <c r="B38" s="549">
        <f t="shared" si="0"/>
        <v>105880.04545454546</v>
      </c>
      <c r="C38" s="533" t="s">
        <v>93</v>
      </c>
      <c r="D38" s="533" t="s">
        <v>169</v>
      </c>
      <c r="E38" s="533">
        <v>22</v>
      </c>
      <c r="F38" s="545" t="s">
        <v>95</v>
      </c>
      <c r="G38" s="724">
        <v>2000000</v>
      </c>
      <c r="H38" s="725">
        <f t="shared" si="1"/>
        <v>110000</v>
      </c>
      <c r="I38" s="724">
        <f t="shared" si="2"/>
        <v>13200</v>
      </c>
      <c r="J38" s="731">
        <f t="shared" si="3"/>
        <v>63700</v>
      </c>
      <c r="K38" s="772">
        <v>75000</v>
      </c>
      <c r="L38" s="779">
        <f t="shared" si="4"/>
        <v>67461</v>
      </c>
      <c r="M38" s="733">
        <f t="shared" si="5"/>
        <v>2329361</v>
      </c>
      <c r="N38" s="758">
        <v>20000</v>
      </c>
      <c r="O38" s="758">
        <v>50000</v>
      </c>
      <c r="P38" s="548">
        <f>M38*P$5</f>
        <v>174702.07499999998</v>
      </c>
      <c r="Q38" s="549">
        <f t="shared" si="20"/>
        <v>58234.025000000001</v>
      </c>
      <c r="R38" s="728">
        <f>+M38+P38+Q38</f>
        <v>2562297.1</v>
      </c>
      <c r="S38" s="745">
        <f t="shared" si="8"/>
        <v>0.1</v>
      </c>
      <c r="T38" s="549">
        <f t="shared" si="9"/>
        <v>256229.71000000002</v>
      </c>
      <c r="U38" s="548">
        <f t="shared" si="10"/>
        <v>15000</v>
      </c>
      <c r="V38" s="549">
        <f t="shared" si="11"/>
        <v>241229.71000000002</v>
      </c>
      <c r="W38" s="533">
        <f t="shared" si="12"/>
        <v>22</v>
      </c>
      <c r="X38" s="549">
        <f t="shared" si="13"/>
        <v>10964.986818181818</v>
      </c>
      <c r="Y38" s="549">
        <f t="shared" si="14"/>
        <v>2306067.39</v>
      </c>
      <c r="Z38" s="728">
        <f t="shared" si="15"/>
        <v>17878.915929323965</v>
      </c>
      <c r="AA38" s="553">
        <f t="shared" si="16"/>
        <v>20727.585626571152</v>
      </c>
      <c r="AB38" s="553">
        <f t="shared" si="17"/>
        <v>26775.397762856166</v>
      </c>
      <c r="AC38" s="553">
        <f t="shared" si="18"/>
        <v>45662.898236815665</v>
      </c>
      <c r="AD38" s="544"/>
      <c r="AN38" s="768" t="s">
        <v>149</v>
      </c>
      <c r="AR38" s="765">
        <v>15</v>
      </c>
      <c r="AS38" s="765" t="s">
        <v>138</v>
      </c>
      <c r="AT38" s="765">
        <v>22</v>
      </c>
      <c r="AU38" s="766">
        <f t="shared" si="19"/>
        <v>0</v>
      </c>
    </row>
    <row r="39" spans="1:47" ht="14.25" customHeight="1">
      <c r="A39" s="546" t="s">
        <v>145</v>
      </c>
      <c r="B39" s="549">
        <f t="shared" si="0"/>
        <v>105880.04545454546</v>
      </c>
      <c r="C39" s="533" t="s">
        <v>93</v>
      </c>
      <c r="D39" s="533" t="s">
        <v>170</v>
      </c>
      <c r="E39" s="533">
        <v>22</v>
      </c>
      <c r="F39" s="545" t="s">
        <v>95</v>
      </c>
      <c r="G39" s="724">
        <v>2000000</v>
      </c>
      <c r="H39" s="725">
        <f t="shared" si="1"/>
        <v>110000</v>
      </c>
      <c r="I39" s="724">
        <f t="shared" si="2"/>
        <v>13200</v>
      </c>
      <c r="J39" s="731">
        <f t="shared" si="3"/>
        <v>63700</v>
      </c>
      <c r="K39" s="772">
        <v>75000</v>
      </c>
      <c r="L39" s="779">
        <f t="shared" si="4"/>
        <v>67461</v>
      </c>
      <c r="M39" s="733">
        <f t="shared" si="5"/>
        <v>2329361</v>
      </c>
      <c r="N39" s="758">
        <v>20000</v>
      </c>
      <c r="O39" s="758">
        <v>50000</v>
      </c>
      <c r="P39" s="548">
        <f>M39*P$5</f>
        <v>174702.07499999998</v>
      </c>
      <c r="Q39" s="549">
        <f t="shared" si="20"/>
        <v>58234.025000000001</v>
      </c>
      <c r="R39" s="728">
        <f>+M39+P39+Q39</f>
        <v>2562297.1</v>
      </c>
      <c r="S39" s="745">
        <f t="shared" si="8"/>
        <v>0.1</v>
      </c>
      <c r="T39" s="549">
        <f t="shared" si="9"/>
        <v>256229.71000000002</v>
      </c>
      <c r="U39" s="548">
        <f t="shared" si="10"/>
        <v>15000</v>
      </c>
      <c r="V39" s="549">
        <f t="shared" si="11"/>
        <v>241229.71000000002</v>
      </c>
      <c r="W39" s="533">
        <f t="shared" si="12"/>
        <v>22</v>
      </c>
      <c r="X39" s="549">
        <f t="shared" si="13"/>
        <v>10964.986818181818</v>
      </c>
      <c r="Y39" s="549">
        <f t="shared" si="14"/>
        <v>2306067.39</v>
      </c>
      <c r="Z39" s="728">
        <f t="shared" si="15"/>
        <v>17878.915929323965</v>
      </c>
      <c r="AA39" s="553">
        <f t="shared" si="16"/>
        <v>20727.585626571152</v>
      </c>
      <c r="AB39" s="553">
        <f t="shared" si="17"/>
        <v>26775.397762856166</v>
      </c>
      <c r="AC39" s="553">
        <f t="shared" si="18"/>
        <v>45662.898236815665</v>
      </c>
      <c r="AD39" s="544"/>
      <c r="AN39" s="768" t="s">
        <v>149</v>
      </c>
      <c r="AR39" s="765">
        <v>16</v>
      </c>
      <c r="AS39" s="765" t="s">
        <v>142</v>
      </c>
      <c r="AT39" s="765">
        <v>22</v>
      </c>
      <c r="AU39" s="766">
        <f t="shared" si="19"/>
        <v>0</v>
      </c>
    </row>
    <row r="40" spans="1:47" ht="14.25" customHeight="1">
      <c r="A40" s="546" t="s">
        <v>145</v>
      </c>
      <c r="B40" s="549">
        <f t="shared" si="0"/>
        <v>105880.04545454546</v>
      </c>
      <c r="C40" s="533" t="s">
        <v>93</v>
      </c>
      <c r="D40" s="533" t="s">
        <v>171</v>
      </c>
      <c r="E40" s="533">
        <v>22</v>
      </c>
      <c r="F40" s="545" t="s">
        <v>95</v>
      </c>
      <c r="G40" s="724">
        <v>2000000</v>
      </c>
      <c r="H40" s="725">
        <f t="shared" si="1"/>
        <v>110000</v>
      </c>
      <c r="I40" s="724">
        <f t="shared" si="2"/>
        <v>13200</v>
      </c>
      <c r="J40" s="731">
        <f t="shared" si="3"/>
        <v>63700</v>
      </c>
      <c r="K40" s="772">
        <v>75000</v>
      </c>
      <c r="L40" s="779">
        <f t="shared" si="4"/>
        <v>67461</v>
      </c>
      <c r="M40" s="733">
        <f t="shared" si="5"/>
        <v>2329361</v>
      </c>
      <c r="N40" s="758">
        <v>20000</v>
      </c>
      <c r="O40" s="758">
        <v>50000</v>
      </c>
      <c r="P40" s="548">
        <f t="shared" si="21"/>
        <v>174702.07499999998</v>
      </c>
      <c r="Q40" s="549">
        <f t="shared" si="20"/>
        <v>58234.025000000001</v>
      </c>
      <c r="R40" s="728">
        <f t="shared" si="22"/>
        <v>2562297.1</v>
      </c>
      <c r="S40" s="745">
        <f t="shared" si="8"/>
        <v>0.1</v>
      </c>
      <c r="T40" s="549">
        <f t="shared" si="9"/>
        <v>256229.71000000002</v>
      </c>
      <c r="U40" s="548">
        <f t="shared" si="10"/>
        <v>15000</v>
      </c>
      <c r="V40" s="549">
        <f t="shared" si="11"/>
        <v>241229.71000000002</v>
      </c>
      <c r="W40" s="533">
        <f t="shared" si="12"/>
        <v>22</v>
      </c>
      <c r="X40" s="549">
        <f t="shared" si="13"/>
        <v>10964.986818181818</v>
      </c>
      <c r="Y40" s="549">
        <f t="shared" si="14"/>
        <v>2306067.39</v>
      </c>
      <c r="Z40" s="728">
        <f t="shared" si="15"/>
        <v>17878.915929323965</v>
      </c>
      <c r="AA40" s="553">
        <f t="shared" si="16"/>
        <v>20727.585626571152</v>
      </c>
      <c r="AB40" s="553">
        <f t="shared" si="17"/>
        <v>26775.397762856166</v>
      </c>
      <c r="AC40" s="553">
        <f t="shared" si="18"/>
        <v>45662.898236815665</v>
      </c>
      <c r="AD40" s="544"/>
      <c r="AN40" s="768" t="s">
        <v>149</v>
      </c>
      <c r="AR40" s="765">
        <v>17</v>
      </c>
      <c r="AS40" s="765" t="s">
        <v>144</v>
      </c>
      <c r="AT40" s="765">
        <v>22</v>
      </c>
      <c r="AU40" s="766">
        <f t="shared" si="19"/>
        <v>0</v>
      </c>
    </row>
    <row r="41" spans="1:47" ht="14.25" customHeight="1">
      <c r="A41" s="546" t="s">
        <v>145</v>
      </c>
      <c r="B41" s="549">
        <f t="shared" si="0"/>
        <v>104356.13249776186</v>
      </c>
      <c r="C41" s="533" t="s">
        <v>117</v>
      </c>
      <c r="D41" s="533" t="s">
        <v>172</v>
      </c>
      <c r="E41" s="533">
        <v>22.34</v>
      </c>
      <c r="F41" s="545" t="s">
        <v>95</v>
      </c>
      <c r="G41" s="724">
        <v>2000000</v>
      </c>
      <c r="H41" s="725">
        <f t="shared" si="1"/>
        <v>111700</v>
      </c>
      <c r="I41" s="724">
        <f t="shared" si="2"/>
        <v>13404</v>
      </c>
      <c r="J41" s="731">
        <f t="shared" si="3"/>
        <v>63700</v>
      </c>
      <c r="K41" s="772">
        <v>75000</v>
      </c>
      <c r="L41" s="779">
        <f t="shared" si="4"/>
        <v>67512</v>
      </c>
      <c r="M41" s="733">
        <f t="shared" si="5"/>
        <v>2331316</v>
      </c>
      <c r="N41" s="758">
        <v>20000</v>
      </c>
      <c r="O41" s="758">
        <v>50000</v>
      </c>
      <c r="P41" s="548">
        <f t="shared" si="21"/>
        <v>174848.69999999998</v>
      </c>
      <c r="Q41" s="549">
        <f t="shared" si="20"/>
        <v>58282.9</v>
      </c>
      <c r="R41" s="728">
        <f t="shared" si="22"/>
        <v>2564447.6</v>
      </c>
      <c r="S41" s="745">
        <f t="shared" si="8"/>
        <v>0.1</v>
      </c>
      <c r="T41" s="549">
        <f t="shared" si="9"/>
        <v>256444.76</v>
      </c>
      <c r="U41" s="548">
        <f t="shared" si="10"/>
        <v>15000</v>
      </c>
      <c r="V41" s="549">
        <f t="shared" si="11"/>
        <v>241444.76</v>
      </c>
      <c r="W41" s="533">
        <f t="shared" si="12"/>
        <v>22</v>
      </c>
      <c r="X41" s="549">
        <f t="shared" si="13"/>
        <v>10974.761818181818</v>
      </c>
      <c r="Y41" s="549">
        <f t="shared" si="14"/>
        <v>2308002.84</v>
      </c>
      <c r="Z41" s="728">
        <f t="shared" si="15"/>
        <v>17893.921452573395</v>
      </c>
      <c r="AA41" s="553">
        <f t="shared" si="16"/>
        <v>20744.981998322866</v>
      </c>
      <c r="AB41" s="553">
        <f t="shared" si="17"/>
        <v>26797.86997846653</v>
      </c>
      <c r="AC41" s="553">
        <f t="shared" si="18"/>
        <v>45701.222466530577</v>
      </c>
      <c r="AD41" s="544"/>
      <c r="AN41" s="768" t="s">
        <v>96</v>
      </c>
      <c r="AR41" s="765">
        <v>18</v>
      </c>
      <c r="AS41" s="765" t="s">
        <v>173</v>
      </c>
      <c r="AT41" s="765">
        <v>22.34</v>
      </c>
      <c r="AU41" s="766">
        <f t="shared" si="19"/>
        <v>0</v>
      </c>
    </row>
    <row r="42" spans="1:47" ht="14.25" customHeight="1">
      <c r="A42" s="547" t="s">
        <v>174</v>
      </c>
      <c r="B42" s="549">
        <f t="shared" si="0"/>
        <v>105880.04545454546</v>
      </c>
      <c r="C42" s="533" t="s">
        <v>93</v>
      </c>
      <c r="D42" s="533" t="s">
        <v>175</v>
      </c>
      <c r="E42" s="533">
        <v>22</v>
      </c>
      <c r="F42" s="545" t="s">
        <v>95</v>
      </c>
      <c r="G42" s="724">
        <v>2000000</v>
      </c>
      <c r="H42" s="725">
        <f t="shared" si="1"/>
        <v>110000</v>
      </c>
      <c r="I42" s="724">
        <f t="shared" si="2"/>
        <v>13200</v>
      </c>
      <c r="J42" s="731">
        <f t="shared" si="3"/>
        <v>63700</v>
      </c>
      <c r="K42" s="772">
        <v>75000</v>
      </c>
      <c r="L42" s="779">
        <f t="shared" si="4"/>
        <v>67461</v>
      </c>
      <c r="M42" s="733">
        <f t="shared" si="5"/>
        <v>2329361</v>
      </c>
      <c r="N42" s="758">
        <v>20000</v>
      </c>
      <c r="O42" s="758">
        <v>50000</v>
      </c>
      <c r="P42" s="548">
        <f t="shared" si="21"/>
        <v>174702.07499999998</v>
      </c>
      <c r="Q42" s="549">
        <f t="shared" si="20"/>
        <v>58234.025000000001</v>
      </c>
      <c r="R42" s="728">
        <f t="shared" si="22"/>
        <v>2562297.1</v>
      </c>
      <c r="S42" s="745">
        <f t="shared" si="8"/>
        <v>0.1</v>
      </c>
      <c r="T42" s="549">
        <f t="shared" si="9"/>
        <v>256229.71000000002</v>
      </c>
      <c r="U42" s="548">
        <f t="shared" si="10"/>
        <v>15000</v>
      </c>
      <c r="V42" s="549">
        <f t="shared" si="11"/>
        <v>241229.71000000002</v>
      </c>
      <c r="W42" s="533">
        <f t="shared" si="12"/>
        <v>22</v>
      </c>
      <c r="X42" s="549">
        <f t="shared" si="13"/>
        <v>10964.986818181818</v>
      </c>
      <c r="Y42" s="549">
        <f t="shared" si="14"/>
        <v>2306067.39</v>
      </c>
      <c r="Z42" s="728">
        <f t="shared" si="15"/>
        <v>17878.915929323965</v>
      </c>
      <c r="AA42" s="553">
        <f t="shared" si="16"/>
        <v>20727.585626571152</v>
      </c>
      <c r="AB42" s="553">
        <f t="shared" si="17"/>
        <v>26775.397762856166</v>
      </c>
      <c r="AC42" s="553">
        <f t="shared" si="18"/>
        <v>45662.898236815665</v>
      </c>
      <c r="AD42" s="544"/>
      <c r="AN42" s="768" t="s">
        <v>149</v>
      </c>
      <c r="AR42" s="765">
        <v>1</v>
      </c>
      <c r="AS42" s="765" t="s">
        <v>97</v>
      </c>
      <c r="AT42" s="765">
        <v>22</v>
      </c>
      <c r="AU42" s="766">
        <f t="shared" si="19"/>
        <v>0</v>
      </c>
    </row>
    <row r="43" spans="1:47" ht="14.25" customHeight="1">
      <c r="A43" s="547" t="s">
        <v>174</v>
      </c>
      <c r="B43" s="549">
        <f t="shared" si="0"/>
        <v>105880.04545454546</v>
      </c>
      <c r="C43" s="533" t="s">
        <v>93</v>
      </c>
      <c r="D43" s="533" t="s">
        <v>176</v>
      </c>
      <c r="E43" s="533">
        <v>22</v>
      </c>
      <c r="F43" s="545" t="s">
        <v>95</v>
      </c>
      <c r="G43" s="724">
        <v>2000000</v>
      </c>
      <c r="H43" s="725">
        <f t="shared" si="1"/>
        <v>110000</v>
      </c>
      <c r="I43" s="724">
        <f t="shared" si="2"/>
        <v>13200</v>
      </c>
      <c r="J43" s="731">
        <f t="shared" si="3"/>
        <v>63700</v>
      </c>
      <c r="K43" s="772">
        <v>75000</v>
      </c>
      <c r="L43" s="779">
        <f t="shared" si="4"/>
        <v>67461</v>
      </c>
      <c r="M43" s="733">
        <f t="shared" si="5"/>
        <v>2329361</v>
      </c>
      <c r="N43" s="758">
        <v>20000</v>
      </c>
      <c r="O43" s="758">
        <v>50000</v>
      </c>
      <c r="P43" s="548">
        <f t="shared" si="21"/>
        <v>174702.07499999998</v>
      </c>
      <c r="Q43" s="549">
        <f t="shared" si="20"/>
        <v>58234.025000000001</v>
      </c>
      <c r="R43" s="728">
        <f t="shared" si="22"/>
        <v>2562297.1</v>
      </c>
      <c r="S43" s="745">
        <f t="shared" si="8"/>
        <v>0.1</v>
      </c>
      <c r="T43" s="549">
        <f t="shared" si="9"/>
        <v>256229.71000000002</v>
      </c>
      <c r="U43" s="548">
        <f t="shared" si="10"/>
        <v>15000</v>
      </c>
      <c r="V43" s="549">
        <f t="shared" si="11"/>
        <v>241229.71000000002</v>
      </c>
      <c r="W43" s="533">
        <f t="shared" si="12"/>
        <v>22</v>
      </c>
      <c r="X43" s="549">
        <f t="shared" si="13"/>
        <v>10964.986818181818</v>
      </c>
      <c r="Y43" s="549">
        <f t="shared" si="14"/>
        <v>2306067.39</v>
      </c>
      <c r="Z43" s="728">
        <f t="shared" si="15"/>
        <v>17878.915929323965</v>
      </c>
      <c r="AA43" s="553">
        <f t="shared" si="16"/>
        <v>20727.585626571152</v>
      </c>
      <c r="AB43" s="553">
        <f t="shared" si="17"/>
        <v>26775.397762856166</v>
      </c>
      <c r="AC43" s="553">
        <f t="shared" si="18"/>
        <v>45662.898236815665</v>
      </c>
      <c r="AD43" s="544"/>
      <c r="AN43" s="768" t="s">
        <v>149</v>
      </c>
      <c r="AR43" s="765">
        <v>2</v>
      </c>
      <c r="AS43" s="765" t="s">
        <v>104</v>
      </c>
      <c r="AT43" s="765">
        <v>22</v>
      </c>
      <c r="AU43" s="766">
        <f t="shared" si="19"/>
        <v>0</v>
      </c>
    </row>
    <row r="44" spans="1:47" ht="14.25" customHeight="1">
      <c r="A44" s="547" t="s">
        <v>174</v>
      </c>
      <c r="B44" s="549">
        <f t="shared" si="0"/>
        <v>105880.04545454546</v>
      </c>
      <c r="C44" s="533" t="s">
        <v>93</v>
      </c>
      <c r="D44" s="533" t="s">
        <v>177</v>
      </c>
      <c r="E44" s="533">
        <v>22</v>
      </c>
      <c r="F44" s="545" t="s">
        <v>95</v>
      </c>
      <c r="G44" s="724">
        <v>2000000</v>
      </c>
      <c r="H44" s="725">
        <f t="shared" si="1"/>
        <v>110000</v>
      </c>
      <c r="I44" s="724">
        <f t="shared" si="2"/>
        <v>13200</v>
      </c>
      <c r="J44" s="731">
        <f t="shared" si="3"/>
        <v>63700</v>
      </c>
      <c r="K44" s="772">
        <v>75000</v>
      </c>
      <c r="L44" s="779">
        <f t="shared" si="4"/>
        <v>67461</v>
      </c>
      <c r="M44" s="733">
        <f t="shared" si="5"/>
        <v>2329361</v>
      </c>
      <c r="N44" s="758">
        <v>20000</v>
      </c>
      <c r="O44" s="758">
        <v>50000</v>
      </c>
      <c r="P44" s="548">
        <f t="shared" si="21"/>
        <v>174702.07499999998</v>
      </c>
      <c r="Q44" s="549">
        <f t="shared" si="20"/>
        <v>58234.025000000001</v>
      </c>
      <c r="R44" s="728">
        <f t="shared" si="22"/>
        <v>2562297.1</v>
      </c>
      <c r="S44" s="745">
        <f t="shared" si="8"/>
        <v>0.1</v>
      </c>
      <c r="T44" s="549">
        <f t="shared" si="9"/>
        <v>256229.71000000002</v>
      </c>
      <c r="U44" s="548">
        <f t="shared" si="10"/>
        <v>15000</v>
      </c>
      <c r="V44" s="549">
        <f t="shared" si="11"/>
        <v>241229.71000000002</v>
      </c>
      <c r="W44" s="533">
        <f t="shared" si="12"/>
        <v>22</v>
      </c>
      <c r="X44" s="549">
        <f t="shared" si="13"/>
        <v>10964.986818181818</v>
      </c>
      <c r="Y44" s="549">
        <f t="shared" si="14"/>
        <v>2306067.39</v>
      </c>
      <c r="Z44" s="728">
        <f t="shared" si="15"/>
        <v>17878.915929323965</v>
      </c>
      <c r="AA44" s="553">
        <f t="shared" si="16"/>
        <v>20727.585626571152</v>
      </c>
      <c r="AB44" s="553">
        <f t="shared" si="17"/>
        <v>26775.397762856166</v>
      </c>
      <c r="AC44" s="553">
        <f t="shared" si="18"/>
        <v>45662.898236815665</v>
      </c>
      <c r="AD44" s="544"/>
      <c r="AN44" s="768" t="s">
        <v>149</v>
      </c>
      <c r="AR44" s="765">
        <v>3</v>
      </c>
      <c r="AS44" s="765" t="s">
        <v>108</v>
      </c>
      <c r="AT44" s="765">
        <v>22</v>
      </c>
      <c r="AU44" s="766">
        <f t="shared" si="19"/>
        <v>0</v>
      </c>
    </row>
    <row r="45" spans="1:47" ht="14.25" customHeight="1">
      <c r="A45" s="547" t="s">
        <v>174</v>
      </c>
      <c r="B45" s="549">
        <f t="shared" si="0"/>
        <v>105880.04545454546</v>
      </c>
      <c r="C45" s="533" t="s">
        <v>93</v>
      </c>
      <c r="D45" s="533" t="s">
        <v>178</v>
      </c>
      <c r="E45" s="533">
        <v>22</v>
      </c>
      <c r="F45" s="545" t="s">
        <v>95</v>
      </c>
      <c r="G45" s="724">
        <v>2000000</v>
      </c>
      <c r="H45" s="725">
        <f t="shared" si="1"/>
        <v>110000</v>
      </c>
      <c r="I45" s="724">
        <f t="shared" si="2"/>
        <v>13200</v>
      </c>
      <c r="J45" s="731">
        <f t="shared" si="3"/>
        <v>63700</v>
      </c>
      <c r="K45" s="772">
        <v>75000</v>
      </c>
      <c r="L45" s="779">
        <f t="shared" si="4"/>
        <v>67461</v>
      </c>
      <c r="M45" s="733">
        <f t="shared" si="5"/>
        <v>2329361</v>
      </c>
      <c r="N45" s="758">
        <v>20000</v>
      </c>
      <c r="O45" s="758">
        <v>50000</v>
      </c>
      <c r="P45" s="548">
        <f t="shared" si="21"/>
        <v>174702.07499999998</v>
      </c>
      <c r="Q45" s="549">
        <f t="shared" si="20"/>
        <v>58234.025000000001</v>
      </c>
      <c r="R45" s="728">
        <f t="shared" si="22"/>
        <v>2562297.1</v>
      </c>
      <c r="S45" s="745">
        <f t="shared" si="8"/>
        <v>0.1</v>
      </c>
      <c r="T45" s="549">
        <f t="shared" si="9"/>
        <v>256229.71000000002</v>
      </c>
      <c r="U45" s="548">
        <f t="shared" si="10"/>
        <v>15000</v>
      </c>
      <c r="V45" s="549">
        <f t="shared" si="11"/>
        <v>241229.71000000002</v>
      </c>
      <c r="W45" s="533">
        <f t="shared" si="12"/>
        <v>22</v>
      </c>
      <c r="X45" s="549">
        <f t="shared" si="13"/>
        <v>10964.986818181818</v>
      </c>
      <c r="Y45" s="549">
        <f t="shared" si="14"/>
        <v>2306067.39</v>
      </c>
      <c r="Z45" s="728">
        <f t="shared" si="15"/>
        <v>17878.915929323965</v>
      </c>
      <c r="AA45" s="553">
        <f t="shared" si="16"/>
        <v>20727.585626571152</v>
      </c>
      <c r="AB45" s="553">
        <f t="shared" si="17"/>
        <v>26775.397762856166</v>
      </c>
      <c r="AC45" s="553">
        <f t="shared" si="18"/>
        <v>45662.898236815665</v>
      </c>
      <c r="AD45" s="544"/>
      <c r="AN45" s="768" t="s">
        <v>96</v>
      </c>
      <c r="AR45" s="765">
        <v>4</v>
      </c>
      <c r="AS45" s="765" t="s">
        <v>112</v>
      </c>
      <c r="AT45" s="765">
        <v>22</v>
      </c>
      <c r="AU45" s="766">
        <f t="shared" si="19"/>
        <v>0</v>
      </c>
    </row>
    <row r="46" spans="1:47" ht="14.25" customHeight="1">
      <c r="A46" s="547" t="s">
        <v>174</v>
      </c>
      <c r="B46" s="549">
        <f t="shared" si="0"/>
        <v>105880.04545454546</v>
      </c>
      <c r="C46" s="533" t="s">
        <v>93</v>
      </c>
      <c r="D46" s="533" t="s">
        <v>179</v>
      </c>
      <c r="E46" s="533">
        <v>22</v>
      </c>
      <c r="F46" s="545" t="s">
        <v>95</v>
      </c>
      <c r="G46" s="724">
        <v>2000000</v>
      </c>
      <c r="H46" s="725">
        <f t="shared" si="1"/>
        <v>110000</v>
      </c>
      <c r="I46" s="724">
        <f t="shared" si="2"/>
        <v>13200</v>
      </c>
      <c r="J46" s="731">
        <f t="shared" si="3"/>
        <v>63700</v>
      </c>
      <c r="K46" s="772">
        <v>75000</v>
      </c>
      <c r="L46" s="779">
        <f t="shared" si="4"/>
        <v>67461</v>
      </c>
      <c r="M46" s="733">
        <f t="shared" si="5"/>
        <v>2329361</v>
      </c>
      <c r="N46" s="758">
        <v>20000</v>
      </c>
      <c r="O46" s="758">
        <v>50000</v>
      </c>
      <c r="P46" s="548">
        <f t="shared" si="21"/>
        <v>174702.07499999998</v>
      </c>
      <c r="Q46" s="549">
        <f t="shared" si="20"/>
        <v>58234.025000000001</v>
      </c>
      <c r="R46" s="728">
        <f t="shared" si="22"/>
        <v>2562297.1</v>
      </c>
      <c r="S46" s="745">
        <f t="shared" si="8"/>
        <v>0.1</v>
      </c>
      <c r="T46" s="549">
        <f t="shared" si="9"/>
        <v>256229.71000000002</v>
      </c>
      <c r="U46" s="548">
        <f t="shared" si="10"/>
        <v>15000</v>
      </c>
      <c r="V46" s="549">
        <f t="shared" si="11"/>
        <v>241229.71000000002</v>
      </c>
      <c r="W46" s="533">
        <f t="shared" si="12"/>
        <v>22</v>
      </c>
      <c r="X46" s="549">
        <f t="shared" si="13"/>
        <v>10964.986818181818</v>
      </c>
      <c r="Y46" s="549">
        <f t="shared" si="14"/>
        <v>2306067.39</v>
      </c>
      <c r="Z46" s="728">
        <f t="shared" si="15"/>
        <v>17878.915929323965</v>
      </c>
      <c r="AA46" s="553">
        <f t="shared" si="16"/>
        <v>20727.585626571152</v>
      </c>
      <c r="AB46" s="553">
        <f t="shared" si="17"/>
        <v>26775.397762856166</v>
      </c>
      <c r="AC46" s="553">
        <f t="shared" si="18"/>
        <v>45662.898236815665</v>
      </c>
      <c r="AD46" s="544"/>
      <c r="AN46" s="768" t="s">
        <v>96</v>
      </c>
      <c r="AR46" s="765">
        <v>5</v>
      </c>
      <c r="AS46" s="765" t="s">
        <v>116</v>
      </c>
      <c r="AT46" s="765">
        <v>22</v>
      </c>
      <c r="AU46" s="766">
        <f t="shared" si="19"/>
        <v>0</v>
      </c>
    </row>
    <row r="47" spans="1:47" ht="14.25" customHeight="1">
      <c r="A47" s="547" t="s">
        <v>174</v>
      </c>
      <c r="B47" s="549">
        <f t="shared" si="0"/>
        <v>105880.04545454546</v>
      </c>
      <c r="C47" s="533" t="s">
        <v>93</v>
      </c>
      <c r="D47" s="533" t="s">
        <v>180</v>
      </c>
      <c r="E47" s="533">
        <v>22</v>
      </c>
      <c r="F47" s="545" t="s">
        <v>95</v>
      </c>
      <c r="G47" s="724">
        <v>2000000</v>
      </c>
      <c r="H47" s="725">
        <f t="shared" si="1"/>
        <v>110000</v>
      </c>
      <c r="I47" s="724">
        <f t="shared" si="2"/>
        <v>13200</v>
      </c>
      <c r="J47" s="731">
        <f t="shared" si="3"/>
        <v>63700</v>
      </c>
      <c r="K47" s="772">
        <v>75000</v>
      </c>
      <c r="L47" s="779">
        <f t="shared" si="4"/>
        <v>67461</v>
      </c>
      <c r="M47" s="733">
        <f t="shared" si="5"/>
        <v>2329361</v>
      </c>
      <c r="N47" s="758">
        <v>20000</v>
      </c>
      <c r="O47" s="758">
        <v>50000</v>
      </c>
      <c r="P47" s="548">
        <f t="shared" si="21"/>
        <v>174702.07499999998</v>
      </c>
      <c r="Q47" s="549">
        <f t="shared" si="20"/>
        <v>58234.025000000001</v>
      </c>
      <c r="R47" s="728">
        <f t="shared" si="22"/>
        <v>2562297.1</v>
      </c>
      <c r="S47" s="745">
        <f t="shared" si="8"/>
        <v>0.1</v>
      </c>
      <c r="T47" s="549">
        <f t="shared" si="9"/>
        <v>256229.71000000002</v>
      </c>
      <c r="U47" s="548">
        <f t="shared" si="10"/>
        <v>15000</v>
      </c>
      <c r="V47" s="549">
        <f t="shared" si="11"/>
        <v>241229.71000000002</v>
      </c>
      <c r="W47" s="533">
        <f t="shared" si="12"/>
        <v>22</v>
      </c>
      <c r="X47" s="549">
        <f t="shared" si="13"/>
        <v>10964.986818181818</v>
      </c>
      <c r="Y47" s="549">
        <f t="shared" si="14"/>
        <v>2306067.39</v>
      </c>
      <c r="Z47" s="728">
        <f t="shared" si="15"/>
        <v>17878.915929323965</v>
      </c>
      <c r="AA47" s="553">
        <f t="shared" si="16"/>
        <v>20727.585626571152</v>
      </c>
      <c r="AB47" s="553">
        <f t="shared" si="17"/>
        <v>26775.397762856166</v>
      </c>
      <c r="AC47" s="553">
        <f t="shared" si="18"/>
        <v>45662.898236815665</v>
      </c>
      <c r="AD47" s="544"/>
      <c r="AN47" s="768" t="s">
        <v>96</v>
      </c>
      <c r="AR47" s="765">
        <v>6</v>
      </c>
      <c r="AS47" s="765" t="s">
        <v>119</v>
      </c>
      <c r="AT47" s="765">
        <v>22</v>
      </c>
      <c r="AU47" s="766">
        <f t="shared" si="19"/>
        <v>0</v>
      </c>
    </row>
    <row r="48" spans="1:47" ht="14.25" customHeight="1">
      <c r="A48" s="547" t="s">
        <v>174</v>
      </c>
      <c r="B48" s="549">
        <f t="shared" si="0"/>
        <v>105880.04545454546</v>
      </c>
      <c r="C48" s="533" t="s">
        <v>117</v>
      </c>
      <c r="D48" s="533" t="s">
        <v>181</v>
      </c>
      <c r="E48" s="533">
        <v>22</v>
      </c>
      <c r="F48" s="545" t="s">
        <v>95</v>
      </c>
      <c r="G48" s="724">
        <v>2000000</v>
      </c>
      <c r="H48" s="725">
        <f t="shared" si="1"/>
        <v>110000</v>
      </c>
      <c r="I48" s="724">
        <f t="shared" si="2"/>
        <v>13200</v>
      </c>
      <c r="J48" s="731">
        <f t="shared" si="3"/>
        <v>63700</v>
      </c>
      <c r="K48" s="772">
        <v>75000</v>
      </c>
      <c r="L48" s="779">
        <f t="shared" si="4"/>
        <v>67461</v>
      </c>
      <c r="M48" s="733">
        <f t="shared" si="5"/>
        <v>2329361</v>
      </c>
      <c r="N48" s="758">
        <v>20000</v>
      </c>
      <c r="O48" s="758">
        <v>50000</v>
      </c>
      <c r="P48" s="548">
        <f t="shared" si="21"/>
        <v>174702.07499999998</v>
      </c>
      <c r="Q48" s="549">
        <f t="shared" si="20"/>
        <v>58234.025000000001</v>
      </c>
      <c r="R48" s="728">
        <f t="shared" si="22"/>
        <v>2562297.1</v>
      </c>
      <c r="S48" s="745">
        <f t="shared" si="8"/>
        <v>0.1</v>
      </c>
      <c r="T48" s="549">
        <f t="shared" si="9"/>
        <v>256229.71000000002</v>
      </c>
      <c r="U48" s="548">
        <f t="shared" si="10"/>
        <v>15000</v>
      </c>
      <c r="V48" s="549">
        <f t="shared" si="11"/>
        <v>241229.71000000002</v>
      </c>
      <c r="W48" s="533">
        <f t="shared" si="12"/>
        <v>22</v>
      </c>
      <c r="X48" s="549">
        <f t="shared" si="13"/>
        <v>10964.986818181818</v>
      </c>
      <c r="Y48" s="549">
        <f t="shared" si="14"/>
        <v>2306067.39</v>
      </c>
      <c r="Z48" s="728">
        <f t="shared" si="15"/>
        <v>17878.915929323965</v>
      </c>
      <c r="AA48" s="553">
        <f t="shared" si="16"/>
        <v>20727.585626571152</v>
      </c>
      <c r="AB48" s="553">
        <f t="shared" si="17"/>
        <v>26775.397762856166</v>
      </c>
      <c r="AC48" s="553">
        <f t="shared" si="18"/>
        <v>45662.898236815665</v>
      </c>
      <c r="AD48" s="544"/>
      <c r="AN48" s="768" t="s">
        <v>149</v>
      </c>
      <c r="AR48" s="765">
        <v>7</v>
      </c>
      <c r="AS48" s="765" t="s">
        <v>121</v>
      </c>
      <c r="AT48" s="765">
        <v>22</v>
      </c>
      <c r="AU48" s="766">
        <f t="shared" si="19"/>
        <v>0</v>
      </c>
    </row>
    <row r="49" spans="1:47" ht="14.25" customHeight="1">
      <c r="A49" s="547" t="s">
        <v>174</v>
      </c>
      <c r="B49" s="549">
        <f t="shared" si="0"/>
        <v>104356.13249776186</v>
      </c>
      <c r="C49" s="533" t="s">
        <v>117</v>
      </c>
      <c r="D49" s="533" t="s">
        <v>182</v>
      </c>
      <c r="E49" s="533">
        <v>22.34</v>
      </c>
      <c r="F49" s="545" t="s">
        <v>95</v>
      </c>
      <c r="G49" s="724">
        <v>2000000</v>
      </c>
      <c r="H49" s="725">
        <f t="shared" si="1"/>
        <v>111700</v>
      </c>
      <c r="I49" s="724">
        <f t="shared" si="2"/>
        <v>13404</v>
      </c>
      <c r="J49" s="731">
        <f t="shared" si="3"/>
        <v>63700</v>
      </c>
      <c r="K49" s="772">
        <v>75000</v>
      </c>
      <c r="L49" s="779">
        <f t="shared" si="4"/>
        <v>67512</v>
      </c>
      <c r="M49" s="733">
        <f t="shared" si="5"/>
        <v>2331316</v>
      </c>
      <c r="N49" s="758">
        <v>20000</v>
      </c>
      <c r="O49" s="758">
        <v>50000</v>
      </c>
      <c r="P49" s="548">
        <f t="shared" si="21"/>
        <v>174848.69999999998</v>
      </c>
      <c r="Q49" s="549">
        <f t="shared" si="20"/>
        <v>58282.9</v>
      </c>
      <c r="R49" s="728">
        <f t="shared" si="22"/>
        <v>2564447.6</v>
      </c>
      <c r="S49" s="745">
        <f t="shared" si="8"/>
        <v>0.1</v>
      </c>
      <c r="T49" s="549">
        <f t="shared" si="9"/>
        <v>256444.76</v>
      </c>
      <c r="U49" s="548">
        <f t="shared" si="10"/>
        <v>15000</v>
      </c>
      <c r="V49" s="549">
        <f t="shared" si="11"/>
        <v>241444.76</v>
      </c>
      <c r="W49" s="533">
        <f t="shared" si="12"/>
        <v>22</v>
      </c>
      <c r="X49" s="549">
        <f t="shared" si="13"/>
        <v>10974.761818181818</v>
      </c>
      <c r="Y49" s="549">
        <f t="shared" si="14"/>
        <v>2308002.84</v>
      </c>
      <c r="Z49" s="728">
        <f t="shared" si="15"/>
        <v>17893.921452573395</v>
      </c>
      <c r="AA49" s="553">
        <f t="shared" si="16"/>
        <v>20744.981998322866</v>
      </c>
      <c r="AB49" s="553">
        <f t="shared" si="17"/>
        <v>26797.86997846653</v>
      </c>
      <c r="AC49" s="553">
        <f t="shared" si="18"/>
        <v>45701.222466530577</v>
      </c>
      <c r="AD49" s="544"/>
      <c r="AN49" s="768" t="s">
        <v>149</v>
      </c>
      <c r="AR49" s="765">
        <v>8</v>
      </c>
      <c r="AS49" s="765" t="s">
        <v>123</v>
      </c>
      <c r="AT49" s="765">
        <v>22.34</v>
      </c>
      <c r="AU49" s="766">
        <f t="shared" si="19"/>
        <v>0</v>
      </c>
    </row>
    <row r="50" spans="1:47" ht="14.25" customHeight="1">
      <c r="A50" s="547" t="s">
        <v>174</v>
      </c>
      <c r="B50" s="549">
        <f t="shared" si="0"/>
        <v>105880.04545454546</v>
      </c>
      <c r="C50" s="533" t="s">
        <v>93</v>
      </c>
      <c r="D50" s="533" t="s">
        <v>183</v>
      </c>
      <c r="E50" s="533">
        <v>22</v>
      </c>
      <c r="F50" s="545" t="s">
        <v>95</v>
      </c>
      <c r="G50" s="724">
        <v>2000000</v>
      </c>
      <c r="H50" s="725">
        <f t="shared" si="1"/>
        <v>110000</v>
      </c>
      <c r="I50" s="724">
        <f t="shared" si="2"/>
        <v>13200</v>
      </c>
      <c r="J50" s="731">
        <f t="shared" si="3"/>
        <v>63700</v>
      </c>
      <c r="K50" s="772">
        <v>75000</v>
      </c>
      <c r="L50" s="779">
        <f t="shared" si="4"/>
        <v>67461</v>
      </c>
      <c r="M50" s="733">
        <f t="shared" si="5"/>
        <v>2329361</v>
      </c>
      <c r="N50" s="758">
        <v>20000</v>
      </c>
      <c r="O50" s="758">
        <v>50000</v>
      </c>
      <c r="P50" s="548">
        <f t="shared" si="21"/>
        <v>174702.07499999998</v>
      </c>
      <c r="Q50" s="549">
        <f t="shared" si="20"/>
        <v>58234.025000000001</v>
      </c>
      <c r="R50" s="728">
        <f t="shared" si="22"/>
        <v>2562297.1</v>
      </c>
      <c r="S50" s="745">
        <f t="shared" si="8"/>
        <v>0.1</v>
      </c>
      <c r="T50" s="549">
        <f t="shared" si="9"/>
        <v>256229.71000000002</v>
      </c>
      <c r="U50" s="548">
        <f t="shared" si="10"/>
        <v>15000</v>
      </c>
      <c r="V50" s="549">
        <f t="shared" si="11"/>
        <v>241229.71000000002</v>
      </c>
      <c r="W50" s="533">
        <f t="shared" si="12"/>
        <v>22</v>
      </c>
      <c r="X50" s="549">
        <f t="shared" si="13"/>
        <v>10964.986818181818</v>
      </c>
      <c r="Y50" s="549">
        <f t="shared" si="14"/>
        <v>2306067.39</v>
      </c>
      <c r="Z50" s="728">
        <f t="shared" si="15"/>
        <v>17878.915929323965</v>
      </c>
      <c r="AA50" s="553">
        <f t="shared" si="16"/>
        <v>20727.585626571152</v>
      </c>
      <c r="AB50" s="553">
        <f t="shared" si="17"/>
        <v>26775.397762856166</v>
      </c>
      <c r="AC50" s="553">
        <f t="shared" si="18"/>
        <v>45662.898236815665</v>
      </c>
      <c r="AD50" s="544"/>
      <c r="AN50" s="768" t="s">
        <v>96</v>
      </c>
      <c r="AR50" s="765">
        <v>9</v>
      </c>
      <c r="AS50" s="765" t="s">
        <v>125</v>
      </c>
      <c r="AT50" s="765">
        <v>22</v>
      </c>
      <c r="AU50" s="766">
        <f t="shared" si="19"/>
        <v>0</v>
      </c>
    </row>
    <row r="51" spans="1:47" ht="14.25" customHeight="1">
      <c r="A51" s="547" t="s">
        <v>174</v>
      </c>
      <c r="B51" s="549">
        <f t="shared" si="0"/>
        <v>105880.04545454546</v>
      </c>
      <c r="C51" s="533" t="s">
        <v>93</v>
      </c>
      <c r="D51" s="533" t="s">
        <v>184</v>
      </c>
      <c r="E51" s="533">
        <v>22</v>
      </c>
      <c r="F51" s="545" t="s">
        <v>95</v>
      </c>
      <c r="G51" s="724">
        <v>2000000</v>
      </c>
      <c r="H51" s="725">
        <f t="shared" si="1"/>
        <v>110000</v>
      </c>
      <c r="I51" s="724">
        <f t="shared" si="2"/>
        <v>13200</v>
      </c>
      <c r="J51" s="731">
        <f t="shared" si="3"/>
        <v>63700</v>
      </c>
      <c r="K51" s="772">
        <v>75000</v>
      </c>
      <c r="L51" s="779">
        <f t="shared" si="4"/>
        <v>67461</v>
      </c>
      <c r="M51" s="733">
        <f t="shared" si="5"/>
        <v>2329361</v>
      </c>
      <c r="N51" s="758">
        <v>20000</v>
      </c>
      <c r="O51" s="758">
        <v>50000</v>
      </c>
      <c r="P51" s="548">
        <f t="shared" si="21"/>
        <v>174702.07499999998</v>
      </c>
      <c r="Q51" s="549">
        <f t="shared" si="20"/>
        <v>58234.025000000001</v>
      </c>
      <c r="R51" s="728">
        <f t="shared" si="22"/>
        <v>2562297.1</v>
      </c>
      <c r="S51" s="745">
        <f t="shared" si="8"/>
        <v>0.1</v>
      </c>
      <c r="T51" s="549">
        <f t="shared" si="9"/>
        <v>256229.71000000002</v>
      </c>
      <c r="U51" s="548">
        <f t="shared" si="10"/>
        <v>15000</v>
      </c>
      <c r="V51" s="549">
        <f t="shared" si="11"/>
        <v>241229.71000000002</v>
      </c>
      <c r="W51" s="533">
        <f t="shared" si="12"/>
        <v>22</v>
      </c>
      <c r="X51" s="549">
        <f t="shared" si="13"/>
        <v>10964.986818181818</v>
      </c>
      <c r="Y51" s="549">
        <f t="shared" si="14"/>
        <v>2306067.39</v>
      </c>
      <c r="Z51" s="728">
        <f t="shared" si="15"/>
        <v>17878.915929323965</v>
      </c>
      <c r="AA51" s="553">
        <f t="shared" si="16"/>
        <v>20727.585626571152</v>
      </c>
      <c r="AB51" s="553">
        <f t="shared" si="17"/>
        <v>26775.397762856166</v>
      </c>
      <c r="AC51" s="553">
        <f t="shared" si="18"/>
        <v>45662.898236815665</v>
      </c>
      <c r="AD51" s="544"/>
      <c r="AN51" s="768" t="s">
        <v>149</v>
      </c>
      <c r="AR51" s="765">
        <v>10</v>
      </c>
      <c r="AS51" s="765" t="s">
        <v>127</v>
      </c>
      <c r="AT51" s="765">
        <v>22</v>
      </c>
      <c r="AU51" s="766">
        <f t="shared" si="19"/>
        <v>0</v>
      </c>
    </row>
    <row r="52" spans="1:47" ht="14.25" customHeight="1">
      <c r="A52" s="547" t="s">
        <v>174</v>
      </c>
      <c r="B52" s="549">
        <f t="shared" si="0"/>
        <v>105880.04545454546</v>
      </c>
      <c r="C52" s="533" t="s">
        <v>93</v>
      </c>
      <c r="D52" s="533" t="s">
        <v>185</v>
      </c>
      <c r="E52" s="533">
        <v>22</v>
      </c>
      <c r="F52" s="545" t="s">
        <v>95</v>
      </c>
      <c r="G52" s="724">
        <v>2000000</v>
      </c>
      <c r="H52" s="725">
        <f t="shared" si="1"/>
        <v>110000</v>
      </c>
      <c r="I52" s="724">
        <f t="shared" si="2"/>
        <v>13200</v>
      </c>
      <c r="J52" s="731">
        <f t="shared" si="3"/>
        <v>63700</v>
      </c>
      <c r="K52" s="772">
        <v>75000</v>
      </c>
      <c r="L52" s="779">
        <f t="shared" si="4"/>
        <v>67461</v>
      </c>
      <c r="M52" s="733">
        <f t="shared" si="5"/>
        <v>2329361</v>
      </c>
      <c r="N52" s="758">
        <v>20000</v>
      </c>
      <c r="O52" s="758">
        <v>50000</v>
      </c>
      <c r="P52" s="548">
        <f t="shared" si="21"/>
        <v>174702.07499999998</v>
      </c>
      <c r="Q52" s="549">
        <f t="shared" si="20"/>
        <v>58234.025000000001</v>
      </c>
      <c r="R52" s="728">
        <f t="shared" si="22"/>
        <v>2562297.1</v>
      </c>
      <c r="S52" s="745">
        <f t="shared" si="8"/>
        <v>0.1</v>
      </c>
      <c r="T52" s="549">
        <f t="shared" si="9"/>
        <v>256229.71000000002</v>
      </c>
      <c r="U52" s="548">
        <f t="shared" si="10"/>
        <v>15000</v>
      </c>
      <c r="V52" s="549">
        <f t="shared" si="11"/>
        <v>241229.71000000002</v>
      </c>
      <c r="W52" s="533">
        <f t="shared" si="12"/>
        <v>22</v>
      </c>
      <c r="X52" s="549">
        <f t="shared" si="13"/>
        <v>10964.986818181818</v>
      </c>
      <c r="Y52" s="549">
        <f t="shared" si="14"/>
        <v>2306067.39</v>
      </c>
      <c r="Z52" s="728">
        <f t="shared" si="15"/>
        <v>17878.915929323965</v>
      </c>
      <c r="AA52" s="553">
        <f t="shared" si="16"/>
        <v>20727.585626571152</v>
      </c>
      <c r="AB52" s="553">
        <f t="shared" si="17"/>
        <v>26775.397762856166</v>
      </c>
      <c r="AC52" s="553">
        <f t="shared" si="18"/>
        <v>45662.898236815665</v>
      </c>
      <c r="AD52" s="544"/>
      <c r="AN52" s="768" t="s">
        <v>149</v>
      </c>
      <c r="AR52" s="765">
        <v>11</v>
      </c>
      <c r="AS52" s="765" t="s">
        <v>129</v>
      </c>
      <c r="AT52" s="765">
        <v>22</v>
      </c>
      <c r="AU52" s="766">
        <f t="shared" si="19"/>
        <v>0</v>
      </c>
    </row>
    <row r="53" spans="1:47" ht="14.25" customHeight="1">
      <c r="A53" s="547" t="s">
        <v>174</v>
      </c>
      <c r="B53" s="549">
        <f t="shared" si="0"/>
        <v>105880.04545454546</v>
      </c>
      <c r="C53" s="533" t="s">
        <v>93</v>
      </c>
      <c r="D53" s="533" t="s">
        <v>186</v>
      </c>
      <c r="E53" s="533">
        <v>22</v>
      </c>
      <c r="F53" s="545" t="s">
        <v>95</v>
      </c>
      <c r="G53" s="724">
        <v>2000000</v>
      </c>
      <c r="H53" s="725">
        <f t="shared" si="1"/>
        <v>110000</v>
      </c>
      <c r="I53" s="724">
        <f t="shared" si="2"/>
        <v>13200</v>
      </c>
      <c r="J53" s="731">
        <f t="shared" si="3"/>
        <v>63700</v>
      </c>
      <c r="K53" s="772">
        <v>75000</v>
      </c>
      <c r="L53" s="779">
        <f t="shared" si="4"/>
        <v>67461</v>
      </c>
      <c r="M53" s="733">
        <f t="shared" si="5"/>
        <v>2329361</v>
      </c>
      <c r="N53" s="758">
        <v>20000</v>
      </c>
      <c r="O53" s="758">
        <v>50000</v>
      </c>
      <c r="P53" s="548">
        <f t="shared" si="21"/>
        <v>174702.07499999998</v>
      </c>
      <c r="Q53" s="549">
        <f t="shared" si="20"/>
        <v>58234.025000000001</v>
      </c>
      <c r="R53" s="728">
        <f t="shared" si="22"/>
        <v>2562297.1</v>
      </c>
      <c r="S53" s="745">
        <f t="shared" si="8"/>
        <v>0.1</v>
      </c>
      <c r="T53" s="549">
        <f t="shared" si="9"/>
        <v>256229.71000000002</v>
      </c>
      <c r="U53" s="548">
        <f t="shared" si="10"/>
        <v>15000</v>
      </c>
      <c r="V53" s="549">
        <f t="shared" si="11"/>
        <v>241229.71000000002</v>
      </c>
      <c r="W53" s="533">
        <f t="shared" si="12"/>
        <v>22</v>
      </c>
      <c r="X53" s="549">
        <f t="shared" si="13"/>
        <v>10964.986818181818</v>
      </c>
      <c r="Y53" s="549">
        <f t="shared" si="14"/>
        <v>2306067.39</v>
      </c>
      <c r="Z53" s="728">
        <f t="shared" si="15"/>
        <v>17878.915929323965</v>
      </c>
      <c r="AA53" s="553">
        <f t="shared" si="16"/>
        <v>20727.585626571152</v>
      </c>
      <c r="AB53" s="553">
        <f t="shared" si="17"/>
        <v>26775.397762856166</v>
      </c>
      <c r="AC53" s="553">
        <f t="shared" si="18"/>
        <v>45662.898236815665</v>
      </c>
      <c r="AD53" s="544"/>
      <c r="AN53" s="768" t="s">
        <v>96</v>
      </c>
      <c r="AR53" s="765">
        <v>12</v>
      </c>
      <c r="AS53" s="765" t="s">
        <v>131</v>
      </c>
      <c r="AT53" s="765">
        <v>22</v>
      </c>
      <c r="AU53" s="766">
        <f t="shared" si="19"/>
        <v>0</v>
      </c>
    </row>
    <row r="54" spans="1:47" ht="14.25" customHeight="1">
      <c r="A54" s="547" t="s">
        <v>174</v>
      </c>
      <c r="B54" s="549">
        <f t="shared" si="0"/>
        <v>105880.04545454546</v>
      </c>
      <c r="C54" s="533" t="s">
        <v>93</v>
      </c>
      <c r="D54" s="533" t="s">
        <v>187</v>
      </c>
      <c r="E54" s="533">
        <v>22</v>
      </c>
      <c r="F54" s="545" t="s">
        <v>95</v>
      </c>
      <c r="G54" s="724">
        <v>2000000</v>
      </c>
      <c r="H54" s="725">
        <f t="shared" si="1"/>
        <v>110000</v>
      </c>
      <c r="I54" s="724">
        <f t="shared" si="2"/>
        <v>13200</v>
      </c>
      <c r="J54" s="731">
        <f t="shared" si="3"/>
        <v>63700</v>
      </c>
      <c r="K54" s="772">
        <v>75000</v>
      </c>
      <c r="L54" s="779">
        <f t="shared" si="4"/>
        <v>67461</v>
      </c>
      <c r="M54" s="733">
        <f t="shared" si="5"/>
        <v>2329361</v>
      </c>
      <c r="N54" s="758">
        <v>20000</v>
      </c>
      <c r="O54" s="758">
        <v>50000</v>
      </c>
      <c r="P54" s="548">
        <f t="shared" si="21"/>
        <v>174702.07499999998</v>
      </c>
      <c r="Q54" s="549">
        <f t="shared" si="20"/>
        <v>58234.025000000001</v>
      </c>
      <c r="R54" s="728">
        <f t="shared" si="22"/>
        <v>2562297.1</v>
      </c>
      <c r="S54" s="745">
        <f t="shared" si="8"/>
        <v>0.1</v>
      </c>
      <c r="T54" s="549">
        <f t="shared" si="9"/>
        <v>256229.71000000002</v>
      </c>
      <c r="U54" s="548">
        <f t="shared" si="10"/>
        <v>15000</v>
      </c>
      <c r="V54" s="549">
        <f t="shared" si="11"/>
        <v>241229.71000000002</v>
      </c>
      <c r="W54" s="533">
        <f t="shared" si="12"/>
        <v>22</v>
      </c>
      <c r="X54" s="549">
        <f t="shared" si="13"/>
        <v>10964.986818181818</v>
      </c>
      <c r="Y54" s="549">
        <f t="shared" si="14"/>
        <v>2306067.39</v>
      </c>
      <c r="Z54" s="728">
        <f t="shared" si="15"/>
        <v>17878.915929323965</v>
      </c>
      <c r="AA54" s="553">
        <f t="shared" si="16"/>
        <v>20727.585626571152</v>
      </c>
      <c r="AB54" s="553">
        <f t="shared" si="17"/>
        <v>26775.397762856166</v>
      </c>
      <c r="AC54" s="553">
        <f t="shared" si="18"/>
        <v>45662.898236815665</v>
      </c>
      <c r="AD54" s="544"/>
      <c r="AN54" s="768" t="s">
        <v>149</v>
      </c>
      <c r="AR54" s="765">
        <v>13</v>
      </c>
      <c r="AS54" s="765" t="s">
        <v>133</v>
      </c>
      <c r="AT54" s="765">
        <v>22</v>
      </c>
      <c r="AU54" s="766">
        <f t="shared" si="19"/>
        <v>0</v>
      </c>
    </row>
    <row r="55" spans="1:47" ht="14.25" customHeight="1">
      <c r="A55" s="547" t="s">
        <v>174</v>
      </c>
      <c r="B55" s="549">
        <f t="shared" si="0"/>
        <v>105880.04545454546</v>
      </c>
      <c r="C55" s="533" t="s">
        <v>93</v>
      </c>
      <c r="D55" s="533" t="s">
        <v>188</v>
      </c>
      <c r="E55" s="533">
        <v>22</v>
      </c>
      <c r="F55" s="545" t="s">
        <v>95</v>
      </c>
      <c r="G55" s="724">
        <v>2000000</v>
      </c>
      <c r="H55" s="725">
        <f t="shared" si="1"/>
        <v>110000</v>
      </c>
      <c r="I55" s="724">
        <f t="shared" si="2"/>
        <v>13200</v>
      </c>
      <c r="J55" s="731">
        <f t="shared" si="3"/>
        <v>63700</v>
      </c>
      <c r="K55" s="772">
        <v>75000</v>
      </c>
      <c r="L55" s="779">
        <f t="shared" si="4"/>
        <v>67461</v>
      </c>
      <c r="M55" s="733">
        <f t="shared" si="5"/>
        <v>2329361</v>
      </c>
      <c r="N55" s="758">
        <v>20000</v>
      </c>
      <c r="O55" s="758">
        <v>50000</v>
      </c>
      <c r="P55" s="548">
        <f t="shared" si="21"/>
        <v>174702.07499999998</v>
      </c>
      <c r="Q55" s="549">
        <f t="shared" si="20"/>
        <v>58234.025000000001</v>
      </c>
      <c r="R55" s="728">
        <f t="shared" si="22"/>
        <v>2562297.1</v>
      </c>
      <c r="S55" s="745">
        <f t="shared" si="8"/>
        <v>0.1</v>
      </c>
      <c r="T55" s="549">
        <f t="shared" si="9"/>
        <v>256229.71000000002</v>
      </c>
      <c r="U55" s="548">
        <f t="shared" si="10"/>
        <v>15000</v>
      </c>
      <c r="V55" s="549">
        <f t="shared" si="11"/>
        <v>241229.71000000002</v>
      </c>
      <c r="W55" s="533">
        <f t="shared" si="12"/>
        <v>22</v>
      </c>
      <c r="X55" s="549">
        <f t="shared" si="13"/>
        <v>10964.986818181818</v>
      </c>
      <c r="Y55" s="549">
        <f>R55-T55</f>
        <v>2306067.39</v>
      </c>
      <c r="Z55" s="728">
        <f t="shared" si="15"/>
        <v>17878.915929323965</v>
      </c>
      <c r="AA55" s="553">
        <f t="shared" si="16"/>
        <v>20727.585626571152</v>
      </c>
      <c r="AB55" s="553">
        <f t="shared" si="17"/>
        <v>26775.397762856166</v>
      </c>
      <c r="AC55" s="553">
        <f t="shared" si="18"/>
        <v>45662.898236815665</v>
      </c>
      <c r="AD55" s="544"/>
      <c r="AN55" s="768" t="s">
        <v>149</v>
      </c>
      <c r="AR55" s="765">
        <v>14</v>
      </c>
      <c r="AS55" s="765" t="s">
        <v>135</v>
      </c>
      <c r="AT55" s="765">
        <v>22</v>
      </c>
      <c r="AU55" s="766">
        <f t="shared" si="19"/>
        <v>0</v>
      </c>
    </row>
    <row r="56" spans="1:47" ht="14.25" customHeight="1">
      <c r="A56" s="547" t="s">
        <v>174</v>
      </c>
      <c r="B56" s="549">
        <f t="shared" si="0"/>
        <v>105880.04545454546</v>
      </c>
      <c r="C56" s="533" t="s">
        <v>93</v>
      </c>
      <c r="D56" s="533" t="s">
        <v>189</v>
      </c>
      <c r="E56" s="533">
        <v>22</v>
      </c>
      <c r="F56" s="545" t="s">
        <v>95</v>
      </c>
      <c r="G56" s="724">
        <v>2000000</v>
      </c>
      <c r="H56" s="725">
        <f t="shared" si="1"/>
        <v>110000</v>
      </c>
      <c r="I56" s="724">
        <f t="shared" si="2"/>
        <v>13200</v>
      </c>
      <c r="J56" s="731">
        <f t="shared" si="3"/>
        <v>63700</v>
      </c>
      <c r="K56" s="772">
        <v>75000</v>
      </c>
      <c r="L56" s="779">
        <f t="shared" si="4"/>
        <v>67461</v>
      </c>
      <c r="M56" s="733">
        <f t="shared" si="5"/>
        <v>2329361</v>
      </c>
      <c r="N56" s="758">
        <v>20000</v>
      </c>
      <c r="O56" s="758">
        <v>50000</v>
      </c>
      <c r="P56" s="548">
        <f t="shared" si="21"/>
        <v>174702.07499999998</v>
      </c>
      <c r="Q56" s="549">
        <f t="shared" si="20"/>
        <v>58234.025000000001</v>
      </c>
      <c r="R56" s="728">
        <f t="shared" si="22"/>
        <v>2562297.1</v>
      </c>
      <c r="S56" s="745">
        <f t="shared" si="8"/>
        <v>0.1</v>
      </c>
      <c r="T56" s="549">
        <f t="shared" si="9"/>
        <v>256229.71000000002</v>
      </c>
      <c r="U56" s="548">
        <f t="shared" si="10"/>
        <v>15000</v>
      </c>
      <c r="V56" s="549">
        <f t="shared" si="11"/>
        <v>241229.71000000002</v>
      </c>
      <c r="W56" s="533">
        <f t="shared" si="12"/>
        <v>22</v>
      </c>
      <c r="X56" s="549">
        <f t="shared" si="13"/>
        <v>10964.986818181818</v>
      </c>
      <c r="Y56" s="549">
        <f>R56-T56</f>
        <v>2306067.39</v>
      </c>
      <c r="Z56" s="728">
        <f t="shared" si="15"/>
        <v>17878.915929323965</v>
      </c>
      <c r="AA56" s="553">
        <f t="shared" si="16"/>
        <v>20727.585626571152</v>
      </c>
      <c r="AB56" s="553">
        <f t="shared" si="17"/>
        <v>26775.397762856166</v>
      </c>
      <c r="AC56" s="553">
        <f t="shared" si="18"/>
        <v>45662.898236815665</v>
      </c>
      <c r="AD56" s="544"/>
      <c r="AN56" s="768" t="s">
        <v>149</v>
      </c>
      <c r="AR56" s="765">
        <v>15</v>
      </c>
      <c r="AS56" s="765" t="s">
        <v>138</v>
      </c>
      <c r="AT56" s="765">
        <v>22</v>
      </c>
      <c r="AU56" s="766">
        <f t="shared" si="19"/>
        <v>0</v>
      </c>
    </row>
    <row r="57" spans="1:47" ht="14.25" customHeight="1">
      <c r="A57" s="547" t="s">
        <v>174</v>
      </c>
      <c r="B57" s="549">
        <f t="shared" si="0"/>
        <v>105880.04545454546</v>
      </c>
      <c r="C57" s="533" t="s">
        <v>93</v>
      </c>
      <c r="D57" s="533" t="s">
        <v>190</v>
      </c>
      <c r="E57" s="533">
        <v>22</v>
      </c>
      <c r="F57" s="545" t="s">
        <v>95</v>
      </c>
      <c r="G57" s="724">
        <v>2000000</v>
      </c>
      <c r="H57" s="725">
        <f t="shared" si="1"/>
        <v>110000</v>
      </c>
      <c r="I57" s="724">
        <f t="shared" si="2"/>
        <v>13200</v>
      </c>
      <c r="J57" s="731">
        <f t="shared" si="3"/>
        <v>63700</v>
      </c>
      <c r="K57" s="772">
        <v>75000</v>
      </c>
      <c r="L57" s="779">
        <f t="shared" si="4"/>
        <v>67461</v>
      </c>
      <c r="M57" s="733">
        <f t="shared" si="5"/>
        <v>2329361</v>
      </c>
      <c r="N57" s="758">
        <v>20000</v>
      </c>
      <c r="O57" s="758">
        <v>50000</v>
      </c>
      <c r="P57" s="548">
        <f t="shared" si="21"/>
        <v>174702.07499999998</v>
      </c>
      <c r="Q57" s="549">
        <f t="shared" si="20"/>
        <v>58234.025000000001</v>
      </c>
      <c r="R57" s="728">
        <f t="shared" si="22"/>
        <v>2562297.1</v>
      </c>
      <c r="S57" s="745">
        <f t="shared" si="8"/>
        <v>0.1</v>
      </c>
      <c r="T57" s="549">
        <f t="shared" si="9"/>
        <v>256229.71000000002</v>
      </c>
      <c r="U57" s="548">
        <f t="shared" si="10"/>
        <v>15000</v>
      </c>
      <c r="V57" s="549">
        <f t="shared" si="11"/>
        <v>241229.71000000002</v>
      </c>
      <c r="W57" s="533">
        <f t="shared" si="12"/>
        <v>22</v>
      </c>
      <c r="X57" s="549">
        <f t="shared" si="13"/>
        <v>10964.986818181818</v>
      </c>
      <c r="Y57" s="549">
        <f t="shared" si="14"/>
        <v>2306067.39</v>
      </c>
      <c r="Z57" s="728">
        <f t="shared" si="15"/>
        <v>17878.915929323965</v>
      </c>
      <c r="AA57" s="553">
        <f t="shared" si="16"/>
        <v>20727.585626571152</v>
      </c>
      <c r="AB57" s="553">
        <f t="shared" si="17"/>
        <v>26775.397762856166</v>
      </c>
      <c r="AC57" s="553">
        <f t="shared" si="18"/>
        <v>45662.898236815665</v>
      </c>
      <c r="AD57" s="544"/>
      <c r="AN57" s="768" t="s">
        <v>149</v>
      </c>
      <c r="AR57" s="765">
        <v>16</v>
      </c>
      <c r="AS57" s="765" t="s">
        <v>142</v>
      </c>
      <c r="AT57" s="765">
        <v>22</v>
      </c>
      <c r="AU57" s="766">
        <f t="shared" si="19"/>
        <v>0</v>
      </c>
    </row>
    <row r="58" spans="1:47" ht="14.25" customHeight="1">
      <c r="A58" s="547" t="s">
        <v>174</v>
      </c>
      <c r="B58" s="549">
        <f t="shared" si="0"/>
        <v>105880.04545454546</v>
      </c>
      <c r="C58" s="533" t="s">
        <v>93</v>
      </c>
      <c r="D58" s="533" t="s">
        <v>191</v>
      </c>
      <c r="E58" s="533">
        <v>22</v>
      </c>
      <c r="F58" s="545" t="s">
        <v>95</v>
      </c>
      <c r="G58" s="724">
        <v>2000000</v>
      </c>
      <c r="H58" s="725">
        <f t="shared" si="1"/>
        <v>110000</v>
      </c>
      <c r="I58" s="724">
        <f t="shared" si="2"/>
        <v>13200</v>
      </c>
      <c r="J58" s="731">
        <f t="shared" si="3"/>
        <v>63700</v>
      </c>
      <c r="K58" s="772">
        <v>75000</v>
      </c>
      <c r="L58" s="779">
        <f t="shared" si="4"/>
        <v>67461</v>
      </c>
      <c r="M58" s="733">
        <f t="shared" si="5"/>
        <v>2329361</v>
      </c>
      <c r="N58" s="758">
        <v>20000</v>
      </c>
      <c r="O58" s="758">
        <v>50000</v>
      </c>
      <c r="P58" s="548">
        <f t="shared" si="21"/>
        <v>174702.07499999998</v>
      </c>
      <c r="Q58" s="549">
        <f t="shared" si="20"/>
        <v>58234.025000000001</v>
      </c>
      <c r="R58" s="728">
        <f t="shared" si="22"/>
        <v>2562297.1</v>
      </c>
      <c r="S58" s="745">
        <f t="shared" si="8"/>
        <v>0.1</v>
      </c>
      <c r="T58" s="549">
        <f t="shared" si="9"/>
        <v>256229.71000000002</v>
      </c>
      <c r="U58" s="548">
        <f t="shared" si="10"/>
        <v>15000</v>
      </c>
      <c r="V58" s="549">
        <f t="shared" si="11"/>
        <v>241229.71000000002</v>
      </c>
      <c r="W58" s="533">
        <f t="shared" si="12"/>
        <v>22</v>
      </c>
      <c r="X58" s="549">
        <f t="shared" si="13"/>
        <v>10964.986818181818</v>
      </c>
      <c r="Y58" s="549">
        <f>R58-T58</f>
        <v>2306067.39</v>
      </c>
      <c r="Z58" s="728">
        <f t="shared" si="15"/>
        <v>17878.915929323965</v>
      </c>
      <c r="AA58" s="553">
        <f t="shared" si="16"/>
        <v>20727.585626571152</v>
      </c>
      <c r="AB58" s="553">
        <f t="shared" si="17"/>
        <v>26775.397762856166</v>
      </c>
      <c r="AC58" s="553">
        <f t="shared" si="18"/>
        <v>45662.898236815665</v>
      </c>
      <c r="AD58" s="544"/>
      <c r="AN58" s="768" t="s">
        <v>149</v>
      </c>
      <c r="AR58" s="765">
        <v>17</v>
      </c>
      <c r="AS58" s="765" t="s">
        <v>144</v>
      </c>
      <c r="AT58" s="765">
        <v>22</v>
      </c>
      <c r="AU58" s="766">
        <f t="shared" si="19"/>
        <v>0</v>
      </c>
    </row>
    <row r="59" spans="1:47" ht="14.25" customHeight="1">
      <c r="A59" s="547" t="s">
        <v>174</v>
      </c>
      <c r="B59" s="549">
        <f t="shared" si="0"/>
        <v>104356.13249776186</v>
      </c>
      <c r="C59" s="533" t="s">
        <v>117</v>
      </c>
      <c r="D59" s="533" t="s">
        <v>192</v>
      </c>
      <c r="E59" s="533">
        <v>22.34</v>
      </c>
      <c r="F59" s="545" t="s">
        <v>95</v>
      </c>
      <c r="G59" s="724">
        <v>2000000</v>
      </c>
      <c r="H59" s="725">
        <f t="shared" si="1"/>
        <v>111700</v>
      </c>
      <c r="I59" s="724">
        <f t="shared" si="2"/>
        <v>13404</v>
      </c>
      <c r="J59" s="731">
        <f t="shared" si="3"/>
        <v>63700</v>
      </c>
      <c r="K59" s="772">
        <v>75000</v>
      </c>
      <c r="L59" s="779">
        <f t="shared" si="4"/>
        <v>67512</v>
      </c>
      <c r="M59" s="733">
        <f t="shared" si="5"/>
        <v>2331316</v>
      </c>
      <c r="N59" s="758">
        <v>20000</v>
      </c>
      <c r="O59" s="758">
        <v>50000</v>
      </c>
      <c r="P59" s="548">
        <f t="shared" si="21"/>
        <v>174848.69999999998</v>
      </c>
      <c r="Q59" s="549">
        <f t="shared" si="20"/>
        <v>58282.9</v>
      </c>
      <c r="R59" s="728">
        <f t="shared" si="22"/>
        <v>2564447.6</v>
      </c>
      <c r="S59" s="745">
        <f t="shared" si="8"/>
        <v>0.1</v>
      </c>
      <c r="T59" s="549">
        <f t="shared" si="9"/>
        <v>256444.76</v>
      </c>
      <c r="U59" s="548">
        <f t="shared" si="10"/>
        <v>15000</v>
      </c>
      <c r="V59" s="549">
        <f t="shared" si="11"/>
        <v>241444.76</v>
      </c>
      <c r="W59" s="533">
        <f t="shared" si="12"/>
        <v>22</v>
      </c>
      <c r="X59" s="549">
        <f t="shared" si="13"/>
        <v>10974.761818181818</v>
      </c>
      <c r="Y59" s="549">
        <f t="shared" si="14"/>
        <v>2308002.84</v>
      </c>
      <c r="Z59" s="728">
        <f t="shared" si="15"/>
        <v>17893.921452573395</v>
      </c>
      <c r="AA59" s="553">
        <f t="shared" si="16"/>
        <v>20744.981998322866</v>
      </c>
      <c r="AB59" s="553">
        <f t="shared" si="17"/>
        <v>26797.86997846653</v>
      </c>
      <c r="AC59" s="553">
        <f t="shared" si="18"/>
        <v>45701.222466530577</v>
      </c>
      <c r="AD59" s="544"/>
      <c r="AN59" s="768" t="s">
        <v>149</v>
      </c>
      <c r="AR59" s="765">
        <v>18</v>
      </c>
      <c r="AS59" s="765" t="s">
        <v>173</v>
      </c>
      <c r="AT59" s="765">
        <v>22.34</v>
      </c>
      <c r="AU59" s="766">
        <f t="shared" si="19"/>
        <v>0</v>
      </c>
    </row>
    <row r="60" spans="1:47" ht="14.25" customHeight="1">
      <c r="A60" s="547" t="s">
        <v>193</v>
      </c>
      <c r="B60" s="549">
        <f t="shared" si="0"/>
        <v>105880.04545454546</v>
      </c>
      <c r="C60" s="533" t="s">
        <v>93</v>
      </c>
      <c r="D60" s="533" t="s">
        <v>194</v>
      </c>
      <c r="E60" s="533">
        <v>22</v>
      </c>
      <c r="F60" s="545" t="s">
        <v>95</v>
      </c>
      <c r="G60" s="724">
        <v>2000000</v>
      </c>
      <c r="H60" s="725">
        <f t="shared" si="1"/>
        <v>110000</v>
      </c>
      <c r="I60" s="724">
        <f t="shared" si="2"/>
        <v>13200</v>
      </c>
      <c r="J60" s="731">
        <f t="shared" si="3"/>
        <v>63700</v>
      </c>
      <c r="K60" s="772">
        <v>75000</v>
      </c>
      <c r="L60" s="779">
        <f t="shared" si="4"/>
        <v>67461</v>
      </c>
      <c r="M60" s="733">
        <f t="shared" si="5"/>
        <v>2329361</v>
      </c>
      <c r="N60" s="758">
        <v>20000</v>
      </c>
      <c r="O60" s="758">
        <v>50000</v>
      </c>
      <c r="P60" s="548">
        <f t="shared" si="21"/>
        <v>174702.07499999998</v>
      </c>
      <c r="Q60" s="549">
        <f t="shared" si="20"/>
        <v>58234.025000000001</v>
      </c>
      <c r="R60" s="728">
        <f t="shared" si="22"/>
        <v>2562297.1</v>
      </c>
      <c r="S60" s="745">
        <f t="shared" si="8"/>
        <v>0.1</v>
      </c>
      <c r="T60" s="549">
        <f t="shared" si="9"/>
        <v>256229.71000000002</v>
      </c>
      <c r="U60" s="548">
        <f t="shared" si="10"/>
        <v>15000</v>
      </c>
      <c r="V60" s="549">
        <f t="shared" si="11"/>
        <v>241229.71000000002</v>
      </c>
      <c r="W60" s="533">
        <f t="shared" si="12"/>
        <v>22</v>
      </c>
      <c r="X60" s="549">
        <f t="shared" si="13"/>
        <v>10964.986818181818</v>
      </c>
      <c r="Y60" s="549">
        <f t="shared" si="14"/>
        <v>2306067.39</v>
      </c>
      <c r="Z60" s="728">
        <f t="shared" si="15"/>
        <v>17878.915929323965</v>
      </c>
      <c r="AA60" s="553">
        <f t="shared" si="16"/>
        <v>20727.585626571152</v>
      </c>
      <c r="AB60" s="553">
        <f t="shared" si="17"/>
        <v>26775.397762856166</v>
      </c>
      <c r="AC60" s="553">
        <f t="shared" si="18"/>
        <v>45662.898236815665</v>
      </c>
      <c r="AD60" s="544"/>
      <c r="AN60" s="768" t="s">
        <v>149</v>
      </c>
      <c r="AR60" s="765">
        <v>1</v>
      </c>
      <c r="AS60" s="765" t="s">
        <v>97</v>
      </c>
      <c r="AT60" s="765">
        <v>22</v>
      </c>
      <c r="AU60" s="766">
        <f t="shared" si="19"/>
        <v>0</v>
      </c>
    </row>
    <row r="61" spans="1:47" ht="14.25" customHeight="1">
      <c r="A61" s="547" t="s">
        <v>193</v>
      </c>
      <c r="B61" s="549">
        <f t="shared" si="0"/>
        <v>105880.04545454546</v>
      </c>
      <c r="C61" s="533" t="s">
        <v>93</v>
      </c>
      <c r="D61" s="533" t="s">
        <v>195</v>
      </c>
      <c r="E61" s="533">
        <v>22</v>
      </c>
      <c r="F61" s="545" t="s">
        <v>95</v>
      </c>
      <c r="G61" s="724">
        <v>2000000</v>
      </c>
      <c r="H61" s="725">
        <f t="shared" si="1"/>
        <v>110000</v>
      </c>
      <c r="I61" s="724">
        <f t="shared" si="2"/>
        <v>13200</v>
      </c>
      <c r="J61" s="731">
        <f t="shared" si="3"/>
        <v>63700</v>
      </c>
      <c r="K61" s="772">
        <v>75000</v>
      </c>
      <c r="L61" s="779">
        <f t="shared" si="4"/>
        <v>67461</v>
      </c>
      <c r="M61" s="733">
        <f t="shared" si="5"/>
        <v>2329361</v>
      </c>
      <c r="N61" s="758">
        <v>20000</v>
      </c>
      <c r="O61" s="758">
        <v>50000</v>
      </c>
      <c r="P61" s="548">
        <f t="shared" si="21"/>
        <v>174702.07499999998</v>
      </c>
      <c r="Q61" s="549">
        <f t="shared" si="20"/>
        <v>58234.025000000001</v>
      </c>
      <c r="R61" s="728">
        <f t="shared" si="22"/>
        <v>2562297.1</v>
      </c>
      <c r="S61" s="745">
        <f t="shared" si="8"/>
        <v>0.1</v>
      </c>
      <c r="T61" s="549">
        <f t="shared" si="9"/>
        <v>256229.71000000002</v>
      </c>
      <c r="U61" s="548">
        <f t="shared" si="10"/>
        <v>15000</v>
      </c>
      <c r="V61" s="549">
        <f t="shared" si="11"/>
        <v>241229.71000000002</v>
      </c>
      <c r="W61" s="533">
        <f t="shared" si="12"/>
        <v>22</v>
      </c>
      <c r="X61" s="549">
        <f t="shared" si="13"/>
        <v>10964.986818181818</v>
      </c>
      <c r="Y61" s="549">
        <f t="shared" si="14"/>
        <v>2306067.39</v>
      </c>
      <c r="Z61" s="728">
        <f t="shared" si="15"/>
        <v>17878.915929323965</v>
      </c>
      <c r="AA61" s="553">
        <f t="shared" si="16"/>
        <v>20727.585626571152</v>
      </c>
      <c r="AB61" s="553">
        <f t="shared" si="17"/>
        <v>26775.397762856166</v>
      </c>
      <c r="AC61" s="553">
        <f t="shared" si="18"/>
        <v>45662.898236815665</v>
      </c>
      <c r="AD61" s="544"/>
      <c r="AN61" s="768" t="s">
        <v>149</v>
      </c>
      <c r="AR61" s="765">
        <v>2</v>
      </c>
      <c r="AS61" s="765" t="s">
        <v>104</v>
      </c>
      <c r="AT61" s="765">
        <v>22</v>
      </c>
      <c r="AU61" s="766">
        <f t="shared" si="19"/>
        <v>0</v>
      </c>
    </row>
    <row r="62" spans="1:47" ht="14.25" customHeight="1">
      <c r="A62" s="547" t="s">
        <v>193</v>
      </c>
      <c r="B62" s="549">
        <f t="shared" si="0"/>
        <v>105880.04545454546</v>
      </c>
      <c r="C62" s="533" t="s">
        <v>93</v>
      </c>
      <c r="D62" s="533" t="s">
        <v>196</v>
      </c>
      <c r="E62" s="533">
        <v>22</v>
      </c>
      <c r="F62" s="545" t="s">
        <v>95</v>
      </c>
      <c r="G62" s="724">
        <v>2000000</v>
      </c>
      <c r="H62" s="725">
        <f t="shared" si="1"/>
        <v>110000</v>
      </c>
      <c r="I62" s="724">
        <f t="shared" si="2"/>
        <v>13200</v>
      </c>
      <c r="J62" s="731">
        <f t="shared" si="3"/>
        <v>63700</v>
      </c>
      <c r="K62" s="772">
        <v>75000</v>
      </c>
      <c r="L62" s="779">
        <f t="shared" si="4"/>
        <v>67461</v>
      </c>
      <c r="M62" s="733">
        <f t="shared" si="5"/>
        <v>2329361</v>
      </c>
      <c r="N62" s="758">
        <v>20000</v>
      </c>
      <c r="O62" s="758">
        <v>50000</v>
      </c>
      <c r="P62" s="548">
        <f t="shared" si="21"/>
        <v>174702.07499999998</v>
      </c>
      <c r="Q62" s="549">
        <f t="shared" si="20"/>
        <v>58234.025000000001</v>
      </c>
      <c r="R62" s="728">
        <f t="shared" si="22"/>
        <v>2562297.1</v>
      </c>
      <c r="S62" s="745">
        <f t="shared" si="8"/>
        <v>0.1</v>
      </c>
      <c r="T62" s="549">
        <f t="shared" si="9"/>
        <v>256229.71000000002</v>
      </c>
      <c r="U62" s="548">
        <f t="shared" si="10"/>
        <v>15000</v>
      </c>
      <c r="V62" s="549">
        <f t="shared" si="11"/>
        <v>241229.71000000002</v>
      </c>
      <c r="W62" s="533">
        <f t="shared" si="12"/>
        <v>22</v>
      </c>
      <c r="X62" s="549">
        <f t="shared" si="13"/>
        <v>10964.986818181818</v>
      </c>
      <c r="Y62" s="549">
        <f t="shared" si="14"/>
        <v>2306067.39</v>
      </c>
      <c r="Z62" s="728">
        <f t="shared" si="15"/>
        <v>17878.915929323965</v>
      </c>
      <c r="AA62" s="553">
        <f t="shared" si="16"/>
        <v>20727.585626571152</v>
      </c>
      <c r="AB62" s="553">
        <f t="shared" si="17"/>
        <v>26775.397762856166</v>
      </c>
      <c r="AC62" s="553">
        <f t="shared" si="18"/>
        <v>45662.898236815665</v>
      </c>
      <c r="AD62" s="544"/>
      <c r="AN62" s="768" t="s">
        <v>149</v>
      </c>
      <c r="AR62" s="765">
        <v>3</v>
      </c>
      <c r="AS62" s="765" t="s">
        <v>108</v>
      </c>
      <c r="AT62" s="765">
        <v>22</v>
      </c>
      <c r="AU62" s="766">
        <f t="shared" si="19"/>
        <v>0</v>
      </c>
    </row>
    <row r="63" spans="1:47" ht="14.25" customHeight="1">
      <c r="A63" s="547" t="s">
        <v>193</v>
      </c>
      <c r="B63" s="549">
        <f t="shared" si="0"/>
        <v>105880.04545454546</v>
      </c>
      <c r="C63" s="533" t="s">
        <v>93</v>
      </c>
      <c r="D63" s="533" t="s">
        <v>197</v>
      </c>
      <c r="E63" s="533">
        <v>22</v>
      </c>
      <c r="F63" s="545" t="s">
        <v>95</v>
      </c>
      <c r="G63" s="724">
        <v>2000000</v>
      </c>
      <c r="H63" s="725">
        <f t="shared" si="1"/>
        <v>110000</v>
      </c>
      <c r="I63" s="724">
        <f t="shared" si="2"/>
        <v>13200</v>
      </c>
      <c r="J63" s="731">
        <f t="shared" si="3"/>
        <v>63700</v>
      </c>
      <c r="K63" s="772">
        <v>75000</v>
      </c>
      <c r="L63" s="779">
        <f t="shared" si="4"/>
        <v>67461</v>
      </c>
      <c r="M63" s="733">
        <f t="shared" si="5"/>
        <v>2329361</v>
      </c>
      <c r="N63" s="758">
        <v>20000</v>
      </c>
      <c r="O63" s="758">
        <v>50000</v>
      </c>
      <c r="P63" s="548">
        <f t="shared" si="21"/>
        <v>174702.07499999998</v>
      </c>
      <c r="Q63" s="549">
        <f t="shared" si="20"/>
        <v>58234.025000000001</v>
      </c>
      <c r="R63" s="728">
        <f t="shared" si="22"/>
        <v>2562297.1</v>
      </c>
      <c r="S63" s="745">
        <f t="shared" si="8"/>
        <v>0.1</v>
      </c>
      <c r="T63" s="549">
        <f t="shared" si="9"/>
        <v>256229.71000000002</v>
      </c>
      <c r="U63" s="548">
        <f t="shared" si="10"/>
        <v>15000</v>
      </c>
      <c r="V63" s="549">
        <f t="shared" si="11"/>
        <v>241229.71000000002</v>
      </c>
      <c r="W63" s="533">
        <f t="shared" si="12"/>
        <v>22</v>
      </c>
      <c r="X63" s="549">
        <f t="shared" si="13"/>
        <v>10964.986818181818</v>
      </c>
      <c r="Y63" s="549">
        <f t="shared" si="14"/>
        <v>2306067.39</v>
      </c>
      <c r="Z63" s="728">
        <f t="shared" si="15"/>
        <v>17878.915929323965</v>
      </c>
      <c r="AA63" s="553">
        <f t="shared" si="16"/>
        <v>20727.585626571152</v>
      </c>
      <c r="AB63" s="553">
        <f t="shared" si="17"/>
        <v>26775.397762856166</v>
      </c>
      <c r="AC63" s="553">
        <f t="shared" si="18"/>
        <v>45662.898236815665</v>
      </c>
      <c r="AD63" s="544"/>
      <c r="AN63" s="768" t="s">
        <v>149</v>
      </c>
      <c r="AR63" s="765">
        <v>4</v>
      </c>
      <c r="AS63" s="765" t="s">
        <v>112</v>
      </c>
      <c r="AT63" s="765">
        <v>22</v>
      </c>
      <c r="AU63" s="766">
        <f t="shared" si="19"/>
        <v>0</v>
      </c>
    </row>
    <row r="64" spans="1:47" ht="14.25" customHeight="1">
      <c r="A64" s="547" t="s">
        <v>193</v>
      </c>
      <c r="B64" s="549">
        <f t="shared" si="0"/>
        <v>105880.04545454546</v>
      </c>
      <c r="C64" s="533" t="s">
        <v>93</v>
      </c>
      <c r="D64" s="533" t="s">
        <v>198</v>
      </c>
      <c r="E64" s="533">
        <v>22</v>
      </c>
      <c r="F64" s="545" t="s">
        <v>95</v>
      </c>
      <c r="G64" s="724">
        <v>2000000</v>
      </c>
      <c r="H64" s="725">
        <f t="shared" si="1"/>
        <v>110000</v>
      </c>
      <c r="I64" s="724">
        <f t="shared" si="2"/>
        <v>13200</v>
      </c>
      <c r="J64" s="731">
        <f t="shared" si="3"/>
        <v>63700</v>
      </c>
      <c r="K64" s="772">
        <v>75000</v>
      </c>
      <c r="L64" s="779">
        <f t="shared" si="4"/>
        <v>67461</v>
      </c>
      <c r="M64" s="733">
        <f t="shared" si="5"/>
        <v>2329361</v>
      </c>
      <c r="N64" s="758">
        <v>20000</v>
      </c>
      <c r="O64" s="758">
        <v>50000</v>
      </c>
      <c r="P64" s="548">
        <f t="shared" si="21"/>
        <v>174702.07499999998</v>
      </c>
      <c r="Q64" s="549">
        <f t="shared" si="20"/>
        <v>58234.025000000001</v>
      </c>
      <c r="R64" s="728">
        <f t="shared" si="22"/>
        <v>2562297.1</v>
      </c>
      <c r="S64" s="745">
        <f t="shared" si="8"/>
        <v>0.1</v>
      </c>
      <c r="T64" s="549">
        <f t="shared" si="9"/>
        <v>256229.71000000002</v>
      </c>
      <c r="U64" s="548">
        <f t="shared" si="10"/>
        <v>15000</v>
      </c>
      <c r="V64" s="549">
        <f t="shared" si="11"/>
        <v>241229.71000000002</v>
      </c>
      <c r="W64" s="533">
        <f t="shared" si="12"/>
        <v>22</v>
      </c>
      <c r="X64" s="549">
        <f t="shared" si="13"/>
        <v>10964.986818181818</v>
      </c>
      <c r="Y64" s="549">
        <f t="shared" si="14"/>
        <v>2306067.39</v>
      </c>
      <c r="Z64" s="728">
        <f t="shared" si="15"/>
        <v>17878.915929323965</v>
      </c>
      <c r="AA64" s="553">
        <f t="shared" si="16"/>
        <v>20727.585626571152</v>
      </c>
      <c r="AB64" s="553">
        <f t="shared" si="17"/>
        <v>26775.397762856166</v>
      </c>
      <c r="AC64" s="553">
        <f t="shared" si="18"/>
        <v>45662.898236815665</v>
      </c>
      <c r="AD64" s="544"/>
      <c r="AN64" s="768" t="s">
        <v>149</v>
      </c>
      <c r="AR64" s="765">
        <v>5</v>
      </c>
      <c r="AS64" s="765" t="s">
        <v>116</v>
      </c>
      <c r="AT64" s="765">
        <v>22</v>
      </c>
      <c r="AU64" s="766">
        <f t="shared" si="19"/>
        <v>0</v>
      </c>
    </row>
    <row r="65" spans="1:47" ht="14.25" customHeight="1">
      <c r="A65" s="547" t="s">
        <v>193</v>
      </c>
      <c r="B65" s="549">
        <f t="shared" si="0"/>
        <v>105880.04545454546</v>
      </c>
      <c r="C65" s="533" t="s">
        <v>93</v>
      </c>
      <c r="D65" s="533" t="s">
        <v>199</v>
      </c>
      <c r="E65" s="533">
        <v>22</v>
      </c>
      <c r="F65" s="545" t="s">
        <v>95</v>
      </c>
      <c r="G65" s="724">
        <v>2000000</v>
      </c>
      <c r="H65" s="725">
        <f t="shared" si="1"/>
        <v>110000</v>
      </c>
      <c r="I65" s="724">
        <f t="shared" si="2"/>
        <v>13200</v>
      </c>
      <c r="J65" s="731">
        <f t="shared" si="3"/>
        <v>63700</v>
      </c>
      <c r="K65" s="772">
        <v>75000</v>
      </c>
      <c r="L65" s="779">
        <f t="shared" si="4"/>
        <v>67461</v>
      </c>
      <c r="M65" s="733">
        <f t="shared" si="5"/>
        <v>2329361</v>
      </c>
      <c r="N65" s="758">
        <v>20000</v>
      </c>
      <c r="O65" s="758">
        <v>50000</v>
      </c>
      <c r="P65" s="548">
        <f t="shared" si="21"/>
        <v>174702.07499999998</v>
      </c>
      <c r="Q65" s="549">
        <f t="shared" si="20"/>
        <v>58234.025000000001</v>
      </c>
      <c r="R65" s="728">
        <f t="shared" si="22"/>
        <v>2562297.1</v>
      </c>
      <c r="S65" s="745">
        <f t="shared" si="8"/>
        <v>0.1</v>
      </c>
      <c r="T65" s="549">
        <f t="shared" si="9"/>
        <v>256229.71000000002</v>
      </c>
      <c r="U65" s="548">
        <f t="shared" si="10"/>
        <v>15000</v>
      </c>
      <c r="V65" s="549">
        <f t="shared" si="11"/>
        <v>241229.71000000002</v>
      </c>
      <c r="W65" s="533">
        <f t="shared" si="12"/>
        <v>22</v>
      </c>
      <c r="X65" s="549">
        <f t="shared" si="13"/>
        <v>10964.986818181818</v>
      </c>
      <c r="Y65" s="549">
        <f t="shared" si="14"/>
        <v>2306067.39</v>
      </c>
      <c r="Z65" s="728">
        <f t="shared" si="15"/>
        <v>17878.915929323965</v>
      </c>
      <c r="AA65" s="553">
        <f t="shared" si="16"/>
        <v>20727.585626571152</v>
      </c>
      <c r="AB65" s="553">
        <f t="shared" si="17"/>
        <v>26775.397762856166</v>
      </c>
      <c r="AC65" s="553">
        <f t="shared" si="18"/>
        <v>45662.898236815665</v>
      </c>
      <c r="AD65" s="544"/>
      <c r="AN65" s="768" t="s">
        <v>96</v>
      </c>
      <c r="AR65" s="765">
        <v>6</v>
      </c>
      <c r="AS65" s="765" t="s">
        <v>119</v>
      </c>
      <c r="AT65" s="765">
        <v>22</v>
      </c>
      <c r="AU65" s="766">
        <f t="shared" si="19"/>
        <v>0</v>
      </c>
    </row>
    <row r="66" spans="1:47" ht="14.25" customHeight="1">
      <c r="A66" s="547" t="s">
        <v>193</v>
      </c>
      <c r="B66" s="549">
        <f t="shared" si="0"/>
        <v>105880.04545454546</v>
      </c>
      <c r="C66" s="533" t="s">
        <v>117</v>
      </c>
      <c r="D66" s="533" t="s">
        <v>200</v>
      </c>
      <c r="E66" s="533">
        <v>22</v>
      </c>
      <c r="F66" s="545" t="s">
        <v>95</v>
      </c>
      <c r="G66" s="724">
        <v>2000000</v>
      </c>
      <c r="H66" s="725">
        <f t="shared" si="1"/>
        <v>110000</v>
      </c>
      <c r="I66" s="724">
        <f t="shared" si="2"/>
        <v>13200</v>
      </c>
      <c r="J66" s="731">
        <f t="shared" si="3"/>
        <v>63700</v>
      </c>
      <c r="K66" s="772">
        <v>75000</v>
      </c>
      <c r="L66" s="779">
        <f t="shared" si="4"/>
        <v>67461</v>
      </c>
      <c r="M66" s="733">
        <f t="shared" si="5"/>
        <v>2329361</v>
      </c>
      <c r="N66" s="758">
        <v>20000</v>
      </c>
      <c r="O66" s="758">
        <v>50000</v>
      </c>
      <c r="P66" s="548">
        <f t="shared" si="21"/>
        <v>174702.07499999998</v>
      </c>
      <c r="Q66" s="549">
        <f t="shared" si="20"/>
        <v>58234.025000000001</v>
      </c>
      <c r="R66" s="728">
        <f t="shared" si="22"/>
        <v>2562297.1</v>
      </c>
      <c r="S66" s="745">
        <f t="shared" si="8"/>
        <v>0.1</v>
      </c>
      <c r="T66" s="549">
        <f t="shared" si="9"/>
        <v>256229.71000000002</v>
      </c>
      <c r="U66" s="548">
        <f t="shared" si="10"/>
        <v>15000</v>
      </c>
      <c r="V66" s="549">
        <f t="shared" si="11"/>
        <v>241229.71000000002</v>
      </c>
      <c r="W66" s="533">
        <f t="shared" si="12"/>
        <v>22</v>
      </c>
      <c r="X66" s="549">
        <f t="shared" si="13"/>
        <v>10964.986818181818</v>
      </c>
      <c r="Y66" s="549">
        <f t="shared" si="14"/>
        <v>2306067.39</v>
      </c>
      <c r="Z66" s="728">
        <f t="shared" si="15"/>
        <v>17878.915929323965</v>
      </c>
      <c r="AA66" s="553">
        <f t="shared" si="16"/>
        <v>20727.585626571152</v>
      </c>
      <c r="AB66" s="553">
        <f t="shared" si="17"/>
        <v>26775.397762856166</v>
      </c>
      <c r="AC66" s="553">
        <f t="shared" si="18"/>
        <v>45662.898236815665</v>
      </c>
      <c r="AD66" s="544"/>
      <c r="AN66" s="768" t="s">
        <v>96</v>
      </c>
      <c r="AR66" s="765">
        <v>7</v>
      </c>
      <c r="AS66" s="765" t="s">
        <v>121</v>
      </c>
      <c r="AT66" s="765">
        <v>22</v>
      </c>
      <c r="AU66" s="766">
        <f t="shared" si="19"/>
        <v>0</v>
      </c>
    </row>
    <row r="67" spans="1:47" ht="14.25" customHeight="1">
      <c r="A67" s="547" t="s">
        <v>193</v>
      </c>
      <c r="B67" s="549">
        <f t="shared" si="0"/>
        <v>104356.13249776186</v>
      </c>
      <c r="C67" s="533" t="s">
        <v>117</v>
      </c>
      <c r="D67" s="533" t="s">
        <v>201</v>
      </c>
      <c r="E67" s="533">
        <v>22.34</v>
      </c>
      <c r="F67" s="545" t="s">
        <v>95</v>
      </c>
      <c r="G67" s="724">
        <v>2000000</v>
      </c>
      <c r="H67" s="725">
        <f t="shared" si="1"/>
        <v>111700</v>
      </c>
      <c r="I67" s="724">
        <f t="shared" si="2"/>
        <v>13404</v>
      </c>
      <c r="J67" s="731">
        <f t="shared" si="3"/>
        <v>63700</v>
      </c>
      <c r="K67" s="772">
        <v>75000</v>
      </c>
      <c r="L67" s="779">
        <f t="shared" si="4"/>
        <v>67512</v>
      </c>
      <c r="M67" s="733">
        <f t="shared" si="5"/>
        <v>2331316</v>
      </c>
      <c r="N67" s="758">
        <v>20000</v>
      </c>
      <c r="O67" s="758">
        <v>50000</v>
      </c>
      <c r="P67" s="548">
        <f t="shared" si="21"/>
        <v>174848.69999999998</v>
      </c>
      <c r="Q67" s="549">
        <f t="shared" si="20"/>
        <v>58282.9</v>
      </c>
      <c r="R67" s="728">
        <f t="shared" si="22"/>
        <v>2564447.6</v>
      </c>
      <c r="S67" s="745">
        <f t="shared" si="8"/>
        <v>0.1</v>
      </c>
      <c r="T67" s="549">
        <f t="shared" si="9"/>
        <v>256444.76</v>
      </c>
      <c r="U67" s="548">
        <f t="shared" si="10"/>
        <v>15000</v>
      </c>
      <c r="V67" s="549">
        <f t="shared" si="11"/>
        <v>241444.76</v>
      </c>
      <c r="W67" s="533">
        <f t="shared" si="12"/>
        <v>22</v>
      </c>
      <c r="X67" s="549">
        <f t="shared" si="13"/>
        <v>10974.761818181818</v>
      </c>
      <c r="Y67" s="549">
        <f t="shared" si="14"/>
        <v>2308002.84</v>
      </c>
      <c r="Z67" s="728">
        <f t="shared" si="15"/>
        <v>17893.921452573395</v>
      </c>
      <c r="AA67" s="553">
        <f t="shared" si="16"/>
        <v>20744.981998322866</v>
      </c>
      <c r="AB67" s="553">
        <f t="shared" si="17"/>
        <v>26797.86997846653</v>
      </c>
      <c r="AC67" s="553">
        <f t="shared" si="18"/>
        <v>45701.222466530577</v>
      </c>
      <c r="AD67" s="544"/>
      <c r="AN67" s="768" t="s">
        <v>149</v>
      </c>
      <c r="AR67" s="765">
        <v>8</v>
      </c>
      <c r="AS67" s="765" t="s">
        <v>123</v>
      </c>
      <c r="AT67" s="765">
        <v>22.34</v>
      </c>
      <c r="AU67" s="766">
        <f t="shared" si="19"/>
        <v>0</v>
      </c>
    </row>
    <row r="68" spans="1:47" ht="14.25" customHeight="1">
      <c r="A68" s="547" t="s">
        <v>193</v>
      </c>
      <c r="B68" s="549">
        <f t="shared" si="0"/>
        <v>105880.04545454546</v>
      </c>
      <c r="C68" s="533" t="s">
        <v>93</v>
      </c>
      <c r="D68" s="533" t="s">
        <v>202</v>
      </c>
      <c r="E68" s="533">
        <v>22</v>
      </c>
      <c r="F68" s="545" t="s">
        <v>95</v>
      </c>
      <c r="G68" s="724">
        <v>2000000</v>
      </c>
      <c r="H68" s="725">
        <f t="shared" si="1"/>
        <v>110000</v>
      </c>
      <c r="I68" s="724">
        <f t="shared" si="2"/>
        <v>13200</v>
      </c>
      <c r="J68" s="731">
        <f t="shared" si="3"/>
        <v>63700</v>
      </c>
      <c r="K68" s="772">
        <v>75000</v>
      </c>
      <c r="L68" s="779">
        <f t="shared" si="4"/>
        <v>67461</v>
      </c>
      <c r="M68" s="733">
        <f t="shared" si="5"/>
        <v>2329361</v>
      </c>
      <c r="N68" s="758">
        <v>20000</v>
      </c>
      <c r="O68" s="758">
        <v>50000</v>
      </c>
      <c r="P68" s="548">
        <f t="shared" si="21"/>
        <v>174702.07499999998</v>
      </c>
      <c r="Q68" s="549">
        <f t="shared" si="20"/>
        <v>58234.025000000001</v>
      </c>
      <c r="R68" s="728">
        <f t="shared" si="22"/>
        <v>2562297.1</v>
      </c>
      <c r="S68" s="745">
        <f t="shared" si="8"/>
        <v>0.1</v>
      </c>
      <c r="T68" s="549">
        <f t="shared" si="9"/>
        <v>256229.71000000002</v>
      </c>
      <c r="U68" s="548">
        <f t="shared" si="10"/>
        <v>15000</v>
      </c>
      <c r="V68" s="549">
        <f t="shared" si="11"/>
        <v>241229.71000000002</v>
      </c>
      <c r="W68" s="533">
        <f t="shared" si="12"/>
        <v>22</v>
      </c>
      <c r="X68" s="549">
        <f t="shared" si="13"/>
        <v>10964.986818181818</v>
      </c>
      <c r="Y68" s="549">
        <f t="shared" si="14"/>
        <v>2306067.39</v>
      </c>
      <c r="Z68" s="728">
        <f t="shared" si="15"/>
        <v>17878.915929323965</v>
      </c>
      <c r="AA68" s="553">
        <f t="shared" si="16"/>
        <v>20727.585626571152</v>
      </c>
      <c r="AB68" s="553">
        <f t="shared" si="17"/>
        <v>26775.397762856166</v>
      </c>
      <c r="AC68" s="553">
        <f t="shared" si="18"/>
        <v>45662.898236815665</v>
      </c>
      <c r="AD68" s="544"/>
      <c r="AN68" s="768" t="s">
        <v>149</v>
      </c>
      <c r="AR68" s="765">
        <v>9</v>
      </c>
      <c r="AS68" s="765" t="s">
        <v>125</v>
      </c>
      <c r="AT68" s="765">
        <v>22</v>
      </c>
      <c r="AU68" s="766">
        <f t="shared" si="19"/>
        <v>0</v>
      </c>
    </row>
    <row r="69" spans="1:47" ht="14.25" customHeight="1">
      <c r="A69" s="547" t="s">
        <v>193</v>
      </c>
      <c r="B69" s="549">
        <f t="shared" si="0"/>
        <v>105880.04545454546</v>
      </c>
      <c r="C69" s="533" t="s">
        <v>93</v>
      </c>
      <c r="D69" s="533" t="s">
        <v>203</v>
      </c>
      <c r="E69" s="533">
        <v>22</v>
      </c>
      <c r="F69" s="545" t="s">
        <v>95</v>
      </c>
      <c r="G69" s="724">
        <v>2000000</v>
      </c>
      <c r="H69" s="725">
        <f t="shared" si="1"/>
        <v>110000</v>
      </c>
      <c r="I69" s="724">
        <f t="shared" si="2"/>
        <v>13200</v>
      </c>
      <c r="J69" s="731">
        <f t="shared" si="3"/>
        <v>63700</v>
      </c>
      <c r="K69" s="772">
        <v>75000</v>
      </c>
      <c r="L69" s="779">
        <f t="shared" si="4"/>
        <v>67461</v>
      </c>
      <c r="M69" s="733">
        <f t="shared" si="5"/>
        <v>2329361</v>
      </c>
      <c r="N69" s="758">
        <v>20000</v>
      </c>
      <c r="O69" s="758">
        <v>50000</v>
      </c>
      <c r="P69" s="548">
        <f t="shared" si="21"/>
        <v>174702.07499999998</v>
      </c>
      <c r="Q69" s="549">
        <f t="shared" si="20"/>
        <v>58234.025000000001</v>
      </c>
      <c r="R69" s="728">
        <f t="shared" si="22"/>
        <v>2562297.1</v>
      </c>
      <c r="S69" s="745">
        <f t="shared" si="8"/>
        <v>0.1</v>
      </c>
      <c r="T69" s="549">
        <f t="shared" si="9"/>
        <v>256229.71000000002</v>
      </c>
      <c r="U69" s="548">
        <f t="shared" si="10"/>
        <v>15000</v>
      </c>
      <c r="V69" s="549">
        <f t="shared" si="11"/>
        <v>241229.71000000002</v>
      </c>
      <c r="W69" s="533">
        <f t="shared" si="12"/>
        <v>22</v>
      </c>
      <c r="X69" s="549">
        <f t="shared" si="13"/>
        <v>10964.986818181818</v>
      </c>
      <c r="Y69" s="549">
        <f t="shared" si="14"/>
        <v>2306067.39</v>
      </c>
      <c r="Z69" s="728">
        <f t="shared" si="15"/>
        <v>17878.915929323965</v>
      </c>
      <c r="AA69" s="553">
        <f t="shared" si="16"/>
        <v>20727.585626571152</v>
      </c>
      <c r="AB69" s="553">
        <f t="shared" si="17"/>
        <v>26775.397762856166</v>
      </c>
      <c r="AC69" s="553">
        <f t="shared" si="18"/>
        <v>45662.898236815665</v>
      </c>
      <c r="AD69" s="544"/>
      <c r="AN69" s="768" t="s">
        <v>96</v>
      </c>
      <c r="AR69" s="765">
        <v>10</v>
      </c>
      <c r="AS69" s="765" t="s">
        <v>127</v>
      </c>
      <c r="AT69" s="765">
        <v>22</v>
      </c>
      <c r="AU69" s="766">
        <f t="shared" si="19"/>
        <v>0</v>
      </c>
    </row>
    <row r="70" spans="1:47" ht="14.25" customHeight="1">
      <c r="A70" s="547" t="s">
        <v>193</v>
      </c>
      <c r="B70" s="549">
        <f t="shared" si="0"/>
        <v>105880.04545454546</v>
      </c>
      <c r="C70" s="533" t="s">
        <v>93</v>
      </c>
      <c r="D70" s="533" t="s">
        <v>204</v>
      </c>
      <c r="E70" s="533">
        <v>22</v>
      </c>
      <c r="F70" s="545" t="s">
        <v>95</v>
      </c>
      <c r="G70" s="724">
        <v>2000000</v>
      </c>
      <c r="H70" s="725">
        <f t="shared" si="1"/>
        <v>110000</v>
      </c>
      <c r="I70" s="724">
        <f t="shared" si="2"/>
        <v>13200</v>
      </c>
      <c r="J70" s="731">
        <f t="shared" si="3"/>
        <v>63700</v>
      </c>
      <c r="K70" s="772">
        <v>75000</v>
      </c>
      <c r="L70" s="779">
        <f t="shared" si="4"/>
        <v>67461</v>
      </c>
      <c r="M70" s="733">
        <f t="shared" si="5"/>
        <v>2329361</v>
      </c>
      <c r="N70" s="758">
        <v>20000</v>
      </c>
      <c r="O70" s="758">
        <v>50000</v>
      </c>
      <c r="P70" s="548">
        <f t="shared" si="21"/>
        <v>174702.07499999998</v>
      </c>
      <c r="Q70" s="549">
        <f t="shared" si="20"/>
        <v>58234.025000000001</v>
      </c>
      <c r="R70" s="728">
        <f t="shared" si="22"/>
        <v>2562297.1</v>
      </c>
      <c r="S70" s="745">
        <f t="shared" si="8"/>
        <v>0.1</v>
      </c>
      <c r="T70" s="549">
        <f t="shared" si="9"/>
        <v>256229.71000000002</v>
      </c>
      <c r="U70" s="548">
        <f t="shared" si="10"/>
        <v>15000</v>
      </c>
      <c r="V70" s="549">
        <f t="shared" si="11"/>
        <v>241229.71000000002</v>
      </c>
      <c r="W70" s="533">
        <f t="shared" si="12"/>
        <v>22</v>
      </c>
      <c r="X70" s="549">
        <f t="shared" si="13"/>
        <v>10964.986818181818</v>
      </c>
      <c r="Y70" s="549">
        <f t="shared" si="14"/>
        <v>2306067.39</v>
      </c>
      <c r="Z70" s="728">
        <f t="shared" si="15"/>
        <v>17878.915929323965</v>
      </c>
      <c r="AA70" s="553">
        <f t="shared" si="16"/>
        <v>20727.585626571152</v>
      </c>
      <c r="AB70" s="553">
        <f t="shared" si="17"/>
        <v>26775.397762856166</v>
      </c>
      <c r="AC70" s="553">
        <f t="shared" si="18"/>
        <v>45662.898236815665</v>
      </c>
      <c r="AD70" s="544"/>
      <c r="AN70" s="768" t="s">
        <v>149</v>
      </c>
      <c r="AR70" s="765">
        <v>11</v>
      </c>
      <c r="AS70" s="765" t="s">
        <v>129</v>
      </c>
      <c r="AT70" s="765">
        <v>22</v>
      </c>
      <c r="AU70" s="766">
        <f t="shared" si="19"/>
        <v>0</v>
      </c>
    </row>
    <row r="71" spans="1:47" ht="14.25" customHeight="1">
      <c r="A71" s="547" t="s">
        <v>193</v>
      </c>
      <c r="B71" s="549">
        <f t="shared" si="0"/>
        <v>105880.04545454546</v>
      </c>
      <c r="C71" s="533" t="s">
        <v>93</v>
      </c>
      <c r="D71" s="533" t="s">
        <v>205</v>
      </c>
      <c r="E71" s="533">
        <v>22</v>
      </c>
      <c r="F71" s="545" t="s">
        <v>95</v>
      </c>
      <c r="G71" s="724">
        <v>2000000</v>
      </c>
      <c r="H71" s="725">
        <f t="shared" si="1"/>
        <v>110000</v>
      </c>
      <c r="I71" s="724">
        <f t="shared" si="2"/>
        <v>13200</v>
      </c>
      <c r="J71" s="731">
        <f t="shared" si="3"/>
        <v>63700</v>
      </c>
      <c r="K71" s="772">
        <v>75000</v>
      </c>
      <c r="L71" s="779">
        <f t="shared" si="4"/>
        <v>67461</v>
      </c>
      <c r="M71" s="733">
        <f t="shared" si="5"/>
        <v>2329361</v>
      </c>
      <c r="N71" s="758">
        <v>20000</v>
      </c>
      <c r="O71" s="758">
        <v>50000</v>
      </c>
      <c r="P71" s="548">
        <f t="shared" si="21"/>
        <v>174702.07499999998</v>
      </c>
      <c r="Q71" s="549">
        <f t="shared" si="20"/>
        <v>58234.025000000001</v>
      </c>
      <c r="R71" s="728">
        <f t="shared" si="22"/>
        <v>2562297.1</v>
      </c>
      <c r="S71" s="745">
        <f t="shared" si="8"/>
        <v>0.1</v>
      </c>
      <c r="T71" s="549">
        <f t="shared" si="9"/>
        <v>256229.71000000002</v>
      </c>
      <c r="U71" s="548">
        <f t="shared" si="10"/>
        <v>15000</v>
      </c>
      <c r="V71" s="549">
        <f t="shared" si="11"/>
        <v>241229.71000000002</v>
      </c>
      <c r="W71" s="533">
        <f t="shared" si="12"/>
        <v>22</v>
      </c>
      <c r="X71" s="549">
        <f t="shared" si="13"/>
        <v>10964.986818181818</v>
      </c>
      <c r="Y71" s="549">
        <f t="shared" si="14"/>
        <v>2306067.39</v>
      </c>
      <c r="Z71" s="728">
        <f t="shared" si="15"/>
        <v>17878.915929323965</v>
      </c>
      <c r="AA71" s="553">
        <f t="shared" si="16"/>
        <v>20727.585626571152</v>
      </c>
      <c r="AB71" s="553">
        <f t="shared" si="17"/>
        <v>26775.397762856166</v>
      </c>
      <c r="AC71" s="553">
        <f t="shared" si="18"/>
        <v>45662.898236815665</v>
      </c>
      <c r="AD71" s="544"/>
      <c r="AN71" s="768" t="s">
        <v>149</v>
      </c>
      <c r="AR71" s="765">
        <v>12</v>
      </c>
      <c r="AS71" s="765" t="s">
        <v>131</v>
      </c>
      <c r="AT71" s="765">
        <v>22</v>
      </c>
      <c r="AU71" s="766">
        <f t="shared" si="19"/>
        <v>0</v>
      </c>
    </row>
    <row r="72" spans="1:47" ht="14.25" customHeight="1">
      <c r="A72" s="547" t="s">
        <v>193</v>
      </c>
      <c r="B72" s="549">
        <f t="shared" ref="B72:B135" si="23">M72/E72</f>
        <v>105880.04545454546</v>
      </c>
      <c r="C72" s="533" t="s">
        <v>93</v>
      </c>
      <c r="D72" s="533" t="s">
        <v>206</v>
      </c>
      <c r="E72" s="533">
        <v>22</v>
      </c>
      <c r="F72" s="545" t="s">
        <v>95</v>
      </c>
      <c r="G72" s="724">
        <v>2000000</v>
      </c>
      <c r="H72" s="725">
        <f t="shared" ref="H72:H135" si="24">H$5*E72</f>
        <v>110000</v>
      </c>
      <c r="I72" s="724">
        <f t="shared" ref="I72:I135" si="25">H72*I$5</f>
        <v>13200</v>
      </c>
      <c r="J72" s="731">
        <f t="shared" ref="J72:J135" si="26">+(N72+O72)*$J$5</f>
        <v>63700</v>
      </c>
      <c r="K72" s="772">
        <v>75000</v>
      </c>
      <c r="L72" s="779">
        <f t="shared" ref="L72:L135" si="27">(G72+H72+J72+K72)*3%</f>
        <v>67461</v>
      </c>
      <c r="M72" s="733">
        <f t="shared" ref="M72:M135" si="28">G72+H72+I72+J72+K72+L72</f>
        <v>2329361</v>
      </c>
      <c r="N72" s="758">
        <v>20000</v>
      </c>
      <c r="O72" s="758">
        <v>50000</v>
      </c>
      <c r="P72" s="548">
        <f t="shared" ref="P72:P135" si="29">M72*P$5</f>
        <v>174702.07499999998</v>
      </c>
      <c r="Q72" s="549">
        <f t="shared" ref="Q72:Q135" si="30">M72*Q$5</f>
        <v>58234.025000000001</v>
      </c>
      <c r="R72" s="728">
        <f t="shared" ref="R72:R135" si="31">+M72+P72+Q72</f>
        <v>2562297.1</v>
      </c>
      <c r="S72" s="745">
        <f t="shared" ref="S72:S135" si="32">S$5</f>
        <v>0.1</v>
      </c>
      <c r="T72" s="549">
        <f t="shared" ref="T72:T135" si="33">R72*S72</f>
        <v>256229.71000000002</v>
      </c>
      <c r="U72" s="548">
        <f t="shared" ref="U72:U135" si="34">U$5</f>
        <v>15000</v>
      </c>
      <c r="V72" s="549">
        <f t="shared" ref="V72:V135" si="35">T72-U72</f>
        <v>241229.71000000002</v>
      </c>
      <c r="W72" s="533">
        <f t="shared" ref="W72:W135" si="36">W$5</f>
        <v>22</v>
      </c>
      <c r="X72" s="549">
        <f t="shared" ref="X72:X135" si="37">V72/W72</f>
        <v>10964.986818181818</v>
      </c>
      <c r="Y72" s="549">
        <f t="shared" ref="Y72:Y135" si="38">R72-T72</f>
        <v>2306067.39</v>
      </c>
      <c r="Z72" s="728">
        <f t="shared" ref="Z72:Z135" si="39">Y72*Z$5</f>
        <v>17878.915929323965</v>
      </c>
      <c r="AA72" s="553">
        <f t="shared" ref="AA72:AA135" si="40">Y72*AA$5</f>
        <v>20727.585626571152</v>
      </c>
      <c r="AB72" s="553">
        <f t="shared" ref="AB72:AB135" si="41">Y72*AB$5</f>
        <v>26775.397762856166</v>
      </c>
      <c r="AC72" s="553">
        <f t="shared" ref="AC72:AC135" si="42">Y72*AC$5</f>
        <v>45662.898236815665</v>
      </c>
      <c r="AD72" s="544"/>
      <c r="AN72" s="768" t="s">
        <v>149</v>
      </c>
      <c r="AR72" s="765">
        <v>13</v>
      </c>
      <c r="AS72" s="765" t="s">
        <v>133</v>
      </c>
      <c r="AT72" s="765">
        <v>22</v>
      </c>
      <c r="AU72" s="766">
        <f t="shared" ref="AU72:AU135" si="43">AT72-E72</f>
        <v>0</v>
      </c>
    </row>
    <row r="73" spans="1:47" ht="14.25" customHeight="1">
      <c r="A73" s="547" t="s">
        <v>193</v>
      </c>
      <c r="B73" s="549">
        <f t="shared" si="23"/>
        <v>105880.04545454546</v>
      </c>
      <c r="C73" s="533" t="s">
        <v>93</v>
      </c>
      <c r="D73" s="533" t="s">
        <v>207</v>
      </c>
      <c r="E73" s="533">
        <v>22</v>
      </c>
      <c r="F73" s="545" t="s">
        <v>95</v>
      </c>
      <c r="G73" s="724">
        <v>2000000</v>
      </c>
      <c r="H73" s="725">
        <f t="shared" si="24"/>
        <v>110000</v>
      </c>
      <c r="I73" s="724">
        <f t="shared" si="25"/>
        <v>13200</v>
      </c>
      <c r="J73" s="731">
        <f t="shared" si="26"/>
        <v>63700</v>
      </c>
      <c r="K73" s="772">
        <v>75000</v>
      </c>
      <c r="L73" s="779">
        <f t="shared" si="27"/>
        <v>67461</v>
      </c>
      <c r="M73" s="733">
        <f t="shared" si="28"/>
        <v>2329361</v>
      </c>
      <c r="N73" s="758">
        <v>20000</v>
      </c>
      <c r="O73" s="758">
        <v>50000</v>
      </c>
      <c r="P73" s="548">
        <f t="shared" si="29"/>
        <v>174702.07499999998</v>
      </c>
      <c r="Q73" s="549">
        <f t="shared" si="30"/>
        <v>58234.025000000001</v>
      </c>
      <c r="R73" s="728">
        <f t="shared" si="31"/>
        <v>2562297.1</v>
      </c>
      <c r="S73" s="745">
        <f t="shared" si="32"/>
        <v>0.1</v>
      </c>
      <c r="T73" s="549">
        <f t="shared" si="33"/>
        <v>256229.71000000002</v>
      </c>
      <c r="U73" s="548">
        <f t="shared" si="34"/>
        <v>15000</v>
      </c>
      <c r="V73" s="549">
        <f t="shared" si="35"/>
        <v>241229.71000000002</v>
      </c>
      <c r="W73" s="533">
        <f t="shared" si="36"/>
        <v>22</v>
      </c>
      <c r="X73" s="549">
        <f t="shared" si="37"/>
        <v>10964.986818181818</v>
      </c>
      <c r="Y73" s="549">
        <f t="shared" si="38"/>
        <v>2306067.39</v>
      </c>
      <c r="Z73" s="728">
        <f t="shared" si="39"/>
        <v>17878.915929323965</v>
      </c>
      <c r="AA73" s="553">
        <f t="shared" si="40"/>
        <v>20727.585626571152</v>
      </c>
      <c r="AB73" s="553">
        <f t="shared" si="41"/>
        <v>26775.397762856166</v>
      </c>
      <c r="AC73" s="553">
        <f t="shared" si="42"/>
        <v>45662.898236815665</v>
      </c>
      <c r="AD73" s="544"/>
      <c r="AN73" s="768" t="s">
        <v>149</v>
      </c>
      <c r="AR73" s="765">
        <v>14</v>
      </c>
      <c r="AS73" s="765" t="s">
        <v>135</v>
      </c>
      <c r="AT73" s="765">
        <v>22</v>
      </c>
      <c r="AU73" s="766">
        <f t="shared" si="43"/>
        <v>0</v>
      </c>
    </row>
    <row r="74" spans="1:47" ht="14.25" customHeight="1">
      <c r="A74" s="547" t="s">
        <v>193</v>
      </c>
      <c r="B74" s="549">
        <f t="shared" si="23"/>
        <v>105880.04545454546</v>
      </c>
      <c r="C74" s="533" t="s">
        <v>93</v>
      </c>
      <c r="D74" s="533" t="s">
        <v>208</v>
      </c>
      <c r="E74" s="533">
        <v>22</v>
      </c>
      <c r="F74" s="545" t="s">
        <v>95</v>
      </c>
      <c r="G74" s="724">
        <v>2000000</v>
      </c>
      <c r="H74" s="725">
        <f t="shared" si="24"/>
        <v>110000</v>
      </c>
      <c r="I74" s="724">
        <f t="shared" si="25"/>
        <v>13200</v>
      </c>
      <c r="J74" s="731">
        <f t="shared" si="26"/>
        <v>63700</v>
      </c>
      <c r="K74" s="772">
        <v>75000</v>
      </c>
      <c r="L74" s="779">
        <f t="shared" si="27"/>
        <v>67461</v>
      </c>
      <c r="M74" s="733">
        <f t="shared" si="28"/>
        <v>2329361</v>
      </c>
      <c r="N74" s="758">
        <v>20000</v>
      </c>
      <c r="O74" s="758">
        <v>50000</v>
      </c>
      <c r="P74" s="548">
        <f t="shared" si="29"/>
        <v>174702.07499999998</v>
      </c>
      <c r="Q74" s="549">
        <f t="shared" si="30"/>
        <v>58234.025000000001</v>
      </c>
      <c r="R74" s="728">
        <f t="shared" si="31"/>
        <v>2562297.1</v>
      </c>
      <c r="S74" s="745">
        <f t="shared" si="32"/>
        <v>0.1</v>
      </c>
      <c r="T74" s="549">
        <f t="shared" si="33"/>
        <v>256229.71000000002</v>
      </c>
      <c r="U74" s="548">
        <f t="shared" si="34"/>
        <v>15000</v>
      </c>
      <c r="V74" s="549">
        <f t="shared" si="35"/>
        <v>241229.71000000002</v>
      </c>
      <c r="W74" s="533">
        <f t="shared" si="36"/>
        <v>22</v>
      </c>
      <c r="X74" s="549">
        <f t="shared" si="37"/>
        <v>10964.986818181818</v>
      </c>
      <c r="Y74" s="549">
        <f t="shared" si="38"/>
        <v>2306067.39</v>
      </c>
      <c r="Z74" s="728">
        <f t="shared" si="39"/>
        <v>17878.915929323965</v>
      </c>
      <c r="AA74" s="553">
        <f t="shared" si="40"/>
        <v>20727.585626571152</v>
      </c>
      <c r="AB74" s="553">
        <f t="shared" si="41"/>
        <v>26775.397762856166</v>
      </c>
      <c r="AC74" s="553">
        <f t="shared" si="42"/>
        <v>45662.898236815665</v>
      </c>
      <c r="AD74" s="544"/>
      <c r="AN74" s="768" t="s">
        <v>96</v>
      </c>
      <c r="AR74" s="765">
        <v>15</v>
      </c>
      <c r="AS74" s="765" t="s">
        <v>138</v>
      </c>
      <c r="AT74" s="765">
        <v>22</v>
      </c>
      <c r="AU74" s="766">
        <f t="shared" si="43"/>
        <v>0</v>
      </c>
    </row>
    <row r="75" spans="1:47" ht="14.25" customHeight="1">
      <c r="A75" s="547" t="s">
        <v>193</v>
      </c>
      <c r="B75" s="549">
        <f t="shared" si="23"/>
        <v>105880.04545454546</v>
      </c>
      <c r="C75" s="533" t="s">
        <v>93</v>
      </c>
      <c r="D75" s="533" t="s">
        <v>209</v>
      </c>
      <c r="E75" s="533">
        <v>22</v>
      </c>
      <c r="F75" s="545" t="s">
        <v>95</v>
      </c>
      <c r="G75" s="724">
        <v>2000000</v>
      </c>
      <c r="H75" s="725">
        <f t="shared" si="24"/>
        <v>110000</v>
      </c>
      <c r="I75" s="724">
        <f t="shared" si="25"/>
        <v>13200</v>
      </c>
      <c r="J75" s="731">
        <f t="shared" si="26"/>
        <v>63700</v>
      </c>
      <c r="K75" s="772">
        <v>75000</v>
      </c>
      <c r="L75" s="779">
        <f t="shared" si="27"/>
        <v>67461</v>
      </c>
      <c r="M75" s="733">
        <f t="shared" si="28"/>
        <v>2329361</v>
      </c>
      <c r="N75" s="758">
        <v>20000</v>
      </c>
      <c r="O75" s="758">
        <v>50000</v>
      </c>
      <c r="P75" s="548">
        <f t="shared" si="29"/>
        <v>174702.07499999998</v>
      </c>
      <c r="Q75" s="549">
        <f t="shared" si="30"/>
        <v>58234.025000000001</v>
      </c>
      <c r="R75" s="728">
        <f t="shared" si="31"/>
        <v>2562297.1</v>
      </c>
      <c r="S75" s="745">
        <f t="shared" si="32"/>
        <v>0.1</v>
      </c>
      <c r="T75" s="549">
        <f t="shared" si="33"/>
        <v>256229.71000000002</v>
      </c>
      <c r="U75" s="548">
        <f t="shared" si="34"/>
        <v>15000</v>
      </c>
      <c r="V75" s="549">
        <f t="shared" si="35"/>
        <v>241229.71000000002</v>
      </c>
      <c r="W75" s="533">
        <f t="shared" si="36"/>
        <v>22</v>
      </c>
      <c r="X75" s="549">
        <f t="shared" si="37"/>
        <v>10964.986818181818</v>
      </c>
      <c r="Y75" s="549">
        <f t="shared" si="38"/>
        <v>2306067.39</v>
      </c>
      <c r="Z75" s="728">
        <f t="shared" si="39"/>
        <v>17878.915929323965</v>
      </c>
      <c r="AA75" s="553">
        <f t="shared" si="40"/>
        <v>20727.585626571152</v>
      </c>
      <c r="AB75" s="553">
        <f t="shared" si="41"/>
        <v>26775.397762856166</v>
      </c>
      <c r="AC75" s="553">
        <f t="shared" si="42"/>
        <v>45662.898236815665</v>
      </c>
      <c r="AD75" s="544"/>
      <c r="AN75" s="768" t="s">
        <v>149</v>
      </c>
      <c r="AR75" s="765">
        <v>16</v>
      </c>
      <c r="AS75" s="765" t="s">
        <v>142</v>
      </c>
      <c r="AT75" s="765">
        <v>22</v>
      </c>
      <c r="AU75" s="766">
        <f t="shared" si="43"/>
        <v>0</v>
      </c>
    </row>
    <row r="76" spans="1:47" ht="14.25" customHeight="1">
      <c r="A76" s="547" t="s">
        <v>193</v>
      </c>
      <c r="B76" s="549">
        <f t="shared" si="23"/>
        <v>105880.04545454546</v>
      </c>
      <c r="C76" s="533" t="s">
        <v>93</v>
      </c>
      <c r="D76" s="533" t="s">
        <v>210</v>
      </c>
      <c r="E76" s="533">
        <v>22</v>
      </c>
      <c r="F76" s="545" t="s">
        <v>95</v>
      </c>
      <c r="G76" s="724">
        <v>2000000</v>
      </c>
      <c r="H76" s="725">
        <f t="shared" si="24"/>
        <v>110000</v>
      </c>
      <c r="I76" s="724">
        <f t="shared" si="25"/>
        <v>13200</v>
      </c>
      <c r="J76" s="731">
        <f t="shared" si="26"/>
        <v>63700</v>
      </c>
      <c r="K76" s="772">
        <v>75000</v>
      </c>
      <c r="L76" s="779">
        <f t="shared" si="27"/>
        <v>67461</v>
      </c>
      <c r="M76" s="733">
        <f t="shared" si="28"/>
        <v>2329361</v>
      </c>
      <c r="N76" s="758">
        <v>20000</v>
      </c>
      <c r="O76" s="758">
        <v>50000</v>
      </c>
      <c r="P76" s="548">
        <f t="shared" si="29"/>
        <v>174702.07499999998</v>
      </c>
      <c r="Q76" s="549">
        <f t="shared" si="30"/>
        <v>58234.025000000001</v>
      </c>
      <c r="R76" s="728">
        <f t="shared" si="31"/>
        <v>2562297.1</v>
      </c>
      <c r="S76" s="745">
        <f t="shared" si="32"/>
        <v>0.1</v>
      </c>
      <c r="T76" s="549">
        <f t="shared" si="33"/>
        <v>256229.71000000002</v>
      </c>
      <c r="U76" s="548">
        <f t="shared" si="34"/>
        <v>15000</v>
      </c>
      <c r="V76" s="549">
        <f t="shared" si="35"/>
        <v>241229.71000000002</v>
      </c>
      <c r="W76" s="533">
        <f t="shared" si="36"/>
        <v>22</v>
      </c>
      <c r="X76" s="549">
        <f t="shared" si="37"/>
        <v>10964.986818181818</v>
      </c>
      <c r="Y76" s="549">
        <f t="shared" si="38"/>
        <v>2306067.39</v>
      </c>
      <c r="Z76" s="728">
        <f t="shared" si="39"/>
        <v>17878.915929323965</v>
      </c>
      <c r="AA76" s="553">
        <f t="shared" si="40"/>
        <v>20727.585626571152</v>
      </c>
      <c r="AB76" s="553">
        <f t="shared" si="41"/>
        <v>26775.397762856166</v>
      </c>
      <c r="AC76" s="553">
        <f t="shared" si="42"/>
        <v>45662.898236815665</v>
      </c>
      <c r="AD76" s="544"/>
      <c r="AN76" s="768" t="s">
        <v>96</v>
      </c>
      <c r="AR76" s="765">
        <v>17</v>
      </c>
      <c r="AS76" s="765" t="s">
        <v>144</v>
      </c>
      <c r="AT76" s="765">
        <v>22</v>
      </c>
      <c r="AU76" s="766">
        <f t="shared" si="43"/>
        <v>0</v>
      </c>
    </row>
    <row r="77" spans="1:47" ht="14.25" customHeight="1">
      <c r="A77" s="547" t="s">
        <v>193</v>
      </c>
      <c r="B77" s="549">
        <f t="shared" si="23"/>
        <v>104356.13249776186</v>
      </c>
      <c r="C77" s="533" t="s">
        <v>117</v>
      </c>
      <c r="D77" s="533" t="s">
        <v>211</v>
      </c>
      <c r="E77" s="533">
        <v>22.34</v>
      </c>
      <c r="F77" s="545" t="s">
        <v>95</v>
      </c>
      <c r="G77" s="724">
        <v>2000000</v>
      </c>
      <c r="H77" s="725">
        <f t="shared" si="24"/>
        <v>111700</v>
      </c>
      <c r="I77" s="724">
        <f t="shared" si="25"/>
        <v>13404</v>
      </c>
      <c r="J77" s="731">
        <f t="shared" si="26"/>
        <v>63700</v>
      </c>
      <c r="K77" s="772">
        <v>75000</v>
      </c>
      <c r="L77" s="779">
        <f t="shared" si="27"/>
        <v>67512</v>
      </c>
      <c r="M77" s="733">
        <f t="shared" si="28"/>
        <v>2331316</v>
      </c>
      <c r="N77" s="758">
        <v>20000</v>
      </c>
      <c r="O77" s="758">
        <v>50000</v>
      </c>
      <c r="P77" s="548">
        <f t="shared" si="29"/>
        <v>174848.69999999998</v>
      </c>
      <c r="Q77" s="549">
        <f t="shared" si="30"/>
        <v>58282.9</v>
      </c>
      <c r="R77" s="728">
        <f t="shared" si="31"/>
        <v>2564447.6</v>
      </c>
      <c r="S77" s="745">
        <f t="shared" si="32"/>
        <v>0.1</v>
      </c>
      <c r="T77" s="549">
        <f t="shared" si="33"/>
        <v>256444.76</v>
      </c>
      <c r="U77" s="548">
        <f t="shared" si="34"/>
        <v>15000</v>
      </c>
      <c r="V77" s="549">
        <f t="shared" si="35"/>
        <v>241444.76</v>
      </c>
      <c r="W77" s="533">
        <f t="shared" si="36"/>
        <v>22</v>
      </c>
      <c r="X77" s="549">
        <f t="shared" si="37"/>
        <v>10974.761818181818</v>
      </c>
      <c r="Y77" s="549">
        <f t="shared" si="38"/>
        <v>2308002.84</v>
      </c>
      <c r="Z77" s="728">
        <f t="shared" si="39"/>
        <v>17893.921452573395</v>
      </c>
      <c r="AA77" s="553">
        <f t="shared" si="40"/>
        <v>20744.981998322866</v>
      </c>
      <c r="AB77" s="553">
        <f t="shared" si="41"/>
        <v>26797.86997846653</v>
      </c>
      <c r="AC77" s="553">
        <f t="shared" si="42"/>
        <v>45701.222466530577</v>
      </c>
      <c r="AD77" s="544"/>
      <c r="AN77" s="768" t="s">
        <v>149</v>
      </c>
      <c r="AR77" s="765">
        <v>18</v>
      </c>
      <c r="AS77" s="765" t="s">
        <v>173</v>
      </c>
      <c r="AT77" s="765">
        <v>22.34</v>
      </c>
      <c r="AU77" s="766">
        <f t="shared" si="43"/>
        <v>0</v>
      </c>
    </row>
    <row r="78" spans="1:47" ht="14.25" customHeight="1">
      <c r="A78" s="547" t="s">
        <v>212</v>
      </c>
      <c r="B78" s="549">
        <f t="shared" si="23"/>
        <v>105880.04545454546</v>
      </c>
      <c r="C78" s="533" t="s">
        <v>93</v>
      </c>
      <c r="D78" s="533" t="s">
        <v>213</v>
      </c>
      <c r="E78" s="533">
        <v>22</v>
      </c>
      <c r="F78" s="545" t="s">
        <v>95</v>
      </c>
      <c r="G78" s="724">
        <v>2000000</v>
      </c>
      <c r="H78" s="725">
        <f t="shared" si="24"/>
        <v>110000</v>
      </c>
      <c r="I78" s="724">
        <f t="shared" si="25"/>
        <v>13200</v>
      </c>
      <c r="J78" s="731">
        <f t="shared" si="26"/>
        <v>63700</v>
      </c>
      <c r="K78" s="772">
        <v>75000</v>
      </c>
      <c r="L78" s="779">
        <f t="shared" si="27"/>
        <v>67461</v>
      </c>
      <c r="M78" s="733">
        <f t="shared" si="28"/>
        <v>2329361</v>
      </c>
      <c r="N78" s="758">
        <v>20000</v>
      </c>
      <c r="O78" s="758">
        <v>50000</v>
      </c>
      <c r="P78" s="548">
        <f t="shared" si="29"/>
        <v>174702.07499999998</v>
      </c>
      <c r="Q78" s="549">
        <f t="shared" si="30"/>
        <v>58234.025000000001</v>
      </c>
      <c r="R78" s="728">
        <f t="shared" si="31"/>
        <v>2562297.1</v>
      </c>
      <c r="S78" s="745">
        <f t="shared" si="32"/>
        <v>0.1</v>
      </c>
      <c r="T78" s="549">
        <f t="shared" si="33"/>
        <v>256229.71000000002</v>
      </c>
      <c r="U78" s="548">
        <f t="shared" si="34"/>
        <v>15000</v>
      </c>
      <c r="V78" s="549">
        <f t="shared" si="35"/>
        <v>241229.71000000002</v>
      </c>
      <c r="W78" s="533">
        <f t="shared" si="36"/>
        <v>22</v>
      </c>
      <c r="X78" s="549">
        <f t="shared" si="37"/>
        <v>10964.986818181818</v>
      </c>
      <c r="Y78" s="549">
        <f t="shared" si="38"/>
        <v>2306067.39</v>
      </c>
      <c r="Z78" s="728">
        <f t="shared" si="39"/>
        <v>17878.915929323965</v>
      </c>
      <c r="AA78" s="553">
        <f t="shared" si="40"/>
        <v>20727.585626571152</v>
      </c>
      <c r="AB78" s="553">
        <f t="shared" si="41"/>
        <v>26775.397762856166</v>
      </c>
      <c r="AC78" s="553">
        <f t="shared" si="42"/>
        <v>45662.898236815665</v>
      </c>
      <c r="AD78" s="544"/>
      <c r="AN78" s="768" t="s">
        <v>149</v>
      </c>
      <c r="AR78" s="765">
        <v>1</v>
      </c>
      <c r="AS78" s="765" t="s">
        <v>97</v>
      </c>
      <c r="AT78" s="765">
        <v>22</v>
      </c>
      <c r="AU78" s="766">
        <f t="shared" si="43"/>
        <v>0</v>
      </c>
    </row>
    <row r="79" spans="1:47" ht="14.25" customHeight="1">
      <c r="A79" s="547" t="s">
        <v>212</v>
      </c>
      <c r="B79" s="549">
        <f t="shared" si="23"/>
        <v>105880.04545454546</v>
      </c>
      <c r="C79" s="533" t="s">
        <v>93</v>
      </c>
      <c r="D79" s="533" t="s">
        <v>214</v>
      </c>
      <c r="E79" s="533">
        <v>22</v>
      </c>
      <c r="F79" s="545" t="s">
        <v>95</v>
      </c>
      <c r="G79" s="724">
        <v>2000000</v>
      </c>
      <c r="H79" s="725">
        <f t="shared" si="24"/>
        <v>110000</v>
      </c>
      <c r="I79" s="724">
        <f t="shared" si="25"/>
        <v>13200</v>
      </c>
      <c r="J79" s="731">
        <f t="shared" si="26"/>
        <v>63700</v>
      </c>
      <c r="K79" s="772">
        <v>75000</v>
      </c>
      <c r="L79" s="779">
        <f t="shared" si="27"/>
        <v>67461</v>
      </c>
      <c r="M79" s="733">
        <f t="shared" si="28"/>
        <v>2329361</v>
      </c>
      <c r="N79" s="758">
        <v>20000</v>
      </c>
      <c r="O79" s="758">
        <v>50000</v>
      </c>
      <c r="P79" s="548">
        <f t="shared" si="29"/>
        <v>174702.07499999998</v>
      </c>
      <c r="Q79" s="549">
        <f t="shared" si="30"/>
        <v>58234.025000000001</v>
      </c>
      <c r="R79" s="728">
        <f t="shared" si="31"/>
        <v>2562297.1</v>
      </c>
      <c r="S79" s="745">
        <f t="shared" si="32"/>
        <v>0.1</v>
      </c>
      <c r="T79" s="549">
        <f t="shared" si="33"/>
        <v>256229.71000000002</v>
      </c>
      <c r="U79" s="548">
        <f t="shared" si="34"/>
        <v>15000</v>
      </c>
      <c r="V79" s="549">
        <f t="shared" si="35"/>
        <v>241229.71000000002</v>
      </c>
      <c r="W79" s="533">
        <f t="shared" si="36"/>
        <v>22</v>
      </c>
      <c r="X79" s="549">
        <f t="shared" si="37"/>
        <v>10964.986818181818</v>
      </c>
      <c r="Y79" s="549">
        <f t="shared" si="38"/>
        <v>2306067.39</v>
      </c>
      <c r="Z79" s="728">
        <f t="shared" si="39"/>
        <v>17878.915929323965</v>
      </c>
      <c r="AA79" s="553">
        <f t="shared" si="40"/>
        <v>20727.585626571152</v>
      </c>
      <c r="AB79" s="553">
        <f t="shared" si="41"/>
        <v>26775.397762856166</v>
      </c>
      <c r="AC79" s="553">
        <f t="shared" si="42"/>
        <v>45662.898236815665</v>
      </c>
      <c r="AD79" s="544"/>
      <c r="AN79" s="768" t="s">
        <v>149</v>
      </c>
      <c r="AR79" s="765">
        <v>2</v>
      </c>
      <c r="AS79" s="765" t="s">
        <v>104</v>
      </c>
      <c r="AT79" s="765">
        <v>22</v>
      </c>
      <c r="AU79" s="766">
        <f t="shared" si="43"/>
        <v>0</v>
      </c>
    </row>
    <row r="80" spans="1:47" ht="14.25" customHeight="1">
      <c r="A80" s="547" t="s">
        <v>212</v>
      </c>
      <c r="B80" s="549">
        <f t="shared" si="23"/>
        <v>105880.04545454546</v>
      </c>
      <c r="C80" s="533" t="s">
        <v>93</v>
      </c>
      <c r="D80" s="533" t="s">
        <v>215</v>
      </c>
      <c r="E80" s="533">
        <v>22</v>
      </c>
      <c r="F80" s="545" t="s">
        <v>95</v>
      </c>
      <c r="G80" s="724">
        <v>2000000</v>
      </c>
      <c r="H80" s="725">
        <f t="shared" si="24"/>
        <v>110000</v>
      </c>
      <c r="I80" s="724">
        <f t="shared" si="25"/>
        <v>13200</v>
      </c>
      <c r="J80" s="731">
        <f t="shared" si="26"/>
        <v>63700</v>
      </c>
      <c r="K80" s="772">
        <v>75000</v>
      </c>
      <c r="L80" s="779">
        <f t="shared" si="27"/>
        <v>67461</v>
      </c>
      <c r="M80" s="733">
        <f t="shared" si="28"/>
        <v>2329361</v>
      </c>
      <c r="N80" s="758">
        <v>20000</v>
      </c>
      <c r="O80" s="758">
        <v>50000</v>
      </c>
      <c r="P80" s="548">
        <f t="shared" si="29"/>
        <v>174702.07499999998</v>
      </c>
      <c r="Q80" s="549">
        <f t="shared" si="30"/>
        <v>58234.025000000001</v>
      </c>
      <c r="R80" s="728">
        <f t="shared" si="31"/>
        <v>2562297.1</v>
      </c>
      <c r="S80" s="745">
        <f t="shared" si="32"/>
        <v>0.1</v>
      </c>
      <c r="T80" s="549">
        <f t="shared" si="33"/>
        <v>256229.71000000002</v>
      </c>
      <c r="U80" s="548">
        <f t="shared" si="34"/>
        <v>15000</v>
      </c>
      <c r="V80" s="549">
        <f t="shared" si="35"/>
        <v>241229.71000000002</v>
      </c>
      <c r="W80" s="533">
        <f t="shared" si="36"/>
        <v>22</v>
      </c>
      <c r="X80" s="549">
        <f t="shared" si="37"/>
        <v>10964.986818181818</v>
      </c>
      <c r="Y80" s="549">
        <f t="shared" si="38"/>
        <v>2306067.39</v>
      </c>
      <c r="Z80" s="728">
        <f t="shared" si="39"/>
        <v>17878.915929323965</v>
      </c>
      <c r="AA80" s="553">
        <f t="shared" si="40"/>
        <v>20727.585626571152</v>
      </c>
      <c r="AB80" s="553">
        <f t="shared" si="41"/>
        <v>26775.397762856166</v>
      </c>
      <c r="AC80" s="553">
        <f t="shared" si="42"/>
        <v>45662.898236815665</v>
      </c>
      <c r="AD80" s="544"/>
      <c r="AN80" s="768" t="s">
        <v>149</v>
      </c>
      <c r="AR80" s="765">
        <v>3</v>
      </c>
      <c r="AS80" s="765" t="s">
        <v>108</v>
      </c>
      <c r="AT80" s="765">
        <v>22</v>
      </c>
      <c r="AU80" s="766">
        <f t="shared" si="43"/>
        <v>0</v>
      </c>
    </row>
    <row r="81" spans="1:47" ht="14.25" customHeight="1">
      <c r="A81" s="547" t="s">
        <v>212</v>
      </c>
      <c r="B81" s="549">
        <f t="shared" si="23"/>
        <v>105880.04545454546</v>
      </c>
      <c r="C81" s="533" t="s">
        <v>93</v>
      </c>
      <c r="D81" s="533" t="s">
        <v>216</v>
      </c>
      <c r="E81" s="533">
        <v>22</v>
      </c>
      <c r="F81" s="545" t="s">
        <v>95</v>
      </c>
      <c r="G81" s="724">
        <v>2000000</v>
      </c>
      <c r="H81" s="725">
        <f t="shared" si="24"/>
        <v>110000</v>
      </c>
      <c r="I81" s="724">
        <f t="shared" si="25"/>
        <v>13200</v>
      </c>
      <c r="J81" s="731">
        <f t="shared" si="26"/>
        <v>63700</v>
      </c>
      <c r="K81" s="772">
        <v>75000</v>
      </c>
      <c r="L81" s="779">
        <f t="shared" si="27"/>
        <v>67461</v>
      </c>
      <c r="M81" s="733">
        <f t="shared" si="28"/>
        <v>2329361</v>
      </c>
      <c r="N81" s="758">
        <v>20000</v>
      </c>
      <c r="O81" s="758">
        <v>50000</v>
      </c>
      <c r="P81" s="548">
        <f t="shared" si="29"/>
        <v>174702.07499999998</v>
      </c>
      <c r="Q81" s="549">
        <f t="shared" si="30"/>
        <v>58234.025000000001</v>
      </c>
      <c r="R81" s="728">
        <f t="shared" si="31"/>
        <v>2562297.1</v>
      </c>
      <c r="S81" s="745">
        <f t="shared" si="32"/>
        <v>0.1</v>
      </c>
      <c r="T81" s="549">
        <f t="shared" si="33"/>
        <v>256229.71000000002</v>
      </c>
      <c r="U81" s="548">
        <f t="shared" si="34"/>
        <v>15000</v>
      </c>
      <c r="V81" s="549">
        <f t="shared" si="35"/>
        <v>241229.71000000002</v>
      </c>
      <c r="W81" s="533">
        <f t="shared" si="36"/>
        <v>22</v>
      </c>
      <c r="X81" s="549">
        <f t="shared" si="37"/>
        <v>10964.986818181818</v>
      </c>
      <c r="Y81" s="549">
        <f t="shared" si="38"/>
        <v>2306067.39</v>
      </c>
      <c r="Z81" s="728">
        <f t="shared" si="39"/>
        <v>17878.915929323965</v>
      </c>
      <c r="AA81" s="553">
        <f t="shared" si="40"/>
        <v>20727.585626571152</v>
      </c>
      <c r="AB81" s="553">
        <f t="shared" si="41"/>
        <v>26775.397762856166</v>
      </c>
      <c r="AC81" s="553">
        <f t="shared" si="42"/>
        <v>45662.898236815665</v>
      </c>
      <c r="AD81" s="544"/>
      <c r="AN81" s="768" t="s">
        <v>96</v>
      </c>
      <c r="AR81" s="765">
        <v>4</v>
      </c>
      <c r="AS81" s="765" t="s">
        <v>112</v>
      </c>
      <c r="AT81" s="765">
        <v>22</v>
      </c>
      <c r="AU81" s="766">
        <f t="shared" si="43"/>
        <v>0</v>
      </c>
    </row>
    <row r="82" spans="1:47" ht="14.25" customHeight="1">
      <c r="A82" s="547" t="s">
        <v>212</v>
      </c>
      <c r="B82" s="549">
        <f t="shared" si="23"/>
        <v>105880.04545454546</v>
      </c>
      <c r="C82" s="533" t="s">
        <v>93</v>
      </c>
      <c r="D82" s="533" t="s">
        <v>217</v>
      </c>
      <c r="E82" s="533">
        <v>22</v>
      </c>
      <c r="F82" s="545" t="s">
        <v>95</v>
      </c>
      <c r="G82" s="724">
        <v>2000000</v>
      </c>
      <c r="H82" s="725">
        <f t="shared" si="24"/>
        <v>110000</v>
      </c>
      <c r="I82" s="724">
        <f t="shared" si="25"/>
        <v>13200</v>
      </c>
      <c r="J82" s="731">
        <f t="shared" si="26"/>
        <v>63700</v>
      </c>
      <c r="K82" s="772">
        <v>75000</v>
      </c>
      <c r="L82" s="779">
        <f t="shared" si="27"/>
        <v>67461</v>
      </c>
      <c r="M82" s="733">
        <f t="shared" si="28"/>
        <v>2329361</v>
      </c>
      <c r="N82" s="758">
        <v>20000</v>
      </c>
      <c r="O82" s="758">
        <v>50000</v>
      </c>
      <c r="P82" s="548">
        <f t="shared" si="29"/>
        <v>174702.07499999998</v>
      </c>
      <c r="Q82" s="549">
        <f t="shared" si="30"/>
        <v>58234.025000000001</v>
      </c>
      <c r="R82" s="728">
        <f t="shared" si="31"/>
        <v>2562297.1</v>
      </c>
      <c r="S82" s="745">
        <f t="shared" si="32"/>
        <v>0.1</v>
      </c>
      <c r="T82" s="549">
        <f t="shared" si="33"/>
        <v>256229.71000000002</v>
      </c>
      <c r="U82" s="548">
        <f t="shared" si="34"/>
        <v>15000</v>
      </c>
      <c r="V82" s="549">
        <f t="shared" si="35"/>
        <v>241229.71000000002</v>
      </c>
      <c r="W82" s="533">
        <f t="shared" si="36"/>
        <v>22</v>
      </c>
      <c r="X82" s="549">
        <f t="shared" si="37"/>
        <v>10964.986818181818</v>
      </c>
      <c r="Y82" s="549">
        <f t="shared" si="38"/>
        <v>2306067.39</v>
      </c>
      <c r="Z82" s="728">
        <f t="shared" si="39"/>
        <v>17878.915929323965</v>
      </c>
      <c r="AA82" s="553">
        <f t="shared" si="40"/>
        <v>20727.585626571152</v>
      </c>
      <c r="AB82" s="553">
        <f t="shared" si="41"/>
        <v>26775.397762856166</v>
      </c>
      <c r="AC82" s="553">
        <f t="shared" si="42"/>
        <v>45662.898236815665</v>
      </c>
      <c r="AD82" s="544"/>
      <c r="AN82" s="768" t="s">
        <v>149</v>
      </c>
      <c r="AR82" s="765">
        <v>5</v>
      </c>
      <c r="AS82" s="765" t="s">
        <v>116</v>
      </c>
      <c r="AT82" s="765">
        <v>22</v>
      </c>
      <c r="AU82" s="766">
        <f t="shared" si="43"/>
        <v>0</v>
      </c>
    </row>
    <row r="83" spans="1:47" ht="14.25" customHeight="1">
      <c r="A83" s="547" t="s">
        <v>212</v>
      </c>
      <c r="B83" s="549">
        <f t="shared" si="23"/>
        <v>105880.04545454546</v>
      </c>
      <c r="C83" s="533" t="s">
        <v>93</v>
      </c>
      <c r="D83" s="533" t="s">
        <v>218</v>
      </c>
      <c r="E83" s="533">
        <v>22</v>
      </c>
      <c r="F83" s="545" t="s">
        <v>95</v>
      </c>
      <c r="G83" s="724">
        <v>2000000</v>
      </c>
      <c r="H83" s="725">
        <f t="shared" si="24"/>
        <v>110000</v>
      </c>
      <c r="I83" s="724">
        <f t="shared" si="25"/>
        <v>13200</v>
      </c>
      <c r="J83" s="731">
        <f t="shared" si="26"/>
        <v>63700</v>
      </c>
      <c r="K83" s="772">
        <v>75000</v>
      </c>
      <c r="L83" s="779">
        <f t="shared" si="27"/>
        <v>67461</v>
      </c>
      <c r="M83" s="733">
        <f t="shared" si="28"/>
        <v>2329361</v>
      </c>
      <c r="N83" s="758">
        <v>20000</v>
      </c>
      <c r="O83" s="758">
        <v>50000</v>
      </c>
      <c r="P83" s="548">
        <f t="shared" si="29"/>
        <v>174702.07499999998</v>
      </c>
      <c r="Q83" s="549">
        <f t="shared" si="30"/>
        <v>58234.025000000001</v>
      </c>
      <c r="R83" s="728">
        <f t="shared" si="31"/>
        <v>2562297.1</v>
      </c>
      <c r="S83" s="745">
        <f t="shared" si="32"/>
        <v>0.1</v>
      </c>
      <c r="T83" s="549">
        <f t="shared" si="33"/>
        <v>256229.71000000002</v>
      </c>
      <c r="U83" s="548">
        <f t="shared" si="34"/>
        <v>15000</v>
      </c>
      <c r="V83" s="549">
        <f t="shared" si="35"/>
        <v>241229.71000000002</v>
      </c>
      <c r="W83" s="533">
        <f t="shared" si="36"/>
        <v>22</v>
      </c>
      <c r="X83" s="549">
        <f t="shared" si="37"/>
        <v>10964.986818181818</v>
      </c>
      <c r="Y83" s="549">
        <f t="shared" si="38"/>
        <v>2306067.39</v>
      </c>
      <c r="Z83" s="728">
        <f t="shared" si="39"/>
        <v>17878.915929323965</v>
      </c>
      <c r="AA83" s="553">
        <f t="shared" si="40"/>
        <v>20727.585626571152</v>
      </c>
      <c r="AB83" s="553">
        <f t="shared" si="41"/>
        <v>26775.397762856166</v>
      </c>
      <c r="AC83" s="553">
        <f t="shared" si="42"/>
        <v>45662.898236815665</v>
      </c>
      <c r="AD83" s="544"/>
      <c r="AN83" s="768" t="s">
        <v>149</v>
      </c>
      <c r="AR83" s="765">
        <v>6</v>
      </c>
      <c r="AS83" s="765" t="s">
        <v>119</v>
      </c>
      <c r="AT83" s="765">
        <v>22</v>
      </c>
      <c r="AU83" s="766">
        <f t="shared" si="43"/>
        <v>0</v>
      </c>
    </row>
    <row r="84" spans="1:47" ht="14.25" customHeight="1">
      <c r="A84" s="547" t="s">
        <v>212</v>
      </c>
      <c r="B84" s="549">
        <f t="shared" si="23"/>
        <v>105880.04545454546</v>
      </c>
      <c r="C84" s="533" t="s">
        <v>117</v>
      </c>
      <c r="D84" s="533" t="s">
        <v>219</v>
      </c>
      <c r="E84" s="533">
        <v>22</v>
      </c>
      <c r="F84" s="545" t="s">
        <v>95</v>
      </c>
      <c r="G84" s="724">
        <v>2000000</v>
      </c>
      <c r="H84" s="725">
        <f t="shared" si="24"/>
        <v>110000</v>
      </c>
      <c r="I84" s="724">
        <f t="shared" si="25"/>
        <v>13200</v>
      </c>
      <c r="J84" s="731">
        <f t="shared" si="26"/>
        <v>63700</v>
      </c>
      <c r="K84" s="772">
        <v>75000</v>
      </c>
      <c r="L84" s="779">
        <f t="shared" si="27"/>
        <v>67461</v>
      </c>
      <c r="M84" s="733">
        <f t="shared" si="28"/>
        <v>2329361</v>
      </c>
      <c r="N84" s="758">
        <v>20000</v>
      </c>
      <c r="O84" s="758">
        <v>50000</v>
      </c>
      <c r="P84" s="548">
        <f t="shared" si="29"/>
        <v>174702.07499999998</v>
      </c>
      <c r="Q84" s="549">
        <f t="shared" si="30"/>
        <v>58234.025000000001</v>
      </c>
      <c r="R84" s="728">
        <f t="shared" si="31"/>
        <v>2562297.1</v>
      </c>
      <c r="S84" s="745">
        <f t="shared" si="32"/>
        <v>0.1</v>
      </c>
      <c r="T84" s="549">
        <f t="shared" si="33"/>
        <v>256229.71000000002</v>
      </c>
      <c r="U84" s="548">
        <f t="shared" si="34"/>
        <v>15000</v>
      </c>
      <c r="V84" s="549">
        <f t="shared" si="35"/>
        <v>241229.71000000002</v>
      </c>
      <c r="W84" s="533">
        <f t="shared" si="36"/>
        <v>22</v>
      </c>
      <c r="X84" s="549">
        <f t="shared" si="37"/>
        <v>10964.986818181818</v>
      </c>
      <c r="Y84" s="549">
        <f t="shared" si="38"/>
        <v>2306067.39</v>
      </c>
      <c r="Z84" s="728">
        <f t="shared" si="39"/>
        <v>17878.915929323965</v>
      </c>
      <c r="AA84" s="553">
        <f t="shared" si="40"/>
        <v>20727.585626571152</v>
      </c>
      <c r="AB84" s="553">
        <f t="shared" si="41"/>
        <v>26775.397762856166</v>
      </c>
      <c r="AC84" s="553">
        <f t="shared" si="42"/>
        <v>45662.898236815665</v>
      </c>
      <c r="AD84" s="544"/>
      <c r="AN84" s="768" t="s">
        <v>149</v>
      </c>
      <c r="AR84" s="765">
        <v>7</v>
      </c>
      <c r="AS84" s="765" t="s">
        <v>121</v>
      </c>
      <c r="AT84" s="765">
        <v>22</v>
      </c>
      <c r="AU84" s="766">
        <f t="shared" si="43"/>
        <v>0</v>
      </c>
    </row>
    <row r="85" spans="1:47" ht="14.25" customHeight="1">
      <c r="A85" s="547" t="s">
        <v>212</v>
      </c>
      <c r="B85" s="549">
        <f t="shared" si="23"/>
        <v>104356.13249776186</v>
      </c>
      <c r="C85" s="533" t="s">
        <v>117</v>
      </c>
      <c r="D85" s="533" t="s">
        <v>220</v>
      </c>
      <c r="E85" s="533">
        <v>22.34</v>
      </c>
      <c r="F85" s="545" t="s">
        <v>95</v>
      </c>
      <c r="G85" s="724">
        <v>2000000</v>
      </c>
      <c r="H85" s="725">
        <f t="shared" si="24"/>
        <v>111700</v>
      </c>
      <c r="I85" s="724">
        <f t="shared" si="25"/>
        <v>13404</v>
      </c>
      <c r="J85" s="731">
        <f t="shared" si="26"/>
        <v>63700</v>
      </c>
      <c r="K85" s="772">
        <v>75000</v>
      </c>
      <c r="L85" s="779">
        <f t="shared" si="27"/>
        <v>67512</v>
      </c>
      <c r="M85" s="733">
        <f t="shared" si="28"/>
        <v>2331316</v>
      </c>
      <c r="N85" s="758">
        <v>20000</v>
      </c>
      <c r="O85" s="758">
        <v>50000</v>
      </c>
      <c r="P85" s="548">
        <f t="shared" si="29"/>
        <v>174848.69999999998</v>
      </c>
      <c r="Q85" s="549">
        <f t="shared" si="30"/>
        <v>58282.9</v>
      </c>
      <c r="R85" s="728">
        <f t="shared" si="31"/>
        <v>2564447.6</v>
      </c>
      <c r="S85" s="745">
        <f t="shared" si="32"/>
        <v>0.1</v>
      </c>
      <c r="T85" s="549">
        <f t="shared" si="33"/>
        <v>256444.76</v>
      </c>
      <c r="U85" s="548">
        <f t="shared" si="34"/>
        <v>15000</v>
      </c>
      <c r="V85" s="549">
        <f t="shared" si="35"/>
        <v>241444.76</v>
      </c>
      <c r="W85" s="533">
        <f t="shared" si="36"/>
        <v>22</v>
      </c>
      <c r="X85" s="549">
        <f t="shared" si="37"/>
        <v>10974.761818181818</v>
      </c>
      <c r="Y85" s="549">
        <f t="shared" si="38"/>
        <v>2308002.84</v>
      </c>
      <c r="Z85" s="728">
        <f t="shared" si="39"/>
        <v>17893.921452573395</v>
      </c>
      <c r="AA85" s="553">
        <f t="shared" si="40"/>
        <v>20744.981998322866</v>
      </c>
      <c r="AB85" s="553">
        <f t="shared" si="41"/>
        <v>26797.86997846653</v>
      </c>
      <c r="AC85" s="553">
        <f t="shared" si="42"/>
        <v>45701.222466530577</v>
      </c>
      <c r="AD85" s="544"/>
      <c r="AN85" s="768" t="s">
        <v>149</v>
      </c>
      <c r="AR85" s="765">
        <v>8</v>
      </c>
      <c r="AS85" s="765" t="s">
        <v>123</v>
      </c>
      <c r="AT85" s="765">
        <v>22.34</v>
      </c>
      <c r="AU85" s="766">
        <f t="shared" si="43"/>
        <v>0</v>
      </c>
    </row>
    <row r="86" spans="1:47" ht="14.25" customHeight="1">
      <c r="A86" s="547" t="s">
        <v>212</v>
      </c>
      <c r="B86" s="549">
        <f t="shared" si="23"/>
        <v>105880.04545454546</v>
      </c>
      <c r="C86" s="533" t="s">
        <v>93</v>
      </c>
      <c r="D86" s="533" t="s">
        <v>221</v>
      </c>
      <c r="E86" s="533">
        <v>22</v>
      </c>
      <c r="F86" s="545" t="s">
        <v>95</v>
      </c>
      <c r="G86" s="724">
        <v>2000000</v>
      </c>
      <c r="H86" s="725">
        <f t="shared" si="24"/>
        <v>110000</v>
      </c>
      <c r="I86" s="724">
        <f t="shared" si="25"/>
        <v>13200</v>
      </c>
      <c r="J86" s="731">
        <f t="shared" si="26"/>
        <v>63700</v>
      </c>
      <c r="K86" s="772">
        <v>75000</v>
      </c>
      <c r="L86" s="779">
        <f t="shared" si="27"/>
        <v>67461</v>
      </c>
      <c r="M86" s="733">
        <f t="shared" si="28"/>
        <v>2329361</v>
      </c>
      <c r="N86" s="758">
        <v>20000</v>
      </c>
      <c r="O86" s="758">
        <v>50000</v>
      </c>
      <c r="P86" s="548">
        <f t="shared" si="29"/>
        <v>174702.07499999998</v>
      </c>
      <c r="Q86" s="549">
        <f t="shared" si="30"/>
        <v>58234.025000000001</v>
      </c>
      <c r="R86" s="728">
        <f t="shared" si="31"/>
        <v>2562297.1</v>
      </c>
      <c r="S86" s="745">
        <f t="shared" si="32"/>
        <v>0.1</v>
      </c>
      <c r="T86" s="549">
        <f t="shared" si="33"/>
        <v>256229.71000000002</v>
      </c>
      <c r="U86" s="548">
        <f t="shared" si="34"/>
        <v>15000</v>
      </c>
      <c r="V86" s="549">
        <f t="shared" si="35"/>
        <v>241229.71000000002</v>
      </c>
      <c r="W86" s="533">
        <f t="shared" si="36"/>
        <v>22</v>
      </c>
      <c r="X86" s="549">
        <f t="shared" si="37"/>
        <v>10964.986818181818</v>
      </c>
      <c r="Y86" s="549">
        <f t="shared" si="38"/>
        <v>2306067.39</v>
      </c>
      <c r="Z86" s="728">
        <f t="shared" si="39"/>
        <v>17878.915929323965</v>
      </c>
      <c r="AA86" s="553">
        <f t="shared" si="40"/>
        <v>20727.585626571152</v>
      </c>
      <c r="AB86" s="553">
        <f t="shared" si="41"/>
        <v>26775.397762856166</v>
      </c>
      <c r="AC86" s="553">
        <f t="shared" si="42"/>
        <v>45662.898236815665</v>
      </c>
      <c r="AD86" s="544"/>
      <c r="AN86" s="768" t="s">
        <v>149</v>
      </c>
      <c r="AR86" s="765">
        <v>9</v>
      </c>
      <c r="AS86" s="765" t="s">
        <v>125</v>
      </c>
      <c r="AT86" s="765">
        <v>22</v>
      </c>
      <c r="AU86" s="766">
        <f t="shared" si="43"/>
        <v>0</v>
      </c>
    </row>
    <row r="87" spans="1:47" ht="14.25" customHeight="1">
      <c r="A87" s="547" t="s">
        <v>212</v>
      </c>
      <c r="B87" s="549">
        <f t="shared" si="23"/>
        <v>105880.04545454546</v>
      </c>
      <c r="C87" s="533" t="s">
        <v>93</v>
      </c>
      <c r="D87" s="533" t="s">
        <v>222</v>
      </c>
      <c r="E87" s="533">
        <v>22</v>
      </c>
      <c r="F87" s="545" t="s">
        <v>95</v>
      </c>
      <c r="G87" s="724">
        <v>2000000</v>
      </c>
      <c r="H87" s="725">
        <f t="shared" si="24"/>
        <v>110000</v>
      </c>
      <c r="I87" s="724">
        <f t="shared" si="25"/>
        <v>13200</v>
      </c>
      <c r="J87" s="731">
        <f t="shared" si="26"/>
        <v>63700</v>
      </c>
      <c r="K87" s="772">
        <v>75000</v>
      </c>
      <c r="L87" s="779">
        <f t="shared" si="27"/>
        <v>67461</v>
      </c>
      <c r="M87" s="733">
        <f t="shared" si="28"/>
        <v>2329361</v>
      </c>
      <c r="N87" s="758">
        <v>20000</v>
      </c>
      <c r="O87" s="758">
        <v>50000</v>
      </c>
      <c r="P87" s="548">
        <f t="shared" si="29"/>
        <v>174702.07499999998</v>
      </c>
      <c r="Q87" s="549">
        <f t="shared" si="30"/>
        <v>58234.025000000001</v>
      </c>
      <c r="R87" s="728">
        <f t="shared" si="31"/>
        <v>2562297.1</v>
      </c>
      <c r="S87" s="745">
        <f t="shared" si="32"/>
        <v>0.1</v>
      </c>
      <c r="T87" s="549">
        <f t="shared" si="33"/>
        <v>256229.71000000002</v>
      </c>
      <c r="U87" s="548">
        <f t="shared" si="34"/>
        <v>15000</v>
      </c>
      <c r="V87" s="549">
        <f t="shared" si="35"/>
        <v>241229.71000000002</v>
      </c>
      <c r="W87" s="533">
        <f t="shared" si="36"/>
        <v>22</v>
      </c>
      <c r="X87" s="549">
        <f t="shared" si="37"/>
        <v>10964.986818181818</v>
      </c>
      <c r="Y87" s="549">
        <f t="shared" si="38"/>
        <v>2306067.39</v>
      </c>
      <c r="Z87" s="728">
        <f t="shared" si="39"/>
        <v>17878.915929323965</v>
      </c>
      <c r="AA87" s="553">
        <f t="shared" si="40"/>
        <v>20727.585626571152</v>
      </c>
      <c r="AB87" s="553">
        <f t="shared" si="41"/>
        <v>26775.397762856166</v>
      </c>
      <c r="AC87" s="553">
        <f t="shared" si="42"/>
        <v>45662.898236815665</v>
      </c>
      <c r="AD87" s="544"/>
      <c r="AN87" s="768" t="s">
        <v>149</v>
      </c>
      <c r="AR87" s="765">
        <v>10</v>
      </c>
      <c r="AS87" s="765" t="s">
        <v>127</v>
      </c>
      <c r="AT87" s="765">
        <v>22</v>
      </c>
      <c r="AU87" s="766">
        <f t="shared" si="43"/>
        <v>0</v>
      </c>
    </row>
    <row r="88" spans="1:47" ht="14.25" customHeight="1">
      <c r="A88" s="547" t="s">
        <v>212</v>
      </c>
      <c r="B88" s="549">
        <f t="shared" si="23"/>
        <v>105880.04545454546</v>
      </c>
      <c r="C88" s="533" t="s">
        <v>93</v>
      </c>
      <c r="D88" s="533" t="s">
        <v>223</v>
      </c>
      <c r="E88" s="533">
        <v>22</v>
      </c>
      <c r="F88" s="545" t="s">
        <v>95</v>
      </c>
      <c r="G88" s="724">
        <v>2000000</v>
      </c>
      <c r="H88" s="725">
        <f t="shared" si="24"/>
        <v>110000</v>
      </c>
      <c r="I88" s="724">
        <f t="shared" si="25"/>
        <v>13200</v>
      </c>
      <c r="J88" s="731">
        <f t="shared" si="26"/>
        <v>63700</v>
      </c>
      <c r="K88" s="772">
        <v>75000</v>
      </c>
      <c r="L88" s="779">
        <f t="shared" si="27"/>
        <v>67461</v>
      </c>
      <c r="M88" s="733">
        <f t="shared" si="28"/>
        <v>2329361</v>
      </c>
      <c r="N88" s="758">
        <v>20000</v>
      </c>
      <c r="O88" s="758">
        <v>50000</v>
      </c>
      <c r="P88" s="548">
        <f t="shared" si="29"/>
        <v>174702.07499999998</v>
      </c>
      <c r="Q88" s="549">
        <f t="shared" si="30"/>
        <v>58234.025000000001</v>
      </c>
      <c r="R88" s="728">
        <f t="shared" si="31"/>
        <v>2562297.1</v>
      </c>
      <c r="S88" s="745">
        <f t="shared" si="32"/>
        <v>0.1</v>
      </c>
      <c r="T88" s="549">
        <f t="shared" si="33"/>
        <v>256229.71000000002</v>
      </c>
      <c r="U88" s="548">
        <f t="shared" si="34"/>
        <v>15000</v>
      </c>
      <c r="V88" s="549">
        <f t="shared" si="35"/>
        <v>241229.71000000002</v>
      </c>
      <c r="W88" s="533">
        <f t="shared" si="36"/>
        <v>22</v>
      </c>
      <c r="X88" s="549">
        <f t="shared" si="37"/>
        <v>10964.986818181818</v>
      </c>
      <c r="Y88" s="549">
        <f t="shared" si="38"/>
        <v>2306067.39</v>
      </c>
      <c r="Z88" s="728">
        <f t="shared" si="39"/>
        <v>17878.915929323965</v>
      </c>
      <c r="AA88" s="553">
        <f t="shared" si="40"/>
        <v>20727.585626571152</v>
      </c>
      <c r="AB88" s="553">
        <f t="shared" si="41"/>
        <v>26775.397762856166</v>
      </c>
      <c r="AC88" s="553">
        <f t="shared" si="42"/>
        <v>45662.898236815665</v>
      </c>
      <c r="AD88" s="544"/>
      <c r="AN88" s="768" t="s">
        <v>149</v>
      </c>
      <c r="AR88" s="765">
        <v>11</v>
      </c>
      <c r="AS88" s="765" t="s">
        <v>129</v>
      </c>
      <c r="AT88" s="765">
        <v>22</v>
      </c>
      <c r="AU88" s="766">
        <f t="shared" si="43"/>
        <v>0</v>
      </c>
    </row>
    <row r="89" spans="1:47" ht="14.25" customHeight="1">
      <c r="A89" s="547" t="s">
        <v>212</v>
      </c>
      <c r="B89" s="549">
        <f t="shared" si="23"/>
        <v>105880.04545454546</v>
      </c>
      <c r="C89" s="533" t="s">
        <v>93</v>
      </c>
      <c r="D89" s="533" t="s">
        <v>224</v>
      </c>
      <c r="E89" s="533">
        <v>22</v>
      </c>
      <c r="F89" s="545" t="s">
        <v>95</v>
      </c>
      <c r="G89" s="724">
        <v>2000000</v>
      </c>
      <c r="H89" s="725">
        <f t="shared" si="24"/>
        <v>110000</v>
      </c>
      <c r="I89" s="724">
        <f t="shared" si="25"/>
        <v>13200</v>
      </c>
      <c r="J89" s="731">
        <f t="shared" si="26"/>
        <v>63700</v>
      </c>
      <c r="K89" s="772">
        <v>75000</v>
      </c>
      <c r="L89" s="779">
        <f t="shared" si="27"/>
        <v>67461</v>
      </c>
      <c r="M89" s="733">
        <f t="shared" si="28"/>
        <v>2329361</v>
      </c>
      <c r="N89" s="758">
        <v>20000</v>
      </c>
      <c r="O89" s="758">
        <v>50000</v>
      </c>
      <c r="P89" s="548">
        <f t="shared" si="29"/>
        <v>174702.07499999998</v>
      </c>
      <c r="Q89" s="549">
        <f t="shared" si="30"/>
        <v>58234.025000000001</v>
      </c>
      <c r="R89" s="728">
        <f t="shared" si="31"/>
        <v>2562297.1</v>
      </c>
      <c r="S89" s="745">
        <f t="shared" si="32"/>
        <v>0.1</v>
      </c>
      <c r="T89" s="549">
        <f t="shared" si="33"/>
        <v>256229.71000000002</v>
      </c>
      <c r="U89" s="548">
        <f t="shared" si="34"/>
        <v>15000</v>
      </c>
      <c r="V89" s="549">
        <f t="shared" si="35"/>
        <v>241229.71000000002</v>
      </c>
      <c r="W89" s="533">
        <f t="shared" si="36"/>
        <v>22</v>
      </c>
      <c r="X89" s="549">
        <f t="shared" si="37"/>
        <v>10964.986818181818</v>
      </c>
      <c r="Y89" s="549">
        <f t="shared" si="38"/>
        <v>2306067.39</v>
      </c>
      <c r="Z89" s="728">
        <f t="shared" si="39"/>
        <v>17878.915929323965</v>
      </c>
      <c r="AA89" s="553">
        <f t="shared" si="40"/>
        <v>20727.585626571152</v>
      </c>
      <c r="AB89" s="553">
        <f t="shared" si="41"/>
        <v>26775.397762856166</v>
      </c>
      <c r="AC89" s="553">
        <f t="shared" si="42"/>
        <v>45662.898236815665</v>
      </c>
      <c r="AD89" s="544"/>
      <c r="AN89" s="768" t="s">
        <v>149</v>
      </c>
      <c r="AR89" s="765">
        <v>12</v>
      </c>
      <c r="AS89" s="765" t="s">
        <v>131</v>
      </c>
      <c r="AT89" s="765">
        <v>22</v>
      </c>
      <c r="AU89" s="766">
        <f t="shared" si="43"/>
        <v>0</v>
      </c>
    </row>
    <row r="90" spans="1:47" ht="14.25" customHeight="1">
      <c r="A90" s="547" t="s">
        <v>212</v>
      </c>
      <c r="B90" s="549">
        <f t="shared" si="23"/>
        <v>105880.04545454546</v>
      </c>
      <c r="C90" s="533" t="s">
        <v>93</v>
      </c>
      <c r="D90" s="533" t="s">
        <v>225</v>
      </c>
      <c r="E90" s="533">
        <v>22</v>
      </c>
      <c r="F90" s="545" t="s">
        <v>95</v>
      </c>
      <c r="G90" s="724">
        <v>2000000</v>
      </c>
      <c r="H90" s="725">
        <f t="shared" si="24"/>
        <v>110000</v>
      </c>
      <c r="I90" s="724">
        <f t="shared" si="25"/>
        <v>13200</v>
      </c>
      <c r="J90" s="731">
        <f t="shared" si="26"/>
        <v>63700</v>
      </c>
      <c r="K90" s="772">
        <v>75000</v>
      </c>
      <c r="L90" s="779">
        <f t="shared" si="27"/>
        <v>67461</v>
      </c>
      <c r="M90" s="733">
        <f t="shared" si="28"/>
        <v>2329361</v>
      </c>
      <c r="N90" s="758">
        <v>20000</v>
      </c>
      <c r="O90" s="758">
        <v>50000</v>
      </c>
      <c r="P90" s="548">
        <f t="shared" si="29"/>
        <v>174702.07499999998</v>
      </c>
      <c r="Q90" s="549">
        <f t="shared" si="30"/>
        <v>58234.025000000001</v>
      </c>
      <c r="R90" s="728">
        <f t="shared" si="31"/>
        <v>2562297.1</v>
      </c>
      <c r="S90" s="745">
        <f t="shared" si="32"/>
        <v>0.1</v>
      </c>
      <c r="T90" s="549">
        <f t="shared" si="33"/>
        <v>256229.71000000002</v>
      </c>
      <c r="U90" s="548">
        <f t="shared" si="34"/>
        <v>15000</v>
      </c>
      <c r="V90" s="549">
        <f t="shared" si="35"/>
        <v>241229.71000000002</v>
      </c>
      <c r="W90" s="533">
        <f t="shared" si="36"/>
        <v>22</v>
      </c>
      <c r="X90" s="549">
        <f t="shared" si="37"/>
        <v>10964.986818181818</v>
      </c>
      <c r="Y90" s="549">
        <f t="shared" si="38"/>
        <v>2306067.39</v>
      </c>
      <c r="Z90" s="728">
        <f t="shared" si="39"/>
        <v>17878.915929323965</v>
      </c>
      <c r="AA90" s="553">
        <f t="shared" si="40"/>
        <v>20727.585626571152</v>
      </c>
      <c r="AB90" s="553">
        <f t="shared" si="41"/>
        <v>26775.397762856166</v>
      </c>
      <c r="AC90" s="553">
        <f t="shared" si="42"/>
        <v>45662.898236815665</v>
      </c>
      <c r="AD90" s="544"/>
      <c r="AN90" s="768" t="s">
        <v>149</v>
      </c>
      <c r="AR90" s="765">
        <v>13</v>
      </c>
      <c r="AS90" s="765" t="s">
        <v>133</v>
      </c>
      <c r="AT90" s="765">
        <v>22</v>
      </c>
      <c r="AU90" s="766">
        <f t="shared" si="43"/>
        <v>0</v>
      </c>
    </row>
    <row r="91" spans="1:47" ht="14.25" customHeight="1">
      <c r="A91" s="547" t="s">
        <v>212</v>
      </c>
      <c r="B91" s="549">
        <f t="shared" si="23"/>
        <v>105880.04545454546</v>
      </c>
      <c r="C91" s="533" t="s">
        <v>93</v>
      </c>
      <c r="D91" s="533" t="s">
        <v>226</v>
      </c>
      <c r="E91" s="533">
        <v>22</v>
      </c>
      <c r="F91" s="545" t="s">
        <v>95</v>
      </c>
      <c r="G91" s="724">
        <v>2000000</v>
      </c>
      <c r="H91" s="725">
        <f t="shared" si="24"/>
        <v>110000</v>
      </c>
      <c r="I91" s="724">
        <f t="shared" si="25"/>
        <v>13200</v>
      </c>
      <c r="J91" s="731">
        <f t="shared" si="26"/>
        <v>63700</v>
      </c>
      <c r="K91" s="772">
        <v>75000</v>
      </c>
      <c r="L91" s="779">
        <f t="shared" si="27"/>
        <v>67461</v>
      </c>
      <c r="M91" s="733">
        <f t="shared" si="28"/>
        <v>2329361</v>
      </c>
      <c r="N91" s="758">
        <v>20000</v>
      </c>
      <c r="O91" s="758">
        <v>50000</v>
      </c>
      <c r="P91" s="548">
        <f t="shared" si="29"/>
        <v>174702.07499999998</v>
      </c>
      <c r="Q91" s="549">
        <f t="shared" si="30"/>
        <v>58234.025000000001</v>
      </c>
      <c r="R91" s="728">
        <f t="shared" si="31"/>
        <v>2562297.1</v>
      </c>
      <c r="S91" s="745">
        <f t="shared" si="32"/>
        <v>0.1</v>
      </c>
      <c r="T91" s="549">
        <f t="shared" si="33"/>
        <v>256229.71000000002</v>
      </c>
      <c r="U91" s="548">
        <f t="shared" si="34"/>
        <v>15000</v>
      </c>
      <c r="V91" s="549">
        <f t="shared" si="35"/>
        <v>241229.71000000002</v>
      </c>
      <c r="W91" s="533">
        <f t="shared" si="36"/>
        <v>22</v>
      </c>
      <c r="X91" s="549">
        <f t="shared" si="37"/>
        <v>10964.986818181818</v>
      </c>
      <c r="Y91" s="549">
        <f t="shared" si="38"/>
        <v>2306067.39</v>
      </c>
      <c r="Z91" s="728">
        <f t="shared" si="39"/>
        <v>17878.915929323965</v>
      </c>
      <c r="AA91" s="553">
        <f t="shared" si="40"/>
        <v>20727.585626571152</v>
      </c>
      <c r="AB91" s="553">
        <f t="shared" si="41"/>
        <v>26775.397762856166</v>
      </c>
      <c r="AC91" s="553">
        <f t="shared" si="42"/>
        <v>45662.898236815665</v>
      </c>
      <c r="AD91" s="544"/>
      <c r="AN91" s="768" t="s">
        <v>149</v>
      </c>
      <c r="AR91" s="765">
        <v>14</v>
      </c>
      <c r="AS91" s="765" t="s">
        <v>135</v>
      </c>
      <c r="AT91" s="765">
        <v>22</v>
      </c>
      <c r="AU91" s="766">
        <f t="shared" si="43"/>
        <v>0</v>
      </c>
    </row>
    <row r="92" spans="1:47" ht="14.25" customHeight="1">
      <c r="A92" s="547" t="s">
        <v>212</v>
      </c>
      <c r="B92" s="549">
        <f t="shared" si="23"/>
        <v>105880.04545454546</v>
      </c>
      <c r="C92" s="533" t="s">
        <v>93</v>
      </c>
      <c r="D92" s="533" t="s">
        <v>227</v>
      </c>
      <c r="E92" s="533">
        <v>22</v>
      </c>
      <c r="F92" s="545" t="s">
        <v>95</v>
      </c>
      <c r="G92" s="724">
        <v>2000000</v>
      </c>
      <c r="H92" s="725">
        <f t="shared" si="24"/>
        <v>110000</v>
      </c>
      <c r="I92" s="724">
        <f t="shared" si="25"/>
        <v>13200</v>
      </c>
      <c r="J92" s="731">
        <f t="shared" si="26"/>
        <v>63700</v>
      </c>
      <c r="K92" s="772">
        <v>75000</v>
      </c>
      <c r="L92" s="779">
        <f t="shared" si="27"/>
        <v>67461</v>
      </c>
      <c r="M92" s="733">
        <f t="shared" si="28"/>
        <v>2329361</v>
      </c>
      <c r="N92" s="758">
        <v>20000</v>
      </c>
      <c r="O92" s="758">
        <v>50000</v>
      </c>
      <c r="P92" s="548">
        <f t="shared" si="29"/>
        <v>174702.07499999998</v>
      </c>
      <c r="Q92" s="549">
        <f t="shared" si="30"/>
        <v>58234.025000000001</v>
      </c>
      <c r="R92" s="728">
        <f t="shared" si="31"/>
        <v>2562297.1</v>
      </c>
      <c r="S92" s="745">
        <f t="shared" si="32"/>
        <v>0.1</v>
      </c>
      <c r="T92" s="549">
        <f t="shared" si="33"/>
        <v>256229.71000000002</v>
      </c>
      <c r="U92" s="548">
        <f t="shared" si="34"/>
        <v>15000</v>
      </c>
      <c r="V92" s="549">
        <f t="shared" si="35"/>
        <v>241229.71000000002</v>
      </c>
      <c r="W92" s="533">
        <f t="shared" si="36"/>
        <v>22</v>
      </c>
      <c r="X92" s="549">
        <f t="shared" si="37"/>
        <v>10964.986818181818</v>
      </c>
      <c r="Y92" s="549">
        <f t="shared" si="38"/>
        <v>2306067.39</v>
      </c>
      <c r="Z92" s="728">
        <f t="shared" si="39"/>
        <v>17878.915929323965</v>
      </c>
      <c r="AA92" s="553">
        <f t="shared" si="40"/>
        <v>20727.585626571152</v>
      </c>
      <c r="AB92" s="553">
        <f t="shared" si="41"/>
        <v>26775.397762856166</v>
      </c>
      <c r="AC92" s="553">
        <f t="shared" si="42"/>
        <v>45662.898236815665</v>
      </c>
      <c r="AD92" s="544"/>
      <c r="AN92" s="768" t="s">
        <v>149</v>
      </c>
      <c r="AR92" s="765">
        <v>15</v>
      </c>
      <c r="AS92" s="765" t="s">
        <v>138</v>
      </c>
      <c r="AT92" s="765">
        <v>22</v>
      </c>
      <c r="AU92" s="766">
        <f t="shared" si="43"/>
        <v>0</v>
      </c>
    </row>
    <row r="93" spans="1:47" ht="14.25" customHeight="1">
      <c r="A93" s="547" t="s">
        <v>212</v>
      </c>
      <c r="B93" s="549">
        <f t="shared" si="23"/>
        <v>105880.04545454546</v>
      </c>
      <c r="C93" s="533" t="s">
        <v>93</v>
      </c>
      <c r="D93" s="533" t="s">
        <v>228</v>
      </c>
      <c r="E93" s="533">
        <v>22</v>
      </c>
      <c r="F93" s="545" t="s">
        <v>95</v>
      </c>
      <c r="G93" s="724">
        <v>2000000</v>
      </c>
      <c r="H93" s="725">
        <f t="shared" si="24"/>
        <v>110000</v>
      </c>
      <c r="I93" s="724">
        <f t="shared" si="25"/>
        <v>13200</v>
      </c>
      <c r="J93" s="731">
        <f t="shared" si="26"/>
        <v>63700</v>
      </c>
      <c r="K93" s="772">
        <v>75000</v>
      </c>
      <c r="L93" s="779">
        <f t="shared" si="27"/>
        <v>67461</v>
      </c>
      <c r="M93" s="733">
        <f t="shared" si="28"/>
        <v>2329361</v>
      </c>
      <c r="N93" s="758">
        <v>20000</v>
      </c>
      <c r="O93" s="758">
        <v>50000</v>
      </c>
      <c r="P93" s="548">
        <f t="shared" si="29"/>
        <v>174702.07499999998</v>
      </c>
      <c r="Q93" s="549">
        <f t="shared" si="30"/>
        <v>58234.025000000001</v>
      </c>
      <c r="R93" s="728">
        <f t="shared" si="31"/>
        <v>2562297.1</v>
      </c>
      <c r="S93" s="745">
        <f t="shared" si="32"/>
        <v>0.1</v>
      </c>
      <c r="T93" s="549">
        <f t="shared" si="33"/>
        <v>256229.71000000002</v>
      </c>
      <c r="U93" s="548">
        <f t="shared" si="34"/>
        <v>15000</v>
      </c>
      <c r="V93" s="549">
        <f t="shared" si="35"/>
        <v>241229.71000000002</v>
      </c>
      <c r="W93" s="533">
        <f t="shared" si="36"/>
        <v>22</v>
      </c>
      <c r="X93" s="549">
        <f t="shared" si="37"/>
        <v>10964.986818181818</v>
      </c>
      <c r="Y93" s="549">
        <f t="shared" si="38"/>
        <v>2306067.39</v>
      </c>
      <c r="Z93" s="728">
        <f t="shared" si="39"/>
        <v>17878.915929323965</v>
      </c>
      <c r="AA93" s="553">
        <f t="shared" si="40"/>
        <v>20727.585626571152</v>
      </c>
      <c r="AB93" s="553">
        <f t="shared" si="41"/>
        <v>26775.397762856166</v>
      </c>
      <c r="AC93" s="553">
        <f t="shared" si="42"/>
        <v>45662.898236815665</v>
      </c>
      <c r="AD93" s="544"/>
      <c r="AN93" s="768" t="s">
        <v>149</v>
      </c>
      <c r="AR93" s="765">
        <v>16</v>
      </c>
      <c r="AS93" s="765" t="s">
        <v>142</v>
      </c>
      <c r="AT93" s="765">
        <v>22</v>
      </c>
      <c r="AU93" s="766">
        <f t="shared" si="43"/>
        <v>0</v>
      </c>
    </row>
    <row r="94" spans="1:47" ht="14.25" customHeight="1">
      <c r="A94" s="547" t="s">
        <v>212</v>
      </c>
      <c r="B94" s="549">
        <f t="shared" si="23"/>
        <v>105880.04545454546</v>
      </c>
      <c r="C94" s="533" t="s">
        <v>93</v>
      </c>
      <c r="D94" s="533" t="s">
        <v>229</v>
      </c>
      <c r="E94" s="533">
        <v>22</v>
      </c>
      <c r="F94" s="545" t="s">
        <v>95</v>
      </c>
      <c r="G94" s="724">
        <v>2000000</v>
      </c>
      <c r="H94" s="725">
        <f t="shared" si="24"/>
        <v>110000</v>
      </c>
      <c r="I94" s="724">
        <f t="shared" si="25"/>
        <v>13200</v>
      </c>
      <c r="J94" s="731">
        <f t="shared" si="26"/>
        <v>63700</v>
      </c>
      <c r="K94" s="772">
        <v>75000</v>
      </c>
      <c r="L94" s="779">
        <f t="shared" si="27"/>
        <v>67461</v>
      </c>
      <c r="M94" s="733">
        <f t="shared" si="28"/>
        <v>2329361</v>
      </c>
      <c r="N94" s="758">
        <v>20000</v>
      </c>
      <c r="O94" s="758">
        <v>50000</v>
      </c>
      <c r="P94" s="548">
        <f t="shared" si="29"/>
        <v>174702.07499999998</v>
      </c>
      <c r="Q94" s="549">
        <f t="shared" si="30"/>
        <v>58234.025000000001</v>
      </c>
      <c r="R94" s="728">
        <f t="shared" si="31"/>
        <v>2562297.1</v>
      </c>
      <c r="S94" s="745">
        <f t="shared" si="32"/>
        <v>0.1</v>
      </c>
      <c r="T94" s="549">
        <f t="shared" si="33"/>
        <v>256229.71000000002</v>
      </c>
      <c r="U94" s="548">
        <f t="shared" si="34"/>
        <v>15000</v>
      </c>
      <c r="V94" s="549">
        <f t="shared" si="35"/>
        <v>241229.71000000002</v>
      </c>
      <c r="W94" s="533">
        <f t="shared" si="36"/>
        <v>22</v>
      </c>
      <c r="X94" s="549">
        <f t="shared" si="37"/>
        <v>10964.986818181818</v>
      </c>
      <c r="Y94" s="549">
        <f t="shared" si="38"/>
        <v>2306067.39</v>
      </c>
      <c r="Z94" s="728">
        <f t="shared" si="39"/>
        <v>17878.915929323965</v>
      </c>
      <c r="AA94" s="553">
        <f t="shared" si="40"/>
        <v>20727.585626571152</v>
      </c>
      <c r="AB94" s="553">
        <f t="shared" si="41"/>
        <v>26775.397762856166</v>
      </c>
      <c r="AC94" s="553">
        <f t="shared" si="42"/>
        <v>45662.898236815665</v>
      </c>
      <c r="AD94" s="544"/>
      <c r="AN94" s="768" t="s">
        <v>149</v>
      </c>
      <c r="AR94" s="765">
        <v>17</v>
      </c>
      <c r="AS94" s="765" t="s">
        <v>144</v>
      </c>
      <c r="AT94" s="765">
        <v>22</v>
      </c>
      <c r="AU94" s="766">
        <f t="shared" si="43"/>
        <v>0</v>
      </c>
    </row>
    <row r="95" spans="1:47" ht="14.25" customHeight="1">
      <c r="A95" s="547" t="s">
        <v>212</v>
      </c>
      <c r="B95" s="549">
        <f t="shared" si="23"/>
        <v>104356.13249776186</v>
      </c>
      <c r="C95" s="533" t="s">
        <v>117</v>
      </c>
      <c r="D95" s="533" t="s">
        <v>230</v>
      </c>
      <c r="E95" s="533">
        <v>22.34</v>
      </c>
      <c r="F95" s="545" t="s">
        <v>95</v>
      </c>
      <c r="G95" s="724">
        <v>2000000</v>
      </c>
      <c r="H95" s="725">
        <f t="shared" si="24"/>
        <v>111700</v>
      </c>
      <c r="I95" s="724">
        <f t="shared" si="25"/>
        <v>13404</v>
      </c>
      <c r="J95" s="731">
        <f t="shared" si="26"/>
        <v>63700</v>
      </c>
      <c r="K95" s="772">
        <v>75000</v>
      </c>
      <c r="L95" s="779">
        <f t="shared" si="27"/>
        <v>67512</v>
      </c>
      <c r="M95" s="733">
        <f t="shared" si="28"/>
        <v>2331316</v>
      </c>
      <c r="N95" s="758">
        <v>20000</v>
      </c>
      <c r="O95" s="758">
        <v>50000</v>
      </c>
      <c r="P95" s="548">
        <f t="shared" si="29"/>
        <v>174848.69999999998</v>
      </c>
      <c r="Q95" s="549">
        <f t="shared" si="30"/>
        <v>58282.9</v>
      </c>
      <c r="R95" s="728">
        <f t="shared" si="31"/>
        <v>2564447.6</v>
      </c>
      <c r="S95" s="745">
        <f t="shared" si="32"/>
        <v>0.1</v>
      </c>
      <c r="T95" s="549">
        <f t="shared" si="33"/>
        <v>256444.76</v>
      </c>
      <c r="U95" s="548">
        <f t="shared" si="34"/>
        <v>15000</v>
      </c>
      <c r="V95" s="549">
        <f t="shared" si="35"/>
        <v>241444.76</v>
      </c>
      <c r="W95" s="533">
        <f t="shared" si="36"/>
        <v>22</v>
      </c>
      <c r="X95" s="549">
        <f t="shared" si="37"/>
        <v>10974.761818181818</v>
      </c>
      <c r="Y95" s="549">
        <f t="shared" si="38"/>
        <v>2308002.84</v>
      </c>
      <c r="Z95" s="728">
        <f t="shared" si="39"/>
        <v>17893.921452573395</v>
      </c>
      <c r="AA95" s="553">
        <f t="shared" si="40"/>
        <v>20744.981998322866</v>
      </c>
      <c r="AB95" s="553">
        <f t="shared" si="41"/>
        <v>26797.86997846653</v>
      </c>
      <c r="AC95" s="553">
        <f t="shared" si="42"/>
        <v>45701.222466530577</v>
      </c>
      <c r="AD95" s="544"/>
      <c r="AN95" s="768" t="s">
        <v>149</v>
      </c>
      <c r="AR95" s="765">
        <v>18</v>
      </c>
      <c r="AS95" s="765" t="s">
        <v>173</v>
      </c>
      <c r="AT95" s="765">
        <v>22.34</v>
      </c>
      <c r="AU95" s="766">
        <f t="shared" si="43"/>
        <v>0</v>
      </c>
    </row>
    <row r="96" spans="1:47" ht="14.25" customHeight="1">
      <c r="A96" s="547" t="s">
        <v>231</v>
      </c>
      <c r="B96" s="549">
        <f t="shared" si="23"/>
        <v>105880.04545454546</v>
      </c>
      <c r="C96" s="533" t="s">
        <v>93</v>
      </c>
      <c r="D96" s="533" t="s">
        <v>232</v>
      </c>
      <c r="E96" s="533">
        <v>22</v>
      </c>
      <c r="F96" s="545" t="s">
        <v>95</v>
      </c>
      <c r="G96" s="724">
        <v>2000000</v>
      </c>
      <c r="H96" s="725">
        <f t="shared" si="24"/>
        <v>110000</v>
      </c>
      <c r="I96" s="724">
        <f t="shared" si="25"/>
        <v>13200</v>
      </c>
      <c r="J96" s="731">
        <f t="shared" si="26"/>
        <v>63700</v>
      </c>
      <c r="K96" s="772">
        <v>75000</v>
      </c>
      <c r="L96" s="779">
        <f t="shared" si="27"/>
        <v>67461</v>
      </c>
      <c r="M96" s="733">
        <f t="shared" si="28"/>
        <v>2329361</v>
      </c>
      <c r="N96" s="758">
        <v>20000</v>
      </c>
      <c r="O96" s="758">
        <v>50000</v>
      </c>
      <c r="P96" s="548">
        <f t="shared" si="29"/>
        <v>174702.07499999998</v>
      </c>
      <c r="Q96" s="549">
        <f t="shared" si="30"/>
        <v>58234.025000000001</v>
      </c>
      <c r="R96" s="728">
        <f t="shared" si="31"/>
        <v>2562297.1</v>
      </c>
      <c r="S96" s="745">
        <f t="shared" si="32"/>
        <v>0.1</v>
      </c>
      <c r="T96" s="549">
        <f t="shared" si="33"/>
        <v>256229.71000000002</v>
      </c>
      <c r="U96" s="548">
        <f t="shared" si="34"/>
        <v>15000</v>
      </c>
      <c r="V96" s="549">
        <f t="shared" si="35"/>
        <v>241229.71000000002</v>
      </c>
      <c r="W96" s="533">
        <f t="shared" si="36"/>
        <v>22</v>
      </c>
      <c r="X96" s="549">
        <f t="shared" si="37"/>
        <v>10964.986818181818</v>
      </c>
      <c r="Y96" s="549">
        <f t="shared" si="38"/>
        <v>2306067.39</v>
      </c>
      <c r="Z96" s="728">
        <f t="shared" si="39"/>
        <v>17878.915929323965</v>
      </c>
      <c r="AA96" s="553">
        <f t="shared" si="40"/>
        <v>20727.585626571152</v>
      </c>
      <c r="AB96" s="553">
        <f t="shared" si="41"/>
        <v>26775.397762856166</v>
      </c>
      <c r="AC96" s="553">
        <f t="shared" si="42"/>
        <v>45662.898236815665</v>
      </c>
      <c r="AD96" s="544"/>
      <c r="AN96" s="768" t="s">
        <v>96</v>
      </c>
      <c r="AR96" s="765">
        <v>1</v>
      </c>
      <c r="AS96" s="765" t="s">
        <v>97</v>
      </c>
      <c r="AT96" s="765">
        <v>22</v>
      </c>
      <c r="AU96" s="766">
        <f t="shared" si="43"/>
        <v>0</v>
      </c>
    </row>
    <row r="97" spans="1:47" ht="14.25" customHeight="1">
      <c r="A97" s="547" t="s">
        <v>231</v>
      </c>
      <c r="B97" s="549">
        <f t="shared" si="23"/>
        <v>105880.04545454546</v>
      </c>
      <c r="C97" s="533" t="s">
        <v>93</v>
      </c>
      <c r="D97" s="533" t="s">
        <v>233</v>
      </c>
      <c r="E97" s="533">
        <v>22</v>
      </c>
      <c r="F97" s="545" t="s">
        <v>95</v>
      </c>
      <c r="G97" s="724">
        <v>2000000</v>
      </c>
      <c r="H97" s="725">
        <f t="shared" si="24"/>
        <v>110000</v>
      </c>
      <c r="I97" s="724">
        <f t="shared" si="25"/>
        <v>13200</v>
      </c>
      <c r="J97" s="731">
        <f t="shared" si="26"/>
        <v>63700</v>
      </c>
      <c r="K97" s="772">
        <v>75000</v>
      </c>
      <c r="L97" s="779">
        <f t="shared" si="27"/>
        <v>67461</v>
      </c>
      <c r="M97" s="733">
        <f t="shared" si="28"/>
        <v>2329361</v>
      </c>
      <c r="N97" s="758">
        <v>20000</v>
      </c>
      <c r="O97" s="758">
        <v>50000</v>
      </c>
      <c r="P97" s="548">
        <f t="shared" si="29"/>
        <v>174702.07499999998</v>
      </c>
      <c r="Q97" s="549">
        <f t="shared" si="30"/>
        <v>58234.025000000001</v>
      </c>
      <c r="R97" s="728">
        <f t="shared" si="31"/>
        <v>2562297.1</v>
      </c>
      <c r="S97" s="745">
        <f t="shared" si="32"/>
        <v>0.1</v>
      </c>
      <c r="T97" s="549">
        <f t="shared" si="33"/>
        <v>256229.71000000002</v>
      </c>
      <c r="U97" s="548">
        <f t="shared" si="34"/>
        <v>15000</v>
      </c>
      <c r="V97" s="549">
        <f t="shared" si="35"/>
        <v>241229.71000000002</v>
      </c>
      <c r="W97" s="533">
        <f t="shared" si="36"/>
        <v>22</v>
      </c>
      <c r="X97" s="549">
        <f t="shared" si="37"/>
        <v>10964.986818181818</v>
      </c>
      <c r="Y97" s="549">
        <f t="shared" si="38"/>
        <v>2306067.39</v>
      </c>
      <c r="Z97" s="728">
        <f t="shared" si="39"/>
        <v>17878.915929323965</v>
      </c>
      <c r="AA97" s="553">
        <f t="shared" si="40"/>
        <v>20727.585626571152</v>
      </c>
      <c r="AB97" s="553">
        <f t="shared" si="41"/>
        <v>26775.397762856166</v>
      </c>
      <c r="AC97" s="553">
        <f t="shared" si="42"/>
        <v>45662.898236815665</v>
      </c>
      <c r="AD97" s="544"/>
      <c r="AN97" s="768" t="s">
        <v>149</v>
      </c>
      <c r="AR97" s="765">
        <v>2</v>
      </c>
      <c r="AS97" s="765" t="s">
        <v>104</v>
      </c>
      <c r="AT97" s="765">
        <v>22</v>
      </c>
      <c r="AU97" s="766">
        <f t="shared" si="43"/>
        <v>0</v>
      </c>
    </row>
    <row r="98" spans="1:47" ht="14.25" customHeight="1">
      <c r="A98" s="547" t="s">
        <v>231</v>
      </c>
      <c r="B98" s="549">
        <f t="shared" si="23"/>
        <v>105880.04545454546</v>
      </c>
      <c r="C98" s="533" t="s">
        <v>93</v>
      </c>
      <c r="D98" s="533" t="s">
        <v>234</v>
      </c>
      <c r="E98" s="533">
        <v>22</v>
      </c>
      <c r="F98" s="545" t="s">
        <v>95</v>
      </c>
      <c r="G98" s="724">
        <v>2000000</v>
      </c>
      <c r="H98" s="725">
        <f t="shared" si="24"/>
        <v>110000</v>
      </c>
      <c r="I98" s="724">
        <f t="shared" si="25"/>
        <v>13200</v>
      </c>
      <c r="J98" s="731">
        <f t="shared" si="26"/>
        <v>63700</v>
      </c>
      <c r="K98" s="772">
        <v>75000</v>
      </c>
      <c r="L98" s="779">
        <f t="shared" si="27"/>
        <v>67461</v>
      </c>
      <c r="M98" s="733">
        <f t="shared" si="28"/>
        <v>2329361</v>
      </c>
      <c r="N98" s="758">
        <v>20000</v>
      </c>
      <c r="O98" s="758">
        <v>50000</v>
      </c>
      <c r="P98" s="548">
        <f t="shared" si="29"/>
        <v>174702.07499999998</v>
      </c>
      <c r="Q98" s="549">
        <f t="shared" si="30"/>
        <v>58234.025000000001</v>
      </c>
      <c r="R98" s="728">
        <f t="shared" si="31"/>
        <v>2562297.1</v>
      </c>
      <c r="S98" s="745">
        <f t="shared" si="32"/>
        <v>0.1</v>
      </c>
      <c r="T98" s="549">
        <f t="shared" si="33"/>
        <v>256229.71000000002</v>
      </c>
      <c r="U98" s="548">
        <f t="shared" si="34"/>
        <v>15000</v>
      </c>
      <c r="V98" s="549">
        <f t="shared" si="35"/>
        <v>241229.71000000002</v>
      </c>
      <c r="W98" s="533">
        <f t="shared" si="36"/>
        <v>22</v>
      </c>
      <c r="X98" s="549">
        <f t="shared" si="37"/>
        <v>10964.986818181818</v>
      </c>
      <c r="Y98" s="549">
        <f t="shared" si="38"/>
        <v>2306067.39</v>
      </c>
      <c r="Z98" s="728">
        <f t="shared" si="39"/>
        <v>17878.915929323965</v>
      </c>
      <c r="AA98" s="553">
        <f t="shared" si="40"/>
        <v>20727.585626571152</v>
      </c>
      <c r="AB98" s="553">
        <f t="shared" si="41"/>
        <v>26775.397762856166</v>
      </c>
      <c r="AC98" s="553">
        <f t="shared" si="42"/>
        <v>45662.898236815665</v>
      </c>
      <c r="AD98" s="544"/>
      <c r="AN98" s="768" t="s">
        <v>149</v>
      </c>
      <c r="AR98" s="765">
        <v>3</v>
      </c>
      <c r="AS98" s="765" t="s">
        <v>108</v>
      </c>
      <c r="AT98" s="765">
        <v>22</v>
      </c>
      <c r="AU98" s="766">
        <f t="shared" si="43"/>
        <v>0</v>
      </c>
    </row>
    <row r="99" spans="1:47" ht="14.25" customHeight="1">
      <c r="A99" s="547" t="s">
        <v>231</v>
      </c>
      <c r="B99" s="549">
        <f t="shared" si="23"/>
        <v>105880.04545454546</v>
      </c>
      <c r="C99" s="533" t="s">
        <v>93</v>
      </c>
      <c r="D99" s="533" t="s">
        <v>235</v>
      </c>
      <c r="E99" s="533">
        <v>22</v>
      </c>
      <c r="F99" s="545" t="s">
        <v>95</v>
      </c>
      <c r="G99" s="724">
        <v>2000000</v>
      </c>
      <c r="H99" s="725">
        <f t="shared" si="24"/>
        <v>110000</v>
      </c>
      <c r="I99" s="724">
        <f t="shared" si="25"/>
        <v>13200</v>
      </c>
      <c r="J99" s="731">
        <f t="shared" si="26"/>
        <v>63700</v>
      </c>
      <c r="K99" s="772">
        <v>75000</v>
      </c>
      <c r="L99" s="779">
        <f t="shared" si="27"/>
        <v>67461</v>
      </c>
      <c r="M99" s="733">
        <f t="shared" si="28"/>
        <v>2329361</v>
      </c>
      <c r="N99" s="758">
        <v>20000</v>
      </c>
      <c r="O99" s="758">
        <v>50000</v>
      </c>
      <c r="P99" s="548">
        <f t="shared" si="29"/>
        <v>174702.07499999998</v>
      </c>
      <c r="Q99" s="549">
        <f t="shared" si="30"/>
        <v>58234.025000000001</v>
      </c>
      <c r="R99" s="728">
        <f t="shared" si="31"/>
        <v>2562297.1</v>
      </c>
      <c r="S99" s="745">
        <f t="shared" si="32"/>
        <v>0.1</v>
      </c>
      <c r="T99" s="549">
        <f t="shared" si="33"/>
        <v>256229.71000000002</v>
      </c>
      <c r="U99" s="548">
        <f t="shared" si="34"/>
        <v>15000</v>
      </c>
      <c r="V99" s="549">
        <f t="shared" si="35"/>
        <v>241229.71000000002</v>
      </c>
      <c r="W99" s="533">
        <f t="shared" si="36"/>
        <v>22</v>
      </c>
      <c r="X99" s="549">
        <f t="shared" si="37"/>
        <v>10964.986818181818</v>
      </c>
      <c r="Y99" s="549">
        <f t="shared" si="38"/>
        <v>2306067.39</v>
      </c>
      <c r="Z99" s="728">
        <f t="shared" si="39"/>
        <v>17878.915929323965</v>
      </c>
      <c r="AA99" s="553">
        <f t="shared" si="40"/>
        <v>20727.585626571152</v>
      </c>
      <c r="AB99" s="553">
        <f t="shared" si="41"/>
        <v>26775.397762856166</v>
      </c>
      <c r="AC99" s="553">
        <f t="shared" si="42"/>
        <v>45662.898236815665</v>
      </c>
      <c r="AD99" s="544"/>
      <c r="AN99" s="768" t="s">
        <v>149</v>
      </c>
      <c r="AR99" s="765">
        <v>4</v>
      </c>
      <c r="AS99" s="765" t="s">
        <v>112</v>
      </c>
      <c r="AT99" s="765">
        <v>22</v>
      </c>
      <c r="AU99" s="766">
        <f t="shared" si="43"/>
        <v>0</v>
      </c>
    </row>
    <row r="100" spans="1:47" ht="14.25" customHeight="1">
      <c r="A100" s="547" t="s">
        <v>231</v>
      </c>
      <c r="B100" s="549">
        <f t="shared" si="23"/>
        <v>105880.04545454546</v>
      </c>
      <c r="C100" s="533" t="s">
        <v>93</v>
      </c>
      <c r="D100" s="533" t="s">
        <v>236</v>
      </c>
      <c r="E100" s="533">
        <v>22</v>
      </c>
      <c r="F100" s="545" t="s">
        <v>95</v>
      </c>
      <c r="G100" s="724">
        <v>2000000</v>
      </c>
      <c r="H100" s="725">
        <f t="shared" si="24"/>
        <v>110000</v>
      </c>
      <c r="I100" s="724">
        <f t="shared" si="25"/>
        <v>13200</v>
      </c>
      <c r="J100" s="731">
        <f t="shared" si="26"/>
        <v>63700</v>
      </c>
      <c r="K100" s="772">
        <v>75000</v>
      </c>
      <c r="L100" s="779">
        <f t="shared" si="27"/>
        <v>67461</v>
      </c>
      <c r="M100" s="733">
        <f t="shared" si="28"/>
        <v>2329361</v>
      </c>
      <c r="N100" s="758">
        <v>20000</v>
      </c>
      <c r="O100" s="758">
        <v>50000</v>
      </c>
      <c r="P100" s="548">
        <f t="shared" si="29"/>
        <v>174702.07499999998</v>
      </c>
      <c r="Q100" s="549">
        <f t="shared" si="30"/>
        <v>58234.025000000001</v>
      </c>
      <c r="R100" s="728">
        <f t="shared" si="31"/>
        <v>2562297.1</v>
      </c>
      <c r="S100" s="745">
        <f t="shared" si="32"/>
        <v>0.1</v>
      </c>
      <c r="T100" s="549">
        <f t="shared" si="33"/>
        <v>256229.71000000002</v>
      </c>
      <c r="U100" s="548">
        <f t="shared" si="34"/>
        <v>15000</v>
      </c>
      <c r="V100" s="549">
        <f t="shared" si="35"/>
        <v>241229.71000000002</v>
      </c>
      <c r="W100" s="533">
        <f t="shared" si="36"/>
        <v>22</v>
      </c>
      <c r="X100" s="549">
        <f t="shared" si="37"/>
        <v>10964.986818181818</v>
      </c>
      <c r="Y100" s="549">
        <f t="shared" si="38"/>
        <v>2306067.39</v>
      </c>
      <c r="Z100" s="728">
        <f t="shared" si="39"/>
        <v>17878.915929323965</v>
      </c>
      <c r="AA100" s="553">
        <f t="shared" si="40"/>
        <v>20727.585626571152</v>
      </c>
      <c r="AB100" s="553">
        <f t="shared" si="41"/>
        <v>26775.397762856166</v>
      </c>
      <c r="AC100" s="553">
        <f t="shared" si="42"/>
        <v>45662.898236815665</v>
      </c>
      <c r="AD100" s="544"/>
      <c r="AN100" s="768" t="s">
        <v>149</v>
      </c>
      <c r="AR100" s="765">
        <v>5</v>
      </c>
      <c r="AS100" s="765" t="s">
        <v>116</v>
      </c>
      <c r="AT100" s="765">
        <v>22</v>
      </c>
      <c r="AU100" s="766">
        <f t="shared" si="43"/>
        <v>0</v>
      </c>
    </row>
    <row r="101" spans="1:47" ht="14.25" customHeight="1">
      <c r="A101" s="547" t="s">
        <v>231</v>
      </c>
      <c r="B101" s="549">
        <f t="shared" si="23"/>
        <v>105880.04545454546</v>
      </c>
      <c r="C101" s="533" t="s">
        <v>93</v>
      </c>
      <c r="D101" s="533" t="s">
        <v>237</v>
      </c>
      <c r="E101" s="533">
        <v>22</v>
      </c>
      <c r="F101" s="545" t="s">
        <v>95</v>
      </c>
      <c r="G101" s="724">
        <v>2000000</v>
      </c>
      <c r="H101" s="725">
        <f t="shared" si="24"/>
        <v>110000</v>
      </c>
      <c r="I101" s="724">
        <f t="shared" si="25"/>
        <v>13200</v>
      </c>
      <c r="J101" s="731">
        <f t="shared" si="26"/>
        <v>63700</v>
      </c>
      <c r="K101" s="772">
        <v>75000</v>
      </c>
      <c r="L101" s="779">
        <f t="shared" si="27"/>
        <v>67461</v>
      </c>
      <c r="M101" s="733">
        <f t="shared" si="28"/>
        <v>2329361</v>
      </c>
      <c r="N101" s="758">
        <v>20000</v>
      </c>
      <c r="O101" s="758">
        <v>50000</v>
      </c>
      <c r="P101" s="548">
        <f t="shared" si="29"/>
        <v>174702.07499999998</v>
      </c>
      <c r="Q101" s="549">
        <f t="shared" si="30"/>
        <v>58234.025000000001</v>
      </c>
      <c r="R101" s="728">
        <f t="shared" si="31"/>
        <v>2562297.1</v>
      </c>
      <c r="S101" s="745">
        <f t="shared" si="32"/>
        <v>0.1</v>
      </c>
      <c r="T101" s="549">
        <f t="shared" si="33"/>
        <v>256229.71000000002</v>
      </c>
      <c r="U101" s="548">
        <f t="shared" si="34"/>
        <v>15000</v>
      </c>
      <c r="V101" s="549">
        <f t="shared" si="35"/>
        <v>241229.71000000002</v>
      </c>
      <c r="W101" s="533">
        <f t="shared" si="36"/>
        <v>22</v>
      </c>
      <c r="X101" s="549">
        <f t="shared" si="37"/>
        <v>10964.986818181818</v>
      </c>
      <c r="Y101" s="549">
        <f t="shared" si="38"/>
        <v>2306067.39</v>
      </c>
      <c r="Z101" s="728">
        <f t="shared" si="39"/>
        <v>17878.915929323965</v>
      </c>
      <c r="AA101" s="553">
        <f t="shared" si="40"/>
        <v>20727.585626571152</v>
      </c>
      <c r="AB101" s="553">
        <f t="shared" si="41"/>
        <v>26775.397762856166</v>
      </c>
      <c r="AC101" s="553">
        <f t="shared" si="42"/>
        <v>45662.898236815665</v>
      </c>
      <c r="AD101" s="544"/>
      <c r="AN101" s="768" t="s">
        <v>149</v>
      </c>
      <c r="AR101" s="765">
        <v>6</v>
      </c>
      <c r="AS101" s="765" t="s">
        <v>119</v>
      </c>
      <c r="AT101" s="765">
        <v>22</v>
      </c>
      <c r="AU101" s="766">
        <f t="shared" si="43"/>
        <v>0</v>
      </c>
    </row>
    <row r="102" spans="1:47" ht="14.25" customHeight="1">
      <c r="A102" s="547" t="s">
        <v>231</v>
      </c>
      <c r="B102" s="549">
        <f t="shared" si="23"/>
        <v>105880.04545454546</v>
      </c>
      <c r="C102" s="533" t="s">
        <v>117</v>
      </c>
      <c r="D102" s="533" t="s">
        <v>238</v>
      </c>
      <c r="E102" s="533">
        <v>22</v>
      </c>
      <c r="F102" s="545" t="s">
        <v>95</v>
      </c>
      <c r="G102" s="724">
        <v>2000000</v>
      </c>
      <c r="H102" s="725">
        <f t="shared" si="24"/>
        <v>110000</v>
      </c>
      <c r="I102" s="724">
        <f t="shared" si="25"/>
        <v>13200</v>
      </c>
      <c r="J102" s="731">
        <f t="shared" si="26"/>
        <v>63700</v>
      </c>
      <c r="K102" s="772">
        <v>75000</v>
      </c>
      <c r="L102" s="779">
        <f t="shared" si="27"/>
        <v>67461</v>
      </c>
      <c r="M102" s="733">
        <f t="shared" si="28"/>
        <v>2329361</v>
      </c>
      <c r="N102" s="758">
        <v>20000</v>
      </c>
      <c r="O102" s="758">
        <v>50000</v>
      </c>
      <c r="P102" s="548">
        <f t="shared" si="29"/>
        <v>174702.07499999998</v>
      </c>
      <c r="Q102" s="549">
        <f t="shared" si="30"/>
        <v>58234.025000000001</v>
      </c>
      <c r="R102" s="728">
        <f t="shared" si="31"/>
        <v>2562297.1</v>
      </c>
      <c r="S102" s="745">
        <f t="shared" si="32"/>
        <v>0.1</v>
      </c>
      <c r="T102" s="549">
        <f t="shared" si="33"/>
        <v>256229.71000000002</v>
      </c>
      <c r="U102" s="548">
        <f t="shared" si="34"/>
        <v>15000</v>
      </c>
      <c r="V102" s="549">
        <f t="shared" si="35"/>
        <v>241229.71000000002</v>
      </c>
      <c r="W102" s="533">
        <f t="shared" si="36"/>
        <v>22</v>
      </c>
      <c r="X102" s="549">
        <f t="shared" si="37"/>
        <v>10964.986818181818</v>
      </c>
      <c r="Y102" s="549">
        <f t="shared" si="38"/>
        <v>2306067.39</v>
      </c>
      <c r="Z102" s="728">
        <f t="shared" si="39"/>
        <v>17878.915929323965</v>
      </c>
      <c r="AA102" s="553">
        <f t="shared" si="40"/>
        <v>20727.585626571152</v>
      </c>
      <c r="AB102" s="553">
        <f t="shared" si="41"/>
        <v>26775.397762856166</v>
      </c>
      <c r="AC102" s="553">
        <f t="shared" si="42"/>
        <v>45662.898236815665</v>
      </c>
      <c r="AD102" s="544"/>
      <c r="AN102" s="768" t="s">
        <v>149</v>
      </c>
      <c r="AR102" s="765">
        <v>7</v>
      </c>
      <c r="AS102" s="765" t="s">
        <v>121</v>
      </c>
      <c r="AT102" s="765">
        <v>22</v>
      </c>
      <c r="AU102" s="766">
        <f t="shared" si="43"/>
        <v>0</v>
      </c>
    </row>
    <row r="103" spans="1:47" ht="14.25" customHeight="1">
      <c r="A103" s="547" t="s">
        <v>231</v>
      </c>
      <c r="B103" s="549">
        <f t="shared" si="23"/>
        <v>104356.13249776186</v>
      </c>
      <c r="C103" s="533" t="s">
        <v>117</v>
      </c>
      <c r="D103" s="533" t="s">
        <v>239</v>
      </c>
      <c r="E103" s="533">
        <v>22.34</v>
      </c>
      <c r="F103" s="545" t="s">
        <v>95</v>
      </c>
      <c r="G103" s="724">
        <v>2000000</v>
      </c>
      <c r="H103" s="725">
        <f t="shared" si="24"/>
        <v>111700</v>
      </c>
      <c r="I103" s="724">
        <f t="shared" si="25"/>
        <v>13404</v>
      </c>
      <c r="J103" s="731">
        <f t="shared" si="26"/>
        <v>63700</v>
      </c>
      <c r="K103" s="772">
        <v>75000</v>
      </c>
      <c r="L103" s="779">
        <f t="shared" si="27"/>
        <v>67512</v>
      </c>
      <c r="M103" s="733">
        <f t="shared" si="28"/>
        <v>2331316</v>
      </c>
      <c r="N103" s="758">
        <v>20000</v>
      </c>
      <c r="O103" s="758">
        <v>50000</v>
      </c>
      <c r="P103" s="548">
        <f t="shared" si="29"/>
        <v>174848.69999999998</v>
      </c>
      <c r="Q103" s="549">
        <f t="shared" si="30"/>
        <v>58282.9</v>
      </c>
      <c r="R103" s="728">
        <f t="shared" si="31"/>
        <v>2564447.6</v>
      </c>
      <c r="S103" s="745">
        <f t="shared" si="32"/>
        <v>0.1</v>
      </c>
      <c r="T103" s="549">
        <f t="shared" si="33"/>
        <v>256444.76</v>
      </c>
      <c r="U103" s="548">
        <f t="shared" si="34"/>
        <v>15000</v>
      </c>
      <c r="V103" s="549">
        <f t="shared" si="35"/>
        <v>241444.76</v>
      </c>
      <c r="W103" s="533">
        <f t="shared" si="36"/>
        <v>22</v>
      </c>
      <c r="X103" s="549">
        <f t="shared" si="37"/>
        <v>10974.761818181818</v>
      </c>
      <c r="Y103" s="549">
        <f t="shared" si="38"/>
        <v>2308002.84</v>
      </c>
      <c r="Z103" s="728">
        <f t="shared" si="39"/>
        <v>17893.921452573395</v>
      </c>
      <c r="AA103" s="553">
        <f t="shared" si="40"/>
        <v>20744.981998322866</v>
      </c>
      <c r="AB103" s="553">
        <f t="shared" si="41"/>
        <v>26797.86997846653</v>
      </c>
      <c r="AC103" s="553">
        <f t="shared" si="42"/>
        <v>45701.222466530577</v>
      </c>
      <c r="AD103" s="544"/>
      <c r="AN103" s="768" t="s">
        <v>149</v>
      </c>
      <c r="AR103" s="765">
        <v>8</v>
      </c>
      <c r="AS103" s="765" t="s">
        <v>123</v>
      </c>
      <c r="AT103" s="765">
        <v>22.34</v>
      </c>
      <c r="AU103" s="766">
        <f t="shared" si="43"/>
        <v>0</v>
      </c>
    </row>
    <row r="104" spans="1:47" ht="14.25" customHeight="1">
      <c r="A104" s="547" t="s">
        <v>231</v>
      </c>
      <c r="B104" s="549">
        <f t="shared" si="23"/>
        <v>105880.04545454546</v>
      </c>
      <c r="C104" s="533" t="s">
        <v>93</v>
      </c>
      <c r="D104" s="533" t="s">
        <v>240</v>
      </c>
      <c r="E104" s="533">
        <v>22</v>
      </c>
      <c r="F104" s="545" t="s">
        <v>95</v>
      </c>
      <c r="G104" s="724">
        <v>2000000</v>
      </c>
      <c r="H104" s="725">
        <f t="shared" si="24"/>
        <v>110000</v>
      </c>
      <c r="I104" s="724">
        <f t="shared" si="25"/>
        <v>13200</v>
      </c>
      <c r="J104" s="731">
        <f t="shared" si="26"/>
        <v>63700</v>
      </c>
      <c r="K104" s="772">
        <v>75000</v>
      </c>
      <c r="L104" s="779">
        <f t="shared" si="27"/>
        <v>67461</v>
      </c>
      <c r="M104" s="733">
        <f t="shared" si="28"/>
        <v>2329361</v>
      </c>
      <c r="N104" s="758">
        <v>20000</v>
      </c>
      <c r="O104" s="758">
        <v>50000</v>
      </c>
      <c r="P104" s="548">
        <f t="shared" si="29"/>
        <v>174702.07499999998</v>
      </c>
      <c r="Q104" s="549">
        <f t="shared" si="30"/>
        <v>58234.025000000001</v>
      </c>
      <c r="R104" s="728">
        <f t="shared" si="31"/>
        <v>2562297.1</v>
      </c>
      <c r="S104" s="745">
        <f t="shared" si="32"/>
        <v>0.1</v>
      </c>
      <c r="T104" s="549">
        <f t="shared" si="33"/>
        <v>256229.71000000002</v>
      </c>
      <c r="U104" s="548">
        <f t="shared" si="34"/>
        <v>15000</v>
      </c>
      <c r="V104" s="549">
        <f t="shared" si="35"/>
        <v>241229.71000000002</v>
      </c>
      <c r="W104" s="533">
        <f t="shared" si="36"/>
        <v>22</v>
      </c>
      <c r="X104" s="549">
        <f t="shared" si="37"/>
        <v>10964.986818181818</v>
      </c>
      <c r="Y104" s="549">
        <f t="shared" si="38"/>
        <v>2306067.39</v>
      </c>
      <c r="Z104" s="728">
        <f t="shared" si="39"/>
        <v>17878.915929323965</v>
      </c>
      <c r="AA104" s="553">
        <f t="shared" si="40"/>
        <v>20727.585626571152</v>
      </c>
      <c r="AB104" s="553">
        <f t="shared" si="41"/>
        <v>26775.397762856166</v>
      </c>
      <c r="AC104" s="553">
        <f t="shared" si="42"/>
        <v>45662.898236815665</v>
      </c>
      <c r="AD104" s="544"/>
      <c r="AN104" s="768" t="s">
        <v>149</v>
      </c>
      <c r="AR104" s="765">
        <v>9</v>
      </c>
      <c r="AS104" s="765" t="s">
        <v>125</v>
      </c>
      <c r="AT104" s="765">
        <v>22</v>
      </c>
      <c r="AU104" s="766">
        <f t="shared" si="43"/>
        <v>0</v>
      </c>
    </row>
    <row r="105" spans="1:47" ht="14.25" customHeight="1">
      <c r="A105" s="547" t="s">
        <v>231</v>
      </c>
      <c r="B105" s="549">
        <f t="shared" si="23"/>
        <v>105880.04545454546</v>
      </c>
      <c r="C105" s="533" t="s">
        <v>93</v>
      </c>
      <c r="D105" s="533" t="s">
        <v>241</v>
      </c>
      <c r="E105" s="533">
        <v>22</v>
      </c>
      <c r="F105" s="545" t="s">
        <v>95</v>
      </c>
      <c r="G105" s="724">
        <v>2000000</v>
      </c>
      <c r="H105" s="725">
        <f t="shared" si="24"/>
        <v>110000</v>
      </c>
      <c r="I105" s="724">
        <f t="shared" si="25"/>
        <v>13200</v>
      </c>
      <c r="J105" s="731">
        <f t="shared" si="26"/>
        <v>63700</v>
      </c>
      <c r="K105" s="772">
        <v>75000</v>
      </c>
      <c r="L105" s="779">
        <f t="shared" si="27"/>
        <v>67461</v>
      </c>
      <c r="M105" s="733">
        <f t="shared" si="28"/>
        <v>2329361</v>
      </c>
      <c r="N105" s="758">
        <v>20000</v>
      </c>
      <c r="O105" s="758">
        <v>50000</v>
      </c>
      <c r="P105" s="548">
        <f t="shared" si="29"/>
        <v>174702.07499999998</v>
      </c>
      <c r="Q105" s="549">
        <f t="shared" si="30"/>
        <v>58234.025000000001</v>
      </c>
      <c r="R105" s="728">
        <f t="shared" si="31"/>
        <v>2562297.1</v>
      </c>
      <c r="S105" s="745">
        <f t="shared" si="32"/>
        <v>0.1</v>
      </c>
      <c r="T105" s="549">
        <f t="shared" si="33"/>
        <v>256229.71000000002</v>
      </c>
      <c r="U105" s="548">
        <f t="shared" si="34"/>
        <v>15000</v>
      </c>
      <c r="V105" s="549">
        <f t="shared" si="35"/>
        <v>241229.71000000002</v>
      </c>
      <c r="W105" s="533">
        <f t="shared" si="36"/>
        <v>22</v>
      </c>
      <c r="X105" s="549">
        <f t="shared" si="37"/>
        <v>10964.986818181818</v>
      </c>
      <c r="Y105" s="549">
        <f t="shared" si="38"/>
        <v>2306067.39</v>
      </c>
      <c r="Z105" s="728">
        <f t="shared" si="39"/>
        <v>17878.915929323965</v>
      </c>
      <c r="AA105" s="553">
        <f t="shared" si="40"/>
        <v>20727.585626571152</v>
      </c>
      <c r="AB105" s="553">
        <f t="shared" si="41"/>
        <v>26775.397762856166</v>
      </c>
      <c r="AC105" s="553">
        <f t="shared" si="42"/>
        <v>45662.898236815665</v>
      </c>
      <c r="AD105" s="544"/>
      <c r="AN105" s="768" t="s">
        <v>96</v>
      </c>
      <c r="AR105" s="765">
        <v>10</v>
      </c>
      <c r="AS105" s="765" t="s">
        <v>127</v>
      </c>
      <c r="AT105" s="765">
        <v>22</v>
      </c>
      <c r="AU105" s="766">
        <f t="shared" si="43"/>
        <v>0</v>
      </c>
    </row>
    <row r="106" spans="1:47" ht="14.25" customHeight="1">
      <c r="A106" s="547" t="s">
        <v>231</v>
      </c>
      <c r="B106" s="549">
        <f t="shared" si="23"/>
        <v>105880.04545454546</v>
      </c>
      <c r="C106" s="533" t="s">
        <v>93</v>
      </c>
      <c r="D106" s="533" t="s">
        <v>242</v>
      </c>
      <c r="E106" s="533">
        <v>22</v>
      </c>
      <c r="F106" s="545" t="s">
        <v>95</v>
      </c>
      <c r="G106" s="724">
        <v>2000000</v>
      </c>
      <c r="H106" s="725">
        <f t="shared" si="24"/>
        <v>110000</v>
      </c>
      <c r="I106" s="724">
        <f t="shared" si="25"/>
        <v>13200</v>
      </c>
      <c r="J106" s="731">
        <f t="shared" si="26"/>
        <v>63700</v>
      </c>
      <c r="K106" s="772">
        <v>75000</v>
      </c>
      <c r="L106" s="779">
        <f t="shared" si="27"/>
        <v>67461</v>
      </c>
      <c r="M106" s="733">
        <f t="shared" si="28"/>
        <v>2329361</v>
      </c>
      <c r="N106" s="758">
        <v>20000</v>
      </c>
      <c r="O106" s="758">
        <v>50000</v>
      </c>
      <c r="P106" s="548">
        <f t="shared" si="29"/>
        <v>174702.07499999998</v>
      </c>
      <c r="Q106" s="549">
        <f t="shared" si="30"/>
        <v>58234.025000000001</v>
      </c>
      <c r="R106" s="728">
        <f t="shared" si="31"/>
        <v>2562297.1</v>
      </c>
      <c r="S106" s="745">
        <f t="shared" si="32"/>
        <v>0.1</v>
      </c>
      <c r="T106" s="549">
        <f t="shared" si="33"/>
        <v>256229.71000000002</v>
      </c>
      <c r="U106" s="548">
        <f t="shared" si="34"/>
        <v>15000</v>
      </c>
      <c r="V106" s="549">
        <f t="shared" si="35"/>
        <v>241229.71000000002</v>
      </c>
      <c r="W106" s="533">
        <f t="shared" si="36"/>
        <v>22</v>
      </c>
      <c r="X106" s="549">
        <f t="shared" si="37"/>
        <v>10964.986818181818</v>
      </c>
      <c r="Y106" s="549">
        <f t="shared" si="38"/>
        <v>2306067.39</v>
      </c>
      <c r="Z106" s="728">
        <f t="shared" si="39"/>
        <v>17878.915929323965</v>
      </c>
      <c r="AA106" s="553">
        <f t="shared" si="40"/>
        <v>20727.585626571152</v>
      </c>
      <c r="AB106" s="553">
        <f t="shared" si="41"/>
        <v>26775.397762856166</v>
      </c>
      <c r="AC106" s="553">
        <f t="shared" si="42"/>
        <v>45662.898236815665</v>
      </c>
      <c r="AD106" s="544"/>
      <c r="AN106" s="768" t="s">
        <v>149</v>
      </c>
      <c r="AR106" s="765">
        <v>11</v>
      </c>
      <c r="AS106" s="765" t="s">
        <v>129</v>
      </c>
      <c r="AT106" s="765">
        <v>22</v>
      </c>
      <c r="AU106" s="766">
        <f t="shared" si="43"/>
        <v>0</v>
      </c>
    </row>
    <row r="107" spans="1:47" ht="14.25" customHeight="1">
      <c r="A107" s="547" t="s">
        <v>231</v>
      </c>
      <c r="B107" s="549">
        <f t="shared" si="23"/>
        <v>105880.04545454546</v>
      </c>
      <c r="C107" s="533" t="s">
        <v>93</v>
      </c>
      <c r="D107" s="533" t="s">
        <v>243</v>
      </c>
      <c r="E107" s="533">
        <v>22</v>
      </c>
      <c r="F107" s="545" t="s">
        <v>95</v>
      </c>
      <c r="G107" s="724">
        <v>2000000</v>
      </c>
      <c r="H107" s="725">
        <f t="shared" si="24"/>
        <v>110000</v>
      </c>
      <c r="I107" s="724">
        <f t="shared" si="25"/>
        <v>13200</v>
      </c>
      <c r="J107" s="731">
        <f t="shared" si="26"/>
        <v>63700</v>
      </c>
      <c r="K107" s="772">
        <v>75000</v>
      </c>
      <c r="L107" s="779">
        <f t="shared" si="27"/>
        <v>67461</v>
      </c>
      <c r="M107" s="733">
        <f t="shared" si="28"/>
        <v>2329361</v>
      </c>
      <c r="N107" s="758">
        <v>20000</v>
      </c>
      <c r="O107" s="758">
        <v>50000</v>
      </c>
      <c r="P107" s="548">
        <f t="shared" si="29"/>
        <v>174702.07499999998</v>
      </c>
      <c r="Q107" s="549">
        <f t="shared" si="30"/>
        <v>58234.025000000001</v>
      </c>
      <c r="R107" s="728">
        <f t="shared" si="31"/>
        <v>2562297.1</v>
      </c>
      <c r="S107" s="745">
        <f t="shared" si="32"/>
        <v>0.1</v>
      </c>
      <c r="T107" s="549">
        <f t="shared" si="33"/>
        <v>256229.71000000002</v>
      </c>
      <c r="U107" s="548">
        <f t="shared" si="34"/>
        <v>15000</v>
      </c>
      <c r="V107" s="549">
        <f t="shared" si="35"/>
        <v>241229.71000000002</v>
      </c>
      <c r="W107" s="533">
        <f t="shared" si="36"/>
        <v>22</v>
      </c>
      <c r="X107" s="549">
        <f t="shared" si="37"/>
        <v>10964.986818181818</v>
      </c>
      <c r="Y107" s="549">
        <f t="shared" si="38"/>
        <v>2306067.39</v>
      </c>
      <c r="Z107" s="728">
        <f t="shared" si="39"/>
        <v>17878.915929323965</v>
      </c>
      <c r="AA107" s="553">
        <f t="shared" si="40"/>
        <v>20727.585626571152</v>
      </c>
      <c r="AB107" s="553">
        <f t="shared" si="41"/>
        <v>26775.397762856166</v>
      </c>
      <c r="AC107" s="553">
        <f t="shared" si="42"/>
        <v>45662.898236815665</v>
      </c>
      <c r="AD107" s="544"/>
      <c r="AN107" s="768" t="s">
        <v>149</v>
      </c>
      <c r="AR107" s="765">
        <v>12</v>
      </c>
      <c r="AS107" s="765" t="s">
        <v>131</v>
      </c>
      <c r="AT107" s="765">
        <v>22</v>
      </c>
      <c r="AU107" s="766">
        <f t="shared" si="43"/>
        <v>0</v>
      </c>
    </row>
    <row r="108" spans="1:47" ht="14.25" customHeight="1">
      <c r="A108" s="547" t="s">
        <v>231</v>
      </c>
      <c r="B108" s="549">
        <f t="shared" si="23"/>
        <v>105880.04545454546</v>
      </c>
      <c r="C108" s="533" t="s">
        <v>93</v>
      </c>
      <c r="D108" s="533" t="s">
        <v>244</v>
      </c>
      <c r="E108" s="533">
        <v>22</v>
      </c>
      <c r="F108" s="545" t="s">
        <v>95</v>
      </c>
      <c r="G108" s="724">
        <v>2000000</v>
      </c>
      <c r="H108" s="725">
        <f t="shared" si="24"/>
        <v>110000</v>
      </c>
      <c r="I108" s="724">
        <f t="shared" si="25"/>
        <v>13200</v>
      </c>
      <c r="J108" s="731">
        <f t="shared" si="26"/>
        <v>63700</v>
      </c>
      <c r="K108" s="772">
        <v>75000</v>
      </c>
      <c r="L108" s="779">
        <f t="shared" si="27"/>
        <v>67461</v>
      </c>
      <c r="M108" s="733">
        <f t="shared" si="28"/>
        <v>2329361</v>
      </c>
      <c r="N108" s="758">
        <v>20000</v>
      </c>
      <c r="O108" s="758">
        <v>50000</v>
      </c>
      <c r="P108" s="548">
        <f t="shared" si="29"/>
        <v>174702.07499999998</v>
      </c>
      <c r="Q108" s="549">
        <f t="shared" si="30"/>
        <v>58234.025000000001</v>
      </c>
      <c r="R108" s="728">
        <f t="shared" si="31"/>
        <v>2562297.1</v>
      </c>
      <c r="S108" s="745">
        <f t="shared" si="32"/>
        <v>0.1</v>
      </c>
      <c r="T108" s="549">
        <f t="shared" si="33"/>
        <v>256229.71000000002</v>
      </c>
      <c r="U108" s="548">
        <f t="shared" si="34"/>
        <v>15000</v>
      </c>
      <c r="V108" s="549">
        <f t="shared" si="35"/>
        <v>241229.71000000002</v>
      </c>
      <c r="W108" s="533">
        <f t="shared" si="36"/>
        <v>22</v>
      </c>
      <c r="X108" s="549">
        <f t="shared" si="37"/>
        <v>10964.986818181818</v>
      </c>
      <c r="Y108" s="549">
        <f t="shared" si="38"/>
        <v>2306067.39</v>
      </c>
      <c r="Z108" s="728">
        <f t="shared" si="39"/>
        <v>17878.915929323965</v>
      </c>
      <c r="AA108" s="553">
        <f t="shared" si="40"/>
        <v>20727.585626571152</v>
      </c>
      <c r="AB108" s="553">
        <f t="shared" si="41"/>
        <v>26775.397762856166</v>
      </c>
      <c r="AC108" s="553">
        <f t="shared" si="42"/>
        <v>45662.898236815665</v>
      </c>
      <c r="AD108" s="544"/>
      <c r="AN108" s="768" t="s">
        <v>149</v>
      </c>
      <c r="AR108" s="765">
        <v>13</v>
      </c>
      <c r="AS108" s="765" t="s">
        <v>133</v>
      </c>
      <c r="AT108" s="765">
        <v>22</v>
      </c>
      <c r="AU108" s="766">
        <f t="shared" si="43"/>
        <v>0</v>
      </c>
    </row>
    <row r="109" spans="1:47" ht="14.25" customHeight="1">
      <c r="A109" s="547" t="s">
        <v>231</v>
      </c>
      <c r="B109" s="549">
        <f t="shared" si="23"/>
        <v>105880.04545454546</v>
      </c>
      <c r="C109" s="533" t="s">
        <v>93</v>
      </c>
      <c r="D109" s="533" t="s">
        <v>245</v>
      </c>
      <c r="E109" s="533">
        <v>22</v>
      </c>
      <c r="F109" s="545" t="s">
        <v>95</v>
      </c>
      <c r="G109" s="724">
        <v>2000000</v>
      </c>
      <c r="H109" s="725">
        <f t="shared" si="24"/>
        <v>110000</v>
      </c>
      <c r="I109" s="724">
        <f t="shared" si="25"/>
        <v>13200</v>
      </c>
      <c r="J109" s="731">
        <f t="shared" si="26"/>
        <v>63700</v>
      </c>
      <c r="K109" s="772">
        <v>75000</v>
      </c>
      <c r="L109" s="779">
        <f t="shared" si="27"/>
        <v>67461</v>
      </c>
      <c r="M109" s="733">
        <f t="shared" si="28"/>
        <v>2329361</v>
      </c>
      <c r="N109" s="758">
        <v>20000</v>
      </c>
      <c r="O109" s="758">
        <v>50000</v>
      </c>
      <c r="P109" s="548">
        <f t="shared" si="29"/>
        <v>174702.07499999998</v>
      </c>
      <c r="Q109" s="549">
        <f t="shared" si="30"/>
        <v>58234.025000000001</v>
      </c>
      <c r="R109" s="728">
        <f t="shared" si="31"/>
        <v>2562297.1</v>
      </c>
      <c r="S109" s="745">
        <f t="shared" si="32"/>
        <v>0.1</v>
      </c>
      <c r="T109" s="549">
        <f t="shared" si="33"/>
        <v>256229.71000000002</v>
      </c>
      <c r="U109" s="548">
        <f t="shared" si="34"/>
        <v>15000</v>
      </c>
      <c r="V109" s="549">
        <f t="shared" si="35"/>
        <v>241229.71000000002</v>
      </c>
      <c r="W109" s="533">
        <f t="shared" si="36"/>
        <v>22</v>
      </c>
      <c r="X109" s="549">
        <f t="shared" si="37"/>
        <v>10964.986818181818</v>
      </c>
      <c r="Y109" s="549">
        <f t="shared" si="38"/>
        <v>2306067.39</v>
      </c>
      <c r="Z109" s="728">
        <f t="shared" si="39"/>
        <v>17878.915929323965</v>
      </c>
      <c r="AA109" s="553">
        <f t="shared" si="40"/>
        <v>20727.585626571152</v>
      </c>
      <c r="AB109" s="553">
        <f t="shared" si="41"/>
        <v>26775.397762856166</v>
      </c>
      <c r="AC109" s="553">
        <f t="shared" si="42"/>
        <v>45662.898236815665</v>
      </c>
      <c r="AD109" s="544"/>
      <c r="AN109" s="768" t="s">
        <v>149</v>
      </c>
      <c r="AR109" s="765">
        <v>14</v>
      </c>
      <c r="AS109" s="765" t="s">
        <v>135</v>
      </c>
      <c r="AT109" s="765">
        <v>22</v>
      </c>
      <c r="AU109" s="766">
        <f t="shared" si="43"/>
        <v>0</v>
      </c>
    </row>
    <row r="110" spans="1:47" ht="14.25" customHeight="1">
      <c r="A110" s="547" t="s">
        <v>231</v>
      </c>
      <c r="B110" s="549">
        <f t="shared" si="23"/>
        <v>105880.04545454546</v>
      </c>
      <c r="C110" s="533" t="s">
        <v>93</v>
      </c>
      <c r="D110" s="533" t="s">
        <v>246</v>
      </c>
      <c r="E110" s="533">
        <v>22</v>
      </c>
      <c r="F110" s="545" t="s">
        <v>95</v>
      </c>
      <c r="G110" s="724">
        <v>2000000</v>
      </c>
      <c r="H110" s="725">
        <f t="shared" si="24"/>
        <v>110000</v>
      </c>
      <c r="I110" s="724">
        <f t="shared" si="25"/>
        <v>13200</v>
      </c>
      <c r="J110" s="731">
        <f t="shared" si="26"/>
        <v>63700</v>
      </c>
      <c r="K110" s="772">
        <v>75000</v>
      </c>
      <c r="L110" s="779">
        <f t="shared" si="27"/>
        <v>67461</v>
      </c>
      <c r="M110" s="733">
        <f t="shared" si="28"/>
        <v>2329361</v>
      </c>
      <c r="N110" s="758">
        <v>20000</v>
      </c>
      <c r="O110" s="758">
        <v>50000</v>
      </c>
      <c r="P110" s="548">
        <f t="shared" si="29"/>
        <v>174702.07499999998</v>
      </c>
      <c r="Q110" s="549">
        <f t="shared" si="30"/>
        <v>58234.025000000001</v>
      </c>
      <c r="R110" s="728">
        <f t="shared" si="31"/>
        <v>2562297.1</v>
      </c>
      <c r="S110" s="745">
        <f t="shared" si="32"/>
        <v>0.1</v>
      </c>
      <c r="T110" s="549">
        <f t="shared" si="33"/>
        <v>256229.71000000002</v>
      </c>
      <c r="U110" s="548">
        <f t="shared" si="34"/>
        <v>15000</v>
      </c>
      <c r="V110" s="549">
        <f t="shared" si="35"/>
        <v>241229.71000000002</v>
      </c>
      <c r="W110" s="533">
        <f t="shared" si="36"/>
        <v>22</v>
      </c>
      <c r="X110" s="549">
        <f t="shared" si="37"/>
        <v>10964.986818181818</v>
      </c>
      <c r="Y110" s="549">
        <f t="shared" si="38"/>
        <v>2306067.39</v>
      </c>
      <c r="Z110" s="728">
        <f t="shared" si="39"/>
        <v>17878.915929323965</v>
      </c>
      <c r="AA110" s="553">
        <f t="shared" si="40"/>
        <v>20727.585626571152</v>
      </c>
      <c r="AB110" s="553">
        <f t="shared" si="41"/>
        <v>26775.397762856166</v>
      </c>
      <c r="AC110" s="553">
        <f t="shared" si="42"/>
        <v>45662.898236815665</v>
      </c>
      <c r="AD110" s="544"/>
      <c r="AN110" s="768" t="s">
        <v>149</v>
      </c>
      <c r="AR110" s="765">
        <v>15</v>
      </c>
      <c r="AS110" s="765" t="s">
        <v>138</v>
      </c>
      <c r="AT110" s="765">
        <v>22</v>
      </c>
      <c r="AU110" s="766">
        <f t="shared" si="43"/>
        <v>0</v>
      </c>
    </row>
    <row r="111" spans="1:47" ht="14.25" customHeight="1">
      <c r="A111" s="547" t="s">
        <v>231</v>
      </c>
      <c r="B111" s="549">
        <f t="shared" si="23"/>
        <v>105880.04545454546</v>
      </c>
      <c r="C111" s="533" t="s">
        <v>93</v>
      </c>
      <c r="D111" s="533" t="s">
        <v>247</v>
      </c>
      <c r="E111" s="533">
        <v>22</v>
      </c>
      <c r="F111" s="545" t="s">
        <v>95</v>
      </c>
      <c r="G111" s="724">
        <v>2000000</v>
      </c>
      <c r="H111" s="725">
        <f t="shared" si="24"/>
        <v>110000</v>
      </c>
      <c r="I111" s="724">
        <f t="shared" si="25"/>
        <v>13200</v>
      </c>
      <c r="J111" s="731">
        <f t="shared" si="26"/>
        <v>63700</v>
      </c>
      <c r="K111" s="772">
        <v>75000</v>
      </c>
      <c r="L111" s="779">
        <f t="shared" si="27"/>
        <v>67461</v>
      </c>
      <c r="M111" s="733">
        <f t="shared" si="28"/>
        <v>2329361</v>
      </c>
      <c r="N111" s="758">
        <v>20000</v>
      </c>
      <c r="O111" s="758">
        <v>50000</v>
      </c>
      <c r="P111" s="548">
        <f t="shared" si="29"/>
        <v>174702.07499999998</v>
      </c>
      <c r="Q111" s="549">
        <f t="shared" si="30"/>
        <v>58234.025000000001</v>
      </c>
      <c r="R111" s="728">
        <f t="shared" si="31"/>
        <v>2562297.1</v>
      </c>
      <c r="S111" s="745">
        <f t="shared" si="32"/>
        <v>0.1</v>
      </c>
      <c r="T111" s="549">
        <f t="shared" si="33"/>
        <v>256229.71000000002</v>
      </c>
      <c r="U111" s="548">
        <f t="shared" si="34"/>
        <v>15000</v>
      </c>
      <c r="V111" s="549">
        <f t="shared" si="35"/>
        <v>241229.71000000002</v>
      </c>
      <c r="W111" s="533">
        <f t="shared" si="36"/>
        <v>22</v>
      </c>
      <c r="X111" s="549">
        <f t="shared" si="37"/>
        <v>10964.986818181818</v>
      </c>
      <c r="Y111" s="549">
        <f t="shared" si="38"/>
        <v>2306067.39</v>
      </c>
      <c r="Z111" s="728">
        <f t="shared" si="39"/>
        <v>17878.915929323965</v>
      </c>
      <c r="AA111" s="553">
        <f t="shared" si="40"/>
        <v>20727.585626571152</v>
      </c>
      <c r="AB111" s="553">
        <f t="shared" si="41"/>
        <v>26775.397762856166</v>
      </c>
      <c r="AC111" s="553">
        <f t="shared" si="42"/>
        <v>45662.898236815665</v>
      </c>
      <c r="AD111" s="544"/>
      <c r="AN111" s="768" t="s">
        <v>149</v>
      </c>
      <c r="AR111" s="765">
        <v>16</v>
      </c>
      <c r="AS111" s="765" t="s">
        <v>142</v>
      </c>
      <c r="AT111" s="765">
        <v>22</v>
      </c>
      <c r="AU111" s="766">
        <f t="shared" si="43"/>
        <v>0</v>
      </c>
    </row>
    <row r="112" spans="1:47" ht="14.25" customHeight="1">
      <c r="A112" s="547" t="s">
        <v>231</v>
      </c>
      <c r="B112" s="549">
        <f t="shared" si="23"/>
        <v>105880.04545454546</v>
      </c>
      <c r="C112" s="533" t="s">
        <v>93</v>
      </c>
      <c r="D112" s="533" t="s">
        <v>248</v>
      </c>
      <c r="E112" s="533">
        <v>22</v>
      </c>
      <c r="F112" s="545" t="s">
        <v>95</v>
      </c>
      <c r="G112" s="724">
        <v>2000000</v>
      </c>
      <c r="H112" s="725">
        <f t="shared" si="24"/>
        <v>110000</v>
      </c>
      <c r="I112" s="724">
        <f t="shared" si="25"/>
        <v>13200</v>
      </c>
      <c r="J112" s="731">
        <f t="shared" si="26"/>
        <v>63700</v>
      </c>
      <c r="K112" s="772">
        <v>75000</v>
      </c>
      <c r="L112" s="779">
        <f t="shared" si="27"/>
        <v>67461</v>
      </c>
      <c r="M112" s="733">
        <f t="shared" si="28"/>
        <v>2329361</v>
      </c>
      <c r="N112" s="758">
        <v>20000</v>
      </c>
      <c r="O112" s="758">
        <v>50000</v>
      </c>
      <c r="P112" s="548">
        <f t="shared" si="29"/>
        <v>174702.07499999998</v>
      </c>
      <c r="Q112" s="549">
        <f t="shared" si="30"/>
        <v>58234.025000000001</v>
      </c>
      <c r="R112" s="728">
        <f t="shared" si="31"/>
        <v>2562297.1</v>
      </c>
      <c r="S112" s="745">
        <f t="shared" si="32"/>
        <v>0.1</v>
      </c>
      <c r="T112" s="549">
        <f t="shared" si="33"/>
        <v>256229.71000000002</v>
      </c>
      <c r="U112" s="548">
        <f t="shared" si="34"/>
        <v>15000</v>
      </c>
      <c r="V112" s="549">
        <f t="shared" si="35"/>
        <v>241229.71000000002</v>
      </c>
      <c r="W112" s="533">
        <f t="shared" si="36"/>
        <v>22</v>
      </c>
      <c r="X112" s="549">
        <f t="shared" si="37"/>
        <v>10964.986818181818</v>
      </c>
      <c r="Y112" s="549">
        <f t="shared" si="38"/>
        <v>2306067.39</v>
      </c>
      <c r="Z112" s="728">
        <f t="shared" si="39"/>
        <v>17878.915929323965</v>
      </c>
      <c r="AA112" s="553">
        <f t="shared" si="40"/>
        <v>20727.585626571152</v>
      </c>
      <c r="AB112" s="553">
        <f t="shared" si="41"/>
        <v>26775.397762856166</v>
      </c>
      <c r="AC112" s="553">
        <f t="shared" si="42"/>
        <v>45662.898236815665</v>
      </c>
      <c r="AD112" s="544"/>
      <c r="AN112" s="768" t="s">
        <v>149</v>
      </c>
      <c r="AR112" s="765">
        <v>17</v>
      </c>
      <c r="AS112" s="765" t="s">
        <v>144</v>
      </c>
      <c r="AT112" s="765">
        <v>22</v>
      </c>
      <c r="AU112" s="766">
        <f t="shared" si="43"/>
        <v>0</v>
      </c>
    </row>
    <row r="113" spans="1:47" ht="14.25" customHeight="1">
      <c r="A113" s="547" t="s">
        <v>231</v>
      </c>
      <c r="B113" s="549">
        <f t="shared" si="23"/>
        <v>104356.13249776186</v>
      </c>
      <c r="C113" s="533" t="s">
        <v>117</v>
      </c>
      <c r="D113" s="533" t="s">
        <v>249</v>
      </c>
      <c r="E113" s="533">
        <v>22.34</v>
      </c>
      <c r="F113" s="545" t="s">
        <v>95</v>
      </c>
      <c r="G113" s="724">
        <v>2000000</v>
      </c>
      <c r="H113" s="725">
        <f t="shared" si="24"/>
        <v>111700</v>
      </c>
      <c r="I113" s="724">
        <f t="shared" si="25"/>
        <v>13404</v>
      </c>
      <c r="J113" s="731">
        <f t="shared" si="26"/>
        <v>63700</v>
      </c>
      <c r="K113" s="772">
        <v>75000</v>
      </c>
      <c r="L113" s="779">
        <f t="shared" si="27"/>
        <v>67512</v>
      </c>
      <c r="M113" s="733">
        <f t="shared" si="28"/>
        <v>2331316</v>
      </c>
      <c r="N113" s="758">
        <v>20000</v>
      </c>
      <c r="O113" s="758">
        <v>50000</v>
      </c>
      <c r="P113" s="548">
        <f t="shared" si="29"/>
        <v>174848.69999999998</v>
      </c>
      <c r="Q113" s="549">
        <f t="shared" si="30"/>
        <v>58282.9</v>
      </c>
      <c r="R113" s="728">
        <f t="shared" si="31"/>
        <v>2564447.6</v>
      </c>
      <c r="S113" s="745">
        <f t="shared" si="32"/>
        <v>0.1</v>
      </c>
      <c r="T113" s="549">
        <f t="shared" si="33"/>
        <v>256444.76</v>
      </c>
      <c r="U113" s="548">
        <f t="shared" si="34"/>
        <v>15000</v>
      </c>
      <c r="V113" s="549">
        <f t="shared" si="35"/>
        <v>241444.76</v>
      </c>
      <c r="W113" s="533">
        <f t="shared" si="36"/>
        <v>22</v>
      </c>
      <c r="X113" s="549">
        <f t="shared" si="37"/>
        <v>10974.761818181818</v>
      </c>
      <c r="Y113" s="549">
        <f t="shared" si="38"/>
        <v>2308002.84</v>
      </c>
      <c r="Z113" s="728">
        <f t="shared" si="39"/>
        <v>17893.921452573395</v>
      </c>
      <c r="AA113" s="553">
        <f t="shared" si="40"/>
        <v>20744.981998322866</v>
      </c>
      <c r="AB113" s="553">
        <f t="shared" si="41"/>
        <v>26797.86997846653</v>
      </c>
      <c r="AC113" s="553">
        <f t="shared" si="42"/>
        <v>45701.222466530577</v>
      </c>
      <c r="AD113" s="544"/>
      <c r="AN113" s="768" t="s">
        <v>149</v>
      </c>
      <c r="AR113" s="765">
        <v>18</v>
      </c>
      <c r="AS113" s="765" t="s">
        <v>173</v>
      </c>
      <c r="AT113" s="765">
        <v>22.34</v>
      </c>
      <c r="AU113" s="766">
        <f t="shared" si="43"/>
        <v>0</v>
      </c>
    </row>
    <row r="114" spans="1:47" ht="14.25" customHeight="1">
      <c r="A114" s="547" t="s">
        <v>250</v>
      </c>
      <c r="B114" s="549">
        <f t="shared" si="23"/>
        <v>105880.04545454546</v>
      </c>
      <c r="C114" s="533" t="s">
        <v>93</v>
      </c>
      <c r="D114" s="533" t="s">
        <v>251</v>
      </c>
      <c r="E114" s="533">
        <v>22</v>
      </c>
      <c r="F114" s="545" t="s">
        <v>95</v>
      </c>
      <c r="G114" s="724">
        <v>2000000</v>
      </c>
      <c r="H114" s="725">
        <f t="shared" si="24"/>
        <v>110000</v>
      </c>
      <c r="I114" s="724">
        <f t="shared" si="25"/>
        <v>13200</v>
      </c>
      <c r="J114" s="731">
        <f t="shared" si="26"/>
        <v>63700</v>
      </c>
      <c r="K114" s="772">
        <v>75000</v>
      </c>
      <c r="L114" s="779">
        <f t="shared" si="27"/>
        <v>67461</v>
      </c>
      <c r="M114" s="733">
        <f t="shared" si="28"/>
        <v>2329361</v>
      </c>
      <c r="N114" s="758">
        <v>20000</v>
      </c>
      <c r="O114" s="758">
        <v>50000</v>
      </c>
      <c r="P114" s="548">
        <f t="shared" si="29"/>
        <v>174702.07499999998</v>
      </c>
      <c r="Q114" s="549">
        <f t="shared" si="30"/>
        <v>58234.025000000001</v>
      </c>
      <c r="R114" s="728">
        <f t="shared" si="31"/>
        <v>2562297.1</v>
      </c>
      <c r="S114" s="745">
        <f t="shared" si="32"/>
        <v>0.1</v>
      </c>
      <c r="T114" s="549">
        <f t="shared" si="33"/>
        <v>256229.71000000002</v>
      </c>
      <c r="U114" s="548">
        <f t="shared" si="34"/>
        <v>15000</v>
      </c>
      <c r="V114" s="549">
        <f t="shared" si="35"/>
        <v>241229.71000000002</v>
      </c>
      <c r="W114" s="533">
        <f t="shared" si="36"/>
        <v>22</v>
      </c>
      <c r="X114" s="549">
        <f t="shared" si="37"/>
        <v>10964.986818181818</v>
      </c>
      <c r="Y114" s="549">
        <f t="shared" si="38"/>
        <v>2306067.39</v>
      </c>
      <c r="Z114" s="728">
        <f t="shared" si="39"/>
        <v>17878.915929323965</v>
      </c>
      <c r="AA114" s="553">
        <f t="shared" si="40"/>
        <v>20727.585626571152</v>
      </c>
      <c r="AB114" s="553">
        <f t="shared" si="41"/>
        <v>26775.397762856166</v>
      </c>
      <c r="AC114" s="553">
        <f t="shared" si="42"/>
        <v>45662.898236815665</v>
      </c>
      <c r="AD114" s="544"/>
      <c r="AN114" s="768" t="s">
        <v>149</v>
      </c>
      <c r="AR114" s="765">
        <v>1</v>
      </c>
      <c r="AS114" s="765" t="s">
        <v>97</v>
      </c>
      <c r="AT114" s="765">
        <v>22</v>
      </c>
      <c r="AU114" s="766">
        <f t="shared" si="43"/>
        <v>0</v>
      </c>
    </row>
    <row r="115" spans="1:47" ht="14.25" customHeight="1">
      <c r="A115" s="547" t="s">
        <v>250</v>
      </c>
      <c r="B115" s="549">
        <f t="shared" si="23"/>
        <v>105880.04545454546</v>
      </c>
      <c r="C115" s="533" t="s">
        <v>93</v>
      </c>
      <c r="D115" s="533" t="s">
        <v>252</v>
      </c>
      <c r="E115" s="533">
        <v>22</v>
      </c>
      <c r="F115" s="545" t="s">
        <v>95</v>
      </c>
      <c r="G115" s="724">
        <v>2000000</v>
      </c>
      <c r="H115" s="725">
        <f t="shared" si="24"/>
        <v>110000</v>
      </c>
      <c r="I115" s="724">
        <f t="shared" si="25"/>
        <v>13200</v>
      </c>
      <c r="J115" s="731">
        <f t="shared" si="26"/>
        <v>63700</v>
      </c>
      <c r="K115" s="772">
        <v>75000</v>
      </c>
      <c r="L115" s="779">
        <f t="shared" si="27"/>
        <v>67461</v>
      </c>
      <c r="M115" s="733">
        <f t="shared" si="28"/>
        <v>2329361</v>
      </c>
      <c r="N115" s="758">
        <v>20000</v>
      </c>
      <c r="O115" s="758">
        <v>50000</v>
      </c>
      <c r="P115" s="548">
        <f t="shared" si="29"/>
        <v>174702.07499999998</v>
      </c>
      <c r="Q115" s="549">
        <f t="shared" si="30"/>
        <v>58234.025000000001</v>
      </c>
      <c r="R115" s="728">
        <f t="shared" si="31"/>
        <v>2562297.1</v>
      </c>
      <c r="S115" s="745">
        <f t="shared" si="32"/>
        <v>0.1</v>
      </c>
      <c r="T115" s="549">
        <f t="shared" si="33"/>
        <v>256229.71000000002</v>
      </c>
      <c r="U115" s="548">
        <f t="shared" si="34"/>
        <v>15000</v>
      </c>
      <c r="V115" s="549">
        <f t="shared" si="35"/>
        <v>241229.71000000002</v>
      </c>
      <c r="W115" s="533">
        <f t="shared" si="36"/>
        <v>22</v>
      </c>
      <c r="X115" s="549">
        <f t="shared" si="37"/>
        <v>10964.986818181818</v>
      </c>
      <c r="Y115" s="549">
        <f t="shared" si="38"/>
        <v>2306067.39</v>
      </c>
      <c r="Z115" s="728">
        <f t="shared" si="39"/>
        <v>17878.915929323965</v>
      </c>
      <c r="AA115" s="553">
        <f t="shared" si="40"/>
        <v>20727.585626571152</v>
      </c>
      <c r="AB115" s="553">
        <f t="shared" si="41"/>
        <v>26775.397762856166</v>
      </c>
      <c r="AC115" s="553">
        <f t="shared" si="42"/>
        <v>45662.898236815665</v>
      </c>
      <c r="AD115" s="544"/>
      <c r="AN115" s="768" t="s">
        <v>149</v>
      </c>
      <c r="AR115" s="765">
        <v>2</v>
      </c>
      <c r="AS115" s="765" t="s">
        <v>104</v>
      </c>
      <c r="AT115" s="765">
        <v>22</v>
      </c>
      <c r="AU115" s="766">
        <f t="shared" si="43"/>
        <v>0</v>
      </c>
    </row>
    <row r="116" spans="1:47" ht="14.25" customHeight="1">
      <c r="A116" s="547" t="s">
        <v>250</v>
      </c>
      <c r="B116" s="549">
        <f t="shared" si="23"/>
        <v>105880.04545454546</v>
      </c>
      <c r="C116" s="533" t="s">
        <v>93</v>
      </c>
      <c r="D116" s="533" t="s">
        <v>253</v>
      </c>
      <c r="E116" s="533">
        <v>22</v>
      </c>
      <c r="F116" s="545" t="s">
        <v>95</v>
      </c>
      <c r="G116" s="724">
        <v>2000000</v>
      </c>
      <c r="H116" s="725">
        <f t="shared" si="24"/>
        <v>110000</v>
      </c>
      <c r="I116" s="724">
        <f t="shared" si="25"/>
        <v>13200</v>
      </c>
      <c r="J116" s="731">
        <f t="shared" si="26"/>
        <v>63700</v>
      </c>
      <c r="K116" s="772">
        <v>75000</v>
      </c>
      <c r="L116" s="779">
        <f t="shared" si="27"/>
        <v>67461</v>
      </c>
      <c r="M116" s="733">
        <f t="shared" si="28"/>
        <v>2329361</v>
      </c>
      <c r="N116" s="758">
        <v>20000</v>
      </c>
      <c r="O116" s="758">
        <v>50000</v>
      </c>
      <c r="P116" s="548">
        <f t="shared" si="29"/>
        <v>174702.07499999998</v>
      </c>
      <c r="Q116" s="549">
        <f t="shared" si="30"/>
        <v>58234.025000000001</v>
      </c>
      <c r="R116" s="728">
        <f t="shared" si="31"/>
        <v>2562297.1</v>
      </c>
      <c r="S116" s="745">
        <f t="shared" si="32"/>
        <v>0.1</v>
      </c>
      <c r="T116" s="549">
        <f t="shared" si="33"/>
        <v>256229.71000000002</v>
      </c>
      <c r="U116" s="548">
        <f t="shared" si="34"/>
        <v>15000</v>
      </c>
      <c r="V116" s="549">
        <f t="shared" si="35"/>
        <v>241229.71000000002</v>
      </c>
      <c r="W116" s="533">
        <f t="shared" si="36"/>
        <v>22</v>
      </c>
      <c r="X116" s="549">
        <f t="shared" si="37"/>
        <v>10964.986818181818</v>
      </c>
      <c r="Y116" s="549">
        <f t="shared" si="38"/>
        <v>2306067.39</v>
      </c>
      <c r="Z116" s="728">
        <f t="shared" si="39"/>
        <v>17878.915929323965</v>
      </c>
      <c r="AA116" s="553">
        <f t="shared" si="40"/>
        <v>20727.585626571152</v>
      </c>
      <c r="AB116" s="553">
        <f t="shared" si="41"/>
        <v>26775.397762856166</v>
      </c>
      <c r="AC116" s="553">
        <f t="shared" si="42"/>
        <v>45662.898236815665</v>
      </c>
      <c r="AD116" s="544"/>
      <c r="AN116" s="768" t="s">
        <v>149</v>
      </c>
      <c r="AR116" s="765">
        <v>3</v>
      </c>
      <c r="AS116" s="765" t="s">
        <v>108</v>
      </c>
      <c r="AT116" s="765">
        <v>22</v>
      </c>
      <c r="AU116" s="766">
        <f t="shared" si="43"/>
        <v>0</v>
      </c>
    </row>
    <row r="117" spans="1:47" ht="14.25" customHeight="1">
      <c r="A117" s="547" t="s">
        <v>250</v>
      </c>
      <c r="B117" s="549">
        <f t="shared" si="23"/>
        <v>105880.04545454546</v>
      </c>
      <c r="C117" s="533" t="s">
        <v>93</v>
      </c>
      <c r="D117" s="533" t="s">
        <v>254</v>
      </c>
      <c r="E117" s="533">
        <v>22</v>
      </c>
      <c r="F117" s="545" t="s">
        <v>95</v>
      </c>
      <c r="G117" s="724">
        <v>2000000</v>
      </c>
      <c r="H117" s="725">
        <f t="shared" si="24"/>
        <v>110000</v>
      </c>
      <c r="I117" s="724">
        <f t="shared" si="25"/>
        <v>13200</v>
      </c>
      <c r="J117" s="731">
        <f t="shared" si="26"/>
        <v>63700</v>
      </c>
      <c r="K117" s="772">
        <v>75000</v>
      </c>
      <c r="L117" s="779">
        <f t="shared" si="27"/>
        <v>67461</v>
      </c>
      <c r="M117" s="733">
        <f t="shared" si="28"/>
        <v>2329361</v>
      </c>
      <c r="N117" s="758">
        <v>20000</v>
      </c>
      <c r="O117" s="758">
        <v>50000</v>
      </c>
      <c r="P117" s="548">
        <f t="shared" si="29"/>
        <v>174702.07499999998</v>
      </c>
      <c r="Q117" s="549">
        <f t="shared" si="30"/>
        <v>58234.025000000001</v>
      </c>
      <c r="R117" s="728">
        <f t="shared" si="31"/>
        <v>2562297.1</v>
      </c>
      <c r="S117" s="745">
        <f t="shared" si="32"/>
        <v>0.1</v>
      </c>
      <c r="T117" s="549">
        <f t="shared" si="33"/>
        <v>256229.71000000002</v>
      </c>
      <c r="U117" s="548">
        <f t="shared" si="34"/>
        <v>15000</v>
      </c>
      <c r="V117" s="549">
        <f t="shared" si="35"/>
        <v>241229.71000000002</v>
      </c>
      <c r="W117" s="533">
        <f t="shared" si="36"/>
        <v>22</v>
      </c>
      <c r="X117" s="549">
        <f t="shared" si="37"/>
        <v>10964.986818181818</v>
      </c>
      <c r="Y117" s="549">
        <f t="shared" si="38"/>
        <v>2306067.39</v>
      </c>
      <c r="Z117" s="728">
        <f t="shared" si="39"/>
        <v>17878.915929323965</v>
      </c>
      <c r="AA117" s="553">
        <f t="shared" si="40"/>
        <v>20727.585626571152</v>
      </c>
      <c r="AB117" s="553">
        <f t="shared" si="41"/>
        <v>26775.397762856166</v>
      </c>
      <c r="AC117" s="553">
        <f t="shared" si="42"/>
        <v>45662.898236815665</v>
      </c>
      <c r="AD117" s="544"/>
      <c r="AN117" s="768" t="s">
        <v>149</v>
      </c>
      <c r="AR117" s="765">
        <v>4</v>
      </c>
      <c r="AS117" s="765" t="s">
        <v>112</v>
      </c>
      <c r="AT117" s="765">
        <v>22</v>
      </c>
      <c r="AU117" s="766">
        <f t="shared" si="43"/>
        <v>0</v>
      </c>
    </row>
    <row r="118" spans="1:47" ht="14.25" customHeight="1">
      <c r="A118" s="547" t="s">
        <v>250</v>
      </c>
      <c r="B118" s="549">
        <f t="shared" si="23"/>
        <v>105880.04545454546</v>
      </c>
      <c r="C118" s="533" t="s">
        <v>93</v>
      </c>
      <c r="D118" s="533" t="s">
        <v>255</v>
      </c>
      <c r="E118" s="533">
        <v>22</v>
      </c>
      <c r="F118" s="545" t="s">
        <v>95</v>
      </c>
      <c r="G118" s="724">
        <v>2000000</v>
      </c>
      <c r="H118" s="725">
        <f t="shared" si="24"/>
        <v>110000</v>
      </c>
      <c r="I118" s="724">
        <f t="shared" si="25"/>
        <v>13200</v>
      </c>
      <c r="J118" s="731">
        <f t="shared" si="26"/>
        <v>63700</v>
      </c>
      <c r="K118" s="772">
        <v>75000</v>
      </c>
      <c r="L118" s="779">
        <f t="shared" si="27"/>
        <v>67461</v>
      </c>
      <c r="M118" s="733">
        <f t="shared" si="28"/>
        <v>2329361</v>
      </c>
      <c r="N118" s="758">
        <v>20000</v>
      </c>
      <c r="O118" s="758">
        <v>50000</v>
      </c>
      <c r="P118" s="548">
        <f t="shared" si="29"/>
        <v>174702.07499999998</v>
      </c>
      <c r="Q118" s="549">
        <f t="shared" si="30"/>
        <v>58234.025000000001</v>
      </c>
      <c r="R118" s="728">
        <f t="shared" si="31"/>
        <v>2562297.1</v>
      </c>
      <c r="S118" s="745">
        <f t="shared" si="32"/>
        <v>0.1</v>
      </c>
      <c r="T118" s="549">
        <f t="shared" si="33"/>
        <v>256229.71000000002</v>
      </c>
      <c r="U118" s="548">
        <f t="shared" si="34"/>
        <v>15000</v>
      </c>
      <c r="V118" s="549">
        <f t="shared" si="35"/>
        <v>241229.71000000002</v>
      </c>
      <c r="W118" s="533">
        <f t="shared" si="36"/>
        <v>22</v>
      </c>
      <c r="X118" s="549">
        <f t="shared" si="37"/>
        <v>10964.986818181818</v>
      </c>
      <c r="Y118" s="549">
        <f t="shared" si="38"/>
        <v>2306067.39</v>
      </c>
      <c r="Z118" s="728">
        <f t="shared" si="39"/>
        <v>17878.915929323965</v>
      </c>
      <c r="AA118" s="553">
        <f t="shared" si="40"/>
        <v>20727.585626571152</v>
      </c>
      <c r="AB118" s="553">
        <f t="shared" si="41"/>
        <v>26775.397762856166</v>
      </c>
      <c r="AC118" s="553">
        <f t="shared" si="42"/>
        <v>45662.898236815665</v>
      </c>
      <c r="AD118" s="544"/>
      <c r="AN118" s="768" t="s">
        <v>96</v>
      </c>
      <c r="AR118" s="765">
        <v>5</v>
      </c>
      <c r="AS118" s="765" t="s">
        <v>116</v>
      </c>
      <c r="AT118" s="765">
        <v>22</v>
      </c>
      <c r="AU118" s="766">
        <f t="shared" si="43"/>
        <v>0</v>
      </c>
    </row>
    <row r="119" spans="1:47" ht="14.25" customHeight="1">
      <c r="A119" s="547" t="s">
        <v>250</v>
      </c>
      <c r="B119" s="549">
        <f t="shared" si="23"/>
        <v>105880.04545454546</v>
      </c>
      <c r="C119" s="533" t="s">
        <v>93</v>
      </c>
      <c r="D119" s="533" t="s">
        <v>256</v>
      </c>
      <c r="E119" s="533">
        <v>22</v>
      </c>
      <c r="F119" s="545" t="s">
        <v>95</v>
      </c>
      <c r="G119" s="724">
        <v>2000000</v>
      </c>
      <c r="H119" s="725">
        <f t="shared" si="24"/>
        <v>110000</v>
      </c>
      <c r="I119" s="724">
        <f t="shared" si="25"/>
        <v>13200</v>
      </c>
      <c r="J119" s="731">
        <f t="shared" si="26"/>
        <v>63700</v>
      </c>
      <c r="K119" s="772">
        <v>75000</v>
      </c>
      <c r="L119" s="779">
        <f t="shared" si="27"/>
        <v>67461</v>
      </c>
      <c r="M119" s="733">
        <f t="shared" si="28"/>
        <v>2329361</v>
      </c>
      <c r="N119" s="758">
        <v>20000</v>
      </c>
      <c r="O119" s="758">
        <v>50000</v>
      </c>
      <c r="P119" s="548">
        <f t="shared" si="29"/>
        <v>174702.07499999998</v>
      </c>
      <c r="Q119" s="549">
        <f t="shared" si="30"/>
        <v>58234.025000000001</v>
      </c>
      <c r="R119" s="728">
        <f t="shared" si="31"/>
        <v>2562297.1</v>
      </c>
      <c r="S119" s="745">
        <f t="shared" si="32"/>
        <v>0.1</v>
      </c>
      <c r="T119" s="549">
        <f t="shared" si="33"/>
        <v>256229.71000000002</v>
      </c>
      <c r="U119" s="548">
        <f t="shared" si="34"/>
        <v>15000</v>
      </c>
      <c r="V119" s="549">
        <f t="shared" si="35"/>
        <v>241229.71000000002</v>
      </c>
      <c r="W119" s="533">
        <f t="shared" si="36"/>
        <v>22</v>
      </c>
      <c r="X119" s="549">
        <f t="shared" si="37"/>
        <v>10964.986818181818</v>
      </c>
      <c r="Y119" s="549">
        <f t="shared" si="38"/>
        <v>2306067.39</v>
      </c>
      <c r="Z119" s="728">
        <f t="shared" si="39"/>
        <v>17878.915929323965</v>
      </c>
      <c r="AA119" s="553">
        <f t="shared" si="40"/>
        <v>20727.585626571152</v>
      </c>
      <c r="AB119" s="553">
        <f t="shared" si="41"/>
        <v>26775.397762856166</v>
      </c>
      <c r="AC119" s="553">
        <f t="shared" si="42"/>
        <v>45662.898236815665</v>
      </c>
      <c r="AD119" s="544"/>
      <c r="AN119" s="768" t="s">
        <v>96</v>
      </c>
      <c r="AR119" s="765">
        <v>6</v>
      </c>
      <c r="AS119" s="765" t="s">
        <v>119</v>
      </c>
      <c r="AT119" s="765">
        <v>22</v>
      </c>
      <c r="AU119" s="766">
        <f t="shared" si="43"/>
        <v>0</v>
      </c>
    </row>
    <row r="120" spans="1:47" ht="14.25" customHeight="1">
      <c r="A120" s="547" t="s">
        <v>250</v>
      </c>
      <c r="B120" s="549">
        <f t="shared" si="23"/>
        <v>105880.04545454546</v>
      </c>
      <c r="C120" s="533" t="s">
        <v>117</v>
      </c>
      <c r="D120" s="533" t="s">
        <v>257</v>
      </c>
      <c r="E120" s="533">
        <v>22</v>
      </c>
      <c r="F120" s="545" t="s">
        <v>95</v>
      </c>
      <c r="G120" s="724">
        <v>2000000</v>
      </c>
      <c r="H120" s="725">
        <f t="shared" si="24"/>
        <v>110000</v>
      </c>
      <c r="I120" s="724">
        <f t="shared" si="25"/>
        <v>13200</v>
      </c>
      <c r="J120" s="731">
        <f t="shared" si="26"/>
        <v>63700</v>
      </c>
      <c r="K120" s="772">
        <v>75000</v>
      </c>
      <c r="L120" s="779">
        <f t="shared" si="27"/>
        <v>67461</v>
      </c>
      <c r="M120" s="733">
        <f t="shared" si="28"/>
        <v>2329361</v>
      </c>
      <c r="N120" s="758">
        <v>20000</v>
      </c>
      <c r="O120" s="758">
        <v>50000</v>
      </c>
      <c r="P120" s="548">
        <f t="shared" si="29"/>
        <v>174702.07499999998</v>
      </c>
      <c r="Q120" s="549">
        <f t="shared" si="30"/>
        <v>58234.025000000001</v>
      </c>
      <c r="R120" s="728">
        <f t="shared" si="31"/>
        <v>2562297.1</v>
      </c>
      <c r="S120" s="745">
        <f t="shared" si="32"/>
        <v>0.1</v>
      </c>
      <c r="T120" s="549">
        <f t="shared" si="33"/>
        <v>256229.71000000002</v>
      </c>
      <c r="U120" s="548">
        <f t="shared" si="34"/>
        <v>15000</v>
      </c>
      <c r="V120" s="549">
        <f t="shared" si="35"/>
        <v>241229.71000000002</v>
      </c>
      <c r="W120" s="533">
        <f t="shared" si="36"/>
        <v>22</v>
      </c>
      <c r="X120" s="549">
        <f t="shared" si="37"/>
        <v>10964.986818181818</v>
      </c>
      <c r="Y120" s="549">
        <f t="shared" si="38"/>
        <v>2306067.39</v>
      </c>
      <c r="Z120" s="728">
        <f t="shared" si="39"/>
        <v>17878.915929323965</v>
      </c>
      <c r="AA120" s="553">
        <f t="shared" si="40"/>
        <v>20727.585626571152</v>
      </c>
      <c r="AB120" s="553">
        <f t="shared" si="41"/>
        <v>26775.397762856166</v>
      </c>
      <c r="AC120" s="553">
        <f t="shared" si="42"/>
        <v>45662.898236815665</v>
      </c>
      <c r="AD120" s="544"/>
      <c r="AN120" s="768" t="s">
        <v>96</v>
      </c>
      <c r="AR120" s="765">
        <v>7</v>
      </c>
      <c r="AS120" s="765" t="s">
        <v>121</v>
      </c>
      <c r="AT120" s="765">
        <v>22</v>
      </c>
      <c r="AU120" s="766">
        <f t="shared" si="43"/>
        <v>0</v>
      </c>
    </row>
    <row r="121" spans="1:47" ht="14.25" customHeight="1">
      <c r="A121" s="547" t="s">
        <v>250</v>
      </c>
      <c r="B121" s="549">
        <f t="shared" si="23"/>
        <v>104356.13249776186</v>
      </c>
      <c r="C121" s="533" t="s">
        <v>117</v>
      </c>
      <c r="D121" s="533" t="s">
        <v>258</v>
      </c>
      <c r="E121" s="533">
        <v>22.34</v>
      </c>
      <c r="F121" s="545" t="s">
        <v>95</v>
      </c>
      <c r="G121" s="724">
        <v>2000000</v>
      </c>
      <c r="H121" s="725">
        <f t="shared" si="24"/>
        <v>111700</v>
      </c>
      <c r="I121" s="724">
        <f t="shared" si="25"/>
        <v>13404</v>
      </c>
      <c r="J121" s="731">
        <f t="shared" si="26"/>
        <v>63700</v>
      </c>
      <c r="K121" s="772">
        <v>75000</v>
      </c>
      <c r="L121" s="779">
        <f t="shared" si="27"/>
        <v>67512</v>
      </c>
      <c r="M121" s="733">
        <f t="shared" si="28"/>
        <v>2331316</v>
      </c>
      <c r="N121" s="758">
        <v>20000</v>
      </c>
      <c r="O121" s="758">
        <v>50000</v>
      </c>
      <c r="P121" s="548">
        <f t="shared" si="29"/>
        <v>174848.69999999998</v>
      </c>
      <c r="Q121" s="549">
        <f t="shared" si="30"/>
        <v>58282.9</v>
      </c>
      <c r="R121" s="728">
        <f t="shared" si="31"/>
        <v>2564447.6</v>
      </c>
      <c r="S121" s="745">
        <f t="shared" si="32"/>
        <v>0.1</v>
      </c>
      <c r="T121" s="549">
        <f t="shared" si="33"/>
        <v>256444.76</v>
      </c>
      <c r="U121" s="548">
        <f t="shared" si="34"/>
        <v>15000</v>
      </c>
      <c r="V121" s="549">
        <f t="shared" si="35"/>
        <v>241444.76</v>
      </c>
      <c r="W121" s="533">
        <f t="shared" si="36"/>
        <v>22</v>
      </c>
      <c r="X121" s="549">
        <f t="shared" si="37"/>
        <v>10974.761818181818</v>
      </c>
      <c r="Y121" s="549">
        <f t="shared" si="38"/>
        <v>2308002.84</v>
      </c>
      <c r="Z121" s="728">
        <f t="shared" si="39"/>
        <v>17893.921452573395</v>
      </c>
      <c r="AA121" s="553">
        <f t="shared" si="40"/>
        <v>20744.981998322866</v>
      </c>
      <c r="AB121" s="553">
        <f t="shared" si="41"/>
        <v>26797.86997846653</v>
      </c>
      <c r="AC121" s="553">
        <f t="shared" si="42"/>
        <v>45701.222466530577</v>
      </c>
      <c r="AD121" s="544"/>
      <c r="AN121" s="768" t="s">
        <v>149</v>
      </c>
      <c r="AR121" s="765">
        <v>8</v>
      </c>
      <c r="AS121" s="765" t="s">
        <v>123</v>
      </c>
      <c r="AT121" s="765">
        <v>22.34</v>
      </c>
      <c r="AU121" s="766">
        <f t="shared" si="43"/>
        <v>0</v>
      </c>
    </row>
    <row r="122" spans="1:47" ht="14.25" customHeight="1">
      <c r="A122" s="547" t="s">
        <v>250</v>
      </c>
      <c r="B122" s="549">
        <f t="shared" si="23"/>
        <v>105880.04545454546</v>
      </c>
      <c r="C122" s="533" t="s">
        <v>93</v>
      </c>
      <c r="D122" s="533" t="s">
        <v>259</v>
      </c>
      <c r="E122" s="533">
        <v>22</v>
      </c>
      <c r="F122" s="545" t="s">
        <v>95</v>
      </c>
      <c r="G122" s="724">
        <v>2000000</v>
      </c>
      <c r="H122" s="725">
        <f t="shared" si="24"/>
        <v>110000</v>
      </c>
      <c r="I122" s="724">
        <f t="shared" si="25"/>
        <v>13200</v>
      </c>
      <c r="J122" s="731">
        <f t="shared" si="26"/>
        <v>63700</v>
      </c>
      <c r="K122" s="772">
        <v>75000</v>
      </c>
      <c r="L122" s="779">
        <f t="shared" si="27"/>
        <v>67461</v>
      </c>
      <c r="M122" s="733">
        <f t="shared" si="28"/>
        <v>2329361</v>
      </c>
      <c r="N122" s="758">
        <v>20000</v>
      </c>
      <c r="O122" s="758">
        <v>50000</v>
      </c>
      <c r="P122" s="548">
        <f t="shared" si="29"/>
        <v>174702.07499999998</v>
      </c>
      <c r="Q122" s="549">
        <f t="shared" si="30"/>
        <v>58234.025000000001</v>
      </c>
      <c r="R122" s="728">
        <f t="shared" si="31"/>
        <v>2562297.1</v>
      </c>
      <c r="S122" s="745">
        <f t="shared" si="32"/>
        <v>0.1</v>
      </c>
      <c r="T122" s="549">
        <f t="shared" si="33"/>
        <v>256229.71000000002</v>
      </c>
      <c r="U122" s="548">
        <f t="shared" si="34"/>
        <v>15000</v>
      </c>
      <c r="V122" s="549">
        <f t="shared" si="35"/>
        <v>241229.71000000002</v>
      </c>
      <c r="W122" s="533">
        <f t="shared" si="36"/>
        <v>22</v>
      </c>
      <c r="X122" s="549">
        <f t="shared" si="37"/>
        <v>10964.986818181818</v>
      </c>
      <c r="Y122" s="549">
        <f t="shared" si="38"/>
        <v>2306067.39</v>
      </c>
      <c r="Z122" s="728">
        <f t="shared" si="39"/>
        <v>17878.915929323965</v>
      </c>
      <c r="AA122" s="553">
        <f t="shared" si="40"/>
        <v>20727.585626571152</v>
      </c>
      <c r="AB122" s="553">
        <f t="shared" si="41"/>
        <v>26775.397762856166</v>
      </c>
      <c r="AC122" s="553">
        <f t="shared" si="42"/>
        <v>45662.898236815665</v>
      </c>
      <c r="AD122" s="544"/>
      <c r="AN122" s="768" t="s">
        <v>149</v>
      </c>
      <c r="AR122" s="765">
        <v>9</v>
      </c>
      <c r="AS122" s="765" t="s">
        <v>125</v>
      </c>
      <c r="AT122" s="765">
        <v>22</v>
      </c>
      <c r="AU122" s="766">
        <f t="shared" si="43"/>
        <v>0</v>
      </c>
    </row>
    <row r="123" spans="1:47" ht="14.25" customHeight="1">
      <c r="A123" s="547" t="s">
        <v>250</v>
      </c>
      <c r="B123" s="549">
        <f t="shared" si="23"/>
        <v>105880.04545454546</v>
      </c>
      <c r="C123" s="533" t="s">
        <v>93</v>
      </c>
      <c r="D123" s="533" t="s">
        <v>260</v>
      </c>
      <c r="E123" s="533">
        <v>22</v>
      </c>
      <c r="F123" s="545" t="s">
        <v>95</v>
      </c>
      <c r="G123" s="724">
        <v>2000000</v>
      </c>
      <c r="H123" s="725">
        <f t="shared" si="24"/>
        <v>110000</v>
      </c>
      <c r="I123" s="724">
        <f t="shared" si="25"/>
        <v>13200</v>
      </c>
      <c r="J123" s="731">
        <f t="shared" si="26"/>
        <v>63700</v>
      </c>
      <c r="K123" s="772">
        <v>75000</v>
      </c>
      <c r="L123" s="779">
        <f t="shared" si="27"/>
        <v>67461</v>
      </c>
      <c r="M123" s="733">
        <f t="shared" si="28"/>
        <v>2329361</v>
      </c>
      <c r="N123" s="758">
        <v>20000</v>
      </c>
      <c r="O123" s="758">
        <v>50000</v>
      </c>
      <c r="P123" s="548">
        <f t="shared" si="29"/>
        <v>174702.07499999998</v>
      </c>
      <c r="Q123" s="549">
        <f t="shared" si="30"/>
        <v>58234.025000000001</v>
      </c>
      <c r="R123" s="728">
        <f t="shared" si="31"/>
        <v>2562297.1</v>
      </c>
      <c r="S123" s="745">
        <f t="shared" si="32"/>
        <v>0.1</v>
      </c>
      <c r="T123" s="549">
        <f t="shared" si="33"/>
        <v>256229.71000000002</v>
      </c>
      <c r="U123" s="548">
        <f t="shared" si="34"/>
        <v>15000</v>
      </c>
      <c r="V123" s="549">
        <f t="shared" si="35"/>
        <v>241229.71000000002</v>
      </c>
      <c r="W123" s="533">
        <f t="shared" si="36"/>
        <v>22</v>
      </c>
      <c r="X123" s="549">
        <f t="shared" si="37"/>
        <v>10964.986818181818</v>
      </c>
      <c r="Y123" s="549">
        <f t="shared" si="38"/>
        <v>2306067.39</v>
      </c>
      <c r="Z123" s="728">
        <f t="shared" si="39"/>
        <v>17878.915929323965</v>
      </c>
      <c r="AA123" s="553">
        <f t="shared" si="40"/>
        <v>20727.585626571152</v>
      </c>
      <c r="AB123" s="553">
        <f t="shared" si="41"/>
        <v>26775.397762856166</v>
      </c>
      <c r="AC123" s="553">
        <f t="shared" si="42"/>
        <v>45662.898236815665</v>
      </c>
      <c r="AD123" s="544"/>
      <c r="AN123" s="768" t="s">
        <v>149</v>
      </c>
      <c r="AR123" s="765">
        <v>10</v>
      </c>
      <c r="AS123" s="765" t="s">
        <v>127</v>
      </c>
      <c r="AT123" s="765">
        <v>22</v>
      </c>
      <c r="AU123" s="766">
        <f t="shared" si="43"/>
        <v>0</v>
      </c>
    </row>
    <row r="124" spans="1:47" ht="14.25" customHeight="1">
      <c r="A124" s="547" t="s">
        <v>250</v>
      </c>
      <c r="B124" s="549">
        <f t="shared" si="23"/>
        <v>105880.04545454546</v>
      </c>
      <c r="C124" s="533" t="s">
        <v>93</v>
      </c>
      <c r="D124" s="533" t="s">
        <v>261</v>
      </c>
      <c r="E124" s="533">
        <v>22</v>
      </c>
      <c r="F124" s="545" t="s">
        <v>95</v>
      </c>
      <c r="G124" s="724">
        <v>2000000</v>
      </c>
      <c r="H124" s="725">
        <f t="shared" si="24"/>
        <v>110000</v>
      </c>
      <c r="I124" s="724">
        <f t="shared" si="25"/>
        <v>13200</v>
      </c>
      <c r="J124" s="731">
        <f t="shared" si="26"/>
        <v>63700</v>
      </c>
      <c r="K124" s="772">
        <v>75000</v>
      </c>
      <c r="L124" s="779">
        <f t="shared" si="27"/>
        <v>67461</v>
      </c>
      <c r="M124" s="733">
        <f t="shared" si="28"/>
        <v>2329361</v>
      </c>
      <c r="N124" s="758">
        <v>20000</v>
      </c>
      <c r="O124" s="758">
        <v>50000</v>
      </c>
      <c r="P124" s="548">
        <f t="shared" si="29"/>
        <v>174702.07499999998</v>
      </c>
      <c r="Q124" s="549">
        <f t="shared" si="30"/>
        <v>58234.025000000001</v>
      </c>
      <c r="R124" s="728">
        <f t="shared" si="31"/>
        <v>2562297.1</v>
      </c>
      <c r="S124" s="745">
        <f t="shared" si="32"/>
        <v>0.1</v>
      </c>
      <c r="T124" s="549">
        <f t="shared" si="33"/>
        <v>256229.71000000002</v>
      </c>
      <c r="U124" s="548">
        <f t="shared" si="34"/>
        <v>15000</v>
      </c>
      <c r="V124" s="549">
        <f t="shared" si="35"/>
        <v>241229.71000000002</v>
      </c>
      <c r="W124" s="533">
        <f t="shared" si="36"/>
        <v>22</v>
      </c>
      <c r="X124" s="549">
        <f t="shared" si="37"/>
        <v>10964.986818181818</v>
      </c>
      <c r="Y124" s="549">
        <f t="shared" si="38"/>
        <v>2306067.39</v>
      </c>
      <c r="Z124" s="728">
        <f t="shared" si="39"/>
        <v>17878.915929323965</v>
      </c>
      <c r="AA124" s="553">
        <f t="shared" si="40"/>
        <v>20727.585626571152</v>
      </c>
      <c r="AB124" s="553">
        <f t="shared" si="41"/>
        <v>26775.397762856166</v>
      </c>
      <c r="AC124" s="553">
        <f t="shared" si="42"/>
        <v>45662.898236815665</v>
      </c>
      <c r="AD124" s="544"/>
      <c r="AN124" s="768" t="s">
        <v>149</v>
      </c>
      <c r="AR124" s="765">
        <v>11</v>
      </c>
      <c r="AS124" s="765" t="s">
        <v>129</v>
      </c>
      <c r="AT124" s="765">
        <v>22</v>
      </c>
      <c r="AU124" s="766">
        <f t="shared" si="43"/>
        <v>0</v>
      </c>
    </row>
    <row r="125" spans="1:47" ht="14.25" customHeight="1">
      <c r="A125" s="547" t="s">
        <v>250</v>
      </c>
      <c r="B125" s="549">
        <f t="shared" si="23"/>
        <v>105880.04545454546</v>
      </c>
      <c r="C125" s="533" t="s">
        <v>93</v>
      </c>
      <c r="D125" s="533" t="s">
        <v>262</v>
      </c>
      <c r="E125" s="533">
        <v>22</v>
      </c>
      <c r="F125" s="545" t="s">
        <v>95</v>
      </c>
      <c r="G125" s="724">
        <v>2000000</v>
      </c>
      <c r="H125" s="725">
        <f t="shared" si="24"/>
        <v>110000</v>
      </c>
      <c r="I125" s="724">
        <f t="shared" si="25"/>
        <v>13200</v>
      </c>
      <c r="J125" s="731">
        <f t="shared" si="26"/>
        <v>63700</v>
      </c>
      <c r="K125" s="772">
        <v>75000</v>
      </c>
      <c r="L125" s="779">
        <f t="shared" si="27"/>
        <v>67461</v>
      </c>
      <c r="M125" s="733">
        <f t="shared" si="28"/>
        <v>2329361</v>
      </c>
      <c r="N125" s="758">
        <v>20000</v>
      </c>
      <c r="O125" s="758">
        <v>50000</v>
      </c>
      <c r="P125" s="548">
        <f t="shared" si="29"/>
        <v>174702.07499999998</v>
      </c>
      <c r="Q125" s="549">
        <f t="shared" si="30"/>
        <v>58234.025000000001</v>
      </c>
      <c r="R125" s="728">
        <f t="shared" si="31"/>
        <v>2562297.1</v>
      </c>
      <c r="S125" s="745">
        <f t="shared" si="32"/>
        <v>0.1</v>
      </c>
      <c r="T125" s="549">
        <f t="shared" si="33"/>
        <v>256229.71000000002</v>
      </c>
      <c r="U125" s="548">
        <f t="shared" si="34"/>
        <v>15000</v>
      </c>
      <c r="V125" s="549">
        <f t="shared" si="35"/>
        <v>241229.71000000002</v>
      </c>
      <c r="W125" s="533">
        <f t="shared" si="36"/>
        <v>22</v>
      </c>
      <c r="X125" s="549">
        <f t="shared" si="37"/>
        <v>10964.986818181818</v>
      </c>
      <c r="Y125" s="549">
        <f t="shared" si="38"/>
        <v>2306067.39</v>
      </c>
      <c r="Z125" s="728">
        <f t="shared" si="39"/>
        <v>17878.915929323965</v>
      </c>
      <c r="AA125" s="553">
        <f t="shared" si="40"/>
        <v>20727.585626571152</v>
      </c>
      <c r="AB125" s="553">
        <f t="shared" si="41"/>
        <v>26775.397762856166</v>
      </c>
      <c r="AC125" s="553">
        <f t="shared" si="42"/>
        <v>45662.898236815665</v>
      </c>
      <c r="AD125" s="544"/>
      <c r="AN125" s="768" t="s">
        <v>149</v>
      </c>
      <c r="AR125" s="765">
        <v>12</v>
      </c>
      <c r="AS125" s="765" t="s">
        <v>131</v>
      </c>
      <c r="AT125" s="765">
        <v>22</v>
      </c>
      <c r="AU125" s="766">
        <f t="shared" si="43"/>
        <v>0</v>
      </c>
    </row>
    <row r="126" spans="1:47" ht="14.25" customHeight="1">
      <c r="A126" s="547" t="s">
        <v>250</v>
      </c>
      <c r="B126" s="549">
        <f t="shared" si="23"/>
        <v>105880.04545454546</v>
      </c>
      <c r="C126" s="533" t="s">
        <v>93</v>
      </c>
      <c r="D126" s="533" t="s">
        <v>263</v>
      </c>
      <c r="E126" s="533">
        <v>22</v>
      </c>
      <c r="F126" s="545" t="s">
        <v>95</v>
      </c>
      <c r="G126" s="724">
        <v>2000000</v>
      </c>
      <c r="H126" s="725">
        <f t="shared" si="24"/>
        <v>110000</v>
      </c>
      <c r="I126" s="724">
        <f t="shared" si="25"/>
        <v>13200</v>
      </c>
      <c r="J126" s="731">
        <f t="shared" si="26"/>
        <v>63700</v>
      </c>
      <c r="K126" s="772">
        <v>75000</v>
      </c>
      <c r="L126" s="779">
        <f t="shared" si="27"/>
        <v>67461</v>
      </c>
      <c r="M126" s="733">
        <f t="shared" si="28"/>
        <v>2329361</v>
      </c>
      <c r="N126" s="758">
        <v>20000</v>
      </c>
      <c r="O126" s="758">
        <v>50000</v>
      </c>
      <c r="P126" s="548">
        <f t="shared" si="29"/>
        <v>174702.07499999998</v>
      </c>
      <c r="Q126" s="549">
        <f t="shared" si="30"/>
        <v>58234.025000000001</v>
      </c>
      <c r="R126" s="728">
        <f t="shared" si="31"/>
        <v>2562297.1</v>
      </c>
      <c r="S126" s="745">
        <f t="shared" si="32"/>
        <v>0.1</v>
      </c>
      <c r="T126" s="549">
        <f t="shared" si="33"/>
        <v>256229.71000000002</v>
      </c>
      <c r="U126" s="548">
        <f t="shared" si="34"/>
        <v>15000</v>
      </c>
      <c r="V126" s="549">
        <f t="shared" si="35"/>
        <v>241229.71000000002</v>
      </c>
      <c r="W126" s="533">
        <f t="shared" si="36"/>
        <v>22</v>
      </c>
      <c r="X126" s="549">
        <f t="shared" si="37"/>
        <v>10964.986818181818</v>
      </c>
      <c r="Y126" s="549">
        <f t="shared" si="38"/>
        <v>2306067.39</v>
      </c>
      <c r="Z126" s="728">
        <f t="shared" si="39"/>
        <v>17878.915929323965</v>
      </c>
      <c r="AA126" s="553">
        <f t="shared" si="40"/>
        <v>20727.585626571152</v>
      </c>
      <c r="AB126" s="553">
        <f t="shared" si="41"/>
        <v>26775.397762856166</v>
      </c>
      <c r="AC126" s="553">
        <f t="shared" si="42"/>
        <v>45662.898236815665</v>
      </c>
      <c r="AD126" s="544"/>
      <c r="AN126" s="768" t="s">
        <v>149</v>
      </c>
      <c r="AR126" s="765">
        <v>13</v>
      </c>
      <c r="AS126" s="765" t="s">
        <v>133</v>
      </c>
      <c r="AT126" s="765">
        <v>22</v>
      </c>
      <c r="AU126" s="766">
        <f t="shared" si="43"/>
        <v>0</v>
      </c>
    </row>
    <row r="127" spans="1:47" ht="14.25" customHeight="1">
      <c r="A127" s="547" t="s">
        <v>250</v>
      </c>
      <c r="B127" s="549">
        <f t="shared" si="23"/>
        <v>105880.04545454546</v>
      </c>
      <c r="C127" s="533" t="s">
        <v>93</v>
      </c>
      <c r="D127" s="533" t="s">
        <v>264</v>
      </c>
      <c r="E127" s="533">
        <v>22</v>
      </c>
      <c r="F127" s="545" t="s">
        <v>95</v>
      </c>
      <c r="G127" s="724">
        <v>2000000</v>
      </c>
      <c r="H127" s="725">
        <f t="shared" si="24"/>
        <v>110000</v>
      </c>
      <c r="I127" s="724">
        <f t="shared" si="25"/>
        <v>13200</v>
      </c>
      <c r="J127" s="731">
        <f t="shared" si="26"/>
        <v>63700</v>
      </c>
      <c r="K127" s="772">
        <v>75000</v>
      </c>
      <c r="L127" s="779">
        <f t="shared" si="27"/>
        <v>67461</v>
      </c>
      <c r="M127" s="733">
        <f t="shared" si="28"/>
        <v>2329361</v>
      </c>
      <c r="N127" s="758">
        <v>20000</v>
      </c>
      <c r="O127" s="758">
        <v>50000</v>
      </c>
      <c r="P127" s="548">
        <f t="shared" si="29"/>
        <v>174702.07499999998</v>
      </c>
      <c r="Q127" s="549">
        <f t="shared" si="30"/>
        <v>58234.025000000001</v>
      </c>
      <c r="R127" s="728">
        <f t="shared" si="31"/>
        <v>2562297.1</v>
      </c>
      <c r="S127" s="745">
        <f t="shared" si="32"/>
        <v>0.1</v>
      </c>
      <c r="T127" s="549">
        <f t="shared" si="33"/>
        <v>256229.71000000002</v>
      </c>
      <c r="U127" s="548">
        <f t="shared" si="34"/>
        <v>15000</v>
      </c>
      <c r="V127" s="549">
        <f t="shared" si="35"/>
        <v>241229.71000000002</v>
      </c>
      <c r="W127" s="533">
        <f t="shared" si="36"/>
        <v>22</v>
      </c>
      <c r="X127" s="549">
        <f t="shared" si="37"/>
        <v>10964.986818181818</v>
      </c>
      <c r="Y127" s="549">
        <f t="shared" si="38"/>
        <v>2306067.39</v>
      </c>
      <c r="Z127" s="728">
        <f t="shared" si="39"/>
        <v>17878.915929323965</v>
      </c>
      <c r="AA127" s="553">
        <f t="shared" si="40"/>
        <v>20727.585626571152</v>
      </c>
      <c r="AB127" s="553">
        <f t="shared" si="41"/>
        <v>26775.397762856166</v>
      </c>
      <c r="AC127" s="553">
        <f t="shared" si="42"/>
        <v>45662.898236815665</v>
      </c>
      <c r="AD127" s="544"/>
      <c r="AN127" s="768" t="s">
        <v>149</v>
      </c>
      <c r="AR127" s="765">
        <v>14</v>
      </c>
      <c r="AS127" s="765" t="s">
        <v>135</v>
      </c>
      <c r="AT127" s="765">
        <v>22</v>
      </c>
      <c r="AU127" s="766">
        <f t="shared" si="43"/>
        <v>0</v>
      </c>
    </row>
    <row r="128" spans="1:47" ht="14.25" customHeight="1">
      <c r="A128" s="547" t="s">
        <v>250</v>
      </c>
      <c r="B128" s="549">
        <f t="shared" si="23"/>
        <v>105880.04545454546</v>
      </c>
      <c r="C128" s="533" t="s">
        <v>93</v>
      </c>
      <c r="D128" s="533" t="s">
        <v>265</v>
      </c>
      <c r="E128" s="533">
        <v>22</v>
      </c>
      <c r="F128" s="545" t="s">
        <v>95</v>
      </c>
      <c r="G128" s="724">
        <v>2000000</v>
      </c>
      <c r="H128" s="725">
        <f t="shared" si="24"/>
        <v>110000</v>
      </c>
      <c r="I128" s="724">
        <f t="shared" si="25"/>
        <v>13200</v>
      </c>
      <c r="J128" s="731">
        <f t="shared" si="26"/>
        <v>63700</v>
      </c>
      <c r="K128" s="772">
        <v>75000</v>
      </c>
      <c r="L128" s="779">
        <f t="shared" si="27"/>
        <v>67461</v>
      </c>
      <c r="M128" s="733">
        <f t="shared" si="28"/>
        <v>2329361</v>
      </c>
      <c r="N128" s="758">
        <v>20000</v>
      </c>
      <c r="O128" s="758">
        <v>50000</v>
      </c>
      <c r="P128" s="548">
        <f t="shared" si="29"/>
        <v>174702.07499999998</v>
      </c>
      <c r="Q128" s="549">
        <f t="shared" si="30"/>
        <v>58234.025000000001</v>
      </c>
      <c r="R128" s="728">
        <f t="shared" si="31"/>
        <v>2562297.1</v>
      </c>
      <c r="S128" s="745">
        <f t="shared" si="32"/>
        <v>0.1</v>
      </c>
      <c r="T128" s="549">
        <f t="shared" si="33"/>
        <v>256229.71000000002</v>
      </c>
      <c r="U128" s="548">
        <f t="shared" si="34"/>
        <v>15000</v>
      </c>
      <c r="V128" s="549">
        <f t="shared" si="35"/>
        <v>241229.71000000002</v>
      </c>
      <c r="W128" s="533">
        <f t="shared" si="36"/>
        <v>22</v>
      </c>
      <c r="X128" s="549">
        <f t="shared" si="37"/>
        <v>10964.986818181818</v>
      </c>
      <c r="Y128" s="549">
        <f t="shared" si="38"/>
        <v>2306067.39</v>
      </c>
      <c r="Z128" s="728">
        <f t="shared" si="39"/>
        <v>17878.915929323965</v>
      </c>
      <c r="AA128" s="553">
        <f t="shared" si="40"/>
        <v>20727.585626571152</v>
      </c>
      <c r="AB128" s="553">
        <f t="shared" si="41"/>
        <v>26775.397762856166</v>
      </c>
      <c r="AC128" s="553">
        <f t="shared" si="42"/>
        <v>45662.898236815665</v>
      </c>
      <c r="AD128" s="544"/>
      <c r="AN128" s="768" t="s">
        <v>149</v>
      </c>
      <c r="AR128" s="765">
        <v>15</v>
      </c>
      <c r="AS128" s="765" t="s">
        <v>138</v>
      </c>
      <c r="AT128" s="765">
        <v>22</v>
      </c>
      <c r="AU128" s="766">
        <f t="shared" si="43"/>
        <v>0</v>
      </c>
    </row>
    <row r="129" spans="1:47" ht="14.25" customHeight="1">
      <c r="A129" s="547" t="s">
        <v>250</v>
      </c>
      <c r="B129" s="549">
        <f t="shared" si="23"/>
        <v>105880.04545454546</v>
      </c>
      <c r="C129" s="533" t="s">
        <v>93</v>
      </c>
      <c r="D129" s="533" t="s">
        <v>266</v>
      </c>
      <c r="E129" s="533">
        <v>22</v>
      </c>
      <c r="F129" s="545" t="s">
        <v>95</v>
      </c>
      <c r="G129" s="724">
        <v>2000000</v>
      </c>
      <c r="H129" s="725">
        <f t="shared" si="24"/>
        <v>110000</v>
      </c>
      <c r="I129" s="724">
        <f t="shared" si="25"/>
        <v>13200</v>
      </c>
      <c r="J129" s="731">
        <f t="shared" si="26"/>
        <v>63700</v>
      </c>
      <c r="K129" s="772">
        <v>75000</v>
      </c>
      <c r="L129" s="779">
        <f t="shared" si="27"/>
        <v>67461</v>
      </c>
      <c r="M129" s="733">
        <f t="shared" si="28"/>
        <v>2329361</v>
      </c>
      <c r="N129" s="758">
        <v>20000</v>
      </c>
      <c r="O129" s="758">
        <v>50000</v>
      </c>
      <c r="P129" s="548">
        <f t="shared" si="29"/>
        <v>174702.07499999998</v>
      </c>
      <c r="Q129" s="549">
        <f t="shared" si="30"/>
        <v>58234.025000000001</v>
      </c>
      <c r="R129" s="728">
        <f t="shared" si="31"/>
        <v>2562297.1</v>
      </c>
      <c r="S129" s="745">
        <f t="shared" si="32"/>
        <v>0.1</v>
      </c>
      <c r="T129" s="549">
        <f t="shared" si="33"/>
        <v>256229.71000000002</v>
      </c>
      <c r="U129" s="548">
        <f t="shared" si="34"/>
        <v>15000</v>
      </c>
      <c r="V129" s="549">
        <f t="shared" si="35"/>
        <v>241229.71000000002</v>
      </c>
      <c r="W129" s="533">
        <f t="shared" si="36"/>
        <v>22</v>
      </c>
      <c r="X129" s="549">
        <f t="shared" si="37"/>
        <v>10964.986818181818</v>
      </c>
      <c r="Y129" s="549">
        <f t="shared" si="38"/>
        <v>2306067.39</v>
      </c>
      <c r="Z129" s="728">
        <f t="shared" si="39"/>
        <v>17878.915929323965</v>
      </c>
      <c r="AA129" s="553">
        <f t="shared" si="40"/>
        <v>20727.585626571152</v>
      </c>
      <c r="AB129" s="553">
        <f t="shared" si="41"/>
        <v>26775.397762856166</v>
      </c>
      <c r="AC129" s="553">
        <f t="shared" si="42"/>
        <v>45662.898236815665</v>
      </c>
      <c r="AD129" s="544"/>
      <c r="AN129" s="768" t="s">
        <v>149</v>
      </c>
      <c r="AR129" s="765">
        <v>16</v>
      </c>
      <c r="AS129" s="765" t="s">
        <v>142</v>
      </c>
      <c r="AT129" s="765">
        <v>22</v>
      </c>
      <c r="AU129" s="766">
        <f t="shared" si="43"/>
        <v>0</v>
      </c>
    </row>
    <row r="130" spans="1:47" ht="14.25" customHeight="1">
      <c r="A130" s="547" t="s">
        <v>250</v>
      </c>
      <c r="B130" s="549">
        <f t="shared" si="23"/>
        <v>105880.04545454546</v>
      </c>
      <c r="C130" s="533" t="s">
        <v>93</v>
      </c>
      <c r="D130" s="533" t="s">
        <v>267</v>
      </c>
      <c r="E130" s="533">
        <v>22</v>
      </c>
      <c r="F130" s="545" t="s">
        <v>95</v>
      </c>
      <c r="G130" s="724">
        <v>2000000</v>
      </c>
      <c r="H130" s="725">
        <f t="shared" si="24"/>
        <v>110000</v>
      </c>
      <c r="I130" s="724">
        <f t="shared" si="25"/>
        <v>13200</v>
      </c>
      <c r="J130" s="731">
        <f t="shared" si="26"/>
        <v>63700</v>
      </c>
      <c r="K130" s="772">
        <v>75000</v>
      </c>
      <c r="L130" s="779">
        <f t="shared" si="27"/>
        <v>67461</v>
      </c>
      <c r="M130" s="733">
        <f t="shared" si="28"/>
        <v>2329361</v>
      </c>
      <c r="N130" s="758">
        <v>20000</v>
      </c>
      <c r="O130" s="758">
        <v>50000</v>
      </c>
      <c r="P130" s="548">
        <f t="shared" si="29"/>
        <v>174702.07499999998</v>
      </c>
      <c r="Q130" s="549">
        <f t="shared" si="30"/>
        <v>58234.025000000001</v>
      </c>
      <c r="R130" s="728">
        <f t="shared" si="31"/>
        <v>2562297.1</v>
      </c>
      <c r="S130" s="745">
        <f t="shared" si="32"/>
        <v>0.1</v>
      </c>
      <c r="T130" s="549">
        <f t="shared" si="33"/>
        <v>256229.71000000002</v>
      </c>
      <c r="U130" s="548">
        <f t="shared" si="34"/>
        <v>15000</v>
      </c>
      <c r="V130" s="549">
        <f t="shared" si="35"/>
        <v>241229.71000000002</v>
      </c>
      <c r="W130" s="533">
        <f t="shared" si="36"/>
        <v>22</v>
      </c>
      <c r="X130" s="549">
        <f t="shared" si="37"/>
        <v>10964.986818181818</v>
      </c>
      <c r="Y130" s="549">
        <f t="shared" si="38"/>
        <v>2306067.39</v>
      </c>
      <c r="Z130" s="728">
        <f t="shared" si="39"/>
        <v>17878.915929323965</v>
      </c>
      <c r="AA130" s="553">
        <f t="shared" si="40"/>
        <v>20727.585626571152</v>
      </c>
      <c r="AB130" s="553">
        <f t="shared" si="41"/>
        <v>26775.397762856166</v>
      </c>
      <c r="AC130" s="553">
        <f t="shared" si="42"/>
        <v>45662.898236815665</v>
      </c>
      <c r="AD130" s="544"/>
      <c r="AN130" s="768" t="s">
        <v>149</v>
      </c>
      <c r="AR130" s="765">
        <v>17</v>
      </c>
      <c r="AS130" s="765" t="s">
        <v>144</v>
      </c>
      <c r="AT130" s="765">
        <v>22</v>
      </c>
      <c r="AU130" s="766">
        <f t="shared" si="43"/>
        <v>0</v>
      </c>
    </row>
    <row r="131" spans="1:47" ht="14.25" customHeight="1">
      <c r="A131" s="547" t="s">
        <v>250</v>
      </c>
      <c r="B131" s="549">
        <f t="shared" si="23"/>
        <v>104356.13249776186</v>
      </c>
      <c r="C131" s="533" t="s">
        <v>117</v>
      </c>
      <c r="D131" s="533" t="s">
        <v>268</v>
      </c>
      <c r="E131" s="533">
        <v>22.34</v>
      </c>
      <c r="F131" s="545" t="s">
        <v>95</v>
      </c>
      <c r="G131" s="724">
        <v>2000000</v>
      </c>
      <c r="H131" s="725">
        <f t="shared" si="24"/>
        <v>111700</v>
      </c>
      <c r="I131" s="724">
        <f t="shared" si="25"/>
        <v>13404</v>
      </c>
      <c r="J131" s="731">
        <f t="shared" si="26"/>
        <v>63700</v>
      </c>
      <c r="K131" s="772">
        <v>75000</v>
      </c>
      <c r="L131" s="779">
        <f t="shared" si="27"/>
        <v>67512</v>
      </c>
      <c r="M131" s="733">
        <f t="shared" si="28"/>
        <v>2331316</v>
      </c>
      <c r="N131" s="758">
        <v>20000</v>
      </c>
      <c r="O131" s="758">
        <v>50000</v>
      </c>
      <c r="P131" s="548">
        <f t="shared" si="29"/>
        <v>174848.69999999998</v>
      </c>
      <c r="Q131" s="549">
        <f t="shared" si="30"/>
        <v>58282.9</v>
      </c>
      <c r="R131" s="728">
        <f t="shared" si="31"/>
        <v>2564447.6</v>
      </c>
      <c r="S131" s="745">
        <f t="shared" si="32"/>
        <v>0.1</v>
      </c>
      <c r="T131" s="549">
        <f t="shared" si="33"/>
        <v>256444.76</v>
      </c>
      <c r="U131" s="548">
        <f t="shared" si="34"/>
        <v>15000</v>
      </c>
      <c r="V131" s="549">
        <f t="shared" si="35"/>
        <v>241444.76</v>
      </c>
      <c r="W131" s="533">
        <f t="shared" si="36"/>
        <v>22</v>
      </c>
      <c r="X131" s="549">
        <f t="shared" si="37"/>
        <v>10974.761818181818</v>
      </c>
      <c r="Y131" s="549">
        <f t="shared" si="38"/>
        <v>2308002.84</v>
      </c>
      <c r="Z131" s="728">
        <f t="shared" si="39"/>
        <v>17893.921452573395</v>
      </c>
      <c r="AA131" s="553">
        <f t="shared" si="40"/>
        <v>20744.981998322866</v>
      </c>
      <c r="AB131" s="553">
        <f t="shared" si="41"/>
        <v>26797.86997846653</v>
      </c>
      <c r="AC131" s="553">
        <f t="shared" si="42"/>
        <v>45701.222466530577</v>
      </c>
      <c r="AD131" s="544"/>
      <c r="AN131" s="768" t="s">
        <v>149</v>
      </c>
      <c r="AR131" s="765">
        <v>18</v>
      </c>
      <c r="AS131" s="765" t="s">
        <v>173</v>
      </c>
      <c r="AT131" s="765">
        <v>22.34</v>
      </c>
      <c r="AU131" s="766">
        <f t="shared" si="43"/>
        <v>0</v>
      </c>
    </row>
    <row r="132" spans="1:47" ht="14.25" customHeight="1">
      <c r="A132" s="547" t="s">
        <v>269</v>
      </c>
      <c r="B132" s="549">
        <f t="shared" si="23"/>
        <v>105880.04545454546</v>
      </c>
      <c r="C132" s="533" t="s">
        <v>93</v>
      </c>
      <c r="D132" s="533" t="s">
        <v>270</v>
      </c>
      <c r="E132" s="533">
        <v>22</v>
      </c>
      <c r="F132" s="545" t="s">
        <v>95</v>
      </c>
      <c r="G132" s="724">
        <v>2000000</v>
      </c>
      <c r="H132" s="725">
        <f t="shared" si="24"/>
        <v>110000</v>
      </c>
      <c r="I132" s="724">
        <f t="shared" si="25"/>
        <v>13200</v>
      </c>
      <c r="J132" s="731">
        <f t="shared" si="26"/>
        <v>63700</v>
      </c>
      <c r="K132" s="772">
        <v>75000</v>
      </c>
      <c r="L132" s="779">
        <f t="shared" si="27"/>
        <v>67461</v>
      </c>
      <c r="M132" s="733">
        <f t="shared" si="28"/>
        <v>2329361</v>
      </c>
      <c r="N132" s="758">
        <v>20000</v>
      </c>
      <c r="O132" s="758">
        <v>50000</v>
      </c>
      <c r="P132" s="548">
        <f t="shared" si="29"/>
        <v>174702.07499999998</v>
      </c>
      <c r="Q132" s="549">
        <f t="shared" si="30"/>
        <v>58234.025000000001</v>
      </c>
      <c r="R132" s="728">
        <f t="shared" si="31"/>
        <v>2562297.1</v>
      </c>
      <c r="S132" s="745">
        <f t="shared" si="32"/>
        <v>0.1</v>
      </c>
      <c r="T132" s="549">
        <f t="shared" si="33"/>
        <v>256229.71000000002</v>
      </c>
      <c r="U132" s="548">
        <f t="shared" si="34"/>
        <v>15000</v>
      </c>
      <c r="V132" s="549">
        <f t="shared" si="35"/>
        <v>241229.71000000002</v>
      </c>
      <c r="W132" s="533">
        <f t="shared" si="36"/>
        <v>22</v>
      </c>
      <c r="X132" s="549">
        <f t="shared" si="37"/>
        <v>10964.986818181818</v>
      </c>
      <c r="Y132" s="549">
        <f t="shared" si="38"/>
        <v>2306067.39</v>
      </c>
      <c r="Z132" s="728">
        <f t="shared" si="39"/>
        <v>17878.915929323965</v>
      </c>
      <c r="AA132" s="553">
        <f t="shared" si="40"/>
        <v>20727.585626571152</v>
      </c>
      <c r="AB132" s="553">
        <f t="shared" si="41"/>
        <v>26775.397762856166</v>
      </c>
      <c r="AC132" s="553">
        <f t="shared" si="42"/>
        <v>45662.898236815665</v>
      </c>
      <c r="AD132" s="544"/>
      <c r="AN132" s="768" t="s">
        <v>96</v>
      </c>
      <c r="AR132" s="765">
        <v>1</v>
      </c>
      <c r="AS132" s="765" t="s">
        <v>97</v>
      </c>
      <c r="AT132" s="765">
        <v>22</v>
      </c>
      <c r="AU132" s="766">
        <f t="shared" si="43"/>
        <v>0</v>
      </c>
    </row>
    <row r="133" spans="1:47" ht="14.25" customHeight="1">
      <c r="A133" s="547" t="s">
        <v>269</v>
      </c>
      <c r="B133" s="549">
        <f t="shared" si="23"/>
        <v>105880.04545454546</v>
      </c>
      <c r="C133" s="533" t="s">
        <v>93</v>
      </c>
      <c r="D133" s="533" t="s">
        <v>271</v>
      </c>
      <c r="E133" s="533">
        <v>22</v>
      </c>
      <c r="F133" s="545" t="s">
        <v>95</v>
      </c>
      <c r="G133" s="724">
        <v>2000000</v>
      </c>
      <c r="H133" s="725">
        <f t="shared" si="24"/>
        <v>110000</v>
      </c>
      <c r="I133" s="724">
        <f t="shared" si="25"/>
        <v>13200</v>
      </c>
      <c r="J133" s="731">
        <f t="shared" si="26"/>
        <v>63700</v>
      </c>
      <c r="K133" s="772">
        <v>75000</v>
      </c>
      <c r="L133" s="779">
        <f t="shared" si="27"/>
        <v>67461</v>
      </c>
      <c r="M133" s="733">
        <f t="shared" si="28"/>
        <v>2329361</v>
      </c>
      <c r="N133" s="758">
        <v>20000</v>
      </c>
      <c r="O133" s="758">
        <v>50000</v>
      </c>
      <c r="P133" s="548">
        <f t="shared" si="29"/>
        <v>174702.07499999998</v>
      </c>
      <c r="Q133" s="549">
        <f t="shared" si="30"/>
        <v>58234.025000000001</v>
      </c>
      <c r="R133" s="728">
        <f t="shared" si="31"/>
        <v>2562297.1</v>
      </c>
      <c r="S133" s="745">
        <f t="shared" si="32"/>
        <v>0.1</v>
      </c>
      <c r="T133" s="549">
        <f t="shared" si="33"/>
        <v>256229.71000000002</v>
      </c>
      <c r="U133" s="548">
        <f t="shared" si="34"/>
        <v>15000</v>
      </c>
      <c r="V133" s="549">
        <f t="shared" si="35"/>
        <v>241229.71000000002</v>
      </c>
      <c r="W133" s="533">
        <f t="shared" si="36"/>
        <v>22</v>
      </c>
      <c r="X133" s="549">
        <f t="shared" si="37"/>
        <v>10964.986818181818</v>
      </c>
      <c r="Y133" s="549">
        <f t="shared" si="38"/>
        <v>2306067.39</v>
      </c>
      <c r="Z133" s="728">
        <f t="shared" si="39"/>
        <v>17878.915929323965</v>
      </c>
      <c r="AA133" s="553">
        <f t="shared" si="40"/>
        <v>20727.585626571152</v>
      </c>
      <c r="AB133" s="553">
        <f t="shared" si="41"/>
        <v>26775.397762856166</v>
      </c>
      <c r="AC133" s="553">
        <f t="shared" si="42"/>
        <v>45662.898236815665</v>
      </c>
      <c r="AD133" s="544"/>
      <c r="AN133" s="768" t="s">
        <v>149</v>
      </c>
      <c r="AR133" s="765">
        <v>2</v>
      </c>
      <c r="AS133" s="765" t="s">
        <v>104</v>
      </c>
      <c r="AT133" s="765">
        <v>22</v>
      </c>
      <c r="AU133" s="766">
        <f t="shared" si="43"/>
        <v>0</v>
      </c>
    </row>
    <row r="134" spans="1:47" ht="14.25" customHeight="1">
      <c r="A134" s="547" t="s">
        <v>269</v>
      </c>
      <c r="B134" s="549">
        <f t="shared" si="23"/>
        <v>105880.04545454546</v>
      </c>
      <c r="C134" s="533" t="s">
        <v>93</v>
      </c>
      <c r="D134" s="533" t="s">
        <v>272</v>
      </c>
      <c r="E134" s="533">
        <v>22</v>
      </c>
      <c r="F134" s="545" t="s">
        <v>95</v>
      </c>
      <c r="G134" s="724">
        <v>2000000</v>
      </c>
      <c r="H134" s="725">
        <f t="shared" si="24"/>
        <v>110000</v>
      </c>
      <c r="I134" s="724">
        <f t="shared" si="25"/>
        <v>13200</v>
      </c>
      <c r="J134" s="731">
        <f t="shared" si="26"/>
        <v>63700</v>
      </c>
      <c r="K134" s="772">
        <v>75000</v>
      </c>
      <c r="L134" s="779">
        <f t="shared" si="27"/>
        <v>67461</v>
      </c>
      <c r="M134" s="733">
        <f t="shared" si="28"/>
        <v>2329361</v>
      </c>
      <c r="N134" s="758">
        <v>20000</v>
      </c>
      <c r="O134" s="758">
        <v>50000</v>
      </c>
      <c r="P134" s="548">
        <f t="shared" si="29"/>
        <v>174702.07499999998</v>
      </c>
      <c r="Q134" s="549">
        <f t="shared" si="30"/>
        <v>58234.025000000001</v>
      </c>
      <c r="R134" s="728">
        <f t="shared" si="31"/>
        <v>2562297.1</v>
      </c>
      <c r="S134" s="745">
        <f t="shared" si="32"/>
        <v>0.1</v>
      </c>
      <c r="T134" s="549">
        <f t="shared" si="33"/>
        <v>256229.71000000002</v>
      </c>
      <c r="U134" s="548">
        <f t="shared" si="34"/>
        <v>15000</v>
      </c>
      <c r="V134" s="549">
        <f t="shared" si="35"/>
        <v>241229.71000000002</v>
      </c>
      <c r="W134" s="533">
        <f t="shared" si="36"/>
        <v>22</v>
      </c>
      <c r="X134" s="549">
        <f t="shared" si="37"/>
        <v>10964.986818181818</v>
      </c>
      <c r="Y134" s="549">
        <f t="shared" si="38"/>
        <v>2306067.39</v>
      </c>
      <c r="Z134" s="728">
        <f t="shared" si="39"/>
        <v>17878.915929323965</v>
      </c>
      <c r="AA134" s="553">
        <f t="shared" si="40"/>
        <v>20727.585626571152</v>
      </c>
      <c r="AB134" s="553">
        <f t="shared" si="41"/>
        <v>26775.397762856166</v>
      </c>
      <c r="AC134" s="553">
        <f t="shared" si="42"/>
        <v>45662.898236815665</v>
      </c>
      <c r="AD134" s="544"/>
      <c r="AN134" s="768" t="s">
        <v>149</v>
      </c>
      <c r="AR134" s="765">
        <v>3</v>
      </c>
      <c r="AS134" s="765" t="s">
        <v>108</v>
      </c>
      <c r="AT134" s="765">
        <v>22</v>
      </c>
      <c r="AU134" s="766">
        <f t="shared" si="43"/>
        <v>0</v>
      </c>
    </row>
    <row r="135" spans="1:47" ht="14.25" customHeight="1">
      <c r="A135" s="547" t="s">
        <v>269</v>
      </c>
      <c r="B135" s="549">
        <f t="shared" si="23"/>
        <v>105880.04545454546</v>
      </c>
      <c r="C135" s="533" t="s">
        <v>93</v>
      </c>
      <c r="D135" s="533" t="s">
        <v>273</v>
      </c>
      <c r="E135" s="533">
        <v>22</v>
      </c>
      <c r="F135" s="545" t="s">
        <v>95</v>
      </c>
      <c r="G135" s="724">
        <v>2000000</v>
      </c>
      <c r="H135" s="725">
        <f t="shared" si="24"/>
        <v>110000</v>
      </c>
      <c r="I135" s="724">
        <f t="shared" si="25"/>
        <v>13200</v>
      </c>
      <c r="J135" s="731">
        <f t="shared" si="26"/>
        <v>63700</v>
      </c>
      <c r="K135" s="772">
        <v>75000</v>
      </c>
      <c r="L135" s="779">
        <f t="shared" si="27"/>
        <v>67461</v>
      </c>
      <c r="M135" s="733">
        <f t="shared" si="28"/>
        <v>2329361</v>
      </c>
      <c r="N135" s="758">
        <v>20000</v>
      </c>
      <c r="O135" s="758">
        <v>50000</v>
      </c>
      <c r="P135" s="548">
        <f t="shared" si="29"/>
        <v>174702.07499999998</v>
      </c>
      <c r="Q135" s="549">
        <f t="shared" si="30"/>
        <v>58234.025000000001</v>
      </c>
      <c r="R135" s="728">
        <f t="shared" si="31"/>
        <v>2562297.1</v>
      </c>
      <c r="S135" s="745">
        <f t="shared" si="32"/>
        <v>0.1</v>
      </c>
      <c r="T135" s="549">
        <f t="shared" si="33"/>
        <v>256229.71000000002</v>
      </c>
      <c r="U135" s="548">
        <f t="shared" si="34"/>
        <v>15000</v>
      </c>
      <c r="V135" s="549">
        <f t="shared" si="35"/>
        <v>241229.71000000002</v>
      </c>
      <c r="W135" s="533">
        <f t="shared" si="36"/>
        <v>22</v>
      </c>
      <c r="X135" s="549">
        <f t="shared" si="37"/>
        <v>10964.986818181818</v>
      </c>
      <c r="Y135" s="549">
        <f t="shared" si="38"/>
        <v>2306067.39</v>
      </c>
      <c r="Z135" s="728">
        <f t="shared" si="39"/>
        <v>17878.915929323965</v>
      </c>
      <c r="AA135" s="553">
        <f t="shared" si="40"/>
        <v>20727.585626571152</v>
      </c>
      <c r="AB135" s="553">
        <f t="shared" si="41"/>
        <v>26775.397762856166</v>
      </c>
      <c r="AC135" s="553">
        <f t="shared" si="42"/>
        <v>45662.898236815665</v>
      </c>
      <c r="AD135" s="544"/>
      <c r="AN135" s="768" t="s">
        <v>149</v>
      </c>
      <c r="AR135" s="765">
        <v>4</v>
      </c>
      <c r="AS135" s="765" t="s">
        <v>112</v>
      </c>
      <c r="AT135" s="765">
        <v>22</v>
      </c>
      <c r="AU135" s="766">
        <f t="shared" si="43"/>
        <v>0</v>
      </c>
    </row>
    <row r="136" spans="1:47" ht="14.25" customHeight="1">
      <c r="A136" s="547" t="s">
        <v>269</v>
      </c>
      <c r="B136" s="549">
        <f t="shared" ref="B136:B166" si="44">M136/E136</f>
        <v>105880.04545454546</v>
      </c>
      <c r="C136" s="533" t="s">
        <v>93</v>
      </c>
      <c r="D136" s="533" t="s">
        <v>274</v>
      </c>
      <c r="E136" s="533">
        <v>22</v>
      </c>
      <c r="F136" s="545" t="s">
        <v>95</v>
      </c>
      <c r="G136" s="724">
        <v>2000000</v>
      </c>
      <c r="H136" s="725">
        <f t="shared" ref="H136:H166" si="45">H$5*E136</f>
        <v>110000</v>
      </c>
      <c r="I136" s="724">
        <f t="shared" ref="I136:I166" si="46">H136*I$5</f>
        <v>13200</v>
      </c>
      <c r="J136" s="731">
        <f t="shared" ref="J136:J167" si="47">+(N136+O136)*$J$5</f>
        <v>63700</v>
      </c>
      <c r="K136" s="772">
        <v>75000</v>
      </c>
      <c r="L136" s="779">
        <f t="shared" ref="L136:L183" si="48">(G136+H136+J136+K136)*3%</f>
        <v>67461</v>
      </c>
      <c r="M136" s="733">
        <f t="shared" ref="M136:M183" si="49">G136+H136+I136+J136+K136+L136</f>
        <v>2329361</v>
      </c>
      <c r="N136" s="758">
        <v>20000</v>
      </c>
      <c r="O136" s="758">
        <v>50000</v>
      </c>
      <c r="P136" s="548">
        <f t="shared" ref="P136:P167" si="50">M136*P$5</f>
        <v>174702.07499999998</v>
      </c>
      <c r="Q136" s="549">
        <f t="shared" ref="Q136:Q167" si="51">M136*Q$5</f>
        <v>58234.025000000001</v>
      </c>
      <c r="R136" s="728">
        <f t="shared" ref="R136:R167" si="52">+M136+P136+Q136</f>
        <v>2562297.1</v>
      </c>
      <c r="S136" s="745">
        <f t="shared" ref="S136:S183" si="53">S$5</f>
        <v>0.1</v>
      </c>
      <c r="T136" s="549">
        <f t="shared" ref="T136:T167" si="54">R136*S136</f>
        <v>256229.71000000002</v>
      </c>
      <c r="U136" s="548">
        <f t="shared" ref="U136:U183" si="55">U$5</f>
        <v>15000</v>
      </c>
      <c r="V136" s="549">
        <f t="shared" ref="V136:V167" si="56">T136-U136</f>
        <v>241229.71000000002</v>
      </c>
      <c r="W136" s="533">
        <f t="shared" ref="W136:W183" si="57">W$5</f>
        <v>22</v>
      </c>
      <c r="X136" s="549">
        <f t="shared" ref="X136:X167" si="58">V136/W136</f>
        <v>10964.986818181818</v>
      </c>
      <c r="Y136" s="549">
        <f t="shared" ref="Y136:Y167" si="59">R136-T136</f>
        <v>2306067.39</v>
      </c>
      <c r="Z136" s="728">
        <f t="shared" ref="Z136:Z167" si="60">Y136*Z$5</f>
        <v>17878.915929323965</v>
      </c>
      <c r="AA136" s="553">
        <f t="shared" ref="AA136:AA167" si="61">Y136*AA$5</f>
        <v>20727.585626571152</v>
      </c>
      <c r="AB136" s="553">
        <f t="shared" ref="AB136:AB167" si="62">Y136*AB$5</f>
        <v>26775.397762856166</v>
      </c>
      <c r="AC136" s="553">
        <f t="shared" ref="AC136:AC167" si="63">Y136*AC$5</f>
        <v>45662.898236815665</v>
      </c>
      <c r="AD136" s="544"/>
      <c r="AN136" s="768" t="s">
        <v>149</v>
      </c>
      <c r="AR136" s="765">
        <v>5</v>
      </c>
      <c r="AS136" s="765" t="s">
        <v>116</v>
      </c>
      <c r="AT136" s="765">
        <v>22</v>
      </c>
      <c r="AU136" s="766">
        <f t="shared" ref="AU136:AU167" si="64">AT136-E136</f>
        <v>0</v>
      </c>
    </row>
    <row r="137" spans="1:47" ht="14.25" customHeight="1">
      <c r="A137" s="547" t="s">
        <v>269</v>
      </c>
      <c r="B137" s="549">
        <f t="shared" si="44"/>
        <v>105880.04545454546</v>
      </c>
      <c r="C137" s="533" t="s">
        <v>93</v>
      </c>
      <c r="D137" s="533" t="s">
        <v>275</v>
      </c>
      <c r="E137" s="533">
        <v>22</v>
      </c>
      <c r="F137" s="545" t="s">
        <v>95</v>
      </c>
      <c r="G137" s="724">
        <v>2000000</v>
      </c>
      <c r="H137" s="725">
        <f t="shared" si="45"/>
        <v>110000</v>
      </c>
      <c r="I137" s="724">
        <f t="shared" si="46"/>
        <v>13200</v>
      </c>
      <c r="J137" s="731">
        <f t="shared" si="47"/>
        <v>63700</v>
      </c>
      <c r="K137" s="772">
        <v>75000</v>
      </c>
      <c r="L137" s="779">
        <f t="shared" si="48"/>
        <v>67461</v>
      </c>
      <c r="M137" s="733">
        <f t="shared" si="49"/>
        <v>2329361</v>
      </c>
      <c r="N137" s="758">
        <v>20000</v>
      </c>
      <c r="O137" s="758">
        <v>50000</v>
      </c>
      <c r="P137" s="548">
        <f t="shared" si="50"/>
        <v>174702.07499999998</v>
      </c>
      <c r="Q137" s="549">
        <f t="shared" si="51"/>
        <v>58234.025000000001</v>
      </c>
      <c r="R137" s="728">
        <f t="shared" si="52"/>
        <v>2562297.1</v>
      </c>
      <c r="S137" s="745">
        <f t="shared" si="53"/>
        <v>0.1</v>
      </c>
      <c r="T137" s="549">
        <f t="shared" si="54"/>
        <v>256229.71000000002</v>
      </c>
      <c r="U137" s="548">
        <f t="shared" si="55"/>
        <v>15000</v>
      </c>
      <c r="V137" s="549">
        <f t="shared" si="56"/>
        <v>241229.71000000002</v>
      </c>
      <c r="W137" s="533">
        <f t="shared" si="57"/>
        <v>22</v>
      </c>
      <c r="X137" s="549">
        <f t="shared" si="58"/>
        <v>10964.986818181818</v>
      </c>
      <c r="Y137" s="549">
        <f t="shared" si="59"/>
        <v>2306067.39</v>
      </c>
      <c r="Z137" s="728">
        <f t="shared" si="60"/>
        <v>17878.915929323965</v>
      </c>
      <c r="AA137" s="553">
        <f t="shared" si="61"/>
        <v>20727.585626571152</v>
      </c>
      <c r="AB137" s="553">
        <f t="shared" si="62"/>
        <v>26775.397762856166</v>
      </c>
      <c r="AC137" s="553">
        <f t="shared" si="63"/>
        <v>45662.898236815665</v>
      </c>
      <c r="AD137" s="544"/>
      <c r="AN137" s="768" t="s">
        <v>149</v>
      </c>
      <c r="AR137" s="765">
        <v>6</v>
      </c>
      <c r="AS137" s="765" t="s">
        <v>119</v>
      </c>
      <c r="AT137" s="765">
        <v>22</v>
      </c>
      <c r="AU137" s="766">
        <f t="shared" si="64"/>
        <v>0</v>
      </c>
    </row>
    <row r="138" spans="1:47" ht="14.25" customHeight="1">
      <c r="A138" s="547" t="s">
        <v>269</v>
      </c>
      <c r="B138" s="549">
        <f t="shared" si="44"/>
        <v>105880.04545454546</v>
      </c>
      <c r="C138" s="533" t="s">
        <v>117</v>
      </c>
      <c r="D138" s="533" t="s">
        <v>276</v>
      </c>
      <c r="E138" s="533">
        <v>22</v>
      </c>
      <c r="F138" s="545" t="s">
        <v>95</v>
      </c>
      <c r="G138" s="724">
        <v>2000000</v>
      </c>
      <c r="H138" s="725">
        <f t="shared" si="45"/>
        <v>110000</v>
      </c>
      <c r="I138" s="724">
        <f t="shared" si="46"/>
        <v>13200</v>
      </c>
      <c r="J138" s="731">
        <f t="shared" si="47"/>
        <v>63700</v>
      </c>
      <c r="K138" s="772">
        <v>75000</v>
      </c>
      <c r="L138" s="779">
        <f t="shared" si="48"/>
        <v>67461</v>
      </c>
      <c r="M138" s="733">
        <f t="shared" si="49"/>
        <v>2329361</v>
      </c>
      <c r="N138" s="758">
        <v>20000</v>
      </c>
      <c r="O138" s="758">
        <v>50000</v>
      </c>
      <c r="P138" s="548">
        <f t="shared" si="50"/>
        <v>174702.07499999998</v>
      </c>
      <c r="Q138" s="549">
        <f t="shared" si="51"/>
        <v>58234.025000000001</v>
      </c>
      <c r="R138" s="728">
        <f t="shared" si="52"/>
        <v>2562297.1</v>
      </c>
      <c r="S138" s="745">
        <f t="shared" si="53"/>
        <v>0.1</v>
      </c>
      <c r="T138" s="549">
        <f t="shared" si="54"/>
        <v>256229.71000000002</v>
      </c>
      <c r="U138" s="548">
        <f t="shared" si="55"/>
        <v>15000</v>
      </c>
      <c r="V138" s="549">
        <f t="shared" si="56"/>
        <v>241229.71000000002</v>
      </c>
      <c r="W138" s="533">
        <f t="shared" si="57"/>
        <v>22</v>
      </c>
      <c r="X138" s="549">
        <f t="shared" si="58"/>
        <v>10964.986818181818</v>
      </c>
      <c r="Y138" s="549">
        <f t="shared" si="59"/>
        <v>2306067.39</v>
      </c>
      <c r="Z138" s="728">
        <f t="shared" si="60"/>
        <v>17878.915929323965</v>
      </c>
      <c r="AA138" s="553">
        <f t="shared" si="61"/>
        <v>20727.585626571152</v>
      </c>
      <c r="AB138" s="553">
        <f t="shared" si="62"/>
        <v>26775.397762856166</v>
      </c>
      <c r="AC138" s="553">
        <f t="shared" si="63"/>
        <v>45662.898236815665</v>
      </c>
      <c r="AD138" s="544"/>
      <c r="AN138" s="768" t="s">
        <v>149</v>
      </c>
      <c r="AR138" s="765">
        <v>7</v>
      </c>
      <c r="AS138" s="765" t="s">
        <v>121</v>
      </c>
      <c r="AT138" s="765">
        <v>22</v>
      </c>
      <c r="AU138" s="766">
        <f t="shared" si="64"/>
        <v>0</v>
      </c>
    </row>
    <row r="139" spans="1:47" ht="14.25" customHeight="1">
      <c r="A139" s="547" t="s">
        <v>269</v>
      </c>
      <c r="B139" s="549">
        <f t="shared" si="44"/>
        <v>104356.13249776186</v>
      </c>
      <c r="C139" s="533" t="s">
        <v>117</v>
      </c>
      <c r="D139" s="533" t="s">
        <v>277</v>
      </c>
      <c r="E139" s="533">
        <v>22.34</v>
      </c>
      <c r="F139" s="545" t="s">
        <v>95</v>
      </c>
      <c r="G139" s="724">
        <v>2000000</v>
      </c>
      <c r="H139" s="725">
        <f t="shared" si="45"/>
        <v>111700</v>
      </c>
      <c r="I139" s="724">
        <f t="shared" si="46"/>
        <v>13404</v>
      </c>
      <c r="J139" s="731">
        <f t="shared" si="47"/>
        <v>63700</v>
      </c>
      <c r="K139" s="772">
        <v>75000</v>
      </c>
      <c r="L139" s="779">
        <f t="shared" si="48"/>
        <v>67512</v>
      </c>
      <c r="M139" s="733">
        <f t="shared" si="49"/>
        <v>2331316</v>
      </c>
      <c r="N139" s="758">
        <v>20000</v>
      </c>
      <c r="O139" s="758">
        <v>50000</v>
      </c>
      <c r="P139" s="548">
        <f t="shared" si="50"/>
        <v>174848.69999999998</v>
      </c>
      <c r="Q139" s="549">
        <f t="shared" si="51"/>
        <v>58282.9</v>
      </c>
      <c r="R139" s="728">
        <f t="shared" si="52"/>
        <v>2564447.6</v>
      </c>
      <c r="S139" s="745">
        <f t="shared" si="53"/>
        <v>0.1</v>
      </c>
      <c r="T139" s="549">
        <f t="shared" si="54"/>
        <v>256444.76</v>
      </c>
      <c r="U139" s="548">
        <f t="shared" si="55"/>
        <v>15000</v>
      </c>
      <c r="V139" s="549">
        <f t="shared" si="56"/>
        <v>241444.76</v>
      </c>
      <c r="W139" s="533">
        <f t="shared" si="57"/>
        <v>22</v>
      </c>
      <c r="X139" s="549">
        <f t="shared" si="58"/>
        <v>10974.761818181818</v>
      </c>
      <c r="Y139" s="549">
        <f t="shared" si="59"/>
        <v>2308002.84</v>
      </c>
      <c r="Z139" s="728">
        <f t="shared" si="60"/>
        <v>17893.921452573395</v>
      </c>
      <c r="AA139" s="553">
        <f t="shared" si="61"/>
        <v>20744.981998322866</v>
      </c>
      <c r="AB139" s="553">
        <f t="shared" si="62"/>
        <v>26797.86997846653</v>
      </c>
      <c r="AC139" s="553">
        <f t="shared" si="63"/>
        <v>45701.222466530577</v>
      </c>
      <c r="AD139" s="544"/>
      <c r="AN139" s="768" t="s">
        <v>149</v>
      </c>
      <c r="AR139" s="765">
        <v>8</v>
      </c>
      <c r="AS139" s="765" t="s">
        <v>123</v>
      </c>
      <c r="AT139" s="765">
        <v>22.34</v>
      </c>
      <c r="AU139" s="766">
        <f t="shared" si="64"/>
        <v>0</v>
      </c>
    </row>
    <row r="140" spans="1:47" ht="14.25" customHeight="1">
      <c r="A140" s="547" t="s">
        <v>269</v>
      </c>
      <c r="B140" s="549">
        <f t="shared" si="44"/>
        <v>105880.04545454546</v>
      </c>
      <c r="C140" s="533" t="s">
        <v>93</v>
      </c>
      <c r="D140" s="533" t="s">
        <v>278</v>
      </c>
      <c r="E140" s="533">
        <v>22</v>
      </c>
      <c r="F140" s="545" t="s">
        <v>95</v>
      </c>
      <c r="G140" s="724">
        <v>2000000</v>
      </c>
      <c r="H140" s="725">
        <f t="shared" si="45"/>
        <v>110000</v>
      </c>
      <c r="I140" s="724">
        <f t="shared" si="46"/>
        <v>13200</v>
      </c>
      <c r="J140" s="731">
        <f t="shared" si="47"/>
        <v>63700</v>
      </c>
      <c r="K140" s="772">
        <v>75000</v>
      </c>
      <c r="L140" s="779">
        <f t="shared" si="48"/>
        <v>67461</v>
      </c>
      <c r="M140" s="733">
        <f t="shared" si="49"/>
        <v>2329361</v>
      </c>
      <c r="N140" s="758">
        <v>20000</v>
      </c>
      <c r="O140" s="758">
        <v>50000</v>
      </c>
      <c r="P140" s="548">
        <f t="shared" si="50"/>
        <v>174702.07499999998</v>
      </c>
      <c r="Q140" s="549">
        <f t="shared" si="51"/>
        <v>58234.025000000001</v>
      </c>
      <c r="R140" s="728">
        <f t="shared" si="52"/>
        <v>2562297.1</v>
      </c>
      <c r="S140" s="745">
        <f t="shared" si="53"/>
        <v>0.1</v>
      </c>
      <c r="T140" s="549">
        <f t="shared" si="54"/>
        <v>256229.71000000002</v>
      </c>
      <c r="U140" s="548">
        <f t="shared" si="55"/>
        <v>15000</v>
      </c>
      <c r="V140" s="549">
        <f t="shared" si="56"/>
        <v>241229.71000000002</v>
      </c>
      <c r="W140" s="533">
        <f t="shared" si="57"/>
        <v>22</v>
      </c>
      <c r="X140" s="549">
        <f t="shared" si="58"/>
        <v>10964.986818181818</v>
      </c>
      <c r="Y140" s="549">
        <f t="shared" si="59"/>
        <v>2306067.39</v>
      </c>
      <c r="Z140" s="728">
        <f t="shared" si="60"/>
        <v>17878.915929323965</v>
      </c>
      <c r="AA140" s="553">
        <f t="shared" si="61"/>
        <v>20727.585626571152</v>
      </c>
      <c r="AB140" s="553">
        <f t="shared" si="62"/>
        <v>26775.397762856166</v>
      </c>
      <c r="AC140" s="553">
        <f t="shared" si="63"/>
        <v>45662.898236815665</v>
      </c>
      <c r="AD140" s="544"/>
      <c r="AN140" s="768" t="s">
        <v>149</v>
      </c>
      <c r="AR140" s="765">
        <v>9</v>
      </c>
      <c r="AS140" s="765" t="s">
        <v>125</v>
      </c>
      <c r="AT140" s="765">
        <v>22</v>
      </c>
      <c r="AU140" s="766">
        <f t="shared" si="64"/>
        <v>0</v>
      </c>
    </row>
    <row r="141" spans="1:47" ht="14.25" customHeight="1">
      <c r="A141" s="547" t="s">
        <v>269</v>
      </c>
      <c r="B141" s="549">
        <f t="shared" si="44"/>
        <v>105880.04545454546</v>
      </c>
      <c r="C141" s="533" t="s">
        <v>93</v>
      </c>
      <c r="D141" s="533" t="s">
        <v>279</v>
      </c>
      <c r="E141" s="533">
        <v>22</v>
      </c>
      <c r="F141" s="545" t="s">
        <v>95</v>
      </c>
      <c r="G141" s="724">
        <v>2000000</v>
      </c>
      <c r="H141" s="725">
        <f t="shared" si="45"/>
        <v>110000</v>
      </c>
      <c r="I141" s="724">
        <f t="shared" si="46"/>
        <v>13200</v>
      </c>
      <c r="J141" s="731">
        <f t="shared" si="47"/>
        <v>63700</v>
      </c>
      <c r="K141" s="772">
        <v>75000</v>
      </c>
      <c r="L141" s="779">
        <f t="shared" si="48"/>
        <v>67461</v>
      </c>
      <c r="M141" s="733">
        <f t="shared" si="49"/>
        <v>2329361</v>
      </c>
      <c r="N141" s="758">
        <v>20000</v>
      </c>
      <c r="O141" s="758">
        <v>50000</v>
      </c>
      <c r="P141" s="548">
        <f t="shared" si="50"/>
        <v>174702.07499999998</v>
      </c>
      <c r="Q141" s="549">
        <f t="shared" si="51"/>
        <v>58234.025000000001</v>
      </c>
      <c r="R141" s="728">
        <f t="shared" si="52"/>
        <v>2562297.1</v>
      </c>
      <c r="S141" s="745">
        <f t="shared" si="53"/>
        <v>0.1</v>
      </c>
      <c r="T141" s="549">
        <f t="shared" si="54"/>
        <v>256229.71000000002</v>
      </c>
      <c r="U141" s="548">
        <f t="shared" si="55"/>
        <v>15000</v>
      </c>
      <c r="V141" s="549">
        <f t="shared" si="56"/>
        <v>241229.71000000002</v>
      </c>
      <c r="W141" s="533">
        <f t="shared" si="57"/>
        <v>22</v>
      </c>
      <c r="X141" s="549">
        <f t="shared" si="58"/>
        <v>10964.986818181818</v>
      </c>
      <c r="Y141" s="549">
        <f t="shared" si="59"/>
        <v>2306067.39</v>
      </c>
      <c r="Z141" s="728">
        <f t="shared" si="60"/>
        <v>17878.915929323965</v>
      </c>
      <c r="AA141" s="553">
        <f t="shared" si="61"/>
        <v>20727.585626571152</v>
      </c>
      <c r="AB141" s="553">
        <f t="shared" si="62"/>
        <v>26775.397762856166</v>
      </c>
      <c r="AC141" s="553">
        <f t="shared" si="63"/>
        <v>45662.898236815665</v>
      </c>
      <c r="AD141" s="544"/>
      <c r="AN141" s="768" t="s">
        <v>149</v>
      </c>
      <c r="AR141" s="765">
        <v>10</v>
      </c>
      <c r="AS141" s="765" t="s">
        <v>127</v>
      </c>
      <c r="AT141" s="765">
        <v>22</v>
      </c>
      <c r="AU141" s="766">
        <f t="shared" si="64"/>
        <v>0</v>
      </c>
    </row>
    <row r="142" spans="1:47" ht="14.25" customHeight="1">
      <c r="A142" s="547" t="s">
        <v>269</v>
      </c>
      <c r="B142" s="549">
        <f t="shared" si="44"/>
        <v>105880.04545454546</v>
      </c>
      <c r="C142" s="533" t="s">
        <v>93</v>
      </c>
      <c r="D142" s="533" t="s">
        <v>280</v>
      </c>
      <c r="E142" s="533">
        <v>22</v>
      </c>
      <c r="F142" s="545" t="s">
        <v>95</v>
      </c>
      <c r="G142" s="724">
        <v>2000000</v>
      </c>
      <c r="H142" s="725">
        <f t="shared" si="45"/>
        <v>110000</v>
      </c>
      <c r="I142" s="724">
        <f t="shared" si="46"/>
        <v>13200</v>
      </c>
      <c r="J142" s="731">
        <f t="shared" si="47"/>
        <v>63700</v>
      </c>
      <c r="K142" s="772">
        <v>75000</v>
      </c>
      <c r="L142" s="779">
        <f t="shared" si="48"/>
        <v>67461</v>
      </c>
      <c r="M142" s="733">
        <f t="shared" si="49"/>
        <v>2329361</v>
      </c>
      <c r="N142" s="758">
        <v>20000</v>
      </c>
      <c r="O142" s="758">
        <v>50000</v>
      </c>
      <c r="P142" s="548">
        <f t="shared" si="50"/>
        <v>174702.07499999998</v>
      </c>
      <c r="Q142" s="549">
        <f t="shared" si="51"/>
        <v>58234.025000000001</v>
      </c>
      <c r="R142" s="728">
        <f t="shared" si="52"/>
        <v>2562297.1</v>
      </c>
      <c r="S142" s="745">
        <f t="shared" si="53"/>
        <v>0.1</v>
      </c>
      <c r="T142" s="549">
        <f t="shared" si="54"/>
        <v>256229.71000000002</v>
      </c>
      <c r="U142" s="548">
        <f t="shared" si="55"/>
        <v>15000</v>
      </c>
      <c r="V142" s="549">
        <f t="shared" si="56"/>
        <v>241229.71000000002</v>
      </c>
      <c r="W142" s="533">
        <f t="shared" si="57"/>
        <v>22</v>
      </c>
      <c r="X142" s="549">
        <f t="shared" si="58"/>
        <v>10964.986818181818</v>
      </c>
      <c r="Y142" s="549">
        <f t="shared" si="59"/>
        <v>2306067.39</v>
      </c>
      <c r="Z142" s="728">
        <f t="shared" si="60"/>
        <v>17878.915929323965</v>
      </c>
      <c r="AA142" s="553">
        <f t="shared" si="61"/>
        <v>20727.585626571152</v>
      </c>
      <c r="AB142" s="553">
        <f t="shared" si="62"/>
        <v>26775.397762856166</v>
      </c>
      <c r="AC142" s="553">
        <f t="shared" si="63"/>
        <v>45662.898236815665</v>
      </c>
      <c r="AD142" s="544"/>
      <c r="AN142" s="768" t="s">
        <v>149</v>
      </c>
      <c r="AR142" s="765">
        <v>11</v>
      </c>
      <c r="AS142" s="765" t="s">
        <v>129</v>
      </c>
      <c r="AT142" s="765">
        <v>22</v>
      </c>
      <c r="AU142" s="766">
        <f t="shared" si="64"/>
        <v>0</v>
      </c>
    </row>
    <row r="143" spans="1:47" ht="14.25" customHeight="1">
      <c r="A143" s="547" t="s">
        <v>269</v>
      </c>
      <c r="B143" s="549">
        <f t="shared" si="44"/>
        <v>105880.04545454546</v>
      </c>
      <c r="C143" s="533" t="s">
        <v>93</v>
      </c>
      <c r="D143" s="533" t="s">
        <v>281</v>
      </c>
      <c r="E143" s="533">
        <v>22</v>
      </c>
      <c r="F143" s="545" t="s">
        <v>95</v>
      </c>
      <c r="G143" s="724">
        <v>2000000</v>
      </c>
      <c r="H143" s="725">
        <f t="shared" si="45"/>
        <v>110000</v>
      </c>
      <c r="I143" s="724">
        <f t="shared" si="46"/>
        <v>13200</v>
      </c>
      <c r="J143" s="731">
        <f t="shared" si="47"/>
        <v>63700</v>
      </c>
      <c r="K143" s="772">
        <v>75000</v>
      </c>
      <c r="L143" s="779">
        <f t="shared" si="48"/>
        <v>67461</v>
      </c>
      <c r="M143" s="733">
        <f t="shared" si="49"/>
        <v>2329361</v>
      </c>
      <c r="N143" s="758">
        <v>20000</v>
      </c>
      <c r="O143" s="758">
        <v>50000</v>
      </c>
      <c r="P143" s="548">
        <f t="shared" si="50"/>
        <v>174702.07499999998</v>
      </c>
      <c r="Q143" s="549">
        <f t="shared" si="51"/>
        <v>58234.025000000001</v>
      </c>
      <c r="R143" s="728">
        <f t="shared" si="52"/>
        <v>2562297.1</v>
      </c>
      <c r="S143" s="745">
        <f t="shared" si="53"/>
        <v>0.1</v>
      </c>
      <c r="T143" s="549">
        <f t="shared" si="54"/>
        <v>256229.71000000002</v>
      </c>
      <c r="U143" s="548">
        <f t="shared" si="55"/>
        <v>15000</v>
      </c>
      <c r="V143" s="549">
        <f t="shared" si="56"/>
        <v>241229.71000000002</v>
      </c>
      <c r="W143" s="533">
        <f t="shared" si="57"/>
        <v>22</v>
      </c>
      <c r="X143" s="549">
        <f t="shared" si="58"/>
        <v>10964.986818181818</v>
      </c>
      <c r="Y143" s="549">
        <f t="shared" si="59"/>
        <v>2306067.39</v>
      </c>
      <c r="Z143" s="728">
        <f t="shared" si="60"/>
        <v>17878.915929323965</v>
      </c>
      <c r="AA143" s="553">
        <f t="shared" si="61"/>
        <v>20727.585626571152</v>
      </c>
      <c r="AB143" s="553">
        <f t="shared" si="62"/>
        <v>26775.397762856166</v>
      </c>
      <c r="AC143" s="553">
        <f t="shared" si="63"/>
        <v>45662.898236815665</v>
      </c>
      <c r="AD143" s="544"/>
      <c r="AN143" s="768" t="s">
        <v>149</v>
      </c>
      <c r="AR143" s="765">
        <v>12</v>
      </c>
      <c r="AS143" s="765" t="s">
        <v>131</v>
      </c>
      <c r="AT143" s="765">
        <v>22</v>
      </c>
      <c r="AU143" s="766">
        <f t="shared" si="64"/>
        <v>0</v>
      </c>
    </row>
    <row r="144" spans="1:47" ht="14.25" customHeight="1">
      <c r="A144" s="547" t="s">
        <v>269</v>
      </c>
      <c r="B144" s="549">
        <f t="shared" si="44"/>
        <v>105880.04545454546</v>
      </c>
      <c r="C144" s="533" t="s">
        <v>93</v>
      </c>
      <c r="D144" s="533" t="s">
        <v>282</v>
      </c>
      <c r="E144" s="533">
        <v>22</v>
      </c>
      <c r="F144" s="545" t="s">
        <v>95</v>
      </c>
      <c r="G144" s="724">
        <v>2000000</v>
      </c>
      <c r="H144" s="725">
        <f t="shared" si="45"/>
        <v>110000</v>
      </c>
      <c r="I144" s="724">
        <f t="shared" si="46"/>
        <v>13200</v>
      </c>
      <c r="J144" s="731">
        <f t="shared" si="47"/>
        <v>63700</v>
      </c>
      <c r="K144" s="772">
        <v>75000</v>
      </c>
      <c r="L144" s="779">
        <f t="shared" si="48"/>
        <v>67461</v>
      </c>
      <c r="M144" s="733">
        <f t="shared" si="49"/>
        <v>2329361</v>
      </c>
      <c r="N144" s="758">
        <v>20000</v>
      </c>
      <c r="O144" s="758">
        <v>50000</v>
      </c>
      <c r="P144" s="548">
        <f t="shared" si="50"/>
        <v>174702.07499999998</v>
      </c>
      <c r="Q144" s="549">
        <f t="shared" si="51"/>
        <v>58234.025000000001</v>
      </c>
      <c r="R144" s="728">
        <f t="shared" si="52"/>
        <v>2562297.1</v>
      </c>
      <c r="S144" s="745">
        <f t="shared" si="53"/>
        <v>0.1</v>
      </c>
      <c r="T144" s="549">
        <f t="shared" si="54"/>
        <v>256229.71000000002</v>
      </c>
      <c r="U144" s="548">
        <f t="shared" si="55"/>
        <v>15000</v>
      </c>
      <c r="V144" s="549">
        <f t="shared" si="56"/>
        <v>241229.71000000002</v>
      </c>
      <c r="W144" s="533">
        <f t="shared" si="57"/>
        <v>22</v>
      </c>
      <c r="X144" s="549">
        <f t="shared" si="58"/>
        <v>10964.986818181818</v>
      </c>
      <c r="Y144" s="549">
        <f t="shared" si="59"/>
        <v>2306067.39</v>
      </c>
      <c r="Z144" s="728">
        <f t="shared" si="60"/>
        <v>17878.915929323965</v>
      </c>
      <c r="AA144" s="553">
        <f t="shared" si="61"/>
        <v>20727.585626571152</v>
      </c>
      <c r="AB144" s="553">
        <f t="shared" si="62"/>
        <v>26775.397762856166</v>
      </c>
      <c r="AC144" s="553">
        <f t="shared" si="63"/>
        <v>45662.898236815665</v>
      </c>
      <c r="AD144" s="544"/>
      <c r="AN144" s="768" t="s">
        <v>149</v>
      </c>
      <c r="AR144" s="765">
        <v>13</v>
      </c>
      <c r="AS144" s="765" t="s">
        <v>133</v>
      </c>
      <c r="AT144" s="765">
        <v>22</v>
      </c>
      <c r="AU144" s="766">
        <f t="shared" si="64"/>
        <v>0</v>
      </c>
    </row>
    <row r="145" spans="1:47" ht="14.25" customHeight="1">
      <c r="A145" s="547" t="s">
        <v>269</v>
      </c>
      <c r="B145" s="549">
        <f t="shared" si="44"/>
        <v>105880.04545454546</v>
      </c>
      <c r="C145" s="533" t="s">
        <v>93</v>
      </c>
      <c r="D145" s="533" t="s">
        <v>283</v>
      </c>
      <c r="E145" s="533">
        <v>22</v>
      </c>
      <c r="F145" s="545" t="s">
        <v>95</v>
      </c>
      <c r="G145" s="724">
        <v>2000000</v>
      </c>
      <c r="H145" s="725">
        <f t="shared" si="45"/>
        <v>110000</v>
      </c>
      <c r="I145" s="724">
        <f t="shared" si="46"/>
        <v>13200</v>
      </c>
      <c r="J145" s="731">
        <f t="shared" si="47"/>
        <v>63700</v>
      </c>
      <c r="K145" s="772">
        <v>75000</v>
      </c>
      <c r="L145" s="779">
        <f t="shared" si="48"/>
        <v>67461</v>
      </c>
      <c r="M145" s="733">
        <f t="shared" si="49"/>
        <v>2329361</v>
      </c>
      <c r="N145" s="758">
        <v>20000</v>
      </c>
      <c r="O145" s="758">
        <v>50000</v>
      </c>
      <c r="P145" s="548">
        <f t="shared" si="50"/>
        <v>174702.07499999998</v>
      </c>
      <c r="Q145" s="549">
        <f t="shared" si="51"/>
        <v>58234.025000000001</v>
      </c>
      <c r="R145" s="728">
        <f t="shared" si="52"/>
        <v>2562297.1</v>
      </c>
      <c r="S145" s="745">
        <f t="shared" si="53"/>
        <v>0.1</v>
      </c>
      <c r="T145" s="549">
        <f t="shared" si="54"/>
        <v>256229.71000000002</v>
      </c>
      <c r="U145" s="548">
        <f t="shared" si="55"/>
        <v>15000</v>
      </c>
      <c r="V145" s="549">
        <f t="shared" si="56"/>
        <v>241229.71000000002</v>
      </c>
      <c r="W145" s="533">
        <f t="shared" si="57"/>
        <v>22</v>
      </c>
      <c r="X145" s="549">
        <f t="shared" si="58"/>
        <v>10964.986818181818</v>
      </c>
      <c r="Y145" s="549">
        <f t="shared" si="59"/>
        <v>2306067.39</v>
      </c>
      <c r="Z145" s="728">
        <f t="shared" si="60"/>
        <v>17878.915929323965</v>
      </c>
      <c r="AA145" s="553">
        <f t="shared" si="61"/>
        <v>20727.585626571152</v>
      </c>
      <c r="AB145" s="553">
        <f t="shared" si="62"/>
        <v>26775.397762856166</v>
      </c>
      <c r="AC145" s="553">
        <f t="shared" si="63"/>
        <v>45662.898236815665</v>
      </c>
      <c r="AD145" s="544"/>
      <c r="AN145" s="768" t="s">
        <v>149</v>
      </c>
      <c r="AR145" s="765">
        <v>14</v>
      </c>
      <c r="AS145" s="765" t="s">
        <v>135</v>
      </c>
      <c r="AT145" s="765">
        <v>22</v>
      </c>
      <c r="AU145" s="766">
        <f t="shared" si="64"/>
        <v>0</v>
      </c>
    </row>
    <row r="146" spans="1:47" ht="14.25" customHeight="1">
      <c r="A146" s="547" t="s">
        <v>269</v>
      </c>
      <c r="B146" s="549">
        <f t="shared" si="44"/>
        <v>105880.04545454546</v>
      </c>
      <c r="C146" s="533" t="s">
        <v>93</v>
      </c>
      <c r="D146" s="533" t="s">
        <v>284</v>
      </c>
      <c r="E146" s="533">
        <v>22</v>
      </c>
      <c r="F146" s="545" t="s">
        <v>95</v>
      </c>
      <c r="G146" s="724">
        <v>2000000</v>
      </c>
      <c r="H146" s="725">
        <f t="shared" si="45"/>
        <v>110000</v>
      </c>
      <c r="I146" s="724">
        <f t="shared" si="46"/>
        <v>13200</v>
      </c>
      <c r="J146" s="731">
        <f t="shared" si="47"/>
        <v>63700</v>
      </c>
      <c r="K146" s="772">
        <v>75000</v>
      </c>
      <c r="L146" s="779">
        <f t="shared" si="48"/>
        <v>67461</v>
      </c>
      <c r="M146" s="733">
        <f t="shared" si="49"/>
        <v>2329361</v>
      </c>
      <c r="N146" s="758">
        <v>20000</v>
      </c>
      <c r="O146" s="758">
        <v>50000</v>
      </c>
      <c r="P146" s="548">
        <f t="shared" si="50"/>
        <v>174702.07499999998</v>
      </c>
      <c r="Q146" s="549">
        <f t="shared" si="51"/>
        <v>58234.025000000001</v>
      </c>
      <c r="R146" s="728">
        <f t="shared" si="52"/>
        <v>2562297.1</v>
      </c>
      <c r="S146" s="745">
        <f t="shared" si="53"/>
        <v>0.1</v>
      </c>
      <c r="T146" s="549">
        <f t="shared" si="54"/>
        <v>256229.71000000002</v>
      </c>
      <c r="U146" s="548">
        <f t="shared" si="55"/>
        <v>15000</v>
      </c>
      <c r="V146" s="549">
        <f t="shared" si="56"/>
        <v>241229.71000000002</v>
      </c>
      <c r="W146" s="533">
        <f t="shared" si="57"/>
        <v>22</v>
      </c>
      <c r="X146" s="549">
        <f t="shared" si="58"/>
        <v>10964.986818181818</v>
      </c>
      <c r="Y146" s="549">
        <f t="shared" si="59"/>
        <v>2306067.39</v>
      </c>
      <c r="Z146" s="728">
        <f t="shared" si="60"/>
        <v>17878.915929323965</v>
      </c>
      <c r="AA146" s="553">
        <f t="shared" si="61"/>
        <v>20727.585626571152</v>
      </c>
      <c r="AB146" s="553">
        <f t="shared" si="62"/>
        <v>26775.397762856166</v>
      </c>
      <c r="AC146" s="553">
        <f t="shared" si="63"/>
        <v>45662.898236815665</v>
      </c>
      <c r="AD146" s="544"/>
      <c r="AN146" s="768" t="s">
        <v>149</v>
      </c>
      <c r="AR146" s="765">
        <v>15</v>
      </c>
      <c r="AS146" s="765" t="s">
        <v>138</v>
      </c>
      <c r="AT146" s="765">
        <v>22</v>
      </c>
      <c r="AU146" s="766">
        <f t="shared" si="64"/>
        <v>0</v>
      </c>
    </row>
    <row r="147" spans="1:47" ht="14.25" customHeight="1">
      <c r="A147" s="547" t="s">
        <v>269</v>
      </c>
      <c r="B147" s="549">
        <f t="shared" si="44"/>
        <v>105880.04545454546</v>
      </c>
      <c r="C147" s="533" t="s">
        <v>93</v>
      </c>
      <c r="D147" s="533" t="s">
        <v>285</v>
      </c>
      <c r="E147" s="533">
        <v>22</v>
      </c>
      <c r="F147" s="545" t="s">
        <v>95</v>
      </c>
      <c r="G147" s="724">
        <v>2000000</v>
      </c>
      <c r="H147" s="725">
        <f t="shared" si="45"/>
        <v>110000</v>
      </c>
      <c r="I147" s="724">
        <f t="shared" si="46"/>
        <v>13200</v>
      </c>
      <c r="J147" s="731">
        <f t="shared" si="47"/>
        <v>63700</v>
      </c>
      <c r="K147" s="772">
        <v>75000</v>
      </c>
      <c r="L147" s="779">
        <f t="shared" si="48"/>
        <v>67461</v>
      </c>
      <c r="M147" s="733">
        <f t="shared" si="49"/>
        <v>2329361</v>
      </c>
      <c r="N147" s="758">
        <v>20000</v>
      </c>
      <c r="O147" s="758">
        <v>50000</v>
      </c>
      <c r="P147" s="548">
        <f t="shared" si="50"/>
        <v>174702.07499999998</v>
      </c>
      <c r="Q147" s="549">
        <f t="shared" si="51"/>
        <v>58234.025000000001</v>
      </c>
      <c r="R147" s="728">
        <f t="shared" si="52"/>
        <v>2562297.1</v>
      </c>
      <c r="S147" s="745">
        <f t="shared" si="53"/>
        <v>0.1</v>
      </c>
      <c r="T147" s="549">
        <f t="shared" si="54"/>
        <v>256229.71000000002</v>
      </c>
      <c r="U147" s="548">
        <f t="shared" si="55"/>
        <v>15000</v>
      </c>
      <c r="V147" s="549">
        <f t="shared" si="56"/>
        <v>241229.71000000002</v>
      </c>
      <c r="W147" s="533">
        <f t="shared" si="57"/>
        <v>22</v>
      </c>
      <c r="X147" s="549">
        <f t="shared" si="58"/>
        <v>10964.986818181818</v>
      </c>
      <c r="Y147" s="549">
        <f t="shared" si="59"/>
        <v>2306067.39</v>
      </c>
      <c r="Z147" s="728">
        <f t="shared" si="60"/>
        <v>17878.915929323965</v>
      </c>
      <c r="AA147" s="553">
        <f t="shared" si="61"/>
        <v>20727.585626571152</v>
      </c>
      <c r="AB147" s="553">
        <f t="shared" si="62"/>
        <v>26775.397762856166</v>
      </c>
      <c r="AC147" s="553">
        <f t="shared" si="63"/>
        <v>45662.898236815665</v>
      </c>
      <c r="AD147" s="544"/>
      <c r="AN147" s="768" t="s">
        <v>149</v>
      </c>
      <c r="AR147" s="765">
        <v>16</v>
      </c>
      <c r="AS147" s="765" t="s">
        <v>142</v>
      </c>
      <c r="AT147" s="765">
        <v>22</v>
      </c>
      <c r="AU147" s="766">
        <f t="shared" si="64"/>
        <v>0</v>
      </c>
    </row>
    <row r="148" spans="1:47" ht="14.25" customHeight="1">
      <c r="A148" s="547" t="s">
        <v>269</v>
      </c>
      <c r="B148" s="549">
        <f t="shared" si="44"/>
        <v>105880.04545454546</v>
      </c>
      <c r="C148" s="533" t="s">
        <v>93</v>
      </c>
      <c r="D148" s="533" t="s">
        <v>286</v>
      </c>
      <c r="E148" s="533">
        <v>22</v>
      </c>
      <c r="F148" s="545" t="s">
        <v>95</v>
      </c>
      <c r="G148" s="724">
        <v>2000000</v>
      </c>
      <c r="H148" s="725">
        <f t="shared" si="45"/>
        <v>110000</v>
      </c>
      <c r="I148" s="724">
        <f t="shared" si="46"/>
        <v>13200</v>
      </c>
      <c r="J148" s="731">
        <f t="shared" si="47"/>
        <v>63700</v>
      </c>
      <c r="K148" s="772">
        <v>75000</v>
      </c>
      <c r="L148" s="779">
        <f t="shared" si="48"/>
        <v>67461</v>
      </c>
      <c r="M148" s="733">
        <f t="shared" si="49"/>
        <v>2329361</v>
      </c>
      <c r="N148" s="758">
        <v>20000</v>
      </c>
      <c r="O148" s="758">
        <v>50000</v>
      </c>
      <c r="P148" s="548">
        <f t="shared" si="50"/>
        <v>174702.07499999998</v>
      </c>
      <c r="Q148" s="549">
        <f t="shared" si="51"/>
        <v>58234.025000000001</v>
      </c>
      <c r="R148" s="728">
        <f t="shared" si="52"/>
        <v>2562297.1</v>
      </c>
      <c r="S148" s="745">
        <f t="shared" si="53"/>
        <v>0.1</v>
      </c>
      <c r="T148" s="549">
        <f t="shared" si="54"/>
        <v>256229.71000000002</v>
      </c>
      <c r="U148" s="548">
        <f t="shared" si="55"/>
        <v>15000</v>
      </c>
      <c r="V148" s="549">
        <f t="shared" si="56"/>
        <v>241229.71000000002</v>
      </c>
      <c r="W148" s="533">
        <f t="shared" si="57"/>
        <v>22</v>
      </c>
      <c r="X148" s="549">
        <f t="shared" si="58"/>
        <v>10964.986818181818</v>
      </c>
      <c r="Y148" s="549">
        <f t="shared" si="59"/>
        <v>2306067.39</v>
      </c>
      <c r="Z148" s="728">
        <f t="shared" si="60"/>
        <v>17878.915929323965</v>
      </c>
      <c r="AA148" s="553">
        <f t="shared" si="61"/>
        <v>20727.585626571152</v>
      </c>
      <c r="AB148" s="553">
        <f t="shared" si="62"/>
        <v>26775.397762856166</v>
      </c>
      <c r="AC148" s="553">
        <f t="shared" si="63"/>
        <v>45662.898236815665</v>
      </c>
      <c r="AD148" s="544"/>
      <c r="AN148" s="768" t="s">
        <v>149</v>
      </c>
      <c r="AR148" s="765">
        <v>17</v>
      </c>
      <c r="AS148" s="765" t="s">
        <v>144</v>
      </c>
      <c r="AT148" s="765">
        <v>22</v>
      </c>
      <c r="AU148" s="766">
        <f t="shared" si="64"/>
        <v>0</v>
      </c>
    </row>
    <row r="149" spans="1:47" ht="14.25" customHeight="1">
      <c r="A149" s="547" t="s">
        <v>269</v>
      </c>
      <c r="B149" s="549">
        <f t="shared" si="44"/>
        <v>104356.13249776186</v>
      </c>
      <c r="C149" s="533" t="s">
        <v>117</v>
      </c>
      <c r="D149" s="533" t="s">
        <v>287</v>
      </c>
      <c r="E149" s="533">
        <v>22.34</v>
      </c>
      <c r="F149" s="545" t="s">
        <v>95</v>
      </c>
      <c r="G149" s="724">
        <v>2000000</v>
      </c>
      <c r="H149" s="725">
        <f t="shared" si="45"/>
        <v>111700</v>
      </c>
      <c r="I149" s="724">
        <f t="shared" si="46"/>
        <v>13404</v>
      </c>
      <c r="J149" s="731">
        <f t="shared" si="47"/>
        <v>63700</v>
      </c>
      <c r="K149" s="772">
        <v>75000</v>
      </c>
      <c r="L149" s="779">
        <f t="shared" si="48"/>
        <v>67512</v>
      </c>
      <c r="M149" s="733">
        <f t="shared" si="49"/>
        <v>2331316</v>
      </c>
      <c r="N149" s="758">
        <v>20000</v>
      </c>
      <c r="O149" s="758">
        <v>50000</v>
      </c>
      <c r="P149" s="548">
        <f t="shared" si="50"/>
        <v>174848.69999999998</v>
      </c>
      <c r="Q149" s="549">
        <f t="shared" si="51"/>
        <v>58282.9</v>
      </c>
      <c r="R149" s="728">
        <f t="shared" si="52"/>
        <v>2564447.6</v>
      </c>
      <c r="S149" s="745">
        <f t="shared" si="53"/>
        <v>0.1</v>
      </c>
      <c r="T149" s="549">
        <f t="shared" si="54"/>
        <v>256444.76</v>
      </c>
      <c r="U149" s="548">
        <f t="shared" si="55"/>
        <v>15000</v>
      </c>
      <c r="V149" s="549">
        <f t="shared" si="56"/>
        <v>241444.76</v>
      </c>
      <c r="W149" s="533">
        <f t="shared" si="57"/>
        <v>22</v>
      </c>
      <c r="X149" s="549">
        <f t="shared" si="58"/>
        <v>10974.761818181818</v>
      </c>
      <c r="Y149" s="549">
        <f t="shared" si="59"/>
        <v>2308002.84</v>
      </c>
      <c r="Z149" s="728">
        <f t="shared" si="60"/>
        <v>17893.921452573395</v>
      </c>
      <c r="AA149" s="553">
        <f t="shared" si="61"/>
        <v>20744.981998322866</v>
      </c>
      <c r="AB149" s="553">
        <f t="shared" si="62"/>
        <v>26797.86997846653</v>
      </c>
      <c r="AC149" s="553">
        <f t="shared" si="63"/>
        <v>45701.222466530577</v>
      </c>
      <c r="AD149" s="544"/>
      <c r="AN149" s="768" t="s">
        <v>149</v>
      </c>
      <c r="AR149" s="765">
        <v>18</v>
      </c>
      <c r="AS149" s="765" t="s">
        <v>173</v>
      </c>
      <c r="AT149" s="765">
        <v>22.34</v>
      </c>
      <c r="AU149" s="766">
        <f t="shared" si="64"/>
        <v>0</v>
      </c>
    </row>
    <row r="150" spans="1:47" ht="14.25" customHeight="1">
      <c r="A150" s="547" t="s">
        <v>288</v>
      </c>
      <c r="B150" s="549">
        <f t="shared" si="44"/>
        <v>105880.04545454546</v>
      </c>
      <c r="C150" s="533" t="s">
        <v>93</v>
      </c>
      <c r="D150" s="533" t="s">
        <v>289</v>
      </c>
      <c r="E150" s="533">
        <v>22</v>
      </c>
      <c r="F150" s="545" t="s">
        <v>95</v>
      </c>
      <c r="G150" s="724">
        <v>2000000</v>
      </c>
      <c r="H150" s="725">
        <f t="shared" si="45"/>
        <v>110000</v>
      </c>
      <c r="I150" s="724">
        <f t="shared" si="46"/>
        <v>13200</v>
      </c>
      <c r="J150" s="731">
        <f t="shared" si="47"/>
        <v>63700</v>
      </c>
      <c r="K150" s="772">
        <v>75000</v>
      </c>
      <c r="L150" s="779">
        <f t="shared" si="48"/>
        <v>67461</v>
      </c>
      <c r="M150" s="733">
        <f t="shared" si="49"/>
        <v>2329361</v>
      </c>
      <c r="N150" s="758">
        <v>20000</v>
      </c>
      <c r="O150" s="758">
        <v>50000</v>
      </c>
      <c r="P150" s="548">
        <f t="shared" si="50"/>
        <v>174702.07499999998</v>
      </c>
      <c r="Q150" s="549">
        <f t="shared" si="51"/>
        <v>58234.025000000001</v>
      </c>
      <c r="R150" s="728">
        <f t="shared" si="52"/>
        <v>2562297.1</v>
      </c>
      <c r="S150" s="745">
        <f t="shared" si="53"/>
        <v>0.1</v>
      </c>
      <c r="T150" s="549">
        <f t="shared" si="54"/>
        <v>256229.71000000002</v>
      </c>
      <c r="U150" s="548">
        <f t="shared" si="55"/>
        <v>15000</v>
      </c>
      <c r="V150" s="549">
        <f t="shared" si="56"/>
        <v>241229.71000000002</v>
      </c>
      <c r="W150" s="533">
        <f t="shared" si="57"/>
        <v>22</v>
      </c>
      <c r="X150" s="549">
        <f t="shared" si="58"/>
        <v>10964.986818181818</v>
      </c>
      <c r="Y150" s="549">
        <f t="shared" si="59"/>
        <v>2306067.39</v>
      </c>
      <c r="Z150" s="728">
        <f t="shared" si="60"/>
        <v>17878.915929323965</v>
      </c>
      <c r="AA150" s="553">
        <f t="shared" si="61"/>
        <v>20727.585626571152</v>
      </c>
      <c r="AB150" s="553">
        <f t="shared" si="62"/>
        <v>26775.397762856166</v>
      </c>
      <c r="AC150" s="553">
        <f t="shared" si="63"/>
        <v>45662.898236815665</v>
      </c>
      <c r="AD150" s="544"/>
      <c r="AN150" s="768" t="s">
        <v>96</v>
      </c>
      <c r="AR150" s="765">
        <v>1</v>
      </c>
      <c r="AS150" s="765" t="s">
        <v>97</v>
      </c>
      <c r="AT150" s="765">
        <v>22</v>
      </c>
      <c r="AU150" s="766">
        <f t="shared" si="64"/>
        <v>0</v>
      </c>
    </row>
    <row r="151" spans="1:47" ht="14.25" customHeight="1">
      <c r="A151" s="547" t="s">
        <v>288</v>
      </c>
      <c r="B151" s="549">
        <f t="shared" si="44"/>
        <v>105880.04545454546</v>
      </c>
      <c r="C151" s="533" t="s">
        <v>93</v>
      </c>
      <c r="D151" s="533" t="s">
        <v>290</v>
      </c>
      <c r="E151" s="533">
        <v>22</v>
      </c>
      <c r="F151" s="545" t="s">
        <v>95</v>
      </c>
      <c r="G151" s="724">
        <v>2000000</v>
      </c>
      <c r="H151" s="725">
        <f t="shared" si="45"/>
        <v>110000</v>
      </c>
      <c r="I151" s="724">
        <f t="shared" si="46"/>
        <v>13200</v>
      </c>
      <c r="J151" s="731">
        <f t="shared" si="47"/>
        <v>63700</v>
      </c>
      <c r="K151" s="772">
        <v>75000</v>
      </c>
      <c r="L151" s="779">
        <f t="shared" si="48"/>
        <v>67461</v>
      </c>
      <c r="M151" s="733">
        <f t="shared" si="49"/>
        <v>2329361</v>
      </c>
      <c r="N151" s="758">
        <v>20000</v>
      </c>
      <c r="O151" s="758">
        <v>50000</v>
      </c>
      <c r="P151" s="548">
        <f t="shared" si="50"/>
        <v>174702.07499999998</v>
      </c>
      <c r="Q151" s="549">
        <f t="shared" si="51"/>
        <v>58234.025000000001</v>
      </c>
      <c r="R151" s="728">
        <f t="shared" si="52"/>
        <v>2562297.1</v>
      </c>
      <c r="S151" s="745">
        <f t="shared" si="53"/>
        <v>0.1</v>
      </c>
      <c r="T151" s="549">
        <f t="shared" si="54"/>
        <v>256229.71000000002</v>
      </c>
      <c r="U151" s="548">
        <f t="shared" si="55"/>
        <v>15000</v>
      </c>
      <c r="V151" s="549">
        <f t="shared" si="56"/>
        <v>241229.71000000002</v>
      </c>
      <c r="W151" s="533">
        <f t="shared" si="57"/>
        <v>22</v>
      </c>
      <c r="X151" s="549">
        <f t="shared" si="58"/>
        <v>10964.986818181818</v>
      </c>
      <c r="Y151" s="549">
        <f t="shared" si="59"/>
        <v>2306067.39</v>
      </c>
      <c r="Z151" s="728">
        <f t="shared" si="60"/>
        <v>17878.915929323965</v>
      </c>
      <c r="AA151" s="553">
        <f t="shared" si="61"/>
        <v>20727.585626571152</v>
      </c>
      <c r="AB151" s="553">
        <f t="shared" si="62"/>
        <v>26775.397762856166</v>
      </c>
      <c r="AC151" s="553">
        <f t="shared" si="63"/>
        <v>45662.898236815665</v>
      </c>
      <c r="AD151" s="544"/>
      <c r="AN151" s="768" t="s">
        <v>96</v>
      </c>
      <c r="AR151" s="765">
        <v>2</v>
      </c>
      <c r="AS151" s="765" t="s">
        <v>104</v>
      </c>
      <c r="AT151" s="765">
        <v>22</v>
      </c>
      <c r="AU151" s="766">
        <f t="shared" si="64"/>
        <v>0</v>
      </c>
    </row>
    <row r="152" spans="1:47" ht="14.25" customHeight="1">
      <c r="A152" s="547" t="s">
        <v>288</v>
      </c>
      <c r="B152" s="549">
        <f t="shared" si="44"/>
        <v>105880.04545454546</v>
      </c>
      <c r="C152" s="533" t="s">
        <v>93</v>
      </c>
      <c r="D152" s="533" t="s">
        <v>291</v>
      </c>
      <c r="E152" s="533">
        <v>22</v>
      </c>
      <c r="F152" s="545" t="s">
        <v>95</v>
      </c>
      <c r="G152" s="724">
        <v>2000000</v>
      </c>
      <c r="H152" s="725">
        <f t="shared" si="45"/>
        <v>110000</v>
      </c>
      <c r="I152" s="724">
        <f t="shared" si="46"/>
        <v>13200</v>
      </c>
      <c r="J152" s="731">
        <f t="shared" si="47"/>
        <v>63700</v>
      </c>
      <c r="K152" s="772">
        <v>75000</v>
      </c>
      <c r="L152" s="779">
        <f t="shared" si="48"/>
        <v>67461</v>
      </c>
      <c r="M152" s="733">
        <f t="shared" si="49"/>
        <v>2329361</v>
      </c>
      <c r="N152" s="758">
        <v>20000</v>
      </c>
      <c r="O152" s="758">
        <v>50000</v>
      </c>
      <c r="P152" s="548">
        <f t="shared" si="50"/>
        <v>174702.07499999998</v>
      </c>
      <c r="Q152" s="549">
        <f t="shared" si="51"/>
        <v>58234.025000000001</v>
      </c>
      <c r="R152" s="728">
        <f t="shared" si="52"/>
        <v>2562297.1</v>
      </c>
      <c r="S152" s="745">
        <f t="shared" si="53"/>
        <v>0.1</v>
      </c>
      <c r="T152" s="549">
        <f t="shared" si="54"/>
        <v>256229.71000000002</v>
      </c>
      <c r="U152" s="548">
        <f t="shared" si="55"/>
        <v>15000</v>
      </c>
      <c r="V152" s="549">
        <f t="shared" si="56"/>
        <v>241229.71000000002</v>
      </c>
      <c r="W152" s="533">
        <f t="shared" si="57"/>
        <v>22</v>
      </c>
      <c r="X152" s="549">
        <f t="shared" si="58"/>
        <v>10964.986818181818</v>
      </c>
      <c r="Y152" s="549">
        <f t="shared" si="59"/>
        <v>2306067.39</v>
      </c>
      <c r="Z152" s="728">
        <f t="shared" si="60"/>
        <v>17878.915929323965</v>
      </c>
      <c r="AA152" s="553">
        <f t="shared" si="61"/>
        <v>20727.585626571152</v>
      </c>
      <c r="AB152" s="553">
        <f t="shared" si="62"/>
        <v>26775.397762856166</v>
      </c>
      <c r="AC152" s="553">
        <f t="shared" si="63"/>
        <v>45662.898236815665</v>
      </c>
      <c r="AD152" s="544"/>
      <c r="AN152" s="768" t="s">
        <v>149</v>
      </c>
      <c r="AR152" s="765">
        <v>3</v>
      </c>
      <c r="AS152" s="765" t="s">
        <v>108</v>
      </c>
      <c r="AT152" s="765">
        <v>22</v>
      </c>
      <c r="AU152" s="766">
        <f t="shared" si="64"/>
        <v>0</v>
      </c>
    </row>
    <row r="153" spans="1:47" ht="14.25" customHeight="1">
      <c r="A153" s="547" t="s">
        <v>288</v>
      </c>
      <c r="B153" s="549">
        <f t="shared" si="44"/>
        <v>105880.04545454546</v>
      </c>
      <c r="C153" s="533" t="s">
        <v>93</v>
      </c>
      <c r="D153" s="533" t="s">
        <v>292</v>
      </c>
      <c r="E153" s="533">
        <v>22</v>
      </c>
      <c r="F153" s="545" t="s">
        <v>95</v>
      </c>
      <c r="G153" s="724">
        <v>2000000</v>
      </c>
      <c r="H153" s="725">
        <f t="shared" si="45"/>
        <v>110000</v>
      </c>
      <c r="I153" s="724">
        <f t="shared" si="46"/>
        <v>13200</v>
      </c>
      <c r="J153" s="731">
        <f t="shared" si="47"/>
        <v>63700</v>
      </c>
      <c r="K153" s="772">
        <v>75000</v>
      </c>
      <c r="L153" s="779">
        <f t="shared" si="48"/>
        <v>67461</v>
      </c>
      <c r="M153" s="733">
        <f t="shared" si="49"/>
        <v>2329361</v>
      </c>
      <c r="N153" s="758">
        <v>20000</v>
      </c>
      <c r="O153" s="758">
        <v>50000</v>
      </c>
      <c r="P153" s="548">
        <f t="shared" si="50"/>
        <v>174702.07499999998</v>
      </c>
      <c r="Q153" s="549">
        <f t="shared" si="51"/>
        <v>58234.025000000001</v>
      </c>
      <c r="R153" s="728">
        <f t="shared" si="52"/>
        <v>2562297.1</v>
      </c>
      <c r="S153" s="745">
        <f t="shared" si="53"/>
        <v>0.1</v>
      </c>
      <c r="T153" s="549">
        <f t="shared" si="54"/>
        <v>256229.71000000002</v>
      </c>
      <c r="U153" s="548">
        <f t="shared" si="55"/>
        <v>15000</v>
      </c>
      <c r="V153" s="549">
        <f t="shared" si="56"/>
        <v>241229.71000000002</v>
      </c>
      <c r="W153" s="533">
        <f t="shared" si="57"/>
        <v>22</v>
      </c>
      <c r="X153" s="549">
        <f t="shared" si="58"/>
        <v>10964.986818181818</v>
      </c>
      <c r="Y153" s="549">
        <f t="shared" si="59"/>
        <v>2306067.39</v>
      </c>
      <c r="Z153" s="728">
        <f t="shared" si="60"/>
        <v>17878.915929323965</v>
      </c>
      <c r="AA153" s="553">
        <f t="shared" si="61"/>
        <v>20727.585626571152</v>
      </c>
      <c r="AB153" s="553">
        <f t="shared" si="62"/>
        <v>26775.397762856166</v>
      </c>
      <c r="AC153" s="553">
        <f t="shared" si="63"/>
        <v>45662.898236815665</v>
      </c>
      <c r="AD153" s="544"/>
      <c r="AN153" s="768" t="s">
        <v>149</v>
      </c>
      <c r="AO153" s="267"/>
      <c r="AR153" s="765">
        <v>4</v>
      </c>
      <c r="AS153" s="765" t="s">
        <v>112</v>
      </c>
      <c r="AT153" s="765">
        <v>22</v>
      </c>
      <c r="AU153" s="766">
        <f t="shared" si="64"/>
        <v>0</v>
      </c>
    </row>
    <row r="154" spans="1:47" ht="14.25" customHeight="1">
      <c r="A154" s="547" t="s">
        <v>288</v>
      </c>
      <c r="B154" s="549">
        <f t="shared" si="44"/>
        <v>105880.04545454546</v>
      </c>
      <c r="C154" s="533" t="s">
        <v>93</v>
      </c>
      <c r="D154" s="533" t="s">
        <v>293</v>
      </c>
      <c r="E154" s="533">
        <v>22</v>
      </c>
      <c r="F154" s="545" t="s">
        <v>95</v>
      </c>
      <c r="G154" s="724">
        <v>2000000</v>
      </c>
      <c r="H154" s="725">
        <f t="shared" si="45"/>
        <v>110000</v>
      </c>
      <c r="I154" s="724">
        <f t="shared" si="46"/>
        <v>13200</v>
      </c>
      <c r="J154" s="731">
        <f t="shared" si="47"/>
        <v>63700</v>
      </c>
      <c r="K154" s="772">
        <v>75000</v>
      </c>
      <c r="L154" s="779">
        <f t="shared" si="48"/>
        <v>67461</v>
      </c>
      <c r="M154" s="733">
        <f t="shared" si="49"/>
        <v>2329361</v>
      </c>
      <c r="N154" s="758">
        <v>20000</v>
      </c>
      <c r="O154" s="758">
        <v>50000</v>
      </c>
      <c r="P154" s="548">
        <f t="shared" si="50"/>
        <v>174702.07499999998</v>
      </c>
      <c r="Q154" s="549">
        <f t="shared" si="51"/>
        <v>58234.025000000001</v>
      </c>
      <c r="R154" s="728">
        <f t="shared" si="52"/>
        <v>2562297.1</v>
      </c>
      <c r="S154" s="745">
        <f t="shared" si="53"/>
        <v>0.1</v>
      </c>
      <c r="T154" s="549">
        <f t="shared" si="54"/>
        <v>256229.71000000002</v>
      </c>
      <c r="U154" s="548">
        <f t="shared" si="55"/>
        <v>15000</v>
      </c>
      <c r="V154" s="549">
        <f t="shared" si="56"/>
        <v>241229.71000000002</v>
      </c>
      <c r="W154" s="533">
        <f t="shared" si="57"/>
        <v>22</v>
      </c>
      <c r="X154" s="549">
        <f t="shared" si="58"/>
        <v>10964.986818181818</v>
      </c>
      <c r="Y154" s="549">
        <f t="shared" si="59"/>
        <v>2306067.39</v>
      </c>
      <c r="Z154" s="728">
        <f t="shared" si="60"/>
        <v>17878.915929323965</v>
      </c>
      <c r="AA154" s="553">
        <f t="shared" si="61"/>
        <v>20727.585626571152</v>
      </c>
      <c r="AB154" s="553">
        <f t="shared" si="62"/>
        <v>26775.397762856166</v>
      </c>
      <c r="AC154" s="553">
        <f t="shared" si="63"/>
        <v>45662.898236815665</v>
      </c>
      <c r="AD154" s="544"/>
      <c r="AN154" s="768" t="s">
        <v>96</v>
      </c>
      <c r="AO154" s="267"/>
      <c r="AP154" s="274"/>
      <c r="AR154" s="765">
        <v>5</v>
      </c>
      <c r="AS154" s="765" t="s">
        <v>116</v>
      </c>
      <c r="AT154" s="765">
        <v>22</v>
      </c>
      <c r="AU154" s="766">
        <f t="shared" si="64"/>
        <v>0</v>
      </c>
    </row>
    <row r="155" spans="1:47" ht="14.25" customHeight="1">
      <c r="A155" s="547" t="s">
        <v>288</v>
      </c>
      <c r="B155" s="549">
        <f t="shared" si="44"/>
        <v>105880.04545454546</v>
      </c>
      <c r="C155" s="533" t="s">
        <v>93</v>
      </c>
      <c r="D155" s="533" t="s">
        <v>294</v>
      </c>
      <c r="E155" s="533">
        <v>22</v>
      </c>
      <c r="F155" s="545" t="s">
        <v>95</v>
      </c>
      <c r="G155" s="724">
        <v>2000000</v>
      </c>
      <c r="H155" s="725">
        <f t="shared" si="45"/>
        <v>110000</v>
      </c>
      <c r="I155" s="724">
        <f t="shared" si="46"/>
        <v>13200</v>
      </c>
      <c r="J155" s="731">
        <f t="shared" si="47"/>
        <v>63700</v>
      </c>
      <c r="K155" s="772">
        <v>75000</v>
      </c>
      <c r="L155" s="779">
        <f t="shared" si="48"/>
        <v>67461</v>
      </c>
      <c r="M155" s="733">
        <f t="shared" si="49"/>
        <v>2329361</v>
      </c>
      <c r="N155" s="758">
        <v>20000</v>
      </c>
      <c r="O155" s="758">
        <v>50000</v>
      </c>
      <c r="P155" s="548">
        <f t="shared" si="50"/>
        <v>174702.07499999998</v>
      </c>
      <c r="Q155" s="549">
        <f t="shared" si="51"/>
        <v>58234.025000000001</v>
      </c>
      <c r="R155" s="728">
        <f t="shared" si="52"/>
        <v>2562297.1</v>
      </c>
      <c r="S155" s="745">
        <f t="shared" si="53"/>
        <v>0.1</v>
      </c>
      <c r="T155" s="549">
        <f t="shared" si="54"/>
        <v>256229.71000000002</v>
      </c>
      <c r="U155" s="548">
        <f t="shared" si="55"/>
        <v>15000</v>
      </c>
      <c r="V155" s="549">
        <f t="shared" si="56"/>
        <v>241229.71000000002</v>
      </c>
      <c r="W155" s="533">
        <f t="shared" si="57"/>
        <v>22</v>
      </c>
      <c r="X155" s="549">
        <f t="shared" si="58"/>
        <v>10964.986818181818</v>
      </c>
      <c r="Y155" s="549">
        <f t="shared" si="59"/>
        <v>2306067.39</v>
      </c>
      <c r="Z155" s="728">
        <f t="shared" si="60"/>
        <v>17878.915929323965</v>
      </c>
      <c r="AA155" s="553">
        <f t="shared" si="61"/>
        <v>20727.585626571152</v>
      </c>
      <c r="AB155" s="553">
        <f t="shared" si="62"/>
        <v>26775.397762856166</v>
      </c>
      <c r="AC155" s="553">
        <f t="shared" si="63"/>
        <v>45662.898236815665</v>
      </c>
      <c r="AD155" s="544"/>
      <c r="AN155" s="768" t="s">
        <v>149</v>
      </c>
      <c r="AO155" s="267"/>
      <c r="AR155" s="765">
        <v>6</v>
      </c>
      <c r="AS155" s="765" t="s">
        <v>119</v>
      </c>
      <c r="AT155" s="765">
        <v>22</v>
      </c>
      <c r="AU155" s="766">
        <f t="shared" si="64"/>
        <v>0</v>
      </c>
    </row>
    <row r="156" spans="1:47" ht="14.25" customHeight="1">
      <c r="A156" s="547" t="s">
        <v>288</v>
      </c>
      <c r="B156" s="549">
        <f t="shared" si="44"/>
        <v>105880.04545454546</v>
      </c>
      <c r="C156" s="533" t="s">
        <v>117</v>
      </c>
      <c r="D156" s="533" t="s">
        <v>295</v>
      </c>
      <c r="E156" s="533">
        <v>22</v>
      </c>
      <c r="F156" s="545" t="s">
        <v>95</v>
      </c>
      <c r="G156" s="724">
        <v>2000000</v>
      </c>
      <c r="H156" s="725">
        <f t="shared" si="45"/>
        <v>110000</v>
      </c>
      <c r="I156" s="724">
        <f t="shared" si="46"/>
        <v>13200</v>
      </c>
      <c r="J156" s="731">
        <f t="shared" si="47"/>
        <v>63700</v>
      </c>
      <c r="K156" s="772">
        <v>75000</v>
      </c>
      <c r="L156" s="779">
        <f t="shared" si="48"/>
        <v>67461</v>
      </c>
      <c r="M156" s="733">
        <f t="shared" si="49"/>
        <v>2329361</v>
      </c>
      <c r="N156" s="758">
        <v>20000</v>
      </c>
      <c r="O156" s="758">
        <v>50000</v>
      </c>
      <c r="P156" s="548">
        <f t="shared" si="50"/>
        <v>174702.07499999998</v>
      </c>
      <c r="Q156" s="549">
        <f>M156*Q$5</f>
        <v>58234.025000000001</v>
      </c>
      <c r="R156" s="728">
        <f t="shared" si="52"/>
        <v>2562297.1</v>
      </c>
      <c r="S156" s="745">
        <f t="shared" si="53"/>
        <v>0.1</v>
      </c>
      <c r="T156" s="549">
        <f t="shared" si="54"/>
        <v>256229.71000000002</v>
      </c>
      <c r="U156" s="548">
        <f t="shared" si="55"/>
        <v>15000</v>
      </c>
      <c r="V156" s="549">
        <f t="shared" si="56"/>
        <v>241229.71000000002</v>
      </c>
      <c r="W156" s="533">
        <f t="shared" si="57"/>
        <v>22</v>
      </c>
      <c r="X156" s="549">
        <f t="shared" si="58"/>
        <v>10964.986818181818</v>
      </c>
      <c r="Y156" s="549">
        <f t="shared" si="59"/>
        <v>2306067.39</v>
      </c>
      <c r="Z156" s="728">
        <f t="shared" si="60"/>
        <v>17878.915929323965</v>
      </c>
      <c r="AA156" s="553">
        <f t="shared" si="61"/>
        <v>20727.585626571152</v>
      </c>
      <c r="AB156" s="553">
        <f t="shared" si="62"/>
        <v>26775.397762856166</v>
      </c>
      <c r="AC156" s="553">
        <f t="shared" si="63"/>
        <v>45662.898236815665</v>
      </c>
      <c r="AD156" s="544"/>
      <c r="AN156" s="768" t="s">
        <v>96</v>
      </c>
      <c r="AR156" s="765">
        <v>7</v>
      </c>
      <c r="AS156" s="765" t="s">
        <v>121</v>
      </c>
      <c r="AT156" s="765">
        <v>22</v>
      </c>
      <c r="AU156" s="766">
        <f t="shared" si="64"/>
        <v>0</v>
      </c>
    </row>
    <row r="157" spans="1:47" ht="14.25" customHeight="1">
      <c r="A157" s="547" t="s">
        <v>288</v>
      </c>
      <c r="B157" s="549">
        <f t="shared" si="44"/>
        <v>104356.13249776186</v>
      </c>
      <c r="C157" s="533" t="s">
        <v>117</v>
      </c>
      <c r="D157" s="533" t="s">
        <v>296</v>
      </c>
      <c r="E157" s="533">
        <v>22.34</v>
      </c>
      <c r="F157" s="545" t="s">
        <v>95</v>
      </c>
      <c r="G157" s="724">
        <v>2000000</v>
      </c>
      <c r="H157" s="725">
        <f t="shared" si="45"/>
        <v>111700</v>
      </c>
      <c r="I157" s="724">
        <f t="shared" si="46"/>
        <v>13404</v>
      </c>
      <c r="J157" s="731">
        <f t="shared" si="47"/>
        <v>63700</v>
      </c>
      <c r="K157" s="772">
        <v>75000</v>
      </c>
      <c r="L157" s="779">
        <f t="shared" si="48"/>
        <v>67512</v>
      </c>
      <c r="M157" s="733">
        <f t="shared" si="49"/>
        <v>2331316</v>
      </c>
      <c r="N157" s="758">
        <v>20000</v>
      </c>
      <c r="O157" s="758">
        <v>50000</v>
      </c>
      <c r="P157" s="548">
        <f t="shared" si="50"/>
        <v>174848.69999999998</v>
      </c>
      <c r="Q157" s="549">
        <f t="shared" si="51"/>
        <v>58282.9</v>
      </c>
      <c r="R157" s="728">
        <f t="shared" si="52"/>
        <v>2564447.6</v>
      </c>
      <c r="S157" s="745">
        <f t="shared" si="53"/>
        <v>0.1</v>
      </c>
      <c r="T157" s="549">
        <f t="shared" si="54"/>
        <v>256444.76</v>
      </c>
      <c r="U157" s="548">
        <f t="shared" si="55"/>
        <v>15000</v>
      </c>
      <c r="V157" s="549">
        <f t="shared" si="56"/>
        <v>241444.76</v>
      </c>
      <c r="W157" s="533">
        <f t="shared" si="57"/>
        <v>22</v>
      </c>
      <c r="X157" s="549">
        <f t="shared" si="58"/>
        <v>10974.761818181818</v>
      </c>
      <c r="Y157" s="549">
        <f t="shared" si="59"/>
        <v>2308002.84</v>
      </c>
      <c r="Z157" s="728">
        <f t="shared" si="60"/>
        <v>17893.921452573395</v>
      </c>
      <c r="AA157" s="553">
        <f t="shared" si="61"/>
        <v>20744.981998322866</v>
      </c>
      <c r="AB157" s="553">
        <f t="shared" si="62"/>
        <v>26797.86997846653</v>
      </c>
      <c r="AC157" s="553">
        <f t="shared" si="63"/>
        <v>45701.222466530577</v>
      </c>
      <c r="AD157" s="544"/>
      <c r="AN157" s="768" t="s">
        <v>149</v>
      </c>
      <c r="AO157" s="781"/>
      <c r="AP157" s="781"/>
      <c r="AR157" s="765">
        <v>8</v>
      </c>
      <c r="AS157" s="765" t="s">
        <v>123</v>
      </c>
      <c r="AT157" s="765">
        <v>22.34</v>
      </c>
      <c r="AU157" s="766">
        <f t="shared" si="64"/>
        <v>0</v>
      </c>
    </row>
    <row r="158" spans="1:47" ht="14.25" customHeight="1">
      <c r="A158" s="547" t="s">
        <v>288</v>
      </c>
      <c r="B158" s="549">
        <f t="shared" si="44"/>
        <v>105880.04545454546</v>
      </c>
      <c r="C158" s="533" t="s">
        <v>93</v>
      </c>
      <c r="D158" s="533" t="s">
        <v>297</v>
      </c>
      <c r="E158" s="533">
        <v>22</v>
      </c>
      <c r="F158" s="545" t="s">
        <v>95</v>
      </c>
      <c r="G158" s="724">
        <v>2000000</v>
      </c>
      <c r="H158" s="725">
        <f t="shared" si="45"/>
        <v>110000</v>
      </c>
      <c r="I158" s="724">
        <f t="shared" si="46"/>
        <v>13200</v>
      </c>
      <c r="J158" s="731">
        <f t="shared" si="47"/>
        <v>63700</v>
      </c>
      <c r="K158" s="772">
        <v>75000</v>
      </c>
      <c r="L158" s="779">
        <f t="shared" si="48"/>
        <v>67461</v>
      </c>
      <c r="M158" s="733">
        <f t="shared" si="49"/>
        <v>2329361</v>
      </c>
      <c r="N158" s="758">
        <v>20000</v>
      </c>
      <c r="O158" s="758">
        <v>50000</v>
      </c>
      <c r="P158" s="548">
        <f t="shared" si="50"/>
        <v>174702.07499999998</v>
      </c>
      <c r="Q158" s="549">
        <f t="shared" si="51"/>
        <v>58234.025000000001</v>
      </c>
      <c r="R158" s="728">
        <f t="shared" si="52"/>
        <v>2562297.1</v>
      </c>
      <c r="S158" s="745">
        <f t="shared" si="53"/>
        <v>0.1</v>
      </c>
      <c r="T158" s="549">
        <f t="shared" si="54"/>
        <v>256229.71000000002</v>
      </c>
      <c r="U158" s="548">
        <f t="shared" si="55"/>
        <v>15000</v>
      </c>
      <c r="V158" s="549">
        <f t="shared" si="56"/>
        <v>241229.71000000002</v>
      </c>
      <c r="W158" s="533">
        <f t="shared" si="57"/>
        <v>22</v>
      </c>
      <c r="X158" s="549">
        <f t="shared" si="58"/>
        <v>10964.986818181818</v>
      </c>
      <c r="Y158" s="549">
        <f t="shared" si="59"/>
        <v>2306067.39</v>
      </c>
      <c r="Z158" s="728">
        <f t="shared" si="60"/>
        <v>17878.915929323965</v>
      </c>
      <c r="AA158" s="553">
        <f t="shared" si="61"/>
        <v>20727.585626571152</v>
      </c>
      <c r="AB158" s="553">
        <f t="shared" si="62"/>
        <v>26775.397762856166</v>
      </c>
      <c r="AC158" s="553">
        <f t="shared" si="63"/>
        <v>45662.898236815665</v>
      </c>
      <c r="AD158" s="544"/>
      <c r="AN158" s="768" t="s">
        <v>149</v>
      </c>
      <c r="AO158" s="781"/>
      <c r="AP158" s="781"/>
      <c r="AR158" s="765">
        <v>9</v>
      </c>
      <c r="AS158" s="765" t="s">
        <v>125</v>
      </c>
      <c r="AT158" s="765">
        <v>22</v>
      </c>
      <c r="AU158" s="766">
        <f t="shared" si="64"/>
        <v>0</v>
      </c>
    </row>
    <row r="159" spans="1:47" ht="14.25" customHeight="1">
      <c r="A159" s="547" t="s">
        <v>288</v>
      </c>
      <c r="B159" s="549">
        <f t="shared" si="44"/>
        <v>105880.04545454546</v>
      </c>
      <c r="C159" s="533" t="s">
        <v>93</v>
      </c>
      <c r="D159" s="533" t="s">
        <v>298</v>
      </c>
      <c r="E159" s="533">
        <v>22</v>
      </c>
      <c r="F159" s="545" t="s">
        <v>95</v>
      </c>
      <c r="G159" s="724">
        <v>2000000</v>
      </c>
      <c r="H159" s="725">
        <f t="shared" si="45"/>
        <v>110000</v>
      </c>
      <c r="I159" s="724">
        <f t="shared" si="46"/>
        <v>13200</v>
      </c>
      <c r="J159" s="731">
        <f t="shared" si="47"/>
        <v>63700</v>
      </c>
      <c r="K159" s="772">
        <v>75000</v>
      </c>
      <c r="L159" s="779">
        <f t="shared" si="48"/>
        <v>67461</v>
      </c>
      <c r="M159" s="733">
        <f t="shared" si="49"/>
        <v>2329361</v>
      </c>
      <c r="N159" s="758">
        <v>20000</v>
      </c>
      <c r="O159" s="758">
        <v>50000</v>
      </c>
      <c r="P159" s="548">
        <f t="shared" si="50"/>
        <v>174702.07499999998</v>
      </c>
      <c r="Q159" s="549">
        <f t="shared" si="51"/>
        <v>58234.025000000001</v>
      </c>
      <c r="R159" s="728">
        <f t="shared" si="52"/>
        <v>2562297.1</v>
      </c>
      <c r="S159" s="745">
        <f t="shared" si="53"/>
        <v>0.1</v>
      </c>
      <c r="T159" s="549">
        <f t="shared" si="54"/>
        <v>256229.71000000002</v>
      </c>
      <c r="U159" s="548">
        <f t="shared" si="55"/>
        <v>15000</v>
      </c>
      <c r="V159" s="549">
        <f t="shared" si="56"/>
        <v>241229.71000000002</v>
      </c>
      <c r="W159" s="533">
        <f t="shared" si="57"/>
        <v>22</v>
      </c>
      <c r="X159" s="549">
        <f t="shared" si="58"/>
        <v>10964.986818181818</v>
      </c>
      <c r="Y159" s="549">
        <f t="shared" si="59"/>
        <v>2306067.39</v>
      </c>
      <c r="Z159" s="728">
        <f t="shared" si="60"/>
        <v>17878.915929323965</v>
      </c>
      <c r="AA159" s="553">
        <f t="shared" si="61"/>
        <v>20727.585626571152</v>
      </c>
      <c r="AB159" s="553">
        <f t="shared" si="62"/>
        <v>26775.397762856166</v>
      </c>
      <c r="AC159" s="553">
        <f t="shared" si="63"/>
        <v>45662.898236815665</v>
      </c>
      <c r="AD159" s="544"/>
      <c r="AN159" s="768" t="s">
        <v>96</v>
      </c>
      <c r="AO159" s="267"/>
      <c r="AP159" s="274"/>
      <c r="AR159" s="765">
        <v>10</v>
      </c>
      <c r="AS159" s="765" t="s">
        <v>127</v>
      </c>
      <c r="AT159" s="765">
        <v>22</v>
      </c>
      <c r="AU159" s="766">
        <f t="shared" si="64"/>
        <v>0</v>
      </c>
    </row>
    <row r="160" spans="1:47" ht="14.25" customHeight="1">
      <c r="A160" s="547" t="s">
        <v>288</v>
      </c>
      <c r="B160" s="549">
        <f t="shared" si="44"/>
        <v>105880.04545454546</v>
      </c>
      <c r="C160" s="533" t="s">
        <v>93</v>
      </c>
      <c r="D160" s="533" t="s">
        <v>299</v>
      </c>
      <c r="E160" s="533">
        <v>22</v>
      </c>
      <c r="F160" s="545" t="s">
        <v>95</v>
      </c>
      <c r="G160" s="724">
        <v>2000000</v>
      </c>
      <c r="H160" s="725">
        <f t="shared" si="45"/>
        <v>110000</v>
      </c>
      <c r="I160" s="724">
        <f t="shared" si="46"/>
        <v>13200</v>
      </c>
      <c r="J160" s="731">
        <f t="shared" si="47"/>
        <v>63700</v>
      </c>
      <c r="K160" s="772">
        <v>75000</v>
      </c>
      <c r="L160" s="779">
        <f t="shared" si="48"/>
        <v>67461</v>
      </c>
      <c r="M160" s="733">
        <f t="shared" si="49"/>
        <v>2329361</v>
      </c>
      <c r="N160" s="758">
        <v>20000</v>
      </c>
      <c r="O160" s="758">
        <v>50000</v>
      </c>
      <c r="P160" s="548">
        <f t="shared" si="50"/>
        <v>174702.07499999998</v>
      </c>
      <c r="Q160" s="549">
        <f t="shared" si="51"/>
        <v>58234.025000000001</v>
      </c>
      <c r="R160" s="728">
        <f t="shared" si="52"/>
        <v>2562297.1</v>
      </c>
      <c r="S160" s="745">
        <f t="shared" si="53"/>
        <v>0.1</v>
      </c>
      <c r="T160" s="549">
        <f t="shared" si="54"/>
        <v>256229.71000000002</v>
      </c>
      <c r="U160" s="548">
        <f t="shared" si="55"/>
        <v>15000</v>
      </c>
      <c r="V160" s="549">
        <f t="shared" si="56"/>
        <v>241229.71000000002</v>
      </c>
      <c r="W160" s="533">
        <f t="shared" si="57"/>
        <v>22</v>
      </c>
      <c r="X160" s="549">
        <f t="shared" si="58"/>
        <v>10964.986818181818</v>
      </c>
      <c r="Y160" s="549">
        <f t="shared" si="59"/>
        <v>2306067.39</v>
      </c>
      <c r="Z160" s="728">
        <f t="shared" si="60"/>
        <v>17878.915929323965</v>
      </c>
      <c r="AA160" s="553">
        <f t="shared" si="61"/>
        <v>20727.585626571152</v>
      </c>
      <c r="AB160" s="553">
        <f t="shared" si="62"/>
        <v>26775.397762856166</v>
      </c>
      <c r="AC160" s="553">
        <f t="shared" si="63"/>
        <v>45662.898236815665</v>
      </c>
      <c r="AD160" s="544"/>
      <c r="AN160" s="768" t="s">
        <v>149</v>
      </c>
      <c r="AO160" s="781"/>
      <c r="AP160" s="781"/>
      <c r="AR160" s="765">
        <v>11</v>
      </c>
      <c r="AS160" s="765" t="s">
        <v>129</v>
      </c>
      <c r="AT160" s="765">
        <v>22</v>
      </c>
      <c r="AU160" s="766">
        <f t="shared" si="64"/>
        <v>0</v>
      </c>
    </row>
    <row r="161" spans="1:47" ht="14.25" customHeight="1">
      <c r="A161" s="547" t="s">
        <v>288</v>
      </c>
      <c r="B161" s="549">
        <f t="shared" si="44"/>
        <v>105880.04545454546</v>
      </c>
      <c r="C161" s="533" t="s">
        <v>93</v>
      </c>
      <c r="D161" s="533" t="s">
        <v>300</v>
      </c>
      <c r="E161" s="533">
        <v>22</v>
      </c>
      <c r="F161" s="545" t="s">
        <v>95</v>
      </c>
      <c r="G161" s="724">
        <v>2000000</v>
      </c>
      <c r="H161" s="725">
        <f t="shared" si="45"/>
        <v>110000</v>
      </c>
      <c r="I161" s="724">
        <f t="shared" si="46"/>
        <v>13200</v>
      </c>
      <c r="J161" s="731">
        <f t="shared" si="47"/>
        <v>63700</v>
      </c>
      <c r="K161" s="772">
        <v>75000</v>
      </c>
      <c r="L161" s="779">
        <f t="shared" si="48"/>
        <v>67461</v>
      </c>
      <c r="M161" s="733">
        <f t="shared" si="49"/>
        <v>2329361</v>
      </c>
      <c r="N161" s="758">
        <v>20000</v>
      </c>
      <c r="O161" s="758">
        <v>50000</v>
      </c>
      <c r="P161" s="548">
        <f t="shared" si="50"/>
        <v>174702.07499999998</v>
      </c>
      <c r="Q161" s="549">
        <f t="shared" si="51"/>
        <v>58234.025000000001</v>
      </c>
      <c r="R161" s="728">
        <f t="shared" si="52"/>
        <v>2562297.1</v>
      </c>
      <c r="S161" s="745">
        <f t="shared" si="53"/>
        <v>0.1</v>
      </c>
      <c r="T161" s="549">
        <f t="shared" si="54"/>
        <v>256229.71000000002</v>
      </c>
      <c r="U161" s="548">
        <f t="shared" si="55"/>
        <v>15000</v>
      </c>
      <c r="V161" s="549">
        <f t="shared" si="56"/>
        <v>241229.71000000002</v>
      </c>
      <c r="W161" s="533">
        <f t="shared" si="57"/>
        <v>22</v>
      </c>
      <c r="X161" s="549">
        <f t="shared" si="58"/>
        <v>10964.986818181818</v>
      </c>
      <c r="Y161" s="549">
        <f t="shared" si="59"/>
        <v>2306067.39</v>
      </c>
      <c r="Z161" s="728">
        <f t="shared" si="60"/>
        <v>17878.915929323965</v>
      </c>
      <c r="AA161" s="553">
        <f t="shared" si="61"/>
        <v>20727.585626571152</v>
      </c>
      <c r="AB161" s="553">
        <f t="shared" si="62"/>
        <v>26775.397762856166</v>
      </c>
      <c r="AC161" s="553">
        <f t="shared" si="63"/>
        <v>45662.898236815665</v>
      </c>
      <c r="AD161" s="544"/>
      <c r="AN161" s="768" t="s">
        <v>96</v>
      </c>
      <c r="AO161" s="781"/>
      <c r="AP161" s="781"/>
      <c r="AR161" s="765">
        <v>12</v>
      </c>
      <c r="AS161" s="765" t="s">
        <v>131</v>
      </c>
      <c r="AT161" s="765">
        <v>22</v>
      </c>
      <c r="AU161" s="766">
        <f t="shared" si="64"/>
        <v>0</v>
      </c>
    </row>
    <row r="162" spans="1:47" ht="14.25" customHeight="1">
      <c r="A162" s="547" t="s">
        <v>288</v>
      </c>
      <c r="B162" s="549">
        <f t="shared" si="44"/>
        <v>105880.04545454546</v>
      </c>
      <c r="C162" s="533" t="s">
        <v>93</v>
      </c>
      <c r="D162" s="533" t="s">
        <v>301</v>
      </c>
      <c r="E162" s="533">
        <v>22</v>
      </c>
      <c r="F162" s="545" t="s">
        <v>95</v>
      </c>
      <c r="G162" s="724">
        <v>2000000</v>
      </c>
      <c r="H162" s="725">
        <f t="shared" si="45"/>
        <v>110000</v>
      </c>
      <c r="I162" s="724">
        <f t="shared" si="46"/>
        <v>13200</v>
      </c>
      <c r="J162" s="731">
        <f t="shared" si="47"/>
        <v>63700</v>
      </c>
      <c r="K162" s="772">
        <v>75000</v>
      </c>
      <c r="L162" s="779">
        <f t="shared" si="48"/>
        <v>67461</v>
      </c>
      <c r="M162" s="733">
        <f t="shared" si="49"/>
        <v>2329361</v>
      </c>
      <c r="N162" s="758">
        <v>20000</v>
      </c>
      <c r="O162" s="758">
        <v>50000</v>
      </c>
      <c r="P162" s="548">
        <f t="shared" si="50"/>
        <v>174702.07499999998</v>
      </c>
      <c r="Q162" s="549">
        <f t="shared" si="51"/>
        <v>58234.025000000001</v>
      </c>
      <c r="R162" s="728">
        <f t="shared" si="52"/>
        <v>2562297.1</v>
      </c>
      <c r="S162" s="745">
        <f t="shared" si="53"/>
        <v>0.1</v>
      </c>
      <c r="T162" s="549">
        <f t="shared" si="54"/>
        <v>256229.71000000002</v>
      </c>
      <c r="U162" s="548">
        <f t="shared" si="55"/>
        <v>15000</v>
      </c>
      <c r="V162" s="549">
        <f t="shared" si="56"/>
        <v>241229.71000000002</v>
      </c>
      <c r="W162" s="533">
        <f t="shared" si="57"/>
        <v>22</v>
      </c>
      <c r="X162" s="549">
        <f t="shared" si="58"/>
        <v>10964.986818181818</v>
      </c>
      <c r="Y162" s="549">
        <f t="shared" si="59"/>
        <v>2306067.39</v>
      </c>
      <c r="Z162" s="728">
        <f t="shared" si="60"/>
        <v>17878.915929323965</v>
      </c>
      <c r="AA162" s="553">
        <f t="shared" si="61"/>
        <v>20727.585626571152</v>
      </c>
      <c r="AB162" s="553">
        <f t="shared" si="62"/>
        <v>26775.397762856166</v>
      </c>
      <c r="AC162" s="553">
        <f t="shared" si="63"/>
        <v>45662.898236815665</v>
      </c>
      <c r="AD162" s="544"/>
      <c r="AN162" s="768" t="s">
        <v>96</v>
      </c>
      <c r="AP162" s="274"/>
      <c r="AR162" s="765">
        <v>13</v>
      </c>
      <c r="AS162" s="765" t="s">
        <v>133</v>
      </c>
      <c r="AT162" s="765">
        <v>22</v>
      </c>
      <c r="AU162" s="766">
        <f t="shared" si="64"/>
        <v>0</v>
      </c>
    </row>
    <row r="163" spans="1:47" ht="14.25" customHeight="1">
      <c r="A163" s="547" t="s">
        <v>288</v>
      </c>
      <c r="B163" s="549">
        <f t="shared" si="44"/>
        <v>105880.04545454546</v>
      </c>
      <c r="C163" s="533" t="s">
        <v>93</v>
      </c>
      <c r="D163" s="533" t="s">
        <v>302</v>
      </c>
      <c r="E163" s="533">
        <v>22</v>
      </c>
      <c r="F163" s="545" t="s">
        <v>95</v>
      </c>
      <c r="G163" s="724">
        <v>2000000</v>
      </c>
      <c r="H163" s="725">
        <f t="shared" si="45"/>
        <v>110000</v>
      </c>
      <c r="I163" s="724">
        <f t="shared" si="46"/>
        <v>13200</v>
      </c>
      <c r="J163" s="731">
        <f t="shared" si="47"/>
        <v>63700</v>
      </c>
      <c r="K163" s="772">
        <v>75000</v>
      </c>
      <c r="L163" s="779">
        <f t="shared" si="48"/>
        <v>67461</v>
      </c>
      <c r="M163" s="733">
        <f t="shared" si="49"/>
        <v>2329361</v>
      </c>
      <c r="N163" s="758">
        <v>20000</v>
      </c>
      <c r="O163" s="758">
        <v>50000</v>
      </c>
      <c r="P163" s="548">
        <f t="shared" si="50"/>
        <v>174702.07499999998</v>
      </c>
      <c r="Q163" s="549">
        <f t="shared" si="51"/>
        <v>58234.025000000001</v>
      </c>
      <c r="R163" s="728">
        <f t="shared" si="52"/>
        <v>2562297.1</v>
      </c>
      <c r="S163" s="745">
        <f t="shared" si="53"/>
        <v>0.1</v>
      </c>
      <c r="T163" s="549">
        <f t="shared" si="54"/>
        <v>256229.71000000002</v>
      </c>
      <c r="U163" s="548">
        <f t="shared" si="55"/>
        <v>15000</v>
      </c>
      <c r="V163" s="549">
        <f t="shared" si="56"/>
        <v>241229.71000000002</v>
      </c>
      <c r="W163" s="533">
        <f t="shared" si="57"/>
        <v>22</v>
      </c>
      <c r="X163" s="549">
        <f t="shared" si="58"/>
        <v>10964.986818181818</v>
      </c>
      <c r="Y163" s="549">
        <f t="shared" si="59"/>
        <v>2306067.39</v>
      </c>
      <c r="Z163" s="728">
        <f t="shared" si="60"/>
        <v>17878.915929323965</v>
      </c>
      <c r="AA163" s="553">
        <f t="shared" si="61"/>
        <v>20727.585626571152</v>
      </c>
      <c r="AB163" s="553">
        <f t="shared" si="62"/>
        <v>26775.397762856166</v>
      </c>
      <c r="AC163" s="553">
        <f t="shared" si="63"/>
        <v>45662.898236815665</v>
      </c>
      <c r="AD163" s="544"/>
      <c r="AN163" s="768" t="s">
        <v>96</v>
      </c>
      <c r="AO163" s="781"/>
      <c r="AP163" s="781"/>
      <c r="AR163" s="765">
        <v>14</v>
      </c>
      <c r="AS163" s="765" t="s">
        <v>135</v>
      </c>
      <c r="AT163" s="765">
        <v>22</v>
      </c>
      <c r="AU163" s="766">
        <f t="shared" si="64"/>
        <v>0</v>
      </c>
    </row>
    <row r="164" spans="1:47" ht="14.25" customHeight="1">
      <c r="A164" s="547" t="s">
        <v>288</v>
      </c>
      <c r="B164" s="549">
        <f t="shared" si="44"/>
        <v>105880.04545454546</v>
      </c>
      <c r="C164" s="533" t="s">
        <v>93</v>
      </c>
      <c r="D164" s="533" t="s">
        <v>303</v>
      </c>
      <c r="E164" s="533">
        <v>22</v>
      </c>
      <c r="F164" s="545" t="s">
        <v>95</v>
      </c>
      <c r="G164" s="724">
        <v>2000000</v>
      </c>
      <c r="H164" s="725">
        <f t="shared" si="45"/>
        <v>110000</v>
      </c>
      <c r="I164" s="724">
        <f t="shared" si="46"/>
        <v>13200</v>
      </c>
      <c r="J164" s="731">
        <f t="shared" si="47"/>
        <v>63700</v>
      </c>
      <c r="K164" s="772">
        <v>75000</v>
      </c>
      <c r="L164" s="779">
        <f t="shared" si="48"/>
        <v>67461</v>
      </c>
      <c r="M164" s="733">
        <f t="shared" si="49"/>
        <v>2329361</v>
      </c>
      <c r="N164" s="758">
        <v>20000</v>
      </c>
      <c r="O164" s="758">
        <v>50000</v>
      </c>
      <c r="P164" s="548">
        <f t="shared" si="50"/>
        <v>174702.07499999998</v>
      </c>
      <c r="Q164" s="549">
        <f t="shared" si="51"/>
        <v>58234.025000000001</v>
      </c>
      <c r="R164" s="728">
        <f t="shared" si="52"/>
        <v>2562297.1</v>
      </c>
      <c r="S164" s="745">
        <f t="shared" si="53"/>
        <v>0.1</v>
      </c>
      <c r="T164" s="549">
        <f t="shared" si="54"/>
        <v>256229.71000000002</v>
      </c>
      <c r="U164" s="548">
        <f t="shared" si="55"/>
        <v>15000</v>
      </c>
      <c r="V164" s="549">
        <f t="shared" si="56"/>
        <v>241229.71000000002</v>
      </c>
      <c r="W164" s="533">
        <f t="shared" si="57"/>
        <v>22</v>
      </c>
      <c r="X164" s="549">
        <f t="shared" si="58"/>
        <v>10964.986818181818</v>
      </c>
      <c r="Y164" s="549">
        <f t="shared" si="59"/>
        <v>2306067.39</v>
      </c>
      <c r="Z164" s="728">
        <f t="shared" si="60"/>
        <v>17878.915929323965</v>
      </c>
      <c r="AA164" s="553">
        <f t="shared" si="61"/>
        <v>20727.585626571152</v>
      </c>
      <c r="AB164" s="553">
        <f t="shared" si="62"/>
        <v>26775.397762856166</v>
      </c>
      <c r="AC164" s="553">
        <f t="shared" si="63"/>
        <v>45662.898236815665</v>
      </c>
      <c r="AD164" s="544"/>
      <c r="AN164" s="768" t="s">
        <v>96</v>
      </c>
      <c r="AP164" s="274"/>
      <c r="AR164" s="765">
        <v>15</v>
      </c>
      <c r="AS164" s="765" t="s">
        <v>138</v>
      </c>
      <c r="AT164" s="765">
        <v>22</v>
      </c>
      <c r="AU164" s="766">
        <f t="shared" si="64"/>
        <v>0</v>
      </c>
    </row>
    <row r="165" spans="1:47" ht="14.25" customHeight="1">
      <c r="A165" s="547" t="s">
        <v>288</v>
      </c>
      <c r="B165" s="549">
        <f t="shared" si="44"/>
        <v>105880.04545454546</v>
      </c>
      <c r="C165" s="533" t="s">
        <v>93</v>
      </c>
      <c r="D165" s="533" t="s">
        <v>304</v>
      </c>
      <c r="E165" s="533">
        <v>22</v>
      </c>
      <c r="F165" s="545" t="s">
        <v>95</v>
      </c>
      <c r="G165" s="724">
        <v>2000000</v>
      </c>
      <c r="H165" s="725">
        <f t="shared" si="45"/>
        <v>110000</v>
      </c>
      <c r="I165" s="724">
        <f t="shared" si="46"/>
        <v>13200</v>
      </c>
      <c r="J165" s="731">
        <f t="shared" si="47"/>
        <v>63700</v>
      </c>
      <c r="K165" s="772">
        <v>75000</v>
      </c>
      <c r="L165" s="779">
        <f t="shared" si="48"/>
        <v>67461</v>
      </c>
      <c r="M165" s="733">
        <f t="shared" si="49"/>
        <v>2329361</v>
      </c>
      <c r="N165" s="758">
        <v>20000</v>
      </c>
      <c r="O165" s="758">
        <v>50000</v>
      </c>
      <c r="P165" s="548">
        <f t="shared" si="50"/>
        <v>174702.07499999998</v>
      </c>
      <c r="Q165" s="549">
        <f t="shared" si="51"/>
        <v>58234.025000000001</v>
      </c>
      <c r="R165" s="728">
        <f t="shared" si="52"/>
        <v>2562297.1</v>
      </c>
      <c r="S165" s="745">
        <f t="shared" si="53"/>
        <v>0.1</v>
      </c>
      <c r="T165" s="549">
        <f t="shared" si="54"/>
        <v>256229.71000000002</v>
      </c>
      <c r="U165" s="548">
        <f t="shared" si="55"/>
        <v>15000</v>
      </c>
      <c r="V165" s="549">
        <f t="shared" si="56"/>
        <v>241229.71000000002</v>
      </c>
      <c r="W165" s="533">
        <f t="shared" si="57"/>
        <v>22</v>
      </c>
      <c r="X165" s="549">
        <f t="shared" si="58"/>
        <v>10964.986818181818</v>
      </c>
      <c r="Y165" s="549">
        <f t="shared" si="59"/>
        <v>2306067.39</v>
      </c>
      <c r="Z165" s="728">
        <f t="shared" si="60"/>
        <v>17878.915929323965</v>
      </c>
      <c r="AA165" s="553">
        <f t="shared" si="61"/>
        <v>20727.585626571152</v>
      </c>
      <c r="AB165" s="553">
        <f t="shared" si="62"/>
        <v>26775.397762856166</v>
      </c>
      <c r="AC165" s="553">
        <f t="shared" si="63"/>
        <v>45662.898236815665</v>
      </c>
      <c r="AD165" s="544"/>
      <c r="AN165" s="768" t="s">
        <v>96</v>
      </c>
      <c r="AO165" s="781"/>
      <c r="AP165" s="781"/>
      <c r="AR165" s="765">
        <v>16</v>
      </c>
      <c r="AS165" s="765" t="s">
        <v>142</v>
      </c>
      <c r="AT165" s="765">
        <v>22</v>
      </c>
      <c r="AU165" s="766">
        <f t="shared" si="64"/>
        <v>0</v>
      </c>
    </row>
    <row r="166" spans="1:47" ht="14.25" customHeight="1">
      <c r="A166" s="547" t="s">
        <v>288</v>
      </c>
      <c r="B166" s="549">
        <f t="shared" si="44"/>
        <v>105880.04545454546</v>
      </c>
      <c r="C166" s="533" t="s">
        <v>93</v>
      </c>
      <c r="D166" s="533" t="s">
        <v>305</v>
      </c>
      <c r="E166" s="533">
        <v>22</v>
      </c>
      <c r="F166" s="545" t="s">
        <v>95</v>
      </c>
      <c r="G166" s="724">
        <v>2000000</v>
      </c>
      <c r="H166" s="725">
        <f t="shared" si="45"/>
        <v>110000</v>
      </c>
      <c r="I166" s="724">
        <f t="shared" si="46"/>
        <v>13200</v>
      </c>
      <c r="J166" s="731">
        <f t="shared" si="47"/>
        <v>63700</v>
      </c>
      <c r="K166" s="772">
        <v>75000</v>
      </c>
      <c r="L166" s="779">
        <f t="shared" si="48"/>
        <v>67461</v>
      </c>
      <c r="M166" s="733">
        <f t="shared" si="49"/>
        <v>2329361</v>
      </c>
      <c r="N166" s="758">
        <v>20000</v>
      </c>
      <c r="O166" s="758">
        <v>50000</v>
      </c>
      <c r="P166" s="548">
        <f t="shared" si="50"/>
        <v>174702.07499999998</v>
      </c>
      <c r="Q166" s="549">
        <f t="shared" si="51"/>
        <v>58234.025000000001</v>
      </c>
      <c r="R166" s="728">
        <f t="shared" si="52"/>
        <v>2562297.1</v>
      </c>
      <c r="S166" s="745">
        <f t="shared" si="53"/>
        <v>0.1</v>
      </c>
      <c r="T166" s="549">
        <f t="shared" si="54"/>
        <v>256229.71000000002</v>
      </c>
      <c r="U166" s="548">
        <f t="shared" si="55"/>
        <v>15000</v>
      </c>
      <c r="V166" s="549">
        <f t="shared" si="56"/>
        <v>241229.71000000002</v>
      </c>
      <c r="W166" s="533">
        <f t="shared" si="57"/>
        <v>22</v>
      </c>
      <c r="X166" s="549">
        <f t="shared" si="58"/>
        <v>10964.986818181818</v>
      </c>
      <c r="Y166" s="549">
        <f t="shared" si="59"/>
        <v>2306067.39</v>
      </c>
      <c r="Z166" s="728">
        <f t="shared" si="60"/>
        <v>17878.915929323965</v>
      </c>
      <c r="AA166" s="553">
        <f t="shared" si="61"/>
        <v>20727.585626571152</v>
      </c>
      <c r="AB166" s="553">
        <f t="shared" si="62"/>
        <v>26775.397762856166</v>
      </c>
      <c r="AC166" s="553">
        <f t="shared" si="63"/>
        <v>45662.898236815665</v>
      </c>
      <c r="AD166" s="544"/>
      <c r="AN166" s="768" t="s">
        <v>96</v>
      </c>
      <c r="AP166" s="274"/>
      <c r="AQ166" t="s">
        <v>306</v>
      </c>
      <c r="AR166" s="765">
        <v>17</v>
      </c>
      <c r="AS166" s="765" t="s">
        <v>144</v>
      </c>
      <c r="AT166" s="765">
        <v>22</v>
      </c>
      <c r="AU166" s="766">
        <f t="shared" si="64"/>
        <v>0</v>
      </c>
    </row>
    <row r="167" spans="1:47" ht="14.25" customHeight="1">
      <c r="A167" s="547" t="s">
        <v>288</v>
      </c>
      <c r="B167" s="549">
        <f>M167/E167</f>
        <v>104356.13249776186</v>
      </c>
      <c r="C167" s="533" t="s">
        <v>117</v>
      </c>
      <c r="D167" s="533" t="s">
        <v>307</v>
      </c>
      <c r="E167" s="533">
        <v>22.34</v>
      </c>
      <c r="F167" s="545" t="s">
        <v>95</v>
      </c>
      <c r="G167" s="724">
        <v>2000000</v>
      </c>
      <c r="H167" s="725">
        <f>H$5*E167</f>
        <v>111700</v>
      </c>
      <c r="I167" s="724">
        <f>H167*I$5</f>
        <v>13404</v>
      </c>
      <c r="J167" s="731">
        <f t="shared" si="47"/>
        <v>63700</v>
      </c>
      <c r="K167" s="772">
        <v>75000</v>
      </c>
      <c r="L167" s="779">
        <f t="shared" si="48"/>
        <v>67512</v>
      </c>
      <c r="M167" s="733">
        <f t="shared" si="49"/>
        <v>2331316</v>
      </c>
      <c r="N167" s="758">
        <v>20000</v>
      </c>
      <c r="O167" s="758">
        <v>50000</v>
      </c>
      <c r="P167" s="548">
        <f t="shared" si="50"/>
        <v>174848.69999999998</v>
      </c>
      <c r="Q167" s="549">
        <f t="shared" si="51"/>
        <v>58282.9</v>
      </c>
      <c r="R167" s="728">
        <f t="shared" si="52"/>
        <v>2564447.6</v>
      </c>
      <c r="S167" s="745">
        <f t="shared" si="53"/>
        <v>0.1</v>
      </c>
      <c r="T167" s="549">
        <f t="shared" si="54"/>
        <v>256444.76</v>
      </c>
      <c r="U167" s="548">
        <f t="shared" si="55"/>
        <v>15000</v>
      </c>
      <c r="V167" s="549">
        <f t="shared" si="56"/>
        <v>241444.76</v>
      </c>
      <c r="W167" s="533">
        <f t="shared" si="57"/>
        <v>22</v>
      </c>
      <c r="X167" s="549">
        <f t="shared" si="58"/>
        <v>10974.761818181818</v>
      </c>
      <c r="Y167" s="549">
        <f t="shared" si="59"/>
        <v>2308002.84</v>
      </c>
      <c r="Z167" s="728">
        <f t="shared" si="60"/>
        <v>17893.921452573395</v>
      </c>
      <c r="AA167" s="553">
        <f t="shared" si="61"/>
        <v>20744.981998322866</v>
      </c>
      <c r="AB167" s="553">
        <f t="shared" si="62"/>
        <v>26797.86997846653</v>
      </c>
      <c r="AC167" s="553">
        <f t="shared" si="63"/>
        <v>45701.222466530577</v>
      </c>
      <c r="AD167" s="544"/>
      <c r="AN167" s="768" t="s">
        <v>149</v>
      </c>
      <c r="AO167" s="781"/>
      <c r="AP167" s="781"/>
      <c r="AQ167" t="s">
        <v>306</v>
      </c>
      <c r="AR167" s="765">
        <v>18</v>
      </c>
      <c r="AS167" s="765" t="s">
        <v>173</v>
      </c>
      <c r="AT167" s="765">
        <v>22.34</v>
      </c>
      <c r="AU167" s="766">
        <f t="shared" si="64"/>
        <v>0</v>
      </c>
    </row>
    <row r="168" spans="1:47" s="284" customFormat="1" ht="14.25" customHeight="1">
      <c r="A168" s="547" t="s">
        <v>308</v>
      </c>
      <c r="B168" s="549">
        <f t="shared" ref="B168:B183" si="65">M168/E168</f>
        <v>105880.04545454546</v>
      </c>
      <c r="C168" s="533" t="s">
        <v>93</v>
      </c>
      <c r="D168" s="533" t="s">
        <v>309</v>
      </c>
      <c r="E168" s="783">
        <v>22</v>
      </c>
      <c r="F168" s="545" t="s">
        <v>95</v>
      </c>
      <c r="G168" s="548">
        <v>2000000</v>
      </c>
      <c r="H168" s="784">
        <f>H$5*E168</f>
        <v>110000</v>
      </c>
      <c r="I168" s="548">
        <f t="shared" ref="I168:I183" si="66">H168*I$5</f>
        <v>13200</v>
      </c>
      <c r="J168" s="733">
        <f t="shared" ref="J168:J183" si="67">+(N168+O168)*$J$5</f>
        <v>63700</v>
      </c>
      <c r="K168" s="757">
        <v>75000</v>
      </c>
      <c r="L168" s="785">
        <f t="shared" si="48"/>
        <v>67461</v>
      </c>
      <c r="M168" s="733">
        <f t="shared" si="49"/>
        <v>2329361</v>
      </c>
      <c r="N168" s="758">
        <v>20000</v>
      </c>
      <c r="O168" s="758">
        <v>50000</v>
      </c>
      <c r="P168" s="548">
        <f>M168*P$5</f>
        <v>174702.07499999998</v>
      </c>
      <c r="Q168" s="549">
        <f t="shared" ref="Q168:Q183" si="68">M168*Q$5</f>
        <v>58234.025000000001</v>
      </c>
      <c r="R168" s="728">
        <f>+M168+P168+Q168</f>
        <v>2562297.1</v>
      </c>
      <c r="S168" s="745">
        <f t="shared" si="53"/>
        <v>0.1</v>
      </c>
      <c r="T168" s="549">
        <f t="shared" ref="T168:T183" si="69">R168*S168</f>
        <v>256229.71000000002</v>
      </c>
      <c r="U168" s="548">
        <f t="shared" si="55"/>
        <v>15000</v>
      </c>
      <c r="V168" s="549">
        <f t="shared" ref="V168:V183" si="70">T168-U168</f>
        <v>241229.71000000002</v>
      </c>
      <c r="W168" s="533">
        <f t="shared" si="57"/>
        <v>22</v>
      </c>
      <c r="X168" s="549">
        <f t="shared" ref="X168:X183" si="71">V168/W168</f>
        <v>10964.986818181818</v>
      </c>
      <c r="Y168" s="549">
        <f t="shared" ref="Y168:Y183" si="72">R168-T168</f>
        <v>2306067.39</v>
      </c>
      <c r="Z168" s="728">
        <f t="shared" ref="Z168:Z183" si="73">Y168*Z$5</f>
        <v>17878.915929323965</v>
      </c>
      <c r="AA168" s="733">
        <f t="shared" ref="AA168:AA183" si="74">Y168*AA$5</f>
        <v>20727.585626571152</v>
      </c>
      <c r="AB168" s="733">
        <f t="shared" ref="AB168:AB183" si="75">Y168*AB$5</f>
        <v>26775.397762856166</v>
      </c>
      <c r="AC168" s="733">
        <f t="shared" ref="AC168:AC183" si="76">Y168*AC$5</f>
        <v>45662.898236815665</v>
      </c>
      <c r="AL168"/>
      <c r="AM168"/>
      <c r="AN168" s="782" t="s">
        <v>149</v>
      </c>
      <c r="AO168" s="147"/>
      <c r="AP168" s="147"/>
      <c r="AR168" s="786">
        <v>1</v>
      </c>
      <c r="AS168" s="787" t="s">
        <v>97</v>
      </c>
      <c r="AT168" s="788">
        <v>22</v>
      </c>
      <c r="AU168" s="284" t="s">
        <v>310</v>
      </c>
    </row>
    <row r="169" spans="1:47" s="284" customFormat="1" ht="14.25" customHeight="1">
      <c r="A169" s="547" t="s">
        <v>308</v>
      </c>
      <c r="B169" s="549">
        <f t="shared" si="65"/>
        <v>105880.04545454546</v>
      </c>
      <c r="C169" s="533" t="s">
        <v>93</v>
      </c>
      <c r="D169" s="533" t="s">
        <v>311</v>
      </c>
      <c r="E169" s="783">
        <v>22</v>
      </c>
      <c r="F169" s="545" t="s">
        <v>95</v>
      </c>
      <c r="G169" s="548">
        <v>2000000</v>
      </c>
      <c r="H169" s="784">
        <f t="shared" ref="H169:H183" si="77">H$5*E169</f>
        <v>110000</v>
      </c>
      <c r="I169" s="548">
        <f t="shared" si="66"/>
        <v>13200</v>
      </c>
      <c r="J169" s="733">
        <f t="shared" si="67"/>
        <v>63700</v>
      </c>
      <c r="K169" s="757">
        <v>75000</v>
      </c>
      <c r="L169" s="785">
        <f t="shared" si="48"/>
        <v>67461</v>
      </c>
      <c r="M169" s="733">
        <f t="shared" si="49"/>
        <v>2329361</v>
      </c>
      <c r="N169" s="758">
        <v>20000</v>
      </c>
      <c r="O169" s="758">
        <v>50000</v>
      </c>
      <c r="P169" s="548">
        <f>M169*P$5</f>
        <v>174702.07499999998</v>
      </c>
      <c r="Q169" s="549">
        <f t="shared" si="68"/>
        <v>58234.025000000001</v>
      </c>
      <c r="R169" s="728">
        <f t="shared" ref="R169:R183" si="78">+M169+P169+Q169</f>
        <v>2562297.1</v>
      </c>
      <c r="S169" s="745">
        <f t="shared" si="53"/>
        <v>0.1</v>
      </c>
      <c r="T169" s="549">
        <f t="shared" si="69"/>
        <v>256229.71000000002</v>
      </c>
      <c r="U169" s="548">
        <f t="shared" si="55"/>
        <v>15000</v>
      </c>
      <c r="V169" s="549">
        <f t="shared" si="70"/>
        <v>241229.71000000002</v>
      </c>
      <c r="W169" s="533">
        <f t="shared" si="57"/>
        <v>22</v>
      </c>
      <c r="X169" s="549">
        <f t="shared" si="71"/>
        <v>10964.986818181818</v>
      </c>
      <c r="Y169" s="549">
        <f t="shared" si="72"/>
        <v>2306067.39</v>
      </c>
      <c r="Z169" s="728">
        <f t="shared" si="73"/>
        <v>17878.915929323965</v>
      </c>
      <c r="AA169" s="733">
        <f t="shared" si="74"/>
        <v>20727.585626571152</v>
      </c>
      <c r="AB169" s="733">
        <f t="shared" si="75"/>
        <v>26775.397762856166</v>
      </c>
      <c r="AC169" s="733">
        <f t="shared" si="76"/>
        <v>45662.898236815665</v>
      </c>
      <c r="AL169"/>
      <c r="AM169"/>
      <c r="AN169" s="782" t="s">
        <v>149</v>
      </c>
      <c r="AO169" s="147"/>
      <c r="AP169" s="147"/>
      <c r="AR169" s="786">
        <v>2</v>
      </c>
      <c r="AS169" s="787" t="s">
        <v>104</v>
      </c>
      <c r="AT169" s="788">
        <v>22</v>
      </c>
      <c r="AU169" s="284" t="s">
        <v>310</v>
      </c>
    </row>
    <row r="170" spans="1:47" s="284" customFormat="1" ht="14.25" customHeight="1">
      <c r="A170" s="547" t="s">
        <v>308</v>
      </c>
      <c r="B170" s="549">
        <f t="shared" si="65"/>
        <v>105880.04545454546</v>
      </c>
      <c r="C170" s="533" t="s">
        <v>93</v>
      </c>
      <c r="D170" s="533" t="s">
        <v>312</v>
      </c>
      <c r="E170" s="783">
        <v>22</v>
      </c>
      <c r="F170" s="545" t="s">
        <v>95</v>
      </c>
      <c r="G170" s="548">
        <v>2000000</v>
      </c>
      <c r="H170" s="784">
        <f>H$5*E170</f>
        <v>110000</v>
      </c>
      <c r="I170" s="548">
        <f t="shared" si="66"/>
        <v>13200</v>
      </c>
      <c r="J170" s="733">
        <f t="shared" si="67"/>
        <v>63700</v>
      </c>
      <c r="K170" s="757">
        <v>75000</v>
      </c>
      <c r="L170" s="785">
        <f t="shared" si="48"/>
        <v>67461</v>
      </c>
      <c r="M170" s="733">
        <f t="shared" si="49"/>
        <v>2329361</v>
      </c>
      <c r="N170" s="758">
        <v>20000</v>
      </c>
      <c r="O170" s="758">
        <v>50000</v>
      </c>
      <c r="P170" s="548">
        <f t="shared" ref="P170:P183" si="79">M170*P$5</f>
        <v>174702.07499999998</v>
      </c>
      <c r="Q170" s="549">
        <f t="shared" si="68"/>
        <v>58234.025000000001</v>
      </c>
      <c r="R170" s="728">
        <f t="shared" si="78"/>
        <v>2562297.1</v>
      </c>
      <c r="S170" s="745">
        <f t="shared" si="53"/>
        <v>0.1</v>
      </c>
      <c r="T170" s="549">
        <f t="shared" si="69"/>
        <v>256229.71000000002</v>
      </c>
      <c r="U170" s="548">
        <f t="shared" si="55"/>
        <v>15000</v>
      </c>
      <c r="V170" s="549">
        <f t="shared" si="70"/>
        <v>241229.71000000002</v>
      </c>
      <c r="W170" s="533">
        <f t="shared" si="57"/>
        <v>22</v>
      </c>
      <c r="X170" s="549">
        <f t="shared" si="71"/>
        <v>10964.986818181818</v>
      </c>
      <c r="Y170" s="549">
        <f t="shared" si="72"/>
        <v>2306067.39</v>
      </c>
      <c r="Z170" s="728">
        <f t="shared" si="73"/>
        <v>17878.915929323965</v>
      </c>
      <c r="AA170" s="733">
        <f t="shared" si="74"/>
        <v>20727.585626571152</v>
      </c>
      <c r="AB170" s="733">
        <f t="shared" si="75"/>
        <v>26775.397762856166</v>
      </c>
      <c r="AC170" s="733">
        <f t="shared" si="76"/>
        <v>45662.898236815665</v>
      </c>
      <c r="AL170"/>
      <c r="AM170"/>
      <c r="AN170" s="782" t="s">
        <v>96</v>
      </c>
      <c r="AO170" s="147"/>
      <c r="AP170" s="147"/>
      <c r="AR170" s="786">
        <v>3</v>
      </c>
      <c r="AS170" s="787" t="s">
        <v>108</v>
      </c>
      <c r="AT170" s="788">
        <v>22</v>
      </c>
      <c r="AU170" s="284" t="s">
        <v>310</v>
      </c>
    </row>
    <row r="171" spans="1:47" s="284" customFormat="1" ht="14.25" customHeight="1">
      <c r="A171" s="547" t="s">
        <v>308</v>
      </c>
      <c r="B171" s="549">
        <f t="shared" si="65"/>
        <v>105880.04545454546</v>
      </c>
      <c r="C171" s="533" t="s">
        <v>93</v>
      </c>
      <c r="D171" s="533" t="s">
        <v>313</v>
      </c>
      <c r="E171" s="783">
        <v>22</v>
      </c>
      <c r="F171" s="545" t="s">
        <v>95</v>
      </c>
      <c r="G171" s="548">
        <v>2000000</v>
      </c>
      <c r="H171" s="784">
        <f>H$5*E171</f>
        <v>110000</v>
      </c>
      <c r="I171" s="548">
        <f t="shared" si="66"/>
        <v>13200</v>
      </c>
      <c r="J171" s="733">
        <f t="shared" si="67"/>
        <v>63700</v>
      </c>
      <c r="K171" s="757">
        <v>75000</v>
      </c>
      <c r="L171" s="785">
        <f t="shared" si="48"/>
        <v>67461</v>
      </c>
      <c r="M171" s="733">
        <f t="shared" si="49"/>
        <v>2329361</v>
      </c>
      <c r="N171" s="758">
        <v>20000</v>
      </c>
      <c r="O171" s="758">
        <v>50000</v>
      </c>
      <c r="P171" s="548">
        <f>M171*P$5</f>
        <v>174702.07499999998</v>
      </c>
      <c r="Q171" s="549">
        <f t="shared" si="68"/>
        <v>58234.025000000001</v>
      </c>
      <c r="R171" s="728">
        <f t="shared" si="78"/>
        <v>2562297.1</v>
      </c>
      <c r="S171" s="745">
        <f t="shared" si="53"/>
        <v>0.1</v>
      </c>
      <c r="T171" s="549">
        <f t="shared" si="69"/>
        <v>256229.71000000002</v>
      </c>
      <c r="U171" s="548">
        <f t="shared" si="55"/>
        <v>15000</v>
      </c>
      <c r="V171" s="549">
        <f t="shared" si="70"/>
        <v>241229.71000000002</v>
      </c>
      <c r="W171" s="533">
        <f t="shared" si="57"/>
        <v>22</v>
      </c>
      <c r="X171" s="549">
        <f t="shared" si="71"/>
        <v>10964.986818181818</v>
      </c>
      <c r="Y171" s="549">
        <f t="shared" si="72"/>
        <v>2306067.39</v>
      </c>
      <c r="Z171" s="728">
        <f t="shared" si="73"/>
        <v>17878.915929323965</v>
      </c>
      <c r="AA171" s="733">
        <f t="shared" si="74"/>
        <v>20727.585626571152</v>
      </c>
      <c r="AB171" s="733">
        <f t="shared" si="75"/>
        <v>26775.397762856166</v>
      </c>
      <c r="AC171" s="733">
        <f t="shared" si="76"/>
        <v>45662.898236815665</v>
      </c>
      <c r="AL171"/>
      <c r="AM171"/>
      <c r="AN171" s="782" t="s">
        <v>96</v>
      </c>
      <c r="AO171" s="147"/>
      <c r="AP171" s="147"/>
      <c r="AR171" s="786">
        <v>4</v>
      </c>
      <c r="AS171" s="787" t="s">
        <v>112</v>
      </c>
      <c r="AT171" s="788">
        <v>22</v>
      </c>
      <c r="AU171" s="284" t="s">
        <v>310</v>
      </c>
    </row>
    <row r="172" spans="1:47" s="284" customFormat="1" ht="14.25" customHeight="1">
      <c r="A172" s="547" t="s">
        <v>308</v>
      </c>
      <c r="B172" s="549">
        <f t="shared" si="65"/>
        <v>105880.04545454546</v>
      </c>
      <c r="C172" s="533" t="s">
        <v>93</v>
      </c>
      <c r="D172" s="533" t="s">
        <v>314</v>
      </c>
      <c r="E172" s="783">
        <v>22</v>
      </c>
      <c r="F172" s="545" t="s">
        <v>95</v>
      </c>
      <c r="G172" s="548">
        <v>2000000</v>
      </c>
      <c r="H172" s="784">
        <f t="shared" si="77"/>
        <v>110000</v>
      </c>
      <c r="I172" s="548">
        <f t="shared" si="66"/>
        <v>13200</v>
      </c>
      <c r="J172" s="733">
        <f t="shared" si="67"/>
        <v>63700</v>
      </c>
      <c r="K172" s="757">
        <v>75000</v>
      </c>
      <c r="L172" s="785">
        <f t="shared" si="48"/>
        <v>67461</v>
      </c>
      <c r="M172" s="733">
        <f t="shared" si="49"/>
        <v>2329361</v>
      </c>
      <c r="N172" s="758">
        <v>20000</v>
      </c>
      <c r="O172" s="758">
        <v>50000</v>
      </c>
      <c r="P172" s="548">
        <f t="shared" si="79"/>
        <v>174702.07499999998</v>
      </c>
      <c r="Q172" s="549">
        <f t="shared" si="68"/>
        <v>58234.025000000001</v>
      </c>
      <c r="R172" s="728">
        <f t="shared" si="78"/>
        <v>2562297.1</v>
      </c>
      <c r="S172" s="745">
        <f t="shared" si="53"/>
        <v>0.1</v>
      </c>
      <c r="T172" s="549">
        <f t="shared" si="69"/>
        <v>256229.71000000002</v>
      </c>
      <c r="U172" s="548">
        <f t="shared" si="55"/>
        <v>15000</v>
      </c>
      <c r="V172" s="549">
        <f t="shared" si="70"/>
        <v>241229.71000000002</v>
      </c>
      <c r="W172" s="533">
        <f t="shared" si="57"/>
        <v>22</v>
      </c>
      <c r="X172" s="549">
        <f t="shared" si="71"/>
        <v>10964.986818181818</v>
      </c>
      <c r="Y172" s="549">
        <f t="shared" si="72"/>
        <v>2306067.39</v>
      </c>
      <c r="Z172" s="728">
        <f t="shared" si="73"/>
        <v>17878.915929323965</v>
      </c>
      <c r="AA172" s="733">
        <f t="shared" si="74"/>
        <v>20727.585626571152</v>
      </c>
      <c r="AB172" s="733">
        <f t="shared" si="75"/>
        <v>26775.397762856166</v>
      </c>
      <c r="AC172" s="733">
        <f t="shared" si="76"/>
        <v>45662.898236815665</v>
      </c>
      <c r="AL172"/>
      <c r="AM172"/>
      <c r="AN172" s="782" t="s">
        <v>149</v>
      </c>
      <c r="AO172" s="147"/>
      <c r="AP172" s="147"/>
      <c r="AR172" s="786">
        <v>5</v>
      </c>
      <c r="AS172" s="787" t="s">
        <v>116</v>
      </c>
      <c r="AT172" s="788">
        <v>22</v>
      </c>
      <c r="AU172" s="284" t="s">
        <v>310</v>
      </c>
    </row>
    <row r="173" spans="1:47" s="284" customFormat="1" ht="14.25" customHeight="1">
      <c r="A173" s="547" t="s">
        <v>308</v>
      </c>
      <c r="B173" s="549">
        <f t="shared" si="65"/>
        <v>105880.04545454546</v>
      </c>
      <c r="C173" s="533" t="s">
        <v>93</v>
      </c>
      <c r="D173" s="533" t="s">
        <v>315</v>
      </c>
      <c r="E173" s="783">
        <v>22</v>
      </c>
      <c r="F173" s="545" t="s">
        <v>95</v>
      </c>
      <c r="G173" s="548">
        <v>2000000</v>
      </c>
      <c r="H173" s="784">
        <f t="shared" si="77"/>
        <v>110000</v>
      </c>
      <c r="I173" s="548">
        <f t="shared" si="66"/>
        <v>13200</v>
      </c>
      <c r="J173" s="733">
        <f t="shared" si="67"/>
        <v>63700</v>
      </c>
      <c r="K173" s="757">
        <v>75000</v>
      </c>
      <c r="L173" s="785">
        <f t="shared" si="48"/>
        <v>67461</v>
      </c>
      <c r="M173" s="733">
        <f t="shared" si="49"/>
        <v>2329361</v>
      </c>
      <c r="N173" s="758">
        <v>20000</v>
      </c>
      <c r="O173" s="758">
        <v>50000</v>
      </c>
      <c r="P173" s="548">
        <f t="shared" si="79"/>
        <v>174702.07499999998</v>
      </c>
      <c r="Q173" s="549">
        <f t="shared" si="68"/>
        <v>58234.025000000001</v>
      </c>
      <c r="R173" s="728">
        <f t="shared" si="78"/>
        <v>2562297.1</v>
      </c>
      <c r="S173" s="745">
        <f t="shared" si="53"/>
        <v>0.1</v>
      </c>
      <c r="T173" s="549">
        <f t="shared" si="69"/>
        <v>256229.71000000002</v>
      </c>
      <c r="U173" s="548">
        <f t="shared" si="55"/>
        <v>15000</v>
      </c>
      <c r="V173" s="549">
        <f t="shared" si="70"/>
        <v>241229.71000000002</v>
      </c>
      <c r="W173" s="533">
        <f t="shared" si="57"/>
        <v>22</v>
      </c>
      <c r="X173" s="549">
        <f t="shared" si="71"/>
        <v>10964.986818181818</v>
      </c>
      <c r="Y173" s="549">
        <f t="shared" si="72"/>
        <v>2306067.39</v>
      </c>
      <c r="Z173" s="728">
        <f t="shared" si="73"/>
        <v>17878.915929323965</v>
      </c>
      <c r="AA173" s="733">
        <f t="shared" si="74"/>
        <v>20727.585626571152</v>
      </c>
      <c r="AB173" s="733">
        <f t="shared" si="75"/>
        <v>26775.397762856166</v>
      </c>
      <c r="AC173" s="733">
        <f t="shared" si="76"/>
        <v>45662.898236815665</v>
      </c>
      <c r="AL173"/>
      <c r="AM173"/>
      <c r="AN173" s="782" t="s">
        <v>96</v>
      </c>
      <c r="AO173" s="147"/>
      <c r="AP173" s="147"/>
      <c r="AR173" s="786">
        <v>6</v>
      </c>
      <c r="AS173" s="787" t="s">
        <v>119</v>
      </c>
      <c r="AT173" s="788">
        <v>22</v>
      </c>
      <c r="AU173" s="284" t="s">
        <v>310</v>
      </c>
    </row>
    <row r="174" spans="1:47" s="284" customFormat="1" ht="14.25" customHeight="1">
      <c r="A174" s="547" t="s">
        <v>308</v>
      </c>
      <c r="B174" s="549">
        <f t="shared" si="65"/>
        <v>105880.04545454546</v>
      </c>
      <c r="C174" s="533" t="s">
        <v>93</v>
      </c>
      <c r="D174" s="533" t="s">
        <v>316</v>
      </c>
      <c r="E174" s="783">
        <v>22</v>
      </c>
      <c r="F174" s="545" t="s">
        <v>95</v>
      </c>
      <c r="G174" s="548">
        <v>2000000</v>
      </c>
      <c r="H174" s="784">
        <f t="shared" si="77"/>
        <v>110000</v>
      </c>
      <c r="I174" s="548">
        <f t="shared" si="66"/>
        <v>13200</v>
      </c>
      <c r="J174" s="733">
        <f t="shared" si="67"/>
        <v>63700</v>
      </c>
      <c r="K174" s="757">
        <v>75000</v>
      </c>
      <c r="L174" s="785">
        <f t="shared" si="48"/>
        <v>67461</v>
      </c>
      <c r="M174" s="733">
        <f t="shared" si="49"/>
        <v>2329361</v>
      </c>
      <c r="N174" s="758">
        <v>20000</v>
      </c>
      <c r="O174" s="758">
        <v>50000</v>
      </c>
      <c r="P174" s="548">
        <f t="shared" si="79"/>
        <v>174702.07499999998</v>
      </c>
      <c r="Q174" s="549">
        <f t="shared" si="68"/>
        <v>58234.025000000001</v>
      </c>
      <c r="R174" s="728">
        <f t="shared" si="78"/>
        <v>2562297.1</v>
      </c>
      <c r="S174" s="745">
        <f t="shared" si="53"/>
        <v>0.1</v>
      </c>
      <c r="T174" s="549">
        <f t="shared" si="69"/>
        <v>256229.71000000002</v>
      </c>
      <c r="U174" s="548">
        <f t="shared" si="55"/>
        <v>15000</v>
      </c>
      <c r="V174" s="549">
        <f t="shared" si="70"/>
        <v>241229.71000000002</v>
      </c>
      <c r="W174" s="533">
        <f t="shared" si="57"/>
        <v>22</v>
      </c>
      <c r="X174" s="549">
        <f t="shared" si="71"/>
        <v>10964.986818181818</v>
      </c>
      <c r="Y174" s="549">
        <f t="shared" si="72"/>
        <v>2306067.39</v>
      </c>
      <c r="Z174" s="728">
        <f t="shared" si="73"/>
        <v>17878.915929323965</v>
      </c>
      <c r="AA174" s="733">
        <f t="shared" si="74"/>
        <v>20727.585626571152</v>
      </c>
      <c r="AB174" s="733">
        <f t="shared" si="75"/>
        <v>26775.397762856166</v>
      </c>
      <c r="AC174" s="733">
        <f t="shared" si="76"/>
        <v>45662.898236815665</v>
      </c>
      <c r="AL174"/>
      <c r="AM174"/>
      <c r="AN174" s="782" t="s">
        <v>96</v>
      </c>
      <c r="AO174" s="147"/>
      <c r="AP174" s="147"/>
      <c r="AR174" s="786">
        <v>7</v>
      </c>
      <c r="AS174" s="787" t="s">
        <v>121</v>
      </c>
      <c r="AT174" s="788">
        <v>22</v>
      </c>
      <c r="AU174" s="284" t="s">
        <v>310</v>
      </c>
    </row>
    <row r="175" spans="1:47" s="284" customFormat="1" ht="14.25" customHeight="1">
      <c r="A175" s="547" t="s">
        <v>308</v>
      </c>
      <c r="B175" s="549">
        <f t="shared" si="65"/>
        <v>104356.13249776186</v>
      </c>
      <c r="C175" s="533" t="s">
        <v>117</v>
      </c>
      <c r="D175" s="533" t="s">
        <v>317</v>
      </c>
      <c r="E175" s="783">
        <v>22.34</v>
      </c>
      <c r="F175" s="545" t="s">
        <v>95</v>
      </c>
      <c r="G175" s="548">
        <v>2000000</v>
      </c>
      <c r="H175" s="784">
        <f t="shared" si="77"/>
        <v>111700</v>
      </c>
      <c r="I175" s="548">
        <f t="shared" si="66"/>
        <v>13404</v>
      </c>
      <c r="J175" s="733">
        <f t="shared" si="67"/>
        <v>63700</v>
      </c>
      <c r="K175" s="757">
        <v>75000</v>
      </c>
      <c r="L175" s="785">
        <f t="shared" si="48"/>
        <v>67512</v>
      </c>
      <c r="M175" s="733">
        <f t="shared" si="49"/>
        <v>2331316</v>
      </c>
      <c r="N175" s="758">
        <v>20000</v>
      </c>
      <c r="O175" s="758">
        <v>50000</v>
      </c>
      <c r="P175" s="548">
        <f t="shared" si="79"/>
        <v>174848.69999999998</v>
      </c>
      <c r="Q175" s="549">
        <f t="shared" si="68"/>
        <v>58282.9</v>
      </c>
      <c r="R175" s="728">
        <f t="shared" si="78"/>
        <v>2564447.6</v>
      </c>
      <c r="S175" s="745">
        <f t="shared" si="53"/>
        <v>0.1</v>
      </c>
      <c r="T175" s="549">
        <f t="shared" si="69"/>
        <v>256444.76</v>
      </c>
      <c r="U175" s="548">
        <f t="shared" si="55"/>
        <v>15000</v>
      </c>
      <c r="V175" s="549">
        <f t="shared" si="70"/>
        <v>241444.76</v>
      </c>
      <c r="W175" s="533">
        <f t="shared" si="57"/>
        <v>22</v>
      </c>
      <c r="X175" s="549">
        <f t="shared" si="71"/>
        <v>10974.761818181818</v>
      </c>
      <c r="Y175" s="549">
        <f t="shared" si="72"/>
        <v>2308002.84</v>
      </c>
      <c r="Z175" s="728">
        <f t="shared" si="73"/>
        <v>17893.921452573395</v>
      </c>
      <c r="AA175" s="733">
        <f t="shared" si="74"/>
        <v>20744.981998322866</v>
      </c>
      <c r="AB175" s="733">
        <f t="shared" si="75"/>
        <v>26797.86997846653</v>
      </c>
      <c r="AC175" s="733">
        <f t="shared" si="76"/>
        <v>45701.222466530577</v>
      </c>
      <c r="AL175"/>
      <c r="AM175"/>
      <c r="AN175" s="782" t="s">
        <v>96</v>
      </c>
      <c r="AO175" s="147"/>
      <c r="AP175" s="147"/>
      <c r="AR175" s="786">
        <v>8</v>
      </c>
      <c r="AS175" s="787" t="s">
        <v>123</v>
      </c>
      <c r="AT175" s="786">
        <v>22.34</v>
      </c>
      <c r="AU175" s="284" t="s">
        <v>310</v>
      </c>
    </row>
    <row r="176" spans="1:47" s="284" customFormat="1" ht="14.25" customHeight="1">
      <c r="A176" s="547" t="s">
        <v>308</v>
      </c>
      <c r="B176" s="549">
        <f t="shared" si="65"/>
        <v>105880.04545454546</v>
      </c>
      <c r="C176" s="533" t="s">
        <v>93</v>
      </c>
      <c r="D176" s="533" t="s">
        <v>318</v>
      </c>
      <c r="E176" s="783">
        <v>22</v>
      </c>
      <c r="F176" s="545" t="s">
        <v>95</v>
      </c>
      <c r="G176" s="548">
        <v>2000000</v>
      </c>
      <c r="H176" s="784">
        <f t="shared" si="77"/>
        <v>110000</v>
      </c>
      <c r="I176" s="548">
        <f t="shared" si="66"/>
        <v>13200</v>
      </c>
      <c r="J176" s="733">
        <f t="shared" si="67"/>
        <v>63700</v>
      </c>
      <c r="K176" s="757">
        <v>75000</v>
      </c>
      <c r="L176" s="785">
        <f t="shared" si="48"/>
        <v>67461</v>
      </c>
      <c r="M176" s="733">
        <f t="shared" si="49"/>
        <v>2329361</v>
      </c>
      <c r="N176" s="758">
        <v>20000</v>
      </c>
      <c r="O176" s="758">
        <v>50000</v>
      </c>
      <c r="P176" s="548">
        <f t="shared" si="79"/>
        <v>174702.07499999998</v>
      </c>
      <c r="Q176" s="549">
        <f t="shared" si="68"/>
        <v>58234.025000000001</v>
      </c>
      <c r="R176" s="728">
        <f t="shared" si="78"/>
        <v>2562297.1</v>
      </c>
      <c r="S176" s="745">
        <f t="shared" si="53"/>
        <v>0.1</v>
      </c>
      <c r="T176" s="549">
        <f t="shared" si="69"/>
        <v>256229.71000000002</v>
      </c>
      <c r="U176" s="548">
        <f t="shared" si="55"/>
        <v>15000</v>
      </c>
      <c r="V176" s="549">
        <f t="shared" si="70"/>
        <v>241229.71000000002</v>
      </c>
      <c r="W176" s="533">
        <f t="shared" si="57"/>
        <v>22</v>
      </c>
      <c r="X176" s="549">
        <f t="shared" si="71"/>
        <v>10964.986818181818</v>
      </c>
      <c r="Y176" s="549">
        <f t="shared" si="72"/>
        <v>2306067.39</v>
      </c>
      <c r="Z176" s="728">
        <f t="shared" si="73"/>
        <v>17878.915929323965</v>
      </c>
      <c r="AA176" s="733">
        <f t="shared" si="74"/>
        <v>20727.585626571152</v>
      </c>
      <c r="AB176" s="733">
        <f t="shared" si="75"/>
        <v>26775.397762856166</v>
      </c>
      <c r="AC176" s="733">
        <f t="shared" si="76"/>
        <v>45662.898236815665</v>
      </c>
      <c r="AL176"/>
      <c r="AM176"/>
      <c r="AN176" s="782" t="s">
        <v>149</v>
      </c>
      <c r="AO176" s="147"/>
      <c r="AP176" s="147"/>
      <c r="AR176" s="786">
        <v>9</v>
      </c>
      <c r="AS176" s="787" t="s">
        <v>125</v>
      </c>
      <c r="AT176" s="788">
        <v>22</v>
      </c>
      <c r="AU176" s="284" t="s">
        <v>310</v>
      </c>
    </row>
    <row r="177" spans="1:47" s="284" customFormat="1" ht="14.25" customHeight="1">
      <c r="A177" s="547" t="s">
        <v>308</v>
      </c>
      <c r="B177" s="549">
        <f t="shared" si="65"/>
        <v>105880.04545454546</v>
      </c>
      <c r="C177" s="533" t="s">
        <v>93</v>
      </c>
      <c r="D177" s="533" t="s">
        <v>319</v>
      </c>
      <c r="E177" s="783">
        <v>22</v>
      </c>
      <c r="F177" s="545" t="s">
        <v>95</v>
      </c>
      <c r="G177" s="548">
        <v>2000000</v>
      </c>
      <c r="H177" s="784">
        <f t="shared" si="77"/>
        <v>110000</v>
      </c>
      <c r="I177" s="548">
        <f t="shared" si="66"/>
        <v>13200</v>
      </c>
      <c r="J177" s="733">
        <f t="shared" si="67"/>
        <v>63700</v>
      </c>
      <c r="K177" s="757">
        <v>75000</v>
      </c>
      <c r="L177" s="785">
        <f t="shared" si="48"/>
        <v>67461</v>
      </c>
      <c r="M177" s="733">
        <f t="shared" si="49"/>
        <v>2329361</v>
      </c>
      <c r="N177" s="758">
        <v>20000</v>
      </c>
      <c r="O177" s="758">
        <v>50000</v>
      </c>
      <c r="P177" s="548">
        <f t="shared" si="79"/>
        <v>174702.07499999998</v>
      </c>
      <c r="Q177" s="549">
        <f t="shared" si="68"/>
        <v>58234.025000000001</v>
      </c>
      <c r="R177" s="728">
        <f t="shared" si="78"/>
        <v>2562297.1</v>
      </c>
      <c r="S177" s="745">
        <f t="shared" si="53"/>
        <v>0.1</v>
      </c>
      <c r="T177" s="549">
        <f t="shared" si="69"/>
        <v>256229.71000000002</v>
      </c>
      <c r="U177" s="548">
        <f t="shared" si="55"/>
        <v>15000</v>
      </c>
      <c r="V177" s="549">
        <f t="shared" si="70"/>
        <v>241229.71000000002</v>
      </c>
      <c r="W177" s="533">
        <f t="shared" si="57"/>
        <v>22</v>
      </c>
      <c r="X177" s="549">
        <f t="shared" si="71"/>
        <v>10964.986818181818</v>
      </c>
      <c r="Y177" s="549">
        <f t="shared" si="72"/>
        <v>2306067.39</v>
      </c>
      <c r="Z177" s="728">
        <f t="shared" si="73"/>
        <v>17878.915929323965</v>
      </c>
      <c r="AA177" s="733">
        <f t="shared" si="74"/>
        <v>20727.585626571152</v>
      </c>
      <c r="AB177" s="733">
        <f t="shared" si="75"/>
        <v>26775.397762856166</v>
      </c>
      <c r="AC177" s="733">
        <f t="shared" si="76"/>
        <v>45662.898236815665</v>
      </c>
      <c r="AL177"/>
      <c r="AM177"/>
      <c r="AN177" s="782" t="s">
        <v>149</v>
      </c>
      <c r="AO177" s="147"/>
      <c r="AP177" s="147"/>
      <c r="AR177" s="786">
        <v>10</v>
      </c>
      <c r="AS177" s="787" t="s">
        <v>127</v>
      </c>
      <c r="AT177" s="788">
        <v>22</v>
      </c>
      <c r="AU177" s="284" t="s">
        <v>310</v>
      </c>
    </row>
    <row r="178" spans="1:47" s="284" customFormat="1" ht="14.25" customHeight="1">
      <c r="A178" s="547" t="s">
        <v>308</v>
      </c>
      <c r="B178" s="549">
        <f t="shared" si="65"/>
        <v>105880.04545454546</v>
      </c>
      <c r="C178" s="533" t="s">
        <v>93</v>
      </c>
      <c r="D178" s="533" t="s">
        <v>320</v>
      </c>
      <c r="E178" s="783">
        <v>22</v>
      </c>
      <c r="F178" s="545" t="s">
        <v>95</v>
      </c>
      <c r="G178" s="548">
        <v>2000000</v>
      </c>
      <c r="H178" s="784">
        <f t="shared" si="77"/>
        <v>110000</v>
      </c>
      <c r="I178" s="548">
        <f t="shared" si="66"/>
        <v>13200</v>
      </c>
      <c r="J178" s="733">
        <f t="shared" si="67"/>
        <v>63700</v>
      </c>
      <c r="K178" s="757">
        <v>75000</v>
      </c>
      <c r="L178" s="785">
        <f t="shared" si="48"/>
        <v>67461</v>
      </c>
      <c r="M178" s="733">
        <f t="shared" si="49"/>
        <v>2329361</v>
      </c>
      <c r="N178" s="758">
        <v>20000</v>
      </c>
      <c r="O178" s="758">
        <v>50000</v>
      </c>
      <c r="P178" s="548">
        <f t="shared" si="79"/>
        <v>174702.07499999998</v>
      </c>
      <c r="Q178" s="549">
        <f t="shared" si="68"/>
        <v>58234.025000000001</v>
      </c>
      <c r="R178" s="728">
        <f t="shared" si="78"/>
        <v>2562297.1</v>
      </c>
      <c r="S178" s="745">
        <f t="shared" si="53"/>
        <v>0.1</v>
      </c>
      <c r="T178" s="549">
        <f t="shared" si="69"/>
        <v>256229.71000000002</v>
      </c>
      <c r="U178" s="548">
        <f t="shared" si="55"/>
        <v>15000</v>
      </c>
      <c r="V178" s="549">
        <f t="shared" si="70"/>
        <v>241229.71000000002</v>
      </c>
      <c r="W178" s="533">
        <f t="shared" si="57"/>
        <v>22</v>
      </c>
      <c r="X178" s="549">
        <f t="shared" si="71"/>
        <v>10964.986818181818</v>
      </c>
      <c r="Y178" s="549">
        <f t="shared" si="72"/>
        <v>2306067.39</v>
      </c>
      <c r="Z178" s="728">
        <f t="shared" si="73"/>
        <v>17878.915929323965</v>
      </c>
      <c r="AA178" s="733">
        <f t="shared" si="74"/>
        <v>20727.585626571152</v>
      </c>
      <c r="AB178" s="733">
        <f t="shared" si="75"/>
        <v>26775.397762856166</v>
      </c>
      <c r="AC178" s="733">
        <f t="shared" si="76"/>
        <v>45662.898236815665</v>
      </c>
      <c r="AL178"/>
      <c r="AM178"/>
      <c r="AN178" s="782" t="s">
        <v>149</v>
      </c>
      <c r="AO178" s="147"/>
      <c r="AP178" s="147"/>
      <c r="AR178" s="786">
        <v>11</v>
      </c>
      <c r="AS178" s="787" t="s">
        <v>129</v>
      </c>
      <c r="AT178" s="788">
        <v>22</v>
      </c>
      <c r="AU178" s="284" t="s">
        <v>310</v>
      </c>
    </row>
    <row r="179" spans="1:47" s="284" customFormat="1" ht="14.25" customHeight="1">
      <c r="A179" s="547" t="s">
        <v>308</v>
      </c>
      <c r="B179" s="549">
        <f t="shared" si="65"/>
        <v>105880.04545454546</v>
      </c>
      <c r="C179" s="533" t="s">
        <v>93</v>
      </c>
      <c r="D179" s="533" t="s">
        <v>321</v>
      </c>
      <c r="E179" s="783">
        <v>22</v>
      </c>
      <c r="F179" s="545" t="s">
        <v>95</v>
      </c>
      <c r="G179" s="548">
        <v>2000000</v>
      </c>
      <c r="H179" s="784">
        <f t="shared" si="77"/>
        <v>110000</v>
      </c>
      <c r="I179" s="548">
        <f t="shared" si="66"/>
        <v>13200</v>
      </c>
      <c r="J179" s="733">
        <f t="shared" si="67"/>
        <v>63700</v>
      </c>
      <c r="K179" s="757">
        <v>75000</v>
      </c>
      <c r="L179" s="785">
        <f t="shared" si="48"/>
        <v>67461</v>
      </c>
      <c r="M179" s="733">
        <f t="shared" si="49"/>
        <v>2329361</v>
      </c>
      <c r="N179" s="758">
        <v>20000</v>
      </c>
      <c r="O179" s="758">
        <v>50000</v>
      </c>
      <c r="P179" s="548">
        <f t="shared" si="79"/>
        <v>174702.07499999998</v>
      </c>
      <c r="Q179" s="549">
        <f t="shared" si="68"/>
        <v>58234.025000000001</v>
      </c>
      <c r="R179" s="728">
        <f t="shared" si="78"/>
        <v>2562297.1</v>
      </c>
      <c r="S179" s="745">
        <f t="shared" si="53"/>
        <v>0.1</v>
      </c>
      <c r="T179" s="549">
        <f t="shared" si="69"/>
        <v>256229.71000000002</v>
      </c>
      <c r="U179" s="548">
        <f t="shared" si="55"/>
        <v>15000</v>
      </c>
      <c r="V179" s="549">
        <f t="shared" si="70"/>
        <v>241229.71000000002</v>
      </c>
      <c r="W179" s="533">
        <f t="shared" si="57"/>
        <v>22</v>
      </c>
      <c r="X179" s="549">
        <f t="shared" si="71"/>
        <v>10964.986818181818</v>
      </c>
      <c r="Y179" s="549">
        <f t="shared" si="72"/>
        <v>2306067.39</v>
      </c>
      <c r="Z179" s="728">
        <f t="shared" si="73"/>
        <v>17878.915929323965</v>
      </c>
      <c r="AA179" s="733">
        <f t="shared" si="74"/>
        <v>20727.585626571152</v>
      </c>
      <c r="AB179" s="733">
        <f t="shared" si="75"/>
        <v>26775.397762856166</v>
      </c>
      <c r="AC179" s="733">
        <f t="shared" si="76"/>
        <v>45662.898236815665</v>
      </c>
      <c r="AL179"/>
      <c r="AM179"/>
      <c r="AN179" s="782" t="s">
        <v>149</v>
      </c>
      <c r="AO179" s="147"/>
      <c r="AP179" s="147"/>
      <c r="AR179" s="786">
        <v>12</v>
      </c>
      <c r="AS179" s="787" t="s">
        <v>131</v>
      </c>
      <c r="AT179" s="788">
        <v>22</v>
      </c>
      <c r="AU179" s="284" t="s">
        <v>310</v>
      </c>
    </row>
    <row r="180" spans="1:47" s="284" customFormat="1" ht="14.25" customHeight="1">
      <c r="A180" s="547" t="s">
        <v>308</v>
      </c>
      <c r="B180" s="549">
        <f t="shared" si="65"/>
        <v>105880.04545454546</v>
      </c>
      <c r="C180" s="533" t="s">
        <v>93</v>
      </c>
      <c r="D180" s="533" t="s">
        <v>322</v>
      </c>
      <c r="E180" s="783">
        <v>22</v>
      </c>
      <c r="F180" s="545" t="s">
        <v>95</v>
      </c>
      <c r="G180" s="548">
        <v>2000000</v>
      </c>
      <c r="H180" s="784">
        <f t="shared" si="77"/>
        <v>110000</v>
      </c>
      <c r="I180" s="548">
        <f t="shared" si="66"/>
        <v>13200</v>
      </c>
      <c r="J180" s="733">
        <f t="shared" si="67"/>
        <v>63700</v>
      </c>
      <c r="K180" s="757">
        <v>75000</v>
      </c>
      <c r="L180" s="785">
        <f t="shared" si="48"/>
        <v>67461</v>
      </c>
      <c r="M180" s="733">
        <f t="shared" si="49"/>
        <v>2329361</v>
      </c>
      <c r="N180" s="758">
        <v>20000</v>
      </c>
      <c r="O180" s="758">
        <v>50000</v>
      </c>
      <c r="P180" s="548">
        <f t="shared" si="79"/>
        <v>174702.07499999998</v>
      </c>
      <c r="Q180" s="549">
        <f t="shared" si="68"/>
        <v>58234.025000000001</v>
      </c>
      <c r="R180" s="728">
        <f t="shared" si="78"/>
        <v>2562297.1</v>
      </c>
      <c r="S180" s="745">
        <f t="shared" si="53"/>
        <v>0.1</v>
      </c>
      <c r="T180" s="549">
        <f t="shared" si="69"/>
        <v>256229.71000000002</v>
      </c>
      <c r="U180" s="548">
        <f t="shared" si="55"/>
        <v>15000</v>
      </c>
      <c r="V180" s="549">
        <f t="shared" si="70"/>
        <v>241229.71000000002</v>
      </c>
      <c r="W180" s="533">
        <f t="shared" si="57"/>
        <v>22</v>
      </c>
      <c r="X180" s="549">
        <f t="shared" si="71"/>
        <v>10964.986818181818</v>
      </c>
      <c r="Y180" s="549">
        <f t="shared" si="72"/>
        <v>2306067.39</v>
      </c>
      <c r="Z180" s="728">
        <f t="shared" si="73"/>
        <v>17878.915929323965</v>
      </c>
      <c r="AA180" s="733">
        <f t="shared" si="74"/>
        <v>20727.585626571152</v>
      </c>
      <c r="AB180" s="733">
        <f t="shared" si="75"/>
        <v>26775.397762856166</v>
      </c>
      <c r="AC180" s="733">
        <f t="shared" si="76"/>
        <v>45662.898236815665</v>
      </c>
      <c r="AL180"/>
      <c r="AM180"/>
      <c r="AN180" s="782" t="s">
        <v>149</v>
      </c>
      <c r="AO180" s="147"/>
      <c r="AP180" s="147"/>
      <c r="AR180" s="786">
        <v>13</v>
      </c>
      <c r="AS180" s="787" t="s">
        <v>133</v>
      </c>
      <c r="AT180" s="788">
        <v>22</v>
      </c>
      <c r="AU180" s="284" t="s">
        <v>310</v>
      </c>
    </row>
    <row r="181" spans="1:47" s="284" customFormat="1" ht="14.25" customHeight="1">
      <c r="A181" s="547" t="s">
        <v>308</v>
      </c>
      <c r="B181" s="549">
        <f t="shared" si="65"/>
        <v>105880.04545454546</v>
      </c>
      <c r="C181" s="533" t="s">
        <v>93</v>
      </c>
      <c r="D181" s="533" t="s">
        <v>323</v>
      </c>
      <c r="E181" s="783">
        <v>22</v>
      </c>
      <c r="F181" s="545" t="s">
        <v>95</v>
      </c>
      <c r="G181" s="548">
        <v>2000000</v>
      </c>
      <c r="H181" s="784">
        <f t="shared" si="77"/>
        <v>110000</v>
      </c>
      <c r="I181" s="548">
        <f t="shared" si="66"/>
        <v>13200</v>
      </c>
      <c r="J181" s="733">
        <f t="shared" si="67"/>
        <v>63700</v>
      </c>
      <c r="K181" s="757">
        <v>75000</v>
      </c>
      <c r="L181" s="785">
        <f t="shared" si="48"/>
        <v>67461</v>
      </c>
      <c r="M181" s="733">
        <f t="shared" si="49"/>
        <v>2329361</v>
      </c>
      <c r="N181" s="758">
        <v>20000</v>
      </c>
      <c r="O181" s="758">
        <v>50000</v>
      </c>
      <c r="P181" s="548">
        <f t="shared" si="79"/>
        <v>174702.07499999998</v>
      </c>
      <c r="Q181" s="549">
        <f t="shared" si="68"/>
        <v>58234.025000000001</v>
      </c>
      <c r="R181" s="728">
        <f t="shared" si="78"/>
        <v>2562297.1</v>
      </c>
      <c r="S181" s="745">
        <f t="shared" si="53"/>
        <v>0.1</v>
      </c>
      <c r="T181" s="549">
        <f t="shared" si="69"/>
        <v>256229.71000000002</v>
      </c>
      <c r="U181" s="548">
        <f t="shared" si="55"/>
        <v>15000</v>
      </c>
      <c r="V181" s="549">
        <f t="shared" si="70"/>
        <v>241229.71000000002</v>
      </c>
      <c r="W181" s="533">
        <f t="shared" si="57"/>
        <v>22</v>
      </c>
      <c r="X181" s="549">
        <f t="shared" si="71"/>
        <v>10964.986818181818</v>
      </c>
      <c r="Y181" s="549">
        <f t="shared" si="72"/>
        <v>2306067.39</v>
      </c>
      <c r="Z181" s="728">
        <f t="shared" si="73"/>
        <v>17878.915929323965</v>
      </c>
      <c r="AA181" s="733">
        <f t="shared" si="74"/>
        <v>20727.585626571152</v>
      </c>
      <c r="AB181" s="733">
        <f t="shared" si="75"/>
        <v>26775.397762856166</v>
      </c>
      <c r="AC181" s="733">
        <f t="shared" si="76"/>
        <v>45662.898236815665</v>
      </c>
      <c r="AL181"/>
      <c r="AM181"/>
      <c r="AN181" s="782" t="s">
        <v>149</v>
      </c>
      <c r="AO181" s="147"/>
      <c r="AP181" s="147"/>
      <c r="AR181" s="786">
        <v>14</v>
      </c>
      <c r="AS181" s="787" t="s">
        <v>135</v>
      </c>
      <c r="AT181" s="788">
        <v>22</v>
      </c>
      <c r="AU181" s="284" t="s">
        <v>310</v>
      </c>
    </row>
    <row r="182" spans="1:47" s="284" customFormat="1" ht="14.25" customHeight="1">
      <c r="A182" s="547" t="s">
        <v>308</v>
      </c>
      <c r="B182" s="549">
        <f t="shared" si="65"/>
        <v>105880.04545454546</v>
      </c>
      <c r="C182" s="533" t="s">
        <v>93</v>
      </c>
      <c r="D182" s="533" t="s">
        <v>324</v>
      </c>
      <c r="E182" s="783">
        <v>22</v>
      </c>
      <c r="F182" s="545" t="s">
        <v>95</v>
      </c>
      <c r="G182" s="548">
        <v>2000000</v>
      </c>
      <c r="H182" s="784">
        <f t="shared" si="77"/>
        <v>110000</v>
      </c>
      <c r="I182" s="548">
        <f t="shared" si="66"/>
        <v>13200</v>
      </c>
      <c r="J182" s="733">
        <f t="shared" si="67"/>
        <v>63700</v>
      </c>
      <c r="K182" s="757">
        <v>75000</v>
      </c>
      <c r="L182" s="785">
        <f t="shared" si="48"/>
        <v>67461</v>
      </c>
      <c r="M182" s="733">
        <f t="shared" si="49"/>
        <v>2329361</v>
      </c>
      <c r="N182" s="758">
        <v>20000</v>
      </c>
      <c r="O182" s="758">
        <v>50000</v>
      </c>
      <c r="P182" s="548">
        <f t="shared" si="79"/>
        <v>174702.07499999998</v>
      </c>
      <c r="Q182" s="549">
        <f t="shared" si="68"/>
        <v>58234.025000000001</v>
      </c>
      <c r="R182" s="728">
        <f t="shared" si="78"/>
        <v>2562297.1</v>
      </c>
      <c r="S182" s="745">
        <f t="shared" si="53"/>
        <v>0.1</v>
      </c>
      <c r="T182" s="549">
        <f t="shared" si="69"/>
        <v>256229.71000000002</v>
      </c>
      <c r="U182" s="548">
        <f t="shared" si="55"/>
        <v>15000</v>
      </c>
      <c r="V182" s="549">
        <f t="shared" si="70"/>
        <v>241229.71000000002</v>
      </c>
      <c r="W182" s="533">
        <f t="shared" si="57"/>
        <v>22</v>
      </c>
      <c r="X182" s="549">
        <f t="shared" si="71"/>
        <v>10964.986818181818</v>
      </c>
      <c r="Y182" s="549">
        <f t="shared" si="72"/>
        <v>2306067.39</v>
      </c>
      <c r="Z182" s="728">
        <f t="shared" si="73"/>
        <v>17878.915929323965</v>
      </c>
      <c r="AA182" s="733">
        <f t="shared" si="74"/>
        <v>20727.585626571152</v>
      </c>
      <c r="AB182" s="733">
        <f t="shared" si="75"/>
        <v>26775.397762856166</v>
      </c>
      <c r="AC182" s="733">
        <f t="shared" si="76"/>
        <v>45662.898236815665</v>
      </c>
      <c r="AL182"/>
      <c r="AM182"/>
      <c r="AN182" s="782" t="s">
        <v>149</v>
      </c>
      <c r="AO182" s="147"/>
      <c r="AP182" s="147"/>
      <c r="AR182" s="786">
        <v>15</v>
      </c>
      <c r="AS182" s="787" t="s">
        <v>138</v>
      </c>
      <c r="AT182" s="788">
        <v>22</v>
      </c>
      <c r="AU182" s="284" t="s">
        <v>310</v>
      </c>
    </row>
    <row r="183" spans="1:47" s="284" customFormat="1" ht="14.25" customHeight="1">
      <c r="A183" s="547" t="s">
        <v>308</v>
      </c>
      <c r="B183" s="549">
        <f t="shared" si="65"/>
        <v>104356.13249776186</v>
      </c>
      <c r="C183" s="533" t="s">
        <v>117</v>
      </c>
      <c r="D183" s="533" t="s">
        <v>325</v>
      </c>
      <c r="E183" s="783">
        <v>22.34</v>
      </c>
      <c r="F183" s="545" t="s">
        <v>95</v>
      </c>
      <c r="G183" s="548">
        <v>2000000</v>
      </c>
      <c r="H183" s="784">
        <f t="shared" si="77"/>
        <v>111700</v>
      </c>
      <c r="I183" s="548">
        <f t="shared" si="66"/>
        <v>13404</v>
      </c>
      <c r="J183" s="733">
        <f t="shared" si="67"/>
        <v>63700</v>
      </c>
      <c r="K183" s="757">
        <v>75000</v>
      </c>
      <c r="L183" s="785">
        <f t="shared" si="48"/>
        <v>67512</v>
      </c>
      <c r="M183" s="733">
        <f t="shared" si="49"/>
        <v>2331316</v>
      </c>
      <c r="N183" s="758">
        <v>20000</v>
      </c>
      <c r="O183" s="758">
        <v>50000</v>
      </c>
      <c r="P183" s="548">
        <f t="shared" si="79"/>
        <v>174848.69999999998</v>
      </c>
      <c r="Q183" s="549">
        <f t="shared" si="68"/>
        <v>58282.9</v>
      </c>
      <c r="R183" s="728">
        <f t="shared" si="78"/>
        <v>2564447.6</v>
      </c>
      <c r="S183" s="745">
        <f t="shared" si="53"/>
        <v>0.1</v>
      </c>
      <c r="T183" s="549">
        <f t="shared" si="69"/>
        <v>256444.76</v>
      </c>
      <c r="U183" s="548">
        <f t="shared" si="55"/>
        <v>15000</v>
      </c>
      <c r="V183" s="549">
        <f t="shared" si="70"/>
        <v>241444.76</v>
      </c>
      <c r="W183" s="533">
        <f t="shared" si="57"/>
        <v>22</v>
      </c>
      <c r="X183" s="549">
        <f t="shared" si="71"/>
        <v>10974.761818181818</v>
      </c>
      <c r="Y183" s="549">
        <f t="shared" si="72"/>
        <v>2308002.84</v>
      </c>
      <c r="Z183" s="728">
        <f t="shared" si="73"/>
        <v>17893.921452573395</v>
      </c>
      <c r="AA183" s="733">
        <f t="shared" si="74"/>
        <v>20744.981998322866</v>
      </c>
      <c r="AB183" s="733">
        <f t="shared" si="75"/>
        <v>26797.86997846653</v>
      </c>
      <c r="AC183" s="733">
        <f t="shared" si="76"/>
        <v>45701.222466530577</v>
      </c>
      <c r="AL183"/>
      <c r="AM183"/>
      <c r="AN183" s="782" t="s">
        <v>149</v>
      </c>
      <c r="AO183" s="147"/>
      <c r="AP183" s="147"/>
      <c r="AR183" s="786">
        <v>16</v>
      </c>
      <c r="AS183" s="787" t="s">
        <v>142</v>
      </c>
      <c r="AT183" s="786">
        <v>22.34</v>
      </c>
      <c r="AU183" s="284" t="s">
        <v>310</v>
      </c>
    </row>
    <row r="184" spans="1:47" s="284" customFormat="1" ht="14.25" customHeight="1">
      <c r="D184" s="789"/>
      <c r="K184" s="790"/>
      <c r="L184" s="791"/>
      <c r="N184" s="790"/>
      <c r="O184" s="790"/>
      <c r="R184" s="792"/>
      <c r="S184" s="793"/>
      <c r="W184" s="789"/>
      <c r="AN184" s="138"/>
      <c r="AO184" s="147"/>
      <c r="AP184" s="147"/>
    </row>
    <row r="185" spans="1:47" ht="14.25" customHeight="1">
      <c r="D185" s="503"/>
      <c r="S185" s="741"/>
      <c r="W185" s="503"/>
    </row>
    <row r="186" spans="1:47" ht="14.25" customHeight="1">
      <c r="D186" s="503"/>
      <c r="S186" s="741"/>
      <c r="W186" s="503"/>
    </row>
    <row r="187" spans="1:47" ht="14.25" customHeight="1">
      <c r="D187" s="503"/>
      <c r="S187" s="741"/>
      <c r="W187" s="503"/>
      <c r="AM187" s="474" t="s">
        <v>149</v>
      </c>
      <c r="AN187" s="566">
        <f>COUNTIF(AN7:AN183,"SOLD")</f>
        <v>125</v>
      </c>
    </row>
    <row r="188" spans="1:47" ht="14.25" customHeight="1">
      <c r="D188" s="503"/>
      <c r="S188" s="741"/>
      <c r="W188" s="503"/>
      <c r="AM188" s="474" t="s">
        <v>96</v>
      </c>
      <c r="AN188" s="566">
        <f>COUNTIF(AN7:AN183,"UNSOLD")</f>
        <v>52</v>
      </c>
    </row>
    <row r="189" spans="1:47" ht="14.25" customHeight="1">
      <c r="D189" s="503"/>
      <c r="S189" s="741"/>
      <c r="W189" s="503"/>
      <c r="AM189" s="474" t="s">
        <v>326</v>
      </c>
      <c r="AN189" s="566">
        <f>COUNTIF(AN6:AN183,"HOLD")</f>
        <v>0</v>
      </c>
    </row>
    <row r="190" spans="1:47" ht="14.25" customHeight="1">
      <c r="D190" s="503"/>
      <c r="S190" s="741"/>
      <c r="W190" s="503"/>
      <c r="AM190" t="s">
        <v>327</v>
      </c>
      <c r="AN190" s="566">
        <f>COUNTIF(AN6:AN$183,"FOR OPEN")</f>
        <v>0</v>
      </c>
    </row>
    <row r="191" spans="1:47" ht="14.25" customHeight="1">
      <c r="D191" s="503"/>
      <c r="S191" s="741"/>
      <c r="W191" s="503"/>
      <c r="AM191" s="474" t="s">
        <v>48</v>
      </c>
      <c r="AN191" s="566">
        <f>AN187+AN188+AN189+AN190</f>
        <v>177</v>
      </c>
    </row>
    <row r="192" spans="1:47" ht="14.25" customHeight="1">
      <c r="D192" s="503"/>
      <c r="S192" s="741"/>
      <c r="W192" s="503"/>
    </row>
    <row r="193" spans="4:23" ht="14.25" customHeight="1">
      <c r="D193" s="503"/>
      <c r="S193" s="741"/>
      <c r="W193" s="503"/>
    </row>
    <row r="194" spans="4:23" ht="14.25" customHeight="1">
      <c r="D194" s="503"/>
      <c r="S194" s="741"/>
      <c r="W194" s="503"/>
    </row>
    <row r="195" spans="4:23" ht="14.25" customHeight="1">
      <c r="D195" s="503"/>
      <c r="S195" s="741"/>
      <c r="W195" s="503"/>
    </row>
    <row r="196" spans="4:23" ht="14.25" customHeight="1">
      <c r="D196" s="503"/>
      <c r="S196" s="741"/>
      <c r="W196" s="503"/>
    </row>
    <row r="197" spans="4:23" ht="14.25" customHeight="1">
      <c r="D197" s="503"/>
      <c r="S197" s="741"/>
      <c r="W197" s="503"/>
    </row>
    <row r="198" spans="4:23" ht="14.25" customHeight="1">
      <c r="D198" s="503"/>
      <c r="S198" s="741"/>
      <c r="W198" s="503"/>
    </row>
    <row r="199" spans="4:23" ht="14.25" customHeight="1">
      <c r="D199" s="503"/>
      <c r="S199" s="741"/>
      <c r="W199" s="503"/>
    </row>
    <row r="200" spans="4:23" ht="14.25" customHeight="1">
      <c r="D200" s="503"/>
      <c r="S200" s="741"/>
      <c r="W200" s="503"/>
    </row>
    <row r="201" spans="4:23" ht="14.25" customHeight="1">
      <c r="D201" s="503"/>
      <c r="S201" s="741"/>
      <c r="W201" s="503"/>
    </row>
    <row r="202" spans="4:23" ht="14.25" customHeight="1">
      <c r="D202" s="503"/>
      <c r="S202" s="741"/>
      <c r="W202" s="503"/>
    </row>
    <row r="203" spans="4:23" ht="14.25" customHeight="1">
      <c r="D203" s="503"/>
      <c r="S203" s="741"/>
      <c r="W203" s="503"/>
    </row>
    <row r="204" spans="4:23" ht="14.25" customHeight="1">
      <c r="D204" s="503"/>
      <c r="S204" s="741"/>
      <c r="W204" s="503"/>
    </row>
    <row r="205" spans="4:23" ht="14.25" customHeight="1">
      <c r="D205" s="503"/>
      <c r="S205" s="741"/>
      <c r="W205" s="503"/>
    </row>
    <row r="206" spans="4:23" ht="14.25" customHeight="1">
      <c r="D206" s="503"/>
      <c r="S206" s="741"/>
      <c r="W206" s="503"/>
    </row>
    <row r="207" spans="4:23" ht="14.25" customHeight="1">
      <c r="D207" s="503"/>
      <c r="S207" s="741"/>
      <c r="W207" s="503"/>
    </row>
    <row r="208" spans="4:23" ht="14.25" customHeight="1">
      <c r="D208" s="503"/>
      <c r="S208" s="741"/>
      <c r="W208" s="503"/>
    </row>
    <row r="209" spans="4:23" ht="14.25" customHeight="1">
      <c r="D209" s="503"/>
      <c r="S209" s="741"/>
      <c r="W209" s="503"/>
    </row>
    <row r="210" spans="4:23" ht="14.25" customHeight="1">
      <c r="D210" s="503"/>
      <c r="S210" s="741"/>
      <c r="W210" s="503"/>
    </row>
    <row r="211" spans="4:23" ht="14.25" customHeight="1">
      <c r="D211" s="503"/>
      <c r="S211" s="741"/>
      <c r="W211" s="503"/>
    </row>
    <row r="212" spans="4:23" ht="14.25" customHeight="1">
      <c r="D212" s="503"/>
      <c r="S212" s="741"/>
      <c r="W212" s="503"/>
    </row>
    <row r="213" spans="4:23" ht="14.25" customHeight="1">
      <c r="D213" s="503"/>
      <c r="S213" s="741"/>
      <c r="W213" s="503"/>
    </row>
    <row r="214" spans="4:23" ht="14.25" customHeight="1">
      <c r="D214" s="503"/>
      <c r="S214" s="741"/>
      <c r="W214" s="503"/>
    </row>
    <row r="215" spans="4:23" ht="14.25" customHeight="1">
      <c r="D215" s="503"/>
      <c r="S215" s="741"/>
      <c r="W215" s="503"/>
    </row>
    <row r="216" spans="4:23" ht="14.25" customHeight="1">
      <c r="D216" s="503"/>
      <c r="S216" s="741"/>
      <c r="W216" s="503"/>
    </row>
    <row r="217" spans="4:23" ht="14.25" customHeight="1">
      <c r="D217" s="503"/>
      <c r="S217" s="741"/>
      <c r="W217" s="503"/>
    </row>
    <row r="218" spans="4:23" ht="14.25" customHeight="1">
      <c r="D218" s="503"/>
      <c r="S218" s="741"/>
      <c r="W218" s="503"/>
    </row>
    <row r="219" spans="4:23" ht="14.25" customHeight="1">
      <c r="D219" s="503"/>
      <c r="S219" s="741"/>
      <c r="W219" s="503"/>
    </row>
    <row r="220" spans="4:23" ht="14.25" customHeight="1">
      <c r="D220" s="503"/>
      <c r="S220" s="741"/>
      <c r="W220" s="503"/>
    </row>
    <row r="221" spans="4:23" ht="14.25" customHeight="1">
      <c r="D221" s="503"/>
      <c r="S221" s="741"/>
      <c r="W221" s="503"/>
    </row>
    <row r="222" spans="4:23" ht="14.25" customHeight="1">
      <c r="D222" s="503"/>
      <c r="S222" s="741"/>
      <c r="W222" s="503"/>
    </row>
    <row r="223" spans="4:23" ht="14.25" customHeight="1">
      <c r="D223" s="503"/>
      <c r="S223" s="741"/>
      <c r="W223" s="503"/>
    </row>
    <row r="224" spans="4:23" ht="14.25" customHeight="1">
      <c r="D224" s="503"/>
      <c r="S224" s="741"/>
      <c r="W224" s="503"/>
    </row>
    <row r="225" spans="4:23" ht="14.25" customHeight="1">
      <c r="D225" s="503"/>
      <c r="S225" s="741"/>
      <c r="W225" s="503"/>
    </row>
    <row r="226" spans="4:23" ht="14.25" customHeight="1">
      <c r="D226" s="503"/>
      <c r="S226" s="741"/>
      <c r="W226" s="503"/>
    </row>
    <row r="227" spans="4:23" ht="14.25" customHeight="1">
      <c r="D227" s="503"/>
      <c r="S227" s="741"/>
      <c r="W227" s="503"/>
    </row>
    <row r="228" spans="4:23" ht="14.25" customHeight="1">
      <c r="D228" s="503"/>
      <c r="S228" s="741"/>
      <c r="W228" s="503"/>
    </row>
    <row r="229" spans="4:23" ht="14.25" customHeight="1">
      <c r="D229" s="503"/>
      <c r="S229" s="741"/>
      <c r="W229" s="503"/>
    </row>
    <row r="230" spans="4:23" ht="14.25" customHeight="1">
      <c r="D230" s="503"/>
      <c r="S230" s="741"/>
      <c r="W230" s="503"/>
    </row>
    <row r="231" spans="4:23" ht="14.25" customHeight="1">
      <c r="D231" s="503"/>
      <c r="S231" s="741"/>
      <c r="W231" s="503"/>
    </row>
    <row r="232" spans="4:23" ht="14.25" customHeight="1">
      <c r="D232" s="503"/>
      <c r="S232" s="741"/>
      <c r="W232" s="503"/>
    </row>
    <row r="233" spans="4:23" ht="14.25" customHeight="1">
      <c r="D233" s="503"/>
      <c r="S233" s="741"/>
      <c r="W233" s="503"/>
    </row>
    <row r="234" spans="4:23" ht="14.25" customHeight="1">
      <c r="D234" s="503"/>
      <c r="S234" s="741"/>
      <c r="W234" s="503"/>
    </row>
    <row r="235" spans="4:23" ht="14.25" customHeight="1">
      <c r="D235" s="503"/>
      <c r="S235" s="741"/>
      <c r="W235" s="503"/>
    </row>
    <row r="236" spans="4:23" ht="14.25" customHeight="1">
      <c r="D236" s="503"/>
      <c r="S236" s="741"/>
      <c r="W236" s="503"/>
    </row>
    <row r="237" spans="4:23" ht="14.25" customHeight="1">
      <c r="D237" s="503"/>
      <c r="S237" s="741"/>
      <c r="W237" s="503"/>
    </row>
    <row r="238" spans="4:23" ht="14.25" customHeight="1">
      <c r="D238" s="503"/>
      <c r="S238" s="741"/>
      <c r="W238" s="503"/>
    </row>
    <row r="239" spans="4:23" ht="14.25" customHeight="1">
      <c r="D239" s="503"/>
      <c r="S239" s="741"/>
      <c r="W239" s="503"/>
    </row>
    <row r="240" spans="4:23" ht="14.25" customHeight="1">
      <c r="D240" s="503"/>
      <c r="S240" s="741"/>
      <c r="W240" s="503"/>
    </row>
    <row r="241" spans="4:23" ht="14.25" customHeight="1">
      <c r="D241" s="503"/>
      <c r="S241" s="741"/>
      <c r="W241" s="503"/>
    </row>
    <row r="242" spans="4:23" ht="14.25" customHeight="1">
      <c r="D242" s="503"/>
      <c r="S242" s="741"/>
      <c r="W242" s="503"/>
    </row>
    <row r="243" spans="4:23" ht="14.25" customHeight="1">
      <c r="D243" s="503"/>
      <c r="S243" s="741"/>
      <c r="W243" s="503"/>
    </row>
    <row r="244" spans="4:23" ht="14.25" customHeight="1">
      <c r="D244" s="503"/>
      <c r="S244" s="741"/>
      <c r="W244" s="503"/>
    </row>
    <row r="245" spans="4:23" ht="14.25" customHeight="1">
      <c r="D245" s="503"/>
      <c r="S245" s="741"/>
      <c r="W245" s="503"/>
    </row>
    <row r="246" spans="4:23" ht="14.25" customHeight="1">
      <c r="D246" s="503"/>
      <c r="S246" s="741"/>
      <c r="W246" s="503"/>
    </row>
    <row r="247" spans="4:23" ht="14.25" customHeight="1">
      <c r="D247" s="503"/>
      <c r="S247" s="741"/>
      <c r="W247" s="503"/>
    </row>
    <row r="248" spans="4:23" ht="14.25" customHeight="1">
      <c r="D248" s="503"/>
      <c r="S248" s="741"/>
      <c r="W248" s="503"/>
    </row>
    <row r="249" spans="4:23" ht="14.25" customHeight="1">
      <c r="D249" s="503"/>
      <c r="S249" s="741"/>
      <c r="W249" s="503"/>
    </row>
    <row r="250" spans="4:23" ht="14.25" customHeight="1">
      <c r="D250" s="503"/>
      <c r="S250" s="741"/>
      <c r="W250" s="503"/>
    </row>
    <row r="251" spans="4:23" ht="14.25" customHeight="1">
      <c r="D251" s="503"/>
      <c r="S251" s="741"/>
      <c r="W251" s="503"/>
    </row>
    <row r="252" spans="4:23" ht="14.25" customHeight="1">
      <c r="D252" s="503"/>
      <c r="S252" s="741"/>
      <c r="W252" s="503"/>
    </row>
    <row r="253" spans="4:23" ht="14.25" customHeight="1">
      <c r="D253" s="503"/>
      <c r="S253" s="741"/>
      <c r="W253" s="503"/>
    </row>
    <row r="254" spans="4:23" ht="14.25" customHeight="1">
      <c r="D254" s="503"/>
      <c r="S254" s="741"/>
      <c r="W254" s="503"/>
    </row>
    <row r="255" spans="4:23" ht="14.25" customHeight="1">
      <c r="D255" s="503"/>
      <c r="S255" s="741"/>
      <c r="W255" s="503"/>
    </row>
    <row r="256" spans="4:23" ht="14.25" customHeight="1">
      <c r="D256" s="503"/>
      <c r="S256" s="741"/>
      <c r="W256" s="503"/>
    </row>
    <row r="257" spans="4:23" ht="14.25" customHeight="1">
      <c r="D257" s="503"/>
      <c r="S257" s="741"/>
      <c r="W257" s="503"/>
    </row>
    <row r="258" spans="4:23" ht="14.25" customHeight="1">
      <c r="D258" s="503"/>
      <c r="S258" s="741"/>
      <c r="W258" s="503"/>
    </row>
    <row r="259" spans="4:23" ht="14.25" customHeight="1">
      <c r="D259" s="503"/>
      <c r="S259" s="741"/>
      <c r="W259" s="503"/>
    </row>
    <row r="260" spans="4:23" ht="14.25" customHeight="1">
      <c r="D260" s="503"/>
      <c r="S260" s="741"/>
      <c r="W260" s="503"/>
    </row>
    <row r="261" spans="4:23" ht="14.25" customHeight="1">
      <c r="D261" s="503"/>
      <c r="S261" s="741"/>
      <c r="W261" s="503"/>
    </row>
    <row r="262" spans="4:23" ht="14.25" customHeight="1">
      <c r="D262" s="503"/>
      <c r="S262" s="741"/>
      <c r="W262" s="503"/>
    </row>
    <row r="263" spans="4:23" ht="14.25" customHeight="1">
      <c r="D263" s="503"/>
      <c r="S263" s="741"/>
      <c r="W263" s="503"/>
    </row>
    <row r="264" spans="4:23" ht="14.25" customHeight="1">
      <c r="D264" s="503"/>
      <c r="S264" s="741"/>
      <c r="W264" s="503"/>
    </row>
    <row r="265" spans="4:23" ht="14.25" customHeight="1">
      <c r="D265" s="503"/>
      <c r="S265" s="741"/>
      <c r="W265" s="503"/>
    </row>
    <row r="266" spans="4:23" ht="14.25" customHeight="1">
      <c r="D266" s="503"/>
      <c r="S266" s="741"/>
      <c r="W266" s="503"/>
    </row>
    <row r="267" spans="4:23" ht="14.25" customHeight="1">
      <c r="D267" s="503"/>
      <c r="S267" s="741"/>
      <c r="W267" s="503"/>
    </row>
    <row r="268" spans="4:23" ht="14.25" customHeight="1">
      <c r="D268" s="503"/>
      <c r="S268" s="741"/>
      <c r="W268" s="503"/>
    </row>
    <row r="269" spans="4:23" ht="14.25" customHeight="1">
      <c r="D269" s="503"/>
      <c r="S269" s="741"/>
      <c r="W269" s="503"/>
    </row>
    <row r="270" spans="4:23" ht="14.25" customHeight="1">
      <c r="D270" s="503"/>
      <c r="S270" s="741"/>
      <c r="W270" s="503"/>
    </row>
    <row r="271" spans="4:23" ht="14.25" customHeight="1">
      <c r="D271" s="503"/>
      <c r="S271" s="741"/>
      <c r="W271" s="503"/>
    </row>
    <row r="272" spans="4:23" ht="14.25" customHeight="1">
      <c r="D272" s="503"/>
      <c r="S272" s="741"/>
      <c r="W272" s="503"/>
    </row>
    <row r="273" spans="4:23" ht="14.25" customHeight="1">
      <c r="D273" s="503"/>
      <c r="S273" s="741"/>
      <c r="W273" s="503"/>
    </row>
    <row r="274" spans="4:23" ht="14.25" customHeight="1">
      <c r="D274" s="503"/>
      <c r="S274" s="741"/>
      <c r="W274" s="503"/>
    </row>
    <row r="275" spans="4:23" ht="14.25" customHeight="1">
      <c r="D275" s="503"/>
      <c r="S275" s="741"/>
      <c r="W275" s="503"/>
    </row>
    <row r="276" spans="4:23" ht="14.25" customHeight="1">
      <c r="D276" s="503"/>
      <c r="S276" s="741"/>
      <c r="W276" s="503"/>
    </row>
    <row r="277" spans="4:23" ht="14.25" customHeight="1">
      <c r="D277" s="503"/>
      <c r="S277" s="741"/>
      <c r="W277" s="503"/>
    </row>
    <row r="278" spans="4:23" ht="14.25" customHeight="1">
      <c r="D278" s="503"/>
      <c r="S278" s="741"/>
      <c r="W278" s="503"/>
    </row>
    <row r="279" spans="4:23" ht="14.25" customHeight="1">
      <c r="D279" s="503"/>
      <c r="S279" s="741"/>
      <c r="W279" s="503"/>
    </row>
    <row r="280" spans="4:23" ht="14.25" customHeight="1">
      <c r="D280" s="503"/>
      <c r="S280" s="741"/>
      <c r="W280" s="503"/>
    </row>
    <row r="281" spans="4:23" ht="14.25" customHeight="1">
      <c r="D281" s="503"/>
      <c r="S281" s="741"/>
      <c r="W281" s="503"/>
    </row>
    <row r="282" spans="4:23" ht="14.25" customHeight="1">
      <c r="D282" s="503"/>
      <c r="S282" s="741"/>
      <c r="W282" s="503"/>
    </row>
    <row r="283" spans="4:23" ht="14.25" customHeight="1">
      <c r="D283" s="503"/>
      <c r="S283" s="741"/>
      <c r="W283" s="503"/>
    </row>
    <row r="284" spans="4:23" ht="14.25" customHeight="1">
      <c r="D284" s="503"/>
      <c r="S284" s="741"/>
      <c r="W284" s="503"/>
    </row>
    <row r="285" spans="4:23" ht="14.25" customHeight="1">
      <c r="D285" s="503"/>
      <c r="S285" s="741"/>
      <c r="W285" s="503"/>
    </row>
    <row r="286" spans="4:23" ht="14.25" customHeight="1">
      <c r="D286" s="503"/>
      <c r="S286" s="741"/>
      <c r="W286" s="503"/>
    </row>
    <row r="287" spans="4:23" ht="14.25" customHeight="1">
      <c r="D287" s="503"/>
      <c r="S287" s="741"/>
      <c r="W287" s="503"/>
    </row>
    <row r="288" spans="4:23" ht="14.25" customHeight="1">
      <c r="D288" s="503"/>
      <c r="S288" s="741"/>
      <c r="W288" s="503"/>
    </row>
    <row r="289" spans="4:23" ht="14.25" customHeight="1">
      <c r="D289" s="503"/>
      <c r="S289" s="741"/>
      <c r="W289" s="503"/>
    </row>
    <row r="290" spans="4:23" ht="14.25" customHeight="1">
      <c r="D290" s="503"/>
      <c r="S290" s="741"/>
      <c r="W290" s="503"/>
    </row>
    <row r="291" spans="4:23" ht="14.25" customHeight="1">
      <c r="D291" s="503"/>
      <c r="S291" s="741"/>
      <c r="W291" s="503"/>
    </row>
    <row r="292" spans="4:23" ht="14.25" customHeight="1">
      <c r="D292" s="503"/>
      <c r="S292" s="741"/>
      <c r="W292" s="503"/>
    </row>
    <row r="293" spans="4:23" ht="14.25" customHeight="1">
      <c r="D293" s="503"/>
      <c r="S293" s="741"/>
      <c r="W293" s="503"/>
    </row>
    <row r="294" spans="4:23" ht="14.25" customHeight="1">
      <c r="D294" s="503"/>
      <c r="S294" s="741"/>
      <c r="W294" s="503"/>
    </row>
    <row r="295" spans="4:23" ht="14.25" customHeight="1">
      <c r="D295" s="503"/>
      <c r="S295" s="741"/>
      <c r="W295" s="503"/>
    </row>
    <row r="296" spans="4:23" ht="14.25" customHeight="1">
      <c r="D296" s="503"/>
      <c r="S296" s="741"/>
      <c r="W296" s="503"/>
    </row>
    <row r="297" spans="4:23" ht="14.25" customHeight="1">
      <c r="D297" s="503"/>
      <c r="S297" s="741"/>
      <c r="W297" s="503"/>
    </row>
    <row r="298" spans="4:23" ht="14.25" customHeight="1">
      <c r="D298" s="503"/>
      <c r="S298" s="741"/>
      <c r="W298" s="503"/>
    </row>
    <row r="299" spans="4:23" ht="14.25" customHeight="1">
      <c r="D299" s="503"/>
      <c r="S299" s="741"/>
      <c r="W299" s="503"/>
    </row>
    <row r="300" spans="4:23" ht="14.25" customHeight="1">
      <c r="D300" s="503"/>
      <c r="S300" s="741"/>
      <c r="W300" s="503"/>
    </row>
    <row r="301" spans="4:23" ht="14.25" customHeight="1">
      <c r="D301" s="503"/>
      <c r="S301" s="741"/>
      <c r="W301" s="503"/>
    </row>
    <row r="302" spans="4:23" ht="14.25" customHeight="1">
      <c r="D302" s="503"/>
      <c r="S302" s="741"/>
      <c r="W302" s="503"/>
    </row>
    <row r="303" spans="4:23" ht="14.25" customHeight="1">
      <c r="D303" s="503"/>
      <c r="S303" s="741"/>
      <c r="W303" s="503"/>
    </row>
    <row r="304" spans="4:23" ht="14.25" customHeight="1">
      <c r="D304" s="503"/>
      <c r="S304" s="741"/>
      <c r="W304" s="503"/>
    </row>
    <row r="305" spans="4:23" ht="14.25" customHeight="1">
      <c r="D305" s="503"/>
      <c r="S305" s="741"/>
      <c r="W305" s="503"/>
    </row>
    <row r="306" spans="4:23" ht="14.25" customHeight="1">
      <c r="D306" s="503"/>
      <c r="S306" s="741"/>
      <c r="W306" s="503"/>
    </row>
    <row r="307" spans="4:23" ht="14.25" customHeight="1">
      <c r="D307" s="503"/>
      <c r="S307" s="741"/>
      <c r="W307" s="503"/>
    </row>
    <row r="308" spans="4:23" ht="14.25" customHeight="1">
      <c r="D308" s="503"/>
      <c r="S308" s="741"/>
      <c r="W308" s="503"/>
    </row>
    <row r="309" spans="4:23" ht="14.25" customHeight="1">
      <c r="D309" s="503"/>
      <c r="S309" s="741"/>
      <c r="W309" s="503"/>
    </row>
    <row r="310" spans="4:23" ht="14.25" customHeight="1">
      <c r="D310" s="503"/>
      <c r="S310" s="741"/>
      <c r="W310" s="503"/>
    </row>
    <row r="311" spans="4:23" ht="14.25" customHeight="1">
      <c r="D311" s="503"/>
      <c r="S311" s="741"/>
      <c r="W311" s="503"/>
    </row>
    <row r="312" spans="4:23" ht="14.25" customHeight="1">
      <c r="D312" s="503"/>
      <c r="S312" s="741"/>
      <c r="W312" s="503"/>
    </row>
    <row r="313" spans="4:23" ht="14.25" customHeight="1">
      <c r="D313" s="503"/>
      <c r="S313" s="741"/>
      <c r="W313" s="503"/>
    </row>
    <row r="314" spans="4:23" ht="14.25" customHeight="1">
      <c r="D314" s="503"/>
      <c r="S314" s="741"/>
      <c r="W314" s="503"/>
    </row>
    <row r="315" spans="4:23" ht="14.25" customHeight="1">
      <c r="D315" s="503"/>
      <c r="S315" s="741"/>
      <c r="W315" s="503"/>
    </row>
    <row r="316" spans="4:23" ht="14.25" customHeight="1">
      <c r="D316" s="503"/>
      <c r="S316" s="741"/>
      <c r="W316" s="503"/>
    </row>
    <row r="317" spans="4:23" ht="14.25" customHeight="1">
      <c r="D317" s="503"/>
      <c r="S317" s="741"/>
      <c r="W317" s="503"/>
    </row>
    <row r="318" spans="4:23" ht="14.25" customHeight="1">
      <c r="D318" s="503"/>
      <c r="S318" s="741"/>
      <c r="W318" s="503"/>
    </row>
    <row r="319" spans="4:23" ht="14.25" customHeight="1">
      <c r="D319" s="503"/>
      <c r="S319" s="741"/>
      <c r="W319" s="503"/>
    </row>
    <row r="320" spans="4:23" ht="14.25" customHeight="1">
      <c r="D320" s="503"/>
      <c r="S320" s="741"/>
      <c r="W320" s="503"/>
    </row>
    <row r="321" spans="4:23" ht="14.25" customHeight="1">
      <c r="D321" s="503"/>
      <c r="S321" s="741"/>
      <c r="W321" s="503"/>
    </row>
    <row r="322" spans="4:23" ht="14.25" customHeight="1">
      <c r="D322" s="503"/>
      <c r="S322" s="741"/>
      <c r="W322" s="503"/>
    </row>
    <row r="323" spans="4:23" ht="14.25" customHeight="1">
      <c r="D323" s="503"/>
      <c r="S323" s="741"/>
      <c r="W323" s="503"/>
    </row>
    <row r="324" spans="4:23" ht="14.25" customHeight="1">
      <c r="D324" s="503"/>
      <c r="S324" s="741"/>
      <c r="W324" s="503"/>
    </row>
    <row r="325" spans="4:23" ht="14.25" customHeight="1">
      <c r="D325" s="503"/>
      <c r="S325" s="741"/>
      <c r="W325" s="503"/>
    </row>
    <row r="326" spans="4:23" ht="14.25" customHeight="1">
      <c r="D326" s="503"/>
      <c r="S326" s="741"/>
      <c r="W326" s="503"/>
    </row>
    <row r="327" spans="4:23" ht="14.25" customHeight="1">
      <c r="D327" s="503"/>
      <c r="S327" s="741"/>
      <c r="W327" s="503"/>
    </row>
    <row r="328" spans="4:23" ht="14.25" customHeight="1">
      <c r="D328" s="503"/>
      <c r="S328" s="741"/>
      <c r="W328" s="503"/>
    </row>
    <row r="329" spans="4:23" ht="14.25" customHeight="1">
      <c r="D329" s="503"/>
      <c r="S329" s="741"/>
      <c r="W329" s="503"/>
    </row>
    <row r="330" spans="4:23" ht="14.25" customHeight="1">
      <c r="D330" s="503"/>
      <c r="S330" s="741"/>
      <c r="W330" s="503"/>
    </row>
    <row r="331" spans="4:23" ht="14.25" customHeight="1">
      <c r="D331" s="503"/>
      <c r="S331" s="741"/>
      <c r="W331" s="503"/>
    </row>
    <row r="332" spans="4:23" ht="14.25" customHeight="1">
      <c r="D332" s="503"/>
      <c r="S332" s="741"/>
      <c r="W332" s="503"/>
    </row>
    <row r="333" spans="4:23" ht="14.25" customHeight="1">
      <c r="D333" s="503"/>
      <c r="S333" s="741"/>
      <c r="W333" s="503"/>
    </row>
    <row r="334" spans="4:23" ht="14.25" customHeight="1">
      <c r="D334" s="503"/>
      <c r="S334" s="741"/>
      <c r="W334" s="503"/>
    </row>
    <row r="335" spans="4:23" ht="14.25" customHeight="1">
      <c r="D335" s="503"/>
      <c r="S335" s="741"/>
      <c r="W335" s="503"/>
    </row>
    <row r="336" spans="4:23" ht="14.25" customHeight="1">
      <c r="D336" s="503"/>
      <c r="S336" s="741"/>
      <c r="W336" s="503"/>
    </row>
    <row r="337" spans="4:23" ht="14.25" customHeight="1">
      <c r="D337" s="503"/>
      <c r="S337" s="741"/>
      <c r="W337" s="503"/>
    </row>
    <row r="338" spans="4:23" ht="14.25" customHeight="1">
      <c r="D338" s="503"/>
      <c r="S338" s="741"/>
      <c r="W338" s="503"/>
    </row>
    <row r="339" spans="4:23" ht="14.25" customHeight="1">
      <c r="D339" s="503"/>
      <c r="S339" s="741"/>
      <c r="W339" s="503"/>
    </row>
    <row r="340" spans="4:23" ht="14.25" customHeight="1">
      <c r="D340" s="503"/>
      <c r="S340" s="741"/>
      <c r="W340" s="503"/>
    </row>
    <row r="341" spans="4:23" ht="14.25" customHeight="1">
      <c r="D341" s="503"/>
      <c r="S341" s="741"/>
      <c r="W341" s="503"/>
    </row>
    <row r="342" spans="4:23" ht="14.25" customHeight="1">
      <c r="D342" s="503"/>
      <c r="S342" s="741"/>
      <c r="W342" s="503"/>
    </row>
    <row r="343" spans="4:23" ht="14.25" customHeight="1">
      <c r="D343" s="503"/>
      <c r="S343" s="741"/>
      <c r="W343" s="503"/>
    </row>
    <row r="344" spans="4:23" ht="14.25" customHeight="1">
      <c r="D344" s="503"/>
      <c r="S344" s="741"/>
      <c r="W344" s="503"/>
    </row>
    <row r="345" spans="4:23" ht="14.25" customHeight="1">
      <c r="D345" s="503"/>
      <c r="S345" s="741"/>
      <c r="W345" s="503"/>
    </row>
    <row r="346" spans="4:23" ht="14.25" customHeight="1">
      <c r="D346" s="503"/>
      <c r="S346" s="741"/>
      <c r="W346" s="503"/>
    </row>
    <row r="347" spans="4:23" ht="14.25" customHeight="1">
      <c r="D347" s="503"/>
      <c r="S347" s="741"/>
      <c r="W347" s="503"/>
    </row>
    <row r="348" spans="4:23" ht="14.25" customHeight="1">
      <c r="D348" s="503"/>
      <c r="S348" s="741"/>
      <c r="W348" s="503"/>
    </row>
    <row r="349" spans="4:23" ht="14.25" customHeight="1">
      <c r="D349" s="503"/>
      <c r="S349" s="741"/>
      <c r="W349" s="503"/>
    </row>
    <row r="350" spans="4:23" ht="14.25" customHeight="1">
      <c r="D350" s="503"/>
      <c r="S350" s="741"/>
      <c r="W350" s="503"/>
    </row>
    <row r="351" spans="4:23" ht="14.25" customHeight="1">
      <c r="D351" s="503"/>
      <c r="S351" s="741"/>
      <c r="W351" s="503"/>
    </row>
    <row r="352" spans="4:23" ht="14.25" customHeight="1">
      <c r="D352" s="503"/>
      <c r="S352" s="741"/>
      <c r="W352" s="503"/>
    </row>
    <row r="353" spans="4:23" ht="14.25" customHeight="1">
      <c r="D353" s="503"/>
      <c r="S353" s="741"/>
      <c r="W353" s="503"/>
    </row>
    <row r="354" spans="4:23" ht="14.25" customHeight="1">
      <c r="D354" s="503"/>
      <c r="S354" s="741"/>
      <c r="W354" s="503"/>
    </row>
    <row r="355" spans="4:23" ht="14.25" customHeight="1">
      <c r="D355" s="503"/>
      <c r="S355" s="741"/>
      <c r="W355" s="503"/>
    </row>
    <row r="356" spans="4:23" ht="14.25" customHeight="1">
      <c r="D356" s="503"/>
      <c r="S356" s="741"/>
      <c r="W356" s="503"/>
    </row>
    <row r="357" spans="4:23" ht="14.25" customHeight="1">
      <c r="D357" s="503"/>
      <c r="S357" s="741"/>
      <c r="W357" s="503"/>
    </row>
    <row r="358" spans="4:23" ht="14.25" customHeight="1">
      <c r="D358" s="503"/>
      <c r="S358" s="741"/>
      <c r="W358" s="503"/>
    </row>
    <row r="359" spans="4:23" ht="14.25" customHeight="1">
      <c r="D359" s="503"/>
      <c r="S359" s="741"/>
      <c r="W359" s="503"/>
    </row>
    <row r="360" spans="4:23" ht="14.25" customHeight="1">
      <c r="D360" s="503"/>
      <c r="S360" s="741"/>
      <c r="W360" s="503"/>
    </row>
    <row r="361" spans="4:23" ht="14.25" customHeight="1">
      <c r="D361" s="503"/>
      <c r="S361" s="741"/>
      <c r="W361" s="503"/>
    </row>
    <row r="362" spans="4:23" ht="14.25" customHeight="1">
      <c r="D362" s="503"/>
      <c r="S362" s="741"/>
      <c r="W362" s="503"/>
    </row>
    <row r="363" spans="4:23" ht="14.25" customHeight="1">
      <c r="D363" s="503"/>
      <c r="S363" s="741"/>
      <c r="W363" s="503"/>
    </row>
    <row r="364" spans="4:23" ht="14.25" customHeight="1">
      <c r="D364" s="503"/>
      <c r="S364" s="741"/>
      <c r="W364" s="503"/>
    </row>
    <row r="365" spans="4:23" ht="14.25" customHeight="1">
      <c r="D365" s="503"/>
      <c r="S365" s="741"/>
      <c r="W365" s="503"/>
    </row>
    <row r="366" spans="4:23" ht="14.25" customHeight="1">
      <c r="D366" s="503"/>
      <c r="S366" s="741"/>
      <c r="W366" s="503"/>
    </row>
    <row r="367" spans="4:23" ht="14.25" customHeight="1">
      <c r="D367" s="503"/>
      <c r="S367" s="741"/>
      <c r="W367" s="503"/>
    </row>
    <row r="368" spans="4:23" ht="14.25" customHeight="1">
      <c r="D368" s="503"/>
      <c r="S368" s="741"/>
      <c r="W368" s="503"/>
    </row>
    <row r="369" spans="4:23" ht="14.25" customHeight="1">
      <c r="D369" s="503"/>
      <c r="S369" s="741"/>
      <c r="W369" s="503"/>
    </row>
    <row r="370" spans="4:23" ht="14.25" customHeight="1">
      <c r="D370" s="503"/>
      <c r="S370" s="741"/>
      <c r="W370" s="503"/>
    </row>
    <row r="371" spans="4:23" ht="14.25" customHeight="1">
      <c r="D371" s="503"/>
      <c r="S371" s="741"/>
      <c r="W371" s="503"/>
    </row>
    <row r="372" spans="4:23" ht="14.25" customHeight="1">
      <c r="D372" s="503"/>
      <c r="S372" s="741"/>
      <c r="W372" s="503"/>
    </row>
    <row r="373" spans="4:23" ht="14.25" customHeight="1">
      <c r="D373" s="503"/>
      <c r="S373" s="741"/>
      <c r="W373" s="503"/>
    </row>
    <row r="374" spans="4:23" ht="14.25" customHeight="1">
      <c r="D374" s="503"/>
      <c r="S374" s="741"/>
      <c r="W374" s="503"/>
    </row>
    <row r="375" spans="4:23" ht="14.25" customHeight="1">
      <c r="D375" s="503"/>
      <c r="S375" s="741"/>
      <c r="W375" s="503"/>
    </row>
    <row r="376" spans="4:23" ht="14.25" customHeight="1">
      <c r="D376" s="503"/>
      <c r="S376" s="741"/>
      <c r="W376" s="503"/>
    </row>
    <row r="377" spans="4:23" ht="14.25" customHeight="1">
      <c r="D377" s="503"/>
      <c r="S377" s="741"/>
      <c r="W377" s="503"/>
    </row>
    <row r="378" spans="4:23" ht="14.25" customHeight="1">
      <c r="D378" s="503"/>
      <c r="S378" s="741"/>
      <c r="W378" s="503"/>
    </row>
    <row r="379" spans="4:23" ht="14.25" customHeight="1">
      <c r="D379" s="503"/>
      <c r="S379" s="741"/>
      <c r="W379" s="503"/>
    </row>
    <row r="380" spans="4:23" ht="14.25" customHeight="1">
      <c r="D380" s="503"/>
      <c r="S380" s="741"/>
      <c r="W380" s="503"/>
    </row>
    <row r="381" spans="4:23" ht="14.25" customHeight="1">
      <c r="D381" s="503"/>
      <c r="S381" s="741"/>
      <c r="W381" s="503"/>
    </row>
    <row r="382" spans="4:23" ht="14.25" customHeight="1">
      <c r="D382" s="503"/>
      <c r="S382" s="741"/>
      <c r="W382" s="503"/>
    </row>
    <row r="383" spans="4:23" ht="14.25" customHeight="1">
      <c r="D383" s="503"/>
      <c r="S383" s="741"/>
      <c r="W383" s="503"/>
    </row>
    <row r="384" spans="4:23" ht="14.25" customHeight="1">
      <c r="D384" s="503"/>
      <c r="S384" s="741"/>
      <c r="W384" s="503"/>
    </row>
    <row r="385" spans="4:23" ht="14.25" customHeight="1">
      <c r="D385" s="503"/>
      <c r="S385" s="741"/>
      <c r="W385" s="503"/>
    </row>
    <row r="386" spans="4:23" ht="14.25" customHeight="1">
      <c r="D386" s="503"/>
      <c r="S386" s="741"/>
      <c r="W386" s="503"/>
    </row>
    <row r="387" spans="4:23" ht="14.25" customHeight="1">
      <c r="D387" s="503"/>
      <c r="S387" s="741"/>
      <c r="W387" s="503"/>
    </row>
    <row r="388" spans="4:23" ht="14.25" customHeight="1">
      <c r="D388" s="503"/>
      <c r="S388" s="741"/>
      <c r="W388" s="503"/>
    </row>
    <row r="389" spans="4:23" ht="14.25" customHeight="1">
      <c r="D389" s="503"/>
      <c r="S389" s="741"/>
      <c r="W389" s="503"/>
    </row>
    <row r="390" spans="4:23" ht="14.25" customHeight="1">
      <c r="D390" s="503"/>
      <c r="S390" s="741"/>
      <c r="W390" s="503"/>
    </row>
    <row r="391" spans="4:23" ht="14.25" customHeight="1">
      <c r="D391" s="503"/>
      <c r="S391" s="741"/>
      <c r="W391" s="503"/>
    </row>
    <row r="392" spans="4:23" ht="14.25" customHeight="1">
      <c r="D392" s="503"/>
      <c r="S392" s="741"/>
      <c r="W392" s="503"/>
    </row>
    <row r="393" spans="4:23" ht="14.25" customHeight="1">
      <c r="D393" s="503"/>
      <c r="S393" s="741"/>
      <c r="W393" s="503"/>
    </row>
    <row r="394" spans="4:23" ht="14.25" customHeight="1">
      <c r="D394" s="503"/>
      <c r="S394" s="741"/>
      <c r="W394" s="503"/>
    </row>
    <row r="395" spans="4:23" ht="14.25" customHeight="1">
      <c r="D395" s="503"/>
      <c r="S395" s="741"/>
      <c r="W395" s="503"/>
    </row>
    <row r="396" spans="4:23" ht="14.25" customHeight="1">
      <c r="D396" s="503"/>
      <c r="S396" s="741"/>
      <c r="W396" s="503"/>
    </row>
    <row r="397" spans="4:23" ht="14.25" customHeight="1">
      <c r="D397" s="503"/>
      <c r="S397" s="741"/>
      <c r="W397" s="503"/>
    </row>
    <row r="398" spans="4:23" ht="14.25" customHeight="1">
      <c r="D398" s="503"/>
      <c r="S398" s="741"/>
      <c r="W398" s="503"/>
    </row>
    <row r="399" spans="4:23" ht="14.25" customHeight="1">
      <c r="D399" s="503"/>
      <c r="S399" s="741"/>
      <c r="W399" s="503"/>
    </row>
    <row r="400" spans="4:23" ht="14.25" customHeight="1">
      <c r="D400" s="503"/>
      <c r="S400" s="741"/>
      <c r="W400" s="503"/>
    </row>
    <row r="401" spans="4:23" ht="14.25" customHeight="1">
      <c r="D401" s="503"/>
      <c r="S401" s="741"/>
      <c r="W401" s="503"/>
    </row>
    <row r="402" spans="4:23" ht="14.25" customHeight="1">
      <c r="D402" s="503"/>
      <c r="S402" s="741"/>
      <c r="W402" s="503"/>
    </row>
    <row r="403" spans="4:23" ht="14.25" customHeight="1">
      <c r="D403" s="503"/>
      <c r="S403" s="741"/>
      <c r="W403" s="503"/>
    </row>
    <row r="404" spans="4:23" ht="14.25" customHeight="1">
      <c r="D404" s="503"/>
      <c r="S404" s="741"/>
      <c r="W404" s="503"/>
    </row>
    <row r="405" spans="4:23" ht="14.25" customHeight="1">
      <c r="D405" s="503"/>
      <c r="S405" s="741"/>
      <c r="W405" s="503"/>
    </row>
    <row r="406" spans="4:23" ht="14.25" customHeight="1">
      <c r="D406" s="503"/>
      <c r="S406" s="741"/>
      <c r="W406" s="503"/>
    </row>
    <row r="407" spans="4:23" ht="14.25" customHeight="1">
      <c r="D407" s="503"/>
      <c r="S407" s="741"/>
      <c r="W407" s="503"/>
    </row>
    <row r="408" spans="4:23" ht="14.25" customHeight="1">
      <c r="D408" s="503"/>
      <c r="S408" s="741"/>
      <c r="W408" s="503"/>
    </row>
    <row r="409" spans="4:23" ht="14.25" customHeight="1">
      <c r="D409" s="503"/>
      <c r="S409" s="741"/>
      <c r="W409" s="503"/>
    </row>
    <row r="410" spans="4:23" ht="14.25" customHeight="1">
      <c r="D410" s="503"/>
      <c r="S410" s="741"/>
      <c r="W410" s="503"/>
    </row>
    <row r="411" spans="4:23" ht="14.25" customHeight="1">
      <c r="D411" s="503"/>
      <c r="S411" s="741"/>
      <c r="W411" s="503"/>
    </row>
    <row r="412" spans="4:23" ht="14.25" customHeight="1">
      <c r="D412" s="503"/>
      <c r="S412" s="741"/>
      <c r="W412" s="503"/>
    </row>
    <row r="413" spans="4:23" ht="14.25" customHeight="1">
      <c r="D413" s="503"/>
      <c r="S413" s="741"/>
      <c r="W413" s="503"/>
    </row>
    <row r="414" spans="4:23" ht="14.25" customHeight="1">
      <c r="D414" s="503"/>
      <c r="S414" s="741"/>
      <c r="W414" s="503"/>
    </row>
    <row r="415" spans="4:23" ht="14.25" customHeight="1">
      <c r="D415" s="503"/>
      <c r="S415" s="741"/>
      <c r="W415" s="503"/>
    </row>
    <row r="416" spans="4:23" ht="14.25" customHeight="1">
      <c r="D416" s="503"/>
      <c r="S416" s="741"/>
      <c r="W416" s="503"/>
    </row>
    <row r="417" spans="4:23" ht="14.25" customHeight="1">
      <c r="D417" s="503"/>
      <c r="S417" s="741"/>
      <c r="W417" s="503"/>
    </row>
    <row r="418" spans="4:23" ht="14.25" customHeight="1">
      <c r="D418" s="503"/>
      <c r="S418" s="741"/>
      <c r="W418" s="503"/>
    </row>
    <row r="419" spans="4:23" ht="14.25" customHeight="1">
      <c r="D419" s="503"/>
      <c r="S419" s="741"/>
      <c r="W419" s="503"/>
    </row>
    <row r="420" spans="4:23" ht="14.25" customHeight="1">
      <c r="D420" s="503"/>
      <c r="S420" s="741"/>
      <c r="W420" s="503"/>
    </row>
    <row r="421" spans="4:23" ht="14.25" customHeight="1">
      <c r="D421" s="503"/>
      <c r="S421" s="741"/>
      <c r="W421" s="503"/>
    </row>
    <row r="422" spans="4:23" ht="14.25" customHeight="1">
      <c r="D422" s="503"/>
      <c r="S422" s="741"/>
      <c r="W422" s="503"/>
    </row>
    <row r="423" spans="4:23" ht="14.25" customHeight="1">
      <c r="D423" s="503"/>
      <c r="S423" s="741"/>
      <c r="W423" s="503"/>
    </row>
    <row r="424" spans="4:23" ht="14.25" customHeight="1">
      <c r="D424" s="503"/>
      <c r="S424" s="741"/>
      <c r="W424" s="503"/>
    </row>
    <row r="425" spans="4:23" ht="14.25" customHeight="1">
      <c r="D425" s="503"/>
      <c r="S425" s="741"/>
      <c r="W425" s="503"/>
    </row>
    <row r="426" spans="4:23" ht="14.25" customHeight="1">
      <c r="D426" s="503"/>
      <c r="S426" s="741"/>
      <c r="W426" s="503"/>
    </row>
    <row r="427" spans="4:23" ht="14.25" customHeight="1">
      <c r="D427" s="503"/>
      <c r="S427" s="741"/>
      <c r="W427" s="503"/>
    </row>
    <row r="428" spans="4:23" ht="14.25" customHeight="1">
      <c r="D428" s="503"/>
      <c r="S428" s="741"/>
      <c r="W428" s="503"/>
    </row>
    <row r="429" spans="4:23" ht="14.25" customHeight="1">
      <c r="D429" s="503"/>
      <c r="S429" s="741"/>
      <c r="W429" s="503"/>
    </row>
    <row r="430" spans="4:23" ht="14.25" customHeight="1">
      <c r="D430" s="503"/>
      <c r="S430" s="741"/>
      <c r="W430" s="503"/>
    </row>
    <row r="431" spans="4:23" ht="14.25" customHeight="1">
      <c r="D431" s="503"/>
      <c r="S431" s="741"/>
      <c r="W431" s="503"/>
    </row>
    <row r="432" spans="4:23" ht="14.25" customHeight="1">
      <c r="D432" s="503"/>
      <c r="S432" s="741"/>
      <c r="W432" s="503"/>
    </row>
    <row r="433" spans="4:23" ht="14.25" customHeight="1">
      <c r="D433" s="503"/>
      <c r="S433" s="741"/>
      <c r="W433" s="503"/>
    </row>
    <row r="434" spans="4:23" ht="14.25" customHeight="1">
      <c r="D434" s="503"/>
      <c r="S434" s="741"/>
      <c r="W434" s="503"/>
    </row>
    <row r="435" spans="4:23" ht="14.25" customHeight="1">
      <c r="D435" s="503"/>
      <c r="S435" s="741"/>
      <c r="W435" s="503"/>
    </row>
    <row r="436" spans="4:23" ht="14.25" customHeight="1">
      <c r="D436" s="503"/>
      <c r="S436" s="741"/>
      <c r="W436" s="503"/>
    </row>
    <row r="437" spans="4:23" ht="14.25" customHeight="1">
      <c r="D437" s="503"/>
      <c r="S437" s="741"/>
      <c r="W437" s="503"/>
    </row>
    <row r="438" spans="4:23" ht="14.25" customHeight="1">
      <c r="D438" s="503"/>
      <c r="S438" s="741"/>
      <c r="W438" s="503"/>
    </row>
    <row r="439" spans="4:23" ht="14.25" customHeight="1">
      <c r="D439" s="503"/>
      <c r="S439" s="741"/>
      <c r="W439" s="503"/>
    </row>
    <row r="440" spans="4:23" ht="14.25" customHeight="1">
      <c r="D440" s="503"/>
      <c r="S440" s="741"/>
      <c r="W440" s="503"/>
    </row>
    <row r="441" spans="4:23" ht="14.25" customHeight="1">
      <c r="D441" s="503"/>
      <c r="S441" s="741"/>
      <c r="W441" s="503"/>
    </row>
    <row r="442" spans="4:23" ht="14.25" customHeight="1">
      <c r="D442" s="503"/>
      <c r="S442" s="741"/>
      <c r="W442" s="503"/>
    </row>
    <row r="443" spans="4:23" ht="14.25" customHeight="1">
      <c r="D443" s="503"/>
      <c r="S443" s="741"/>
      <c r="W443" s="503"/>
    </row>
    <row r="444" spans="4:23" ht="14.25" customHeight="1">
      <c r="D444" s="503"/>
      <c r="S444" s="741"/>
      <c r="W444" s="503"/>
    </row>
    <row r="445" spans="4:23" ht="14.25" customHeight="1">
      <c r="D445" s="503"/>
      <c r="S445" s="741"/>
      <c r="W445" s="503"/>
    </row>
    <row r="446" spans="4:23" ht="14.25" customHeight="1">
      <c r="D446" s="503"/>
      <c r="S446" s="741"/>
      <c r="W446" s="503"/>
    </row>
    <row r="447" spans="4:23" ht="14.25" customHeight="1">
      <c r="D447" s="503"/>
      <c r="S447" s="741"/>
      <c r="W447" s="503"/>
    </row>
    <row r="448" spans="4:23" ht="14.25" customHeight="1">
      <c r="D448" s="503"/>
      <c r="S448" s="741"/>
      <c r="W448" s="503"/>
    </row>
    <row r="449" spans="4:23" ht="14.25" customHeight="1">
      <c r="D449" s="503"/>
      <c r="S449" s="741"/>
      <c r="W449" s="503"/>
    </row>
    <row r="450" spans="4:23" ht="14.25" customHeight="1">
      <c r="D450" s="503"/>
      <c r="S450" s="741"/>
      <c r="W450" s="503"/>
    </row>
    <row r="451" spans="4:23" ht="14.25" customHeight="1">
      <c r="D451" s="503"/>
      <c r="S451" s="741"/>
      <c r="W451" s="503"/>
    </row>
    <row r="452" spans="4:23" ht="14.25" customHeight="1">
      <c r="D452" s="503"/>
      <c r="S452" s="741"/>
      <c r="W452" s="503"/>
    </row>
    <row r="453" spans="4:23" ht="14.25" customHeight="1">
      <c r="D453" s="503"/>
      <c r="S453" s="741"/>
      <c r="W453" s="503"/>
    </row>
    <row r="454" spans="4:23" ht="14.25" customHeight="1">
      <c r="D454" s="503"/>
      <c r="S454" s="741"/>
      <c r="W454" s="503"/>
    </row>
    <row r="455" spans="4:23" ht="14.25" customHeight="1">
      <c r="D455" s="503"/>
      <c r="S455" s="741"/>
      <c r="W455" s="503"/>
    </row>
    <row r="456" spans="4:23" ht="14.25" customHeight="1">
      <c r="D456" s="503"/>
      <c r="S456" s="741"/>
      <c r="W456" s="503"/>
    </row>
    <row r="457" spans="4:23" ht="14.25" customHeight="1">
      <c r="D457" s="503"/>
      <c r="S457" s="741"/>
      <c r="W457" s="503"/>
    </row>
    <row r="458" spans="4:23" ht="14.25" customHeight="1">
      <c r="D458" s="503"/>
      <c r="S458" s="741"/>
      <c r="W458" s="503"/>
    </row>
    <row r="459" spans="4:23" ht="14.25" customHeight="1">
      <c r="D459" s="503"/>
      <c r="S459" s="741"/>
      <c r="W459" s="503"/>
    </row>
    <row r="460" spans="4:23" ht="14.25" customHeight="1">
      <c r="D460" s="503"/>
      <c r="S460" s="741"/>
      <c r="W460" s="503"/>
    </row>
    <row r="461" spans="4:23" ht="14.25" customHeight="1">
      <c r="D461" s="503"/>
      <c r="S461" s="741"/>
      <c r="W461" s="503"/>
    </row>
    <row r="462" spans="4:23" ht="14.25" customHeight="1">
      <c r="D462" s="503"/>
      <c r="S462" s="741"/>
      <c r="W462" s="503"/>
    </row>
    <row r="463" spans="4:23" ht="14.25" customHeight="1">
      <c r="D463" s="503"/>
      <c r="S463" s="741"/>
      <c r="W463" s="503"/>
    </row>
    <row r="464" spans="4:23" ht="14.25" customHeight="1">
      <c r="D464" s="503"/>
      <c r="S464" s="741"/>
      <c r="W464" s="503"/>
    </row>
    <row r="465" spans="4:23" ht="14.25" customHeight="1">
      <c r="D465" s="503"/>
      <c r="S465" s="741"/>
      <c r="W465" s="503"/>
    </row>
    <row r="466" spans="4:23" ht="14.25" customHeight="1">
      <c r="D466" s="503"/>
      <c r="S466" s="741"/>
      <c r="W466" s="503"/>
    </row>
    <row r="467" spans="4:23" ht="14.25" customHeight="1">
      <c r="D467" s="503"/>
      <c r="S467" s="741"/>
      <c r="W467" s="503"/>
    </row>
    <row r="468" spans="4:23" ht="14.25" customHeight="1">
      <c r="D468" s="503"/>
      <c r="S468" s="741"/>
      <c r="W468" s="503"/>
    </row>
    <row r="469" spans="4:23" ht="14.25" customHeight="1">
      <c r="D469" s="503"/>
      <c r="S469" s="741"/>
      <c r="W469" s="503"/>
    </row>
    <row r="470" spans="4:23" ht="14.25" customHeight="1">
      <c r="D470" s="503"/>
      <c r="S470" s="741"/>
      <c r="W470" s="503"/>
    </row>
    <row r="471" spans="4:23" ht="14.25" customHeight="1">
      <c r="D471" s="503"/>
      <c r="S471" s="741"/>
      <c r="W471" s="503"/>
    </row>
    <row r="472" spans="4:23" ht="14.25" customHeight="1">
      <c r="D472" s="503"/>
      <c r="S472" s="741"/>
      <c r="W472" s="503"/>
    </row>
    <row r="473" spans="4:23" ht="14.25" customHeight="1">
      <c r="D473" s="503"/>
      <c r="S473" s="741"/>
      <c r="W473" s="503"/>
    </row>
    <row r="474" spans="4:23" ht="14.25" customHeight="1">
      <c r="D474" s="503"/>
      <c r="S474" s="741"/>
      <c r="W474" s="503"/>
    </row>
    <row r="475" spans="4:23" ht="14.25" customHeight="1">
      <c r="D475" s="503"/>
      <c r="S475" s="741"/>
      <c r="W475" s="503"/>
    </row>
    <row r="476" spans="4:23" ht="14.25" customHeight="1">
      <c r="D476" s="503"/>
      <c r="S476" s="741"/>
      <c r="W476" s="503"/>
    </row>
    <row r="477" spans="4:23" ht="14.25" customHeight="1">
      <c r="D477" s="503"/>
      <c r="S477" s="741"/>
      <c r="W477" s="503"/>
    </row>
    <row r="478" spans="4:23" ht="14.25" customHeight="1">
      <c r="D478" s="503"/>
      <c r="S478" s="741"/>
      <c r="W478" s="503"/>
    </row>
    <row r="479" spans="4:23" ht="14.25" customHeight="1">
      <c r="D479" s="503"/>
      <c r="S479" s="741"/>
      <c r="W479" s="503"/>
    </row>
    <row r="480" spans="4:23" ht="14.25" customHeight="1">
      <c r="D480" s="503"/>
      <c r="S480" s="741"/>
      <c r="W480" s="503"/>
    </row>
    <row r="481" spans="4:23" ht="14.25" customHeight="1">
      <c r="D481" s="503"/>
      <c r="S481" s="741"/>
      <c r="W481" s="503"/>
    </row>
    <row r="482" spans="4:23" ht="14.25" customHeight="1">
      <c r="D482" s="503"/>
      <c r="S482" s="741"/>
      <c r="W482" s="503"/>
    </row>
    <row r="483" spans="4:23" ht="14.25" customHeight="1">
      <c r="D483" s="503"/>
      <c r="S483" s="741"/>
      <c r="W483" s="503"/>
    </row>
    <row r="484" spans="4:23" ht="14.25" customHeight="1">
      <c r="D484" s="503"/>
      <c r="S484" s="741"/>
      <c r="W484" s="503"/>
    </row>
    <row r="485" spans="4:23" ht="14.25" customHeight="1">
      <c r="D485" s="503"/>
      <c r="S485" s="741"/>
      <c r="W485" s="503"/>
    </row>
    <row r="486" spans="4:23" ht="14.25" customHeight="1">
      <c r="D486" s="503"/>
      <c r="S486" s="741"/>
      <c r="W486" s="503"/>
    </row>
    <row r="487" spans="4:23" ht="14.25" customHeight="1">
      <c r="D487" s="503"/>
      <c r="S487" s="741"/>
      <c r="W487" s="503"/>
    </row>
    <row r="488" spans="4:23" ht="14.25" customHeight="1">
      <c r="D488" s="503"/>
      <c r="S488" s="741"/>
      <c r="W488" s="503"/>
    </row>
    <row r="489" spans="4:23" ht="14.25" customHeight="1">
      <c r="D489" s="503"/>
      <c r="S489" s="741"/>
      <c r="W489" s="503"/>
    </row>
    <row r="490" spans="4:23" ht="14.25" customHeight="1">
      <c r="D490" s="503"/>
      <c r="S490" s="741"/>
      <c r="W490" s="503"/>
    </row>
    <row r="491" spans="4:23" ht="14.25" customHeight="1">
      <c r="D491" s="503"/>
      <c r="S491" s="741"/>
      <c r="W491" s="503"/>
    </row>
    <row r="492" spans="4:23" ht="14.25" customHeight="1">
      <c r="D492" s="503"/>
      <c r="S492" s="741"/>
      <c r="W492" s="503"/>
    </row>
    <row r="493" spans="4:23" ht="14.25" customHeight="1">
      <c r="D493" s="503"/>
      <c r="S493" s="741"/>
      <c r="W493" s="503"/>
    </row>
    <row r="494" spans="4:23" ht="14.25" customHeight="1">
      <c r="D494" s="503"/>
      <c r="S494" s="741"/>
      <c r="W494" s="503"/>
    </row>
    <row r="495" spans="4:23" ht="14.25" customHeight="1">
      <c r="D495" s="503"/>
      <c r="S495" s="741"/>
      <c r="W495" s="503"/>
    </row>
    <row r="496" spans="4:23" ht="14.25" customHeight="1">
      <c r="D496" s="503"/>
      <c r="S496" s="741"/>
      <c r="W496" s="503"/>
    </row>
    <row r="497" spans="4:23" ht="14.25" customHeight="1">
      <c r="D497" s="503"/>
      <c r="S497" s="741"/>
      <c r="W497" s="503"/>
    </row>
    <row r="498" spans="4:23" ht="14.25" customHeight="1">
      <c r="D498" s="503"/>
      <c r="S498" s="741"/>
      <c r="W498" s="503"/>
    </row>
    <row r="499" spans="4:23" ht="14.25" customHeight="1">
      <c r="D499" s="503"/>
      <c r="S499" s="741"/>
      <c r="W499" s="503"/>
    </row>
    <row r="500" spans="4:23" ht="14.25" customHeight="1">
      <c r="D500" s="503"/>
      <c r="S500" s="741"/>
      <c r="W500" s="503"/>
    </row>
    <row r="501" spans="4:23" ht="14.25" customHeight="1">
      <c r="D501" s="503"/>
      <c r="S501" s="741"/>
      <c r="W501" s="503"/>
    </row>
    <row r="502" spans="4:23" ht="14.25" customHeight="1">
      <c r="D502" s="503"/>
      <c r="S502" s="741"/>
      <c r="W502" s="503"/>
    </row>
    <row r="503" spans="4:23" ht="14.25" customHeight="1">
      <c r="D503" s="503"/>
      <c r="S503" s="741"/>
      <c r="W503" s="503"/>
    </row>
    <row r="504" spans="4:23" ht="14.25" customHeight="1">
      <c r="D504" s="503"/>
      <c r="S504" s="741"/>
      <c r="W504" s="503"/>
    </row>
    <row r="505" spans="4:23" ht="14.25" customHeight="1">
      <c r="D505" s="503"/>
      <c r="S505" s="741"/>
      <c r="W505" s="503"/>
    </row>
    <row r="506" spans="4:23" ht="14.25" customHeight="1">
      <c r="D506" s="503"/>
      <c r="S506" s="741"/>
      <c r="W506" s="503"/>
    </row>
    <row r="507" spans="4:23" ht="14.25" customHeight="1">
      <c r="D507" s="503"/>
      <c r="S507" s="741"/>
      <c r="W507" s="503"/>
    </row>
    <row r="508" spans="4:23" ht="14.25" customHeight="1">
      <c r="D508" s="503"/>
      <c r="S508" s="741"/>
      <c r="W508" s="503"/>
    </row>
    <row r="509" spans="4:23" ht="14.25" customHeight="1">
      <c r="D509" s="503"/>
      <c r="S509" s="741"/>
      <c r="W509" s="503"/>
    </row>
    <row r="510" spans="4:23" ht="14.25" customHeight="1">
      <c r="D510" s="503"/>
      <c r="S510" s="741"/>
      <c r="W510" s="503"/>
    </row>
    <row r="511" spans="4:23" ht="14.25" customHeight="1">
      <c r="D511" s="503"/>
      <c r="S511" s="741"/>
      <c r="W511" s="503"/>
    </row>
    <row r="512" spans="4:23" ht="14.25" customHeight="1">
      <c r="D512" s="503"/>
      <c r="S512" s="741"/>
      <c r="W512" s="503"/>
    </row>
    <row r="513" spans="4:23" ht="14.25" customHeight="1">
      <c r="D513" s="503"/>
      <c r="S513" s="741"/>
      <c r="W513" s="503"/>
    </row>
    <row r="514" spans="4:23" ht="14.25" customHeight="1">
      <c r="D514" s="503"/>
      <c r="S514" s="741"/>
      <c r="W514" s="503"/>
    </row>
    <row r="515" spans="4:23" ht="14.25" customHeight="1">
      <c r="D515" s="503"/>
      <c r="S515" s="741"/>
      <c r="W515" s="503"/>
    </row>
    <row r="516" spans="4:23" ht="14.25" customHeight="1">
      <c r="D516" s="503"/>
      <c r="S516" s="741"/>
      <c r="W516" s="503"/>
    </row>
    <row r="517" spans="4:23" ht="14.25" customHeight="1">
      <c r="D517" s="503"/>
      <c r="S517" s="741"/>
      <c r="W517" s="503"/>
    </row>
    <row r="518" spans="4:23" ht="14.25" customHeight="1">
      <c r="D518" s="503"/>
      <c r="S518" s="741"/>
      <c r="W518" s="503"/>
    </row>
    <row r="519" spans="4:23" ht="14.25" customHeight="1">
      <c r="D519" s="503"/>
      <c r="S519" s="741"/>
      <c r="W519" s="503"/>
    </row>
    <row r="520" spans="4:23" ht="14.25" customHeight="1">
      <c r="D520" s="503"/>
      <c r="S520" s="741"/>
      <c r="W520" s="503"/>
    </row>
    <row r="521" spans="4:23" ht="14.25" customHeight="1">
      <c r="D521" s="503"/>
      <c r="S521" s="741"/>
      <c r="W521" s="503"/>
    </row>
    <row r="522" spans="4:23" ht="14.25" customHeight="1">
      <c r="D522" s="503"/>
      <c r="S522" s="741"/>
      <c r="W522" s="503"/>
    </row>
    <row r="523" spans="4:23" ht="14.25" customHeight="1">
      <c r="D523" s="503"/>
      <c r="S523" s="741"/>
      <c r="W523" s="503"/>
    </row>
    <row r="524" spans="4:23" ht="14.25" customHeight="1">
      <c r="D524" s="503"/>
      <c r="S524" s="741"/>
      <c r="W524" s="503"/>
    </row>
    <row r="525" spans="4:23" ht="14.25" customHeight="1">
      <c r="D525" s="503"/>
      <c r="S525" s="741"/>
      <c r="W525" s="503"/>
    </row>
    <row r="526" spans="4:23" ht="14.25" customHeight="1">
      <c r="D526" s="503"/>
      <c r="S526" s="741"/>
      <c r="W526" s="503"/>
    </row>
    <row r="527" spans="4:23" ht="14.25" customHeight="1">
      <c r="D527" s="503"/>
      <c r="S527" s="741"/>
      <c r="W527" s="503"/>
    </row>
    <row r="528" spans="4:23" ht="14.25" customHeight="1">
      <c r="D528" s="503"/>
      <c r="S528" s="741"/>
      <c r="W528" s="503"/>
    </row>
    <row r="529" spans="4:23" ht="14.25" customHeight="1">
      <c r="D529" s="503"/>
      <c r="S529" s="741"/>
      <c r="W529" s="503"/>
    </row>
    <row r="530" spans="4:23" ht="14.25" customHeight="1">
      <c r="D530" s="503"/>
      <c r="S530" s="741"/>
      <c r="W530" s="503"/>
    </row>
    <row r="531" spans="4:23" ht="14.25" customHeight="1">
      <c r="D531" s="503"/>
      <c r="S531" s="741"/>
      <c r="W531" s="503"/>
    </row>
    <row r="532" spans="4:23" ht="14.25" customHeight="1">
      <c r="D532" s="503"/>
      <c r="S532" s="741"/>
      <c r="W532" s="503"/>
    </row>
    <row r="533" spans="4:23" ht="14.25" customHeight="1">
      <c r="D533" s="503"/>
      <c r="S533" s="741"/>
      <c r="W533" s="503"/>
    </row>
    <row r="534" spans="4:23" ht="14.25" customHeight="1">
      <c r="D534" s="503"/>
      <c r="S534" s="741"/>
      <c r="W534" s="503"/>
    </row>
    <row r="535" spans="4:23" ht="14.25" customHeight="1">
      <c r="D535" s="503"/>
      <c r="S535" s="741"/>
      <c r="W535" s="503"/>
    </row>
    <row r="536" spans="4:23" ht="14.25" customHeight="1">
      <c r="D536" s="503"/>
      <c r="S536" s="741"/>
      <c r="W536" s="503"/>
    </row>
    <row r="537" spans="4:23" ht="14.25" customHeight="1">
      <c r="D537" s="503"/>
      <c r="S537" s="741"/>
      <c r="W537" s="503"/>
    </row>
    <row r="538" spans="4:23" ht="14.25" customHeight="1">
      <c r="D538" s="503"/>
      <c r="S538" s="741"/>
      <c r="W538" s="503"/>
    </row>
    <row r="539" spans="4:23" ht="14.25" customHeight="1">
      <c r="D539" s="503"/>
      <c r="S539" s="741"/>
      <c r="W539" s="503"/>
    </row>
    <row r="540" spans="4:23" ht="14.25" customHeight="1">
      <c r="D540" s="503"/>
      <c r="S540" s="741"/>
      <c r="W540" s="503"/>
    </row>
    <row r="541" spans="4:23" ht="14.25" customHeight="1">
      <c r="D541" s="503"/>
      <c r="S541" s="741"/>
      <c r="W541" s="503"/>
    </row>
    <row r="542" spans="4:23" ht="14.25" customHeight="1">
      <c r="D542" s="503"/>
      <c r="S542" s="741"/>
      <c r="W542" s="503"/>
    </row>
    <row r="543" spans="4:23" ht="14.25" customHeight="1">
      <c r="D543" s="503"/>
      <c r="S543" s="741"/>
      <c r="W543" s="503"/>
    </row>
    <row r="544" spans="4:23" ht="14.25" customHeight="1">
      <c r="D544" s="503"/>
      <c r="S544" s="741"/>
      <c r="W544" s="503"/>
    </row>
    <row r="545" spans="4:23" ht="14.25" customHeight="1">
      <c r="D545" s="503"/>
      <c r="S545" s="741"/>
      <c r="W545" s="503"/>
    </row>
    <row r="546" spans="4:23" ht="14.25" customHeight="1">
      <c r="D546" s="503"/>
      <c r="S546" s="741"/>
      <c r="W546" s="503"/>
    </row>
    <row r="547" spans="4:23" ht="14.25" customHeight="1">
      <c r="D547" s="503"/>
      <c r="S547" s="741"/>
      <c r="W547" s="503"/>
    </row>
    <row r="548" spans="4:23" ht="14.25" customHeight="1">
      <c r="D548" s="503"/>
      <c r="S548" s="741"/>
      <c r="W548" s="503"/>
    </row>
    <row r="549" spans="4:23" ht="14.25" customHeight="1">
      <c r="D549" s="503"/>
      <c r="S549" s="741"/>
      <c r="W549" s="503"/>
    </row>
    <row r="550" spans="4:23" ht="14.25" customHeight="1">
      <c r="D550" s="503"/>
      <c r="S550" s="741"/>
      <c r="W550" s="503"/>
    </row>
    <row r="551" spans="4:23" ht="14.25" customHeight="1">
      <c r="D551" s="503"/>
      <c r="S551" s="741"/>
      <c r="W551" s="503"/>
    </row>
    <row r="552" spans="4:23" ht="14.25" customHeight="1">
      <c r="D552" s="503"/>
      <c r="S552" s="741"/>
      <c r="W552" s="503"/>
    </row>
    <row r="553" spans="4:23" ht="14.25" customHeight="1">
      <c r="D553" s="503"/>
      <c r="S553" s="741"/>
      <c r="W553" s="503"/>
    </row>
    <row r="554" spans="4:23" ht="14.25" customHeight="1">
      <c r="D554" s="503"/>
      <c r="S554" s="741"/>
      <c r="W554" s="503"/>
    </row>
    <row r="555" spans="4:23" ht="14.25" customHeight="1">
      <c r="D555" s="503"/>
      <c r="S555" s="741"/>
      <c r="W555" s="503"/>
    </row>
    <row r="556" spans="4:23" ht="14.25" customHeight="1">
      <c r="D556" s="503"/>
      <c r="S556" s="741"/>
      <c r="W556" s="503"/>
    </row>
    <row r="557" spans="4:23" ht="14.25" customHeight="1">
      <c r="D557" s="503"/>
      <c r="S557" s="741"/>
      <c r="W557" s="503"/>
    </row>
    <row r="558" spans="4:23" ht="14.25" customHeight="1">
      <c r="D558" s="503"/>
      <c r="S558" s="741"/>
      <c r="W558" s="503"/>
    </row>
    <row r="559" spans="4:23" ht="14.25" customHeight="1">
      <c r="D559" s="503"/>
      <c r="S559" s="741"/>
      <c r="W559" s="503"/>
    </row>
    <row r="560" spans="4:23" ht="14.25" customHeight="1">
      <c r="D560" s="503"/>
      <c r="S560" s="741"/>
      <c r="W560" s="503"/>
    </row>
    <row r="561" spans="4:23" ht="14.25" customHeight="1">
      <c r="D561" s="503"/>
      <c r="S561" s="741"/>
      <c r="W561" s="503"/>
    </row>
    <row r="562" spans="4:23" ht="14.25" customHeight="1">
      <c r="D562" s="503"/>
      <c r="S562" s="741"/>
      <c r="W562" s="503"/>
    </row>
    <row r="563" spans="4:23" ht="14.25" customHeight="1">
      <c r="D563" s="503"/>
      <c r="S563" s="741"/>
      <c r="W563" s="503"/>
    </row>
    <row r="564" spans="4:23" ht="14.25" customHeight="1">
      <c r="D564" s="503"/>
      <c r="S564" s="741"/>
      <c r="W564" s="503"/>
    </row>
    <row r="565" spans="4:23" ht="14.25" customHeight="1">
      <c r="D565" s="503"/>
      <c r="S565" s="741"/>
      <c r="W565" s="503"/>
    </row>
    <row r="566" spans="4:23" ht="14.25" customHeight="1">
      <c r="D566" s="503"/>
      <c r="S566" s="741"/>
      <c r="W566" s="503"/>
    </row>
    <row r="567" spans="4:23" ht="14.25" customHeight="1">
      <c r="D567" s="503"/>
      <c r="S567" s="741"/>
      <c r="W567" s="503"/>
    </row>
    <row r="568" spans="4:23" ht="14.25" customHeight="1">
      <c r="D568" s="503"/>
      <c r="S568" s="741"/>
      <c r="W568" s="503"/>
    </row>
    <row r="569" spans="4:23" ht="14.25" customHeight="1">
      <c r="D569" s="503"/>
      <c r="S569" s="741"/>
      <c r="W569" s="503"/>
    </row>
    <row r="570" spans="4:23" ht="14.25" customHeight="1">
      <c r="D570" s="503"/>
      <c r="S570" s="741"/>
      <c r="W570" s="503"/>
    </row>
    <row r="571" spans="4:23" ht="14.25" customHeight="1">
      <c r="D571" s="503"/>
      <c r="S571" s="741"/>
      <c r="W571" s="503"/>
    </row>
    <row r="572" spans="4:23" ht="14.25" customHeight="1">
      <c r="D572" s="503"/>
      <c r="S572" s="741"/>
      <c r="W572" s="503"/>
    </row>
    <row r="573" spans="4:23" ht="14.25" customHeight="1">
      <c r="D573" s="503"/>
      <c r="S573" s="741"/>
      <c r="W573" s="503"/>
    </row>
    <row r="574" spans="4:23" ht="14.25" customHeight="1">
      <c r="D574" s="503"/>
      <c r="S574" s="741"/>
      <c r="W574" s="503"/>
    </row>
    <row r="575" spans="4:23" ht="14.25" customHeight="1">
      <c r="D575" s="503"/>
      <c r="S575" s="741"/>
      <c r="W575" s="503"/>
    </row>
    <row r="576" spans="4:23" ht="14.25" customHeight="1">
      <c r="D576" s="503"/>
      <c r="S576" s="741"/>
      <c r="W576" s="503"/>
    </row>
    <row r="577" spans="4:23" ht="14.25" customHeight="1">
      <c r="D577" s="503"/>
      <c r="S577" s="741"/>
      <c r="W577" s="503"/>
    </row>
    <row r="578" spans="4:23" ht="14.25" customHeight="1">
      <c r="D578" s="503"/>
      <c r="S578" s="741"/>
      <c r="W578" s="503"/>
    </row>
    <row r="579" spans="4:23" ht="14.25" customHeight="1">
      <c r="D579" s="503"/>
      <c r="S579" s="741"/>
      <c r="W579" s="503"/>
    </row>
    <row r="580" spans="4:23" ht="14.25" customHeight="1">
      <c r="D580" s="503"/>
      <c r="S580" s="741"/>
      <c r="W580" s="503"/>
    </row>
    <row r="581" spans="4:23" ht="14.25" customHeight="1">
      <c r="D581" s="503"/>
      <c r="S581" s="741"/>
      <c r="W581" s="503"/>
    </row>
    <row r="582" spans="4:23" ht="14.25" customHeight="1">
      <c r="D582" s="503"/>
      <c r="S582" s="741"/>
      <c r="W582" s="503"/>
    </row>
    <row r="583" spans="4:23" ht="14.25" customHeight="1">
      <c r="D583" s="503"/>
      <c r="S583" s="741"/>
      <c r="W583" s="503"/>
    </row>
    <row r="584" spans="4:23" ht="14.25" customHeight="1">
      <c r="D584" s="503"/>
      <c r="S584" s="741"/>
      <c r="W584" s="503"/>
    </row>
    <row r="585" spans="4:23" ht="14.25" customHeight="1">
      <c r="D585" s="503"/>
      <c r="S585" s="741"/>
      <c r="W585" s="503"/>
    </row>
    <row r="586" spans="4:23" ht="14.25" customHeight="1">
      <c r="D586" s="503"/>
      <c r="S586" s="741"/>
      <c r="W586" s="503"/>
    </row>
    <row r="587" spans="4:23" ht="14.25" customHeight="1">
      <c r="D587" s="503"/>
      <c r="S587" s="741"/>
      <c r="W587" s="503"/>
    </row>
    <row r="588" spans="4:23" ht="14.25" customHeight="1">
      <c r="D588" s="503"/>
      <c r="S588" s="741"/>
      <c r="W588" s="503"/>
    </row>
    <row r="589" spans="4:23" ht="14.25" customHeight="1">
      <c r="D589" s="503"/>
      <c r="S589" s="741"/>
      <c r="W589" s="503"/>
    </row>
    <row r="590" spans="4:23" ht="14.25" customHeight="1">
      <c r="D590" s="503"/>
      <c r="S590" s="741"/>
      <c r="W590" s="503"/>
    </row>
    <row r="591" spans="4:23" ht="14.25" customHeight="1">
      <c r="D591" s="503"/>
      <c r="S591" s="741"/>
      <c r="W591" s="503"/>
    </row>
    <row r="592" spans="4:23" ht="14.25" customHeight="1">
      <c r="D592" s="503"/>
      <c r="S592" s="741"/>
      <c r="W592" s="503"/>
    </row>
    <row r="593" spans="4:23" ht="14.25" customHeight="1">
      <c r="D593" s="503"/>
      <c r="S593" s="741"/>
      <c r="W593" s="503"/>
    </row>
    <row r="594" spans="4:23" ht="14.25" customHeight="1">
      <c r="D594" s="503"/>
      <c r="S594" s="741"/>
      <c r="W594" s="503"/>
    </row>
    <row r="595" spans="4:23" ht="14.25" customHeight="1">
      <c r="D595" s="503"/>
      <c r="S595" s="741"/>
      <c r="W595" s="503"/>
    </row>
    <row r="596" spans="4:23" ht="14.25" customHeight="1">
      <c r="D596" s="503"/>
      <c r="S596" s="741"/>
      <c r="W596" s="503"/>
    </row>
    <row r="597" spans="4:23" ht="14.25" customHeight="1">
      <c r="D597" s="503"/>
      <c r="S597" s="741"/>
      <c r="W597" s="503"/>
    </row>
    <row r="598" spans="4:23" ht="14.25" customHeight="1">
      <c r="D598" s="503"/>
      <c r="S598" s="741"/>
      <c r="W598" s="503"/>
    </row>
    <row r="599" spans="4:23" ht="14.25" customHeight="1">
      <c r="D599" s="503"/>
      <c r="S599" s="741"/>
      <c r="W599" s="503"/>
    </row>
    <row r="600" spans="4:23" ht="14.25" customHeight="1">
      <c r="D600" s="503"/>
      <c r="S600" s="741"/>
      <c r="W600" s="503"/>
    </row>
    <row r="601" spans="4:23" ht="14.25" customHeight="1">
      <c r="D601" s="503"/>
      <c r="S601" s="741"/>
      <c r="W601" s="503"/>
    </row>
    <row r="602" spans="4:23" ht="14.25" customHeight="1">
      <c r="D602" s="503"/>
      <c r="S602" s="741"/>
      <c r="W602" s="503"/>
    </row>
    <row r="603" spans="4:23" ht="14.25" customHeight="1">
      <c r="D603" s="503"/>
      <c r="S603" s="741"/>
      <c r="W603" s="503"/>
    </row>
    <row r="604" spans="4:23" ht="14.25" customHeight="1">
      <c r="D604" s="503"/>
      <c r="S604" s="741"/>
      <c r="W604" s="503"/>
    </row>
    <row r="605" spans="4:23" ht="14.25" customHeight="1">
      <c r="D605" s="503"/>
      <c r="S605" s="741"/>
      <c r="W605" s="503"/>
    </row>
    <row r="606" spans="4:23" ht="14.25" customHeight="1">
      <c r="D606" s="503"/>
      <c r="S606" s="741"/>
      <c r="W606" s="503"/>
    </row>
    <row r="607" spans="4:23" ht="14.25" customHeight="1">
      <c r="D607" s="503"/>
      <c r="S607" s="741"/>
      <c r="W607" s="503"/>
    </row>
    <row r="608" spans="4:23" ht="14.25" customHeight="1">
      <c r="D608" s="503"/>
      <c r="S608" s="741"/>
      <c r="W608" s="503"/>
    </row>
    <row r="609" spans="4:23" ht="14.25" customHeight="1">
      <c r="D609" s="503"/>
      <c r="S609" s="741"/>
      <c r="W609" s="503"/>
    </row>
    <row r="610" spans="4:23" ht="14.25" customHeight="1">
      <c r="D610" s="503"/>
      <c r="S610" s="741"/>
      <c r="W610" s="503"/>
    </row>
    <row r="611" spans="4:23" ht="14.25" customHeight="1">
      <c r="D611" s="503"/>
      <c r="S611" s="741"/>
      <c r="W611" s="503"/>
    </row>
    <row r="612" spans="4:23" ht="14.25" customHeight="1">
      <c r="D612" s="503"/>
      <c r="S612" s="741"/>
      <c r="W612" s="503"/>
    </row>
    <row r="613" spans="4:23" ht="14.25" customHeight="1">
      <c r="D613" s="503"/>
      <c r="S613" s="741"/>
      <c r="W613" s="503"/>
    </row>
    <row r="614" spans="4:23" ht="14.25" customHeight="1">
      <c r="D614" s="503"/>
      <c r="S614" s="741"/>
      <c r="W614" s="503"/>
    </row>
    <row r="615" spans="4:23" ht="14.25" customHeight="1">
      <c r="D615" s="503"/>
      <c r="S615" s="741"/>
      <c r="W615" s="503"/>
    </row>
    <row r="616" spans="4:23" ht="14.25" customHeight="1">
      <c r="D616" s="503"/>
      <c r="S616" s="741"/>
      <c r="W616" s="503"/>
    </row>
    <row r="617" spans="4:23" ht="14.25" customHeight="1">
      <c r="D617" s="503"/>
      <c r="S617" s="741"/>
      <c r="W617" s="503"/>
    </row>
    <row r="618" spans="4:23" ht="14.25" customHeight="1">
      <c r="D618" s="503"/>
      <c r="S618" s="741"/>
      <c r="W618" s="503"/>
    </row>
    <row r="619" spans="4:23" ht="14.25" customHeight="1">
      <c r="D619" s="503"/>
      <c r="S619" s="741"/>
      <c r="W619" s="503"/>
    </row>
    <row r="620" spans="4:23" ht="14.25" customHeight="1">
      <c r="D620" s="503"/>
      <c r="S620" s="741"/>
      <c r="W620" s="503"/>
    </row>
    <row r="621" spans="4:23" ht="14.25" customHeight="1">
      <c r="D621" s="503"/>
      <c r="S621" s="741"/>
      <c r="W621" s="503"/>
    </row>
    <row r="622" spans="4:23" ht="14.25" customHeight="1">
      <c r="D622" s="503"/>
      <c r="S622" s="741"/>
      <c r="W622" s="503"/>
    </row>
    <row r="623" spans="4:23" ht="14.25" customHeight="1">
      <c r="D623" s="503"/>
      <c r="S623" s="741"/>
      <c r="W623" s="503"/>
    </row>
    <row r="624" spans="4:23" ht="14.25" customHeight="1">
      <c r="D624" s="503"/>
      <c r="S624" s="741"/>
      <c r="W624" s="503"/>
    </row>
    <row r="625" spans="4:23" ht="14.25" customHeight="1">
      <c r="D625" s="503"/>
      <c r="S625" s="741"/>
      <c r="W625" s="503"/>
    </row>
    <row r="626" spans="4:23" ht="14.25" customHeight="1">
      <c r="D626" s="503"/>
      <c r="S626" s="741"/>
      <c r="W626" s="503"/>
    </row>
    <row r="627" spans="4:23" ht="14.25" customHeight="1">
      <c r="D627" s="503"/>
      <c r="S627" s="741"/>
      <c r="W627" s="503"/>
    </row>
    <row r="628" spans="4:23" ht="14.25" customHeight="1">
      <c r="D628" s="503"/>
      <c r="S628" s="741"/>
      <c r="W628" s="503"/>
    </row>
    <row r="629" spans="4:23" ht="14.25" customHeight="1">
      <c r="D629" s="503"/>
      <c r="S629" s="741"/>
      <c r="W629" s="503"/>
    </row>
    <row r="630" spans="4:23" ht="14.25" customHeight="1">
      <c r="D630" s="503"/>
      <c r="S630" s="741"/>
      <c r="W630" s="503"/>
    </row>
    <row r="631" spans="4:23" ht="14.25" customHeight="1">
      <c r="D631" s="503"/>
      <c r="S631" s="741"/>
      <c r="W631" s="503"/>
    </row>
    <row r="632" spans="4:23" ht="14.25" customHeight="1">
      <c r="D632" s="503"/>
      <c r="S632" s="741"/>
      <c r="W632" s="503"/>
    </row>
    <row r="633" spans="4:23" ht="14.25" customHeight="1">
      <c r="D633" s="503"/>
      <c r="S633" s="741"/>
      <c r="W633" s="503"/>
    </row>
    <row r="634" spans="4:23" ht="14.25" customHeight="1">
      <c r="D634" s="503"/>
      <c r="S634" s="741"/>
      <c r="W634" s="503"/>
    </row>
    <row r="635" spans="4:23" ht="14.25" customHeight="1">
      <c r="D635" s="503"/>
      <c r="S635" s="741"/>
      <c r="W635" s="503"/>
    </row>
    <row r="636" spans="4:23" ht="14.25" customHeight="1">
      <c r="D636" s="503"/>
      <c r="S636" s="741"/>
      <c r="W636" s="503"/>
    </row>
    <row r="637" spans="4:23" ht="14.25" customHeight="1">
      <c r="D637" s="503"/>
      <c r="S637" s="741"/>
      <c r="W637" s="503"/>
    </row>
    <row r="638" spans="4:23" ht="14.25" customHeight="1">
      <c r="D638" s="503"/>
      <c r="S638" s="741"/>
      <c r="W638" s="503"/>
    </row>
    <row r="639" spans="4:23" ht="14.25" customHeight="1">
      <c r="D639" s="503"/>
      <c r="S639" s="741"/>
      <c r="W639" s="503"/>
    </row>
    <row r="640" spans="4:23" ht="14.25" customHeight="1">
      <c r="D640" s="503"/>
      <c r="S640" s="741"/>
      <c r="W640" s="503"/>
    </row>
    <row r="641" spans="4:23" ht="14.25" customHeight="1">
      <c r="D641" s="503"/>
      <c r="S641" s="741"/>
      <c r="W641" s="503"/>
    </row>
    <row r="642" spans="4:23" ht="14.25" customHeight="1">
      <c r="D642" s="503"/>
      <c r="S642" s="741"/>
      <c r="W642" s="503"/>
    </row>
    <row r="643" spans="4:23" ht="14.25" customHeight="1">
      <c r="D643" s="503"/>
      <c r="S643" s="741"/>
      <c r="W643" s="503"/>
    </row>
    <row r="644" spans="4:23" ht="14.25" customHeight="1">
      <c r="D644" s="503"/>
      <c r="S644" s="741"/>
      <c r="W644" s="503"/>
    </row>
    <row r="645" spans="4:23" ht="14.25" customHeight="1">
      <c r="D645" s="503"/>
      <c r="S645" s="741"/>
      <c r="W645" s="503"/>
    </row>
    <row r="646" spans="4:23" ht="14.25" customHeight="1">
      <c r="D646" s="503"/>
      <c r="S646" s="741"/>
      <c r="W646" s="503"/>
    </row>
    <row r="647" spans="4:23" ht="14.25" customHeight="1">
      <c r="D647" s="503"/>
      <c r="S647" s="741"/>
      <c r="W647" s="503"/>
    </row>
    <row r="648" spans="4:23" ht="14.25" customHeight="1">
      <c r="D648" s="503"/>
      <c r="S648" s="741"/>
      <c r="W648" s="503"/>
    </row>
    <row r="649" spans="4:23" ht="14.25" customHeight="1">
      <c r="D649" s="503"/>
      <c r="S649" s="741"/>
      <c r="W649" s="503"/>
    </row>
    <row r="650" spans="4:23" ht="14.25" customHeight="1">
      <c r="D650" s="503"/>
      <c r="S650" s="741"/>
      <c r="W650" s="503"/>
    </row>
    <row r="651" spans="4:23" ht="14.25" customHeight="1">
      <c r="D651" s="503"/>
      <c r="S651" s="741"/>
      <c r="W651" s="503"/>
    </row>
    <row r="652" spans="4:23" ht="14.25" customHeight="1">
      <c r="D652" s="503"/>
      <c r="S652" s="741"/>
      <c r="W652" s="503"/>
    </row>
    <row r="653" spans="4:23" ht="14.25" customHeight="1">
      <c r="D653" s="503"/>
      <c r="S653" s="741"/>
      <c r="W653" s="503"/>
    </row>
    <row r="654" spans="4:23" ht="14.25" customHeight="1">
      <c r="D654" s="503"/>
      <c r="S654" s="741"/>
      <c r="W654" s="503"/>
    </row>
    <row r="655" spans="4:23" ht="14.25" customHeight="1">
      <c r="D655" s="503"/>
      <c r="S655" s="741"/>
      <c r="W655" s="503"/>
    </row>
    <row r="656" spans="4:23" ht="14.25" customHeight="1">
      <c r="D656" s="503"/>
      <c r="S656" s="741"/>
      <c r="W656" s="503"/>
    </row>
    <row r="657" spans="4:23" ht="14.25" customHeight="1">
      <c r="D657" s="503"/>
      <c r="S657" s="741"/>
      <c r="W657" s="503"/>
    </row>
    <row r="658" spans="4:23" ht="14.25" customHeight="1">
      <c r="D658" s="503"/>
      <c r="S658" s="741"/>
      <c r="W658" s="503"/>
    </row>
    <row r="659" spans="4:23" ht="14.25" customHeight="1">
      <c r="D659" s="503"/>
      <c r="S659" s="741"/>
      <c r="W659" s="503"/>
    </row>
    <row r="660" spans="4:23" ht="14.25" customHeight="1">
      <c r="D660" s="503"/>
      <c r="S660" s="741"/>
      <c r="W660" s="503"/>
    </row>
    <row r="661" spans="4:23" ht="14.25" customHeight="1">
      <c r="D661" s="503"/>
      <c r="S661" s="741"/>
      <c r="W661" s="503"/>
    </row>
    <row r="662" spans="4:23" ht="14.25" customHeight="1">
      <c r="D662" s="503"/>
      <c r="S662" s="741"/>
      <c r="W662" s="503"/>
    </row>
    <row r="663" spans="4:23" ht="14.25" customHeight="1">
      <c r="D663" s="503"/>
      <c r="S663" s="741"/>
      <c r="W663" s="503"/>
    </row>
    <row r="664" spans="4:23" ht="14.25" customHeight="1">
      <c r="D664" s="503"/>
      <c r="S664" s="741"/>
      <c r="W664" s="503"/>
    </row>
    <row r="665" spans="4:23" ht="14.25" customHeight="1">
      <c r="D665" s="503"/>
      <c r="S665" s="741"/>
      <c r="W665" s="503"/>
    </row>
    <row r="666" spans="4:23" ht="14.25" customHeight="1">
      <c r="D666" s="503"/>
      <c r="S666" s="741"/>
      <c r="W666" s="503"/>
    </row>
    <row r="667" spans="4:23" ht="14.25" customHeight="1">
      <c r="D667" s="503"/>
      <c r="S667" s="741"/>
      <c r="W667" s="503"/>
    </row>
    <row r="668" spans="4:23" ht="14.25" customHeight="1">
      <c r="D668" s="503"/>
      <c r="S668" s="741"/>
      <c r="W668" s="503"/>
    </row>
    <row r="669" spans="4:23" ht="14.25" customHeight="1">
      <c r="D669" s="503"/>
      <c r="S669" s="741"/>
      <c r="W669" s="503"/>
    </row>
    <row r="670" spans="4:23" ht="14.25" customHeight="1">
      <c r="D670" s="503"/>
      <c r="S670" s="741"/>
      <c r="W670" s="503"/>
    </row>
    <row r="671" spans="4:23" ht="14.25" customHeight="1">
      <c r="D671" s="503"/>
      <c r="S671" s="741"/>
      <c r="W671" s="503"/>
    </row>
    <row r="672" spans="4:23" ht="14.25" customHeight="1">
      <c r="D672" s="503"/>
      <c r="S672" s="741"/>
      <c r="W672" s="503"/>
    </row>
    <row r="673" spans="4:23" ht="14.25" customHeight="1">
      <c r="D673" s="503"/>
      <c r="S673" s="741"/>
      <c r="W673" s="503"/>
    </row>
    <row r="674" spans="4:23" ht="14.25" customHeight="1">
      <c r="D674" s="503"/>
      <c r="S674" s="741"/>
      <c r="W674" s="503"/>
    </row>
    <row r="675" spans="4:23" ht="14.25" customHeight="1">
      <c r="D675" s="503"/>
      <c r="S675" s="741"/>
      <c r="W675" s="503"/>
    </row>
    <row r="676" spans="4:23" ht="14.25" customHeight="1">
      <c r="D676" s="503"/>
      <c r="S676" s="741"/>
      <c r="W676" s="503"/>
    </row>
    <row r="677" spans="4:23" ht="14.25" customHeight="1">
      <c r="D677" s="503"/>
      <c r="S677" s="741"/>
      <c r="W677" s="503"/>
    </row>
    <row r="678" spans="4:23" ht="14.25" customHeight="1">
      <c r="D678" s="503"/>
      <c r="S678" s="741"/>
      <c r="W678" s="503"/>
    </row>
    <row r="679" spans="4:23" ht="14.25" customHeight="1">
      <c r="D679" s="503"/>
      <c r="S679" s="741"/>
      <c r="W679" s="503"/>
    </row>
    <row r="680" spans="4:23" ht="14.25" customHeight="1">
      <c r="D680" s="503"/>
      <c r="S680" s="741"/>
      <c r="W680" s="503"/>
    </row>
    <row r="681" spans="4:23" ht="14.25" customHeight="1">
      <c r="D681" s="503"/>
      <c r="S681" s="741"/>
      <c r="W681" s="503"/>
    </row>
    <row r="682" spans="4:23" ht="14.25" customHeight="1">
      <c r="D682" s="503"/>
      <c r="S682" s="741"/>
      <c r="W682" s="503"/>
    </row>
    <row r="683" spans="4:23" ht="14.25" customHeight="1">
      <c r="D683" s="503"/>
      <c r="S683" s="741"/>
      <c r="W683" s="503"/>
    </row>
    <row r="684" spans="4:23" ht="14.25" customHeight="1">
      <c r="D684" s="503"/>
      <c r="S684" s="741"/>
      <c r="W684" s="503"/>
    </row>
    <row r="685" spans="4:23" ht="14.25" customHeight="1">
      <c r="D685" s="503"/>
      <c r="S685" s="741"/>
      <c r="W685" s="503"/>
    </row>
    <row r="686" spans="4:23" ht="14.25" customHeight="1">
      <c r="D686" s="503"/>
      <c r="S686" s="741"/>
      <c r="W686" s="503"/>
    </row>
    <row r="687" spans="4:23" ht="14.25" customHeight="1">
      <c r="D687" s="503"/>
      <c r="S687" s="741"/>
      <c r="W687" s="503"/>
    </row>
    <row r="688" spans="4:23" ht="14.25" customHeight="1">
      <c r="D688" s="503"/>
      <c r="S688" s="741"/>
      <c r="W688" s="503"/>
    </row>
    <row r="689" spans="4:23" ht="14.25" customHeight="1">
      <c r="D689" s="503"/>
      <c r="S689" s="741"/>
      <c r="W689" s="503"/>
    </row>
    <row r="690" spans="4:23" ht="14.25" customHeight="1">
      <c r="D690" s="503"/>
      <c r="S690" s="741"/>
      <c r="W690" s="503"/>
    </row>
    <row r="691" spans="4:23" ht="14.25" customHeight="1">
      <c r="D691" s="503"/>
      <c r="S691" s="741"/>
      <c r="W691" s="503"/>
    </row>
    <row r="692" spans="4:23" ht="14.25" customHeight="1">
      <c r="D692" s="503"/>
      <c r="S692" s="741"/>
      <c r="W692" s="503"/>
    </row>
    <row r="693" spans="4:23" ht="14.25" customHeight="1">
      <c r="D693" s="503"/>
      <c r="S693" s="741"/>
      <c r="W693" s="503"/>
    </row>
    <row r="694" spans="4:23" ht="14.25" customHeight="1">
      <c r="D694" s="503"/>
      <c r="S694" s="741"/>
      <c r="W694" s="503"/>
    </row>
    <row r="695" spans="4:23" ht="14.25" customHeight="1">
      <c r="D695" s="503"/>
      <c r="S695" s="741"/>
      <c r="W695" s="503"/>
    </row>
    <row r="696" spans="4:23" ht="14.25" customHeight="1">
      <c r="D696" s="503"/>
      <c r="S696" s="741"/>
      <c r="W696" s="503"/>
    </row>
    <row r="697" spans="4:23" ht="14.25" customHeight="1">
      <c r="D697" s="503"/>
      <c r="S697" s="741"/>
      <c r="W697" s="503"/>
    </row>
    <row r="698" spans="4:23" ht="14.25" customHeight="1">
      <c r="D698" s="503"/>
      <c r="S698" s="741"/>
      <c r="W698" s="503"/>
    </row>
    <row r="699" spans="4:23" ht="14.25" customHeight="1">
      <c r="D699" s="503"/>
      <c r="S699" s="741"/>
      <c r="W699" s="503"/>
    </row>
    <row r="700" spans="4:23" ht="14.25" customHeight="1">
      <c r="D700" s="503"/>
      <c r="S700" s="741"/>
      <c r="W700" s="503"/>
    </row>
    <row r="701" spans="4:23" ht="14.25" customHeight="1">
      <c r="D701" s="503"/>
      <c r="S701" s="741"/>
      <c r="W701" s="503"/>
    </row>
    <row r="702" spans="4:23" ht="14.25" customHeight="1">
      <c r="D702" s="503"/>
      <c r="S702" s="741"/>
      <c r="W702" s="503"/>
    </row>
    <row r="703" spans="4:23" ht="14.25" customHeight="1">
      <c r="D703" s="503"/>
      <c r="S703" s="741"/>
      <c r="W703" s="503"/>
    </row>
    <row r="704" spans="4:23" ht="14.25" customHeight="1">
      <c r="D704" s="503"/>
      <c r="S704" s="741"/>
      <c r="W704" s="503"/>
    </row>
    <row r="705" spans="4:23" ht="14.25" customHeight="1">
      <c r="D705" s="503"/>
      <c r="S705" s="741"/>
      <c r="W705" s="503"/>
    </row>
    <row r="706" spans="4:23" ht="14.25" customHeight="1">
      <c r="D706" s="503"/>
      <c r="S706" s="741"/>
      <c r="W706" s="503"/>
    </row>
    <row r="707" spans="4:23" ht="14.25" customHeight="1">
      <c r="D707" s="503"/>
      <c r="S707" s="741"/>
      <c r="W707" s="503"/>
    </row>
    <row r="708" spans="4:23" ht="14.25" customHeight="1">
      <c r="D708" s="503"/>
      <c r="S708" s="741"/>
      <c r="W708" s="503"/>
    </row>
    <row r="709" spans="4:23" ht="14.25" customHeight="1">
      <c r="D709" s="503"/>
      <c r="S709" s="741"/>
      <c r="W709" s="503"/>
    </row>
    <row r="710" spans="4:23" ht="14.25" customHeight="1">
      <c r="D710" s="503"/>
      <c r="S710" s="741"/>
      <c r="W710" s="503"/>
    </row>
    <row r="711" spans="4:23" ht="14.25" customHeight="1">
      <c r="D711" s="503"/>
      <c r="S711" s="741"/>
      <c r="W711" s="503"/>
    </row>
    <row r="712" spans="4:23" ht="14.25" customHeight="1">
      <c r="D712" s="503"/>
      <c r="S712" s="741"/>
      <c r="W712" s="503"/>
    </row>
    <row r="713" spans="4:23" ht="14.25" customHeight="1">
      <c r="D713" s="503"/>
      <c r="S713" s="741"/>
      <c r="W713" s="503"/>
    </row>
    <row r="714" spans="4:23" ht="14.25" customHeight="1">
      <c r="D714" s="503"/>
      <c r="S714" s="741"/>
      <c r="W714" s="503"/>
    </row>
    <row r="715" spans="4:23" ht="14.25" customHeight="1">
      <c r="D715" s="503"/>
      <c r="S715" s="741"/>
      <c r="W715" s="503"/>
    </row>
    <row r="716" spans="4:23" ht="14.25" customHeight="1">
      <c r="D716" s="503"/>
      <c r="S716" s="741"/>
      <c r="W716" s="503"/>
    </row>
    <row r="717" spans="4:23" ht="14.25" customHeight="1">
      <c r="D717" s="503"/>
      <c r="S717" s="741"/>
      <c r="W717" s="503"/>
    </row>
    <row r="718" spans="4:23" ht="14.25" customHeight="1">
      <c r="D718" s="503"/>
      <c r="S718" s="741"/>
      <c r="W718" s="503"/>
    </row>
    <row r="719" spans="4:23" ht="14.25" customHeight="1">
      <c r="D719" s="503"/>
      <c r="S719" s="741"/>
      <c r="W719" s="503"/>
    </row>
    <row r="720" spans="4:23" ht="14.25" customHeight="1">
      <c r="D720" s="503"/>
      <c r="S720" s="741"/>
      <c r="W720" s="503"/>
    </row>
    <row r="721" spans="4:23" ht="14.25" customHeight="1">
      <c r="D721" s="503"/>
      <c r="S721" s="741"/>
      <c r="W721" s="503"/>
    </row>
    <row r="722" spans="4:23" ht="14.25" customHeight="1">
      <c r="D722" s="503"/>
      <c r="S722" s="741"/>
      <c r="W722" s="503"/>
    </row>
    <row r="723" spans="4:23" ht="14.25" customHeight="1">
      <c r="D723" s="503"/>
      <c r="S723" s="741"/>
      <c r="W723" s="503"/>
    </row>
    <row r="724" spans="4:23" ht="14.25" customHeight="1">
      <c r="D724" s="503"/>
      <c r="S724" s="741"/>
      <c r="W724" s="503"/>
    </row>
    <row r="725" spans="4:23" ht="14.25" customHeight="1">
      <c r="D725" s="503"/>
      <c r="S725" s="741"/>
      <c r="W725" s="503"/>
    </row>
    <row r="726" spans="4:23" ht="14.25" customHeight="1">
      <c r="D726" s="503"/>
      <c r="S726" s="741"/>
      <c r="W726" s="503"/>
    </row>
    <row r="727" spans="4:23" ht="14.25" customHeight="1">
      <c r="D727" s="503"/>
      <c r="S727" s="741"/>
      <c r="W727" s="503"/>
    </row>
    <row r="728" spans="4:23" ht="14.25" customHeight="1">
      <c r="D728" s="503"/>
      <c r="S728" s="741"/>
      <c r="W728" s="503"/>
    </row>
    <row r="729" spans="4:23" ht="14.25" customHeight="1">
      <c r="D729" s="503"/>
      <c r="S729" s="741"/>
      <c r="W729" s="503"/>
    </row>
    <row r="730" spans="4:23" ht="14.25" customHeight="1">
      <c r="D730" s="503"/>
      <c r="S730" s="741"/>
      <c r="W730" s="503"/>
    </row>
    <row r="731" spans="4:23" ht="14.25" customHeight="1">
      <c r="D731" s="503"/>
      <c r="S731" s="741"/>
      <c r="W731" s="503"/>
    </row>
    <row r="732" spans="4:23" ht="14.25" customHeight="1">
      <c r="D732" s="503"/>
      <c r="S732" s="741"/>
      <c r="W732" s="503"/>
    </row>
    <row r="733" spans="4:23" ht="14.25" customHeight="1">
      <c r="D733" s="503"/>
      <c r="S733" s="741"/>
      <c r="W733" s="503"/>
    </row>
    <row r="734" spans="4:23" ht="14.25" customHeight="1">
      <c r="D734" s="503"/>
      <c r="S734" s="741"/>
      <c r="W734" s="503"/>
    </row>
    <row r="735" spans="4:23" ht="14.25" customHeight="1">
      <c r="D735" s="503"/>
      <c r="S735" s="741"/>
      <c r="W735" s="503"/>
    </row>
    <row r="736" spans="4:23" ht="14.25" customHeight="1">
      <c r="D736" s="503"/>
      <c r="S736" s="741"/>
      <c r="W736" s="503"/>
    </row>
    <row r="737" spans="4:23" ht="14.25" customHeight="1">
      <c r="D737" s="503"/>
      <c r="S737" s="741"/>
      <c r="W737" s="503"/>
    </row>
    <row r="738" spans="4:23" ht="14.25" customHeight="1">
      <c r="D738" s="503"/>
      <c r="S738" s="741"/>
      <c r="W738" s="503"/>
    </row>
    <row r="739" spans="4:23" ht="14.25" customHeight="1">
      <c r="D739" s="503"/>
      <c r="S739" s="741"/>
      <c r="W739" s="503"/>
    </row>
    <row r="740" spans="4:23" ht="14.25" customHeight="1">
      <c r="D740" s="503"/>
      <c r="S740" s="741"/>
      <c r="W740" s="503"/>
    </row>
    <row r="741" spans="4:23" ht="14.25" customHeight="1">
      <c r="D741" s="503"/>
      <c r="S741" s="741"/>
      <c r="W741" s="503"/>
    </row>
    <row r="742" spans="4:23" ht="14.25" customHeight="1">
      <c r="D742" s="503"/>
      <c r="S742" s="741"/>
      <c r="W742" s="503"/>
    </row>
    <row r="743" spans="4:23" ht="14.25" customHeight="1">
      <c r="D743" s="503"/>
      <c r="S743" s="741"/>
      <c r="W743" s="503"/>
    </row>
    <row r="744" spans="4:23" ht="14.25" customHeight="1">
      <c r="D744" s="503"/>
      <c r="S744" s="741"/>
      <c r="W744" s="503"/>
    </row>
    <row r="745" spans="4:23" ht="14.25" customHeight="1">
      <c r="D745" s="503"/>
      <c r="S745" s="741"/>
      <c r="W745" s="503"/>
    </row>
    <row r="746" spans="4:23" ht="14.25" customHeight="1">
      <c r="D746" s="503"/>
      <c r="S746" s="741"/>
      <c r="W746" s="503"/>
    </row>
    <row r="747" spans="4:23" ht="14.25" customHeight="1">
      <c r="D747" s="503"/>
      <c r="S747" s="741"/>
      <c r="W747" s="503"/>
    </row>
    <row r="748" spans="4:23" ht="14.25" customHeight="1">
      <c r="D748" s="503"/>
      <c r="S748" s="741"/>
      <c r="W748" s="503"/>
    </row>
    <row r="749" spans="4:23" ht="14.25" customHeight="1">
      <c r="D749" s="503"/>
      <c r="S749" s="741"/>
      <c r="W749" s="503"/>
    </row>
    <row r="750" spans="4:23" ht="14.25" customHeight="1">
      <c r="D750" s="503"/>
      <c r="S750" s="741"/>
      <c r="W750" s="503"/>
    </row>
    <row r="751" spans="4:23" ht="14.25" customHeight="1">
      <c r="D751" s="503"/>
      <c r="S751" s="741"/>
      <c r="W751" s="503"/>
    </row>
    <row r="752" spans="4:23" ht="14.25" customHeight="1">
      <c r="D752" s="503"/>
      <c r="S752" s="741"/>
      <c r="W752" s="503"/>
    </row>
    <row r="753" spans="4:23" ht="14.25" customHeight="1">
      <c r="D753" s="503"/>
      <c r="S753" s="741"/>
      <c r="W753" s="503"/>
    </row>
    <row r="754" spans="4:23" ht="14.25" customHeight="1">
      <c r="D754" s="503"/>
      <c r="S754" s="741"/>
      <c r="W754" s="503"/>
    </row>
    <row r="755" spans="4:23" ht="14.25" customHeight="1">
      <c r="D755" s="503"/>
      <c r="S755" s="741"/>
      <c r="W755" s="503"/>
    </row>
    <row r="756" spans="4:23" ht="14.25" customHeight="1">
      <c r="D756" s="503"/>
      <c r="S756" s="741"/>
      <c r="W756" s="503"/>
    </row>
    <row r="757" spans="4:23" ht="14.25" customHeight="1">
      <c r="D757" s="503"/>
      <c r="S757" s="741"/>
      <c r="W757" s="503"/>
    </row>
    <row r="758" spans="4:23" ht="14.25" customHeight="1">
      <c r="D758" s="503"/>
      <c r="S758" s="741"/>
      <c r="W758" s="503"/>
    </row>
    <row r="759" spans="4:23" ht="14.25" customHeight="1">
      <c r="D759" s="503"/>
      <c r="S759" s="741"/>
      <c r="W759" s="503"/>
    </row>
    <row r="760" spans="4:23" ht="14.25" customHeight="1">
      <c r="D760" s="503"/>
      <c r="S760" s="741"/>
      <c r="W760" s="503"/>
    </row>
    <row r="761" spans="4:23" ht="14.25" customHeight="1">
      <c r="D761" s="503"/>
      <c r="S761" s="741"/>
      <c r="W761" s="503"/>
    </row>
    <row r="762" spans="4:23" ht="14.25" customHeight="1">
      <c r="D762" s="503"/>
      <c r="S762" s="741"/>
      <c r="W762" s="503"/>
    </row>
    <row r="763" spans="4:23" ht="14.25" customHeight="1">
      <c r="D763" s="503"/>
      <c r="S763" s="741"/>
      <c r="W763" s="503"/>
    </row>
    <row r="764" spans="4:23" ht="14.25" customHeight="1">
      <c r="D764" s="503"/>
      <c r="S764" s="741"/>
      <c r="W764" s="503"/>
    </row>
    <row r="765" spans="4:23" ht="14.25" customHeight="1">
      <c r="D765" s="503"/>
      <c r="S765" s="741"/>
      <c r="W765" s="503"/>
    </row>
    <row r="766" spans="4:23" ht="14.25" customHeight="1">
      <c r="D766" s="503"/>
      <c r="S766" s="741"/>
      <c r="W766" s="503"/>
    </row>
    <row r="767" spans="4:23" ht="14.25" customHeight="1">
      <c r="D767" s="503"/>
      <c r="S767" s="741"/>
      <c r="W767" s="503"/>
    </row>
    <row r="768" spans="4:23" ht="14.25" customHeight="1">
      <c r="D768" s="503"/>
      <c r="S768" s="741"/>
      <c r="W768" s="503"/>
    </row>
    <row r="769" spans="4:23" ht="14.25" customHeight="1">
      <c r="D769" s="503"/>
      <c r="S769" s="741"/>
      <c r="W769" s="503"/>
    </row>
    <row r="770" spans="4:23" ht="14.25" customHeight="1">
      <c r="D770" s="503"/>
      <c r="S770" s="741"/>
      <c r="W770" s="503"/>
    </row>
    <row r="771" spans="4:23" ht="14.25" customHeight="1">
      <c r="D771" s="503"/>
      <c r="S771" s="741"/>
      <c r="W771" s="503"/>
    </row>
    <row r="772" spans="4:23" ht="14.25" customHeight="1">
      <c r="D772" s="503"/>
      <c r="S772" s="741"/>
      <c r="W772" s="503"/>
    </row>
    <row r="773" spans="4:23" ht="14.25" customHeight="1">
      <c r="D773" s="503"/>
      <c r="S773" s="741"/>
      <c r="W773" s="503"/>
    </row>
    <row r="774" spans="4:23" ht="14.25" customHeight="1">
      <c r="D774" s="503"/>
      <c r="S774" s="741"/>
      <c r="W774" s="503"/>
    </row>
    <row r="775" spans="4:23" ht="14.25" customHeight="1">
      <c r="D775" s="503"/>
      <c r="S775" s="741"/>
      <c r="W775" s="503"/>
    </row>
    <row r="776" spans="4:23" ht="14.25" customHeight="1">
      <c r="D776" s="503"/>
      <c r="S776" s="741"/>
      <c r="W776" s="503"/>
    </row>
    <row r="777" spans="4:23" ht="14.25" customHeight="1">
      <c r="D777" s="503"/>
      <c r="S777" s="741"/>
      <c r="W777" s="503"/>
    </row>
    <row r="778" spans="4:23" ht="14.25" customHeight="1">
      <c r="D778" s="503"/>
      <c r="S778" s="741"/>
      <c r="W778" s="503"/>
    </row>
    <row r="779" spans="4:23" ht="14.25" customHeight="1">
      <c r="D779" s="503"/>
      <c r="S779" s="741"/>
      <c r="W779" s="503"/>
    </row>
    <row r="780" spans="4:23" ht="14.25" customHeight="1">
      <c r="D780" s="503"/>
      <c r="S780" s="741"/>
      <c r="W780" s="503"/>
    </row>
    <row r="781" spans="4:23" ht="14.25" customHeight="1">
      <c r="D781" s="503"/>
      <c r="S781" s="741"/>
      <c r="W781" s="503"/>
    </row>
    <row r="782" spans="4:23" ht="14.25" customHeight="1">
      <c r="D782" s="503"/>
      <c r="S782" s="741"/>
      <c r="W782" s="503"/>
    </row>
    <row r="783" spans="4:23" ht="14.25" customHeight="1">
      <c r="D783" s="503"/>
      <c r="S783" s="741"/>
      <c r="W783" s="503"/>
    </row>
    <row r="784" spans="4:23" ht="14.25" customHeight="1">
      <c r="D784" s="503"/>
      <c r="S784" s="741"/>
      <c r="W784" s="503"/>
    </row>
    <row r="785" spans="4:23" ht="14.25" customHeight="1">
      <c r="D785" s="503"/>
      <c r="S785" s="741"/>
      <c r="W785" s="503"/>
    </row>
    <row r="786" spans="4:23" ht="14.25" customHeight="1">
      <c r="D786" s="503"/>
      <c r="S786" s="741"/>
      <c r="W786" s="503"/>
    </row>
    <row r="787" spans="4:23" ht="14.25" customHeight="1">
      <c r="D787" s="503"/>
      <c r="S787" s="741"/>
      <c r="W787" s="503"/>
    </row>
    <row r="788" spans="4:23" ht="14.25" customHeight="1">
      <c r="D788" s="503"/>
      <c r="S788" s="741"/>
      <c r="W788" s="503"/>
    </row>
    <row r="789" spans="4:23" ht="14.25" customHeight="1">
      <c r="D789" s="503"/>
      <c r="S789" s="741"/>
      <c r="W789" s="503"/>
    </row>
    <row r="790" spans="4:23" ht="14.25" customHeight="1">
      <c r="D790" s="503"/>
      <c r="S790" s="741"/>
      <c r="W790" s="503"/>
    </row>
    <row r="791" spans="4:23" ht="14.25" customHeight="1">
      <c r="D791" s="503"/>
      <c r="S791" s="741"/>
      <c r="W791" s="503"/>
    </row>
    <row r="792" spans="4:23" ht="14.25" customHeight="1">
      <c r="D792" s="503"/>
      <c r="S792" s="741"/>
      <c r="W792" s="503"/>
    </row>
    <row r="793" spans="4:23" ht="14.25" customHeight="1">
      <c r="D793" s="503"/>
      <c r="S793" s="741"/>
      <c r="W793" s="503"/>
    </row>
    <row r="794" spans="4:23" ht="14.25" customHeight="1">
      <c r="D794" s="503"/>
      <c r="S794" s="741"/>
      <c r="W794" s="503"/>
    </row>
    <row r="795" spans="4:23" ht="14.25" customHeight="1">
      <c r="D795" s="503"/>
      <c r="S795" s="741"/>
      <c r="W795" s="503"/>
    </row>
    <row r="796" spans="4:23" ht="14.25" customHeight="1">
      <c r="D796" s="503"/>
      <c r="S796" s="741"/>
      <c r="W796" s="503"/>
    </row>
    <row r="797" spans="4:23" ht="14.25" customHeight="1">
      <c r="D797" s="503"/>
      <c r="S797" s="741"/>
      <c r="W797" s="503"/>
    </row>
    <row r="798" spans="4:23" ht="14.25" customHeight="1">
      <c r="D798" s="503"/>
      <c r="S798" s="741"/>
      <c r="W798" s="503"/>
    </row>
    <row r="799" spans="4:23" ht="14.25" customHeight="1">
      <c r="D799" s="503"/>
      <c r="S799" s="741"/>
      <c r="W799" s="503"/>
    </row>
    <row r="800" spans="4:23" ht="14.25" customHeight="1">
      <c r="D800" s="503"/>
      <c r="S800" s="741"/>
      <c r="W800" s="503"/>
    </row>
    <row r="801" spans="4:23" ht="14.25" customHeight="1">
      <c r="D801" s="503"/>
      <c r="S801" s="741"/>
      <c r="W801" s="503"/>
    </row>
    <row r="802" spans="4:23" ht="14.25" customHeight="1">
      <c r="D802" s="503"/>
      <c r="S802" s="741"/>
      <c r="W802" s="503"/>
    </row>
    <row r="803" spans="4:23" ht="14.25" customHeight="1">
      <c r="D803" s="503"/>
      <c r="S803" s="741"/>
      <c r="W803" s="503"/>
    </row>
    <row r="804" spans="4:23" ht="14.25" customHeight="1">
      <c r="D804" s="503"/>
      <c r="S804" s="741"/>
      <c r="W804" s="503"/>
    </row>
    <row r="805" spans="4:23" ht="14.25" customHeight="1">
      <c r="D805" s="503"/>
      <c r="S805" s="741"/>
      <c r="W805" s="503"/>
    </row>
    <row r="806" spans="4:23" ht="14.25" customHeight="1">
      <c r="D806" s="503"/>
      <c r="S806" s="741"/>
      <c r="W806" s="503"/>
    </row>
    <row r="807" spans="4:23" ht="14.25" customHeight="1">
      <c r="D807" s="503"/>
      <c r="S807" s="741"/>
      <c r="W807" s="503"/>
    </row>
    <row r="808" spans="4:23" ht="14.25" customHeight="1">
      <c r="D808" s="503"/>
      <c r="S808" s="741"/>
      <c r="W808" s="503"/>
    </row>
    <row r="809" spans="4:23" ht="14.25" customHeight="1">
      <c r="D809" s="503"/>
      <c r="S809" s="741"/>
      <c r="W809" s="503"/>
    </row>
    <row r="810" spans="4:23" ht="14.25" customHeight="1">
      <c r="D810" s="503"/>
      <c r="S810" s="741"/>
      <c r="W810" s="503"/>
    </row>
    <row r="811" spans="4:23" ht="14.25" customHeight="1">
      <c r="D811" s="503"/>
      <c r="S811" s="741"/>
      <c r="W811" s="503"/>
    </row>
    <row r="812" spans="4:23" ht="14.25" customHeight="1">
      <c r="D812" s="503"/>
      <c r="S812" s="741"/>
      <c r="W812" s="503"/>
    </row>
    <row r="813" spans="4:23" ht="14.25" customHeight="1">
      <c r="D813" s="503"/>
      <c r="S813" s="741"/>
      <c r="W813" s="503"/>
    </row>
    <row r="814" spans="4:23" ht="14.25" customHeight="1">
      <c r="D814" s="503"/>
      <c r="S814" s="741"/>
      <c r="W814" s="503"/>
    </row>
    <row r="815" spans="4:23" ht="14.25" customHeight="1">
      <c r="D815" s="503"/>
      <c r="S815" s="741"/>
      <c r="W815" s="503"/>
    </row>
    <row r="816" spans="4:23" ht="14.25" customHeight="1">
      <c r="D816" s="503"/>
      <c r="S816" s="741"/>
      <c r="W816" s="503"/>
    </row>
    <row r="817" spans="4:23" ht="14.25" customHeight="1">
      <c r="D817" s="503"/>
      <c r="S817" s="741"/>
      <c r="W817" s="503"/>
    </row>
    <row r="818" spans="4:23" ht="14.25" customHeight="1">
      <c r="D818" s="503"/>
      <c r="S818" s="741"/>
      <c r="W818" s="503"/>
    </row>
    <row r="819" spans="4:23" ht="14.25" customHeight="1">
      <c r="D819" s="503"/>
      <c r="S819" s="741"/>
      <c r="W819" s="503"/>
    </row>
    <row r="820" spans="4:23" ht="14.25" customHeight="1">
      <c r="D820" s="503"/>
      <c r="S820" s="741"/>
      <c r="W820" s="503"/>
    </row>
    <row r="821" spans="4:23" ht="14.25" customHeight="1">
      <c r="D821" s="503"/>
      <c r="S821" s="741"/>
      <c r="W821" s="503"/>
    </row>
    <row r="822" spans="4:23" ht="14.25" customHeight="1">
      <c r="D822" s="503"/>
      <c r="S822" s="741"/>
      <c r="W822" s="503"/>
    </row>
    <row r="823" spans="4:23" ht="14.25" customHeight="1">
      <c r="D823" s="503"/>
      <c r="S823" s="741"/>
      <c r="W823" s="503"/>
    </row>
    <row r="824" spans="4:23" ht="14.25" customHeight="1">
      <c r="D824" s="503"/>
      <c r="S824" s="741"/>
      <c r="W824" s="503"/>
    </row>
    <row r="825" spans="4:23" ht="14.25" customHeight="1">
      <c r="D825" s="503"/>
      <c r="S825" s="741"/>
      <c r="W825" s="503"/>
    </row>
    <row r="826" spans="4:23" ht="14.25" customHeight="1">
      <c r="D826" s="503"/>
      <c r="S826" s="741"/>
      <c r="W826" s="503"/>
    </row>
    <row r="827" spans="4:23" ht="14.25" customHeight="1">
      <c r="D827" s="503"/>
      <c r="S827" s="741"/>
      <c r="W827" s="503"/>
    </row>
    <row r="828" spans="4:23" ht="14.25" customHeight="1">
      <c r="D828" s="503"/>
      <c r="S828" s="741"/>
      <c r="W828" s="503"/>
    </row>
    <row r="829" spans="4:23" ht="14.25" customHeight="1">
      <c r="D829" s="503"/>
      <c r="S829" s="741"/>
      <c r="W829" s="503"/>
    </row>
    <row r="830" spans="4:23" ht="14.25" customHeight="1">
      <c r="D830" s="503"/>
      <c r="S830" s="741"/>
      <c r="W830" s="503"/>
    </row>
    <row r="831" spans="4:23" ht="14.25" customHeight="1">
      <c r="D831" s="503"/>
      <c r="S831" s="741"/>
      <c r="W831" s="503"/>
    </row>
    <row r="832" spans="4:23" ht="14.25" customHeight="1">
      <c r="D832" s="503"/>
      <c r="S832" s="741"/>
      <c r="W832" s="503"/>
    </row>
    <row r="833" spans="4:23" ht="14.25" customHeight="1">
      <c r="D833" s="503"/>
      <c r="S833" s="741"/>
      <c r="W833" s="503"/>
    </row>
    <row r="834" spans="4:23" ht="14.25" customHeight="1">
      <c r="D834" s="503"/>
      <c r="S834" s="741"/>
      <c r="W834" s="503"/>
    </row>
    <row r="835" spans="4:23" ht="14.25" customHeight="1">
      <c r="D835" s="503"/>
      <c r="S835" s="741"/>
      <c r="W835" s="503"/>
    </row>
    <row r="836" spans="4:23" ht="14.25" customHeight="1">
      <c r="D836" s="503"/>
      <c r="S836" s="741"/>
      <c r="W836" s="503"/>
    </row>
    <row r="837" spans="4:23" ht="14.25" customHeight="1">
      <c r="D837" s="503"/>
      <c r="S837" s="741"/>
      <c r="W837" s="503"/>
    </row>
    <row r="838" spans="4:23" ht="14.25" customHeight="1">
      <c r="D838" s="503"/>
      <c r="S838" s="741"/>
      <c r="W838" s="503"/>
    </row>
    <row r="839" spans="4:23" ht="14.25" customHeight="1">
      <c r="D839" s="503"/>
      <c r="S839" s="741"/>
      <c r="W839" s="503"/>
    </row>
    <row r="840" spans="4:23" ht="14.25" customHeight="1">
      <c r="D840" s="503"/>
      <c r="S840" s="741"/>
      <c r="W840" s="503"/>
    </row>
    <row r="841" spans="4:23" ht="14.25" customHeight="1">
      <c r="D841" s="503"/>
      <c r="S841" s="741"/>
      <c r="W841" s="503"/>
    </row>
    <row r="842" spans="4:23" ht="14.25" customHeight="1">
      <c r="D842" s="503"/>
      <c r="S842" s="741"/>
      <c r="W842" s="503"/>
    </row>
    <row r="843" spans="4:23" ht="14.25" customHeight="1">
      <c r="D843" s="503"/>
      <c r="S843" s="741"/>
      <c r="W843" s="503"/>
    </row>
    <row r="844" spans="4:23" ht="14.25" customHeight="1">
      <c r="D844" s="503"/>
      <c r="S844" s="741"/>
      <c r="W844" s="503"/>
    </row>
    <row r="845" spans="4:23" ht="14.25" customHeight="1">
      <c r="D845" s="503"/>
      <c r="S845" s="741"/>
      <c r="W845" s="503"/>
    </row>
    <row r="846" spans="4:23" ht="14.25" customHeight="1">
      <c r="D846" s="503"/>
      <c r="S846" s="741"/>
      <c r="W846" s="503"/>
    </row>
    <row r="847" spans="4:23" ht="14.25" customHeight="1">
      <c r="D847" s="503"/>
      <c r="S847" s="741"/>
      <c r="W847" s="503"/>
    </row>
    <row r="848" spans="4:23" ht="14.25" customHeight="1">
      <c r="D848" s="503"/>
      <c r="S848" s="741"/>
      <c r="W848" s="503"/>
    </row>
    <row r="849" spans="4:23" ht="14.25" customHeight="1">
      <c r="D849" s="503"/>
      <c r="S849" s="741"/>
      <c r="W849" s="503"/>
    </row>
    <row r="850" spans="4:23" ht="14.25" customHeight="1">
      <c r="D850" s="503"/>
      <c r="S850" s="741"/>
      <c r="W850" s="503"/>
    </row>
    <row r="851" spans="4:23" ht="14.25" customHeight="1">
      <c r="D851" s="503"/>
      <c r="S851" s="741"/>
      <c r="W851" s="503"/>
    </row>
    <row r="852" spans="4:23" ht="14.25" customHeight="1">
      <c r="D852" s="503"/>
      <c r="S852" s="741"/>
      <c r="W852" s="503"/>
    </row>
    <row r="853" spans="4:23" ht="14.25" customHeight="1">
      <c r="D853" s="503"/>
      <c r="S853" s="741"/>
      <c r="W853" s="503"/>
    </row>
    <row r="854" spans="4:23" ht="14.25" customHeight="1">
      <c r="D854" s="503"/>
      <c r="S854" s="741"/>
      <c r="W854" s="503"/>
    </row>
    <row r="855" spans="4:23" ht="14.25" customHeight="1">
      <c r="D855" s="503"/>
      <c r="S855" s="741"/>
      <c r="W855" s="503"/>
    </row>
    <row r="856" spans="4:23" ht="14.25" customHeight="1">
      <c r="D856" s="503"/>
      <c r="S856" s="741"/>
      <c r="W856" s="503"/>
    </row>
    <row r="857" spans="4:23" ht="14.25" customHeight="1">
      <c r="D857" s="503"/>
      <c r="S857" s="741"/>
      <c r="W857" s="503"/>
    </row>
    <row r="858" spans="4:23" ht="14.25" customHeight="1">
      <c r="D858" s="503"/>
      <c r="S858" s="741"/>
      <c r="W858" s="503"/>
    </row>
    <row r="859" spans="4:23" ht="14.25" customHeight="1">
      <c r="D859" s="503"/>
      <c r="S859" s="741"/>
      <c r="W859" s="503"/>
    </row>
    <row r="860" spans="4:23" ht="14.25" customHeight="1">
      <c r="D860" s="503"/>
      <c r="S860" s="741"/>
      <c r="W860" s="503"/>
    </row>
    <row r="861" spans="4:23" ht="14.25" customHeight="1">
      <c r="D861" s="503"/>
      <c r="S861" s="741"/>
      <c r="W861" s="503"/>
    </row>
    <row r="862" spans="4:23" ht="14.25" customHeight="1">
      <c r="D862" s="503"/>
      <c r="S862" s="741"/>
      <c r="W862" s="503"/>
    </row>
    <row r="863" spans="4:23" ht="14.25" customHeight="1">
      <c r="D863" s="503"/>
      <c r="S863" s="741"/>
      <c r="W863" s="503"/>
    </row>
    <row r="864" spans="4:23" ht="14.25" customHeight="1">
      <c r="D864" s="503"/>
      <c r="S864" s="741"/>
      <c r="W864" s="503"/>
    </row>
    <row r="865" spans="4:23" ht="14.25" customHeight="1">
      <c r="D865" s="503"/>
      <c r="S865" s="741"/>
      <c r="W865" s="503"/>
    </row>
    <row r="866" spans="4:23" ht="14.25" customHeight="1">
      <c r="D866" s="503"/>
      <c r="S866" s="741"/>
      <c r="W866" s="503"/>
    </row>
    <row r="867" spans="4:23" ht="14.25" customHeight="1">
      <c r="D867" s="503"/>
      <c r="S867" s="741"/>
      <c r="W867" s="503"/>
    </row>
    <row r="868" spans="4:23" ht="14.25" customHeight="1">
      <c r="D868" s="503"/>
      <c r="S868" s="741"/>
      <c r="W868" s="503"/>
    </row>
    <row r="869" spans="4:23" ht="14.25" customHeight="1">
      <c r="D869" s="503"/>
      <c r="S869" s="741"/>
      <c r="W869" s="503"/>
    </row>
    <row r="870" spans="4:23" ht="14.25" customHeight="1">
      <c r="D870" s="503"/>
      <c r="S870" s="741"/>
      <c r="W870" s="503"/>
    </row>
    <row r="871" spans="4:23" ht="14.25" customHeight="1">
      <c r="D871" s="503"/>
      <c r="S871" s="741"/>
      <c r="W871" s="503"/>
    </row>
    <row r="872" spans="4:23" ht="14.25" customHeight="1">
      <c r="D872" s="503"/>
      <c r="S872" s="741"/>
      <c r="W872" s="503"/>
    </row>
    <row r="873" spans="4:23" ht="14.25" customHeight="1">
      <c r="D873" s="503"/>
      <c r="S873" s="741"/>
      <c r="W873" s="503"/>
    </row>
    <row r="874" spans="4:23" ht="14.25" customHeight="1">
      <c r="D874" s="503"/>
      <c r="S874" s="741"/>
      <c r="W874" s="503"/>
    </row>
    <row r="875" spans="4:23" ht="14.25" customHeight="1">
      <c r="D875" s="503"/>
      <c r="S875" s="741"/>
      <c r="W875" s="503"/>
    </row>
    <row r="876" spans="4:23" ht="14.25" customHeight="1">
      <c r="D876" s="503"/>
      <c r="S876" s="741"/>
      <c r="W876" s="503"/>
    </row>
    <row r="877" spans="4:23" ht="14.25" customHeight="1">
      <c r="D877" s="503"/>
      <c r="S877" s="741"/>
      <c r="W877" s="503"/>
    </row>
    <row r="878" spans="4:23" ht="14.25" customHeight="1">
      <c r="D878" s="503"/>
      <c r="S878" s="741"/>
      <c r="W878" s="503"/>
    </row>
    <row r="879" spans="4:23" ht="14.25" customHeight="1">
      <c r="D879" s="503"/>
      <c r="S879" s="741"/>
      <c r="W879" s="503"/>
    </row>
    <row r="880" spans="4:23" ht="14.25" customHeight="1">
      <c r="D880" s="503"/>
      <c r="S880" s="741"/>
      <c r="W880" s="503"/>
    </row>
    <row r="881" spans="4:23" ht="14.25" customHeight="1">
      <c r="D881" s="503"/>
      <c r="S881" s="741"/>
      <c r="W881" s="503"/>
    </row>
    <row r="882" spans="4:23" ht="14.25" customHeight="1">
      <c r="D882" s="503"/>
      <c r="S882" s="741"/>
      <c r="W882" s="503"/>
    </row>
    <row r="883" spans="4:23" ht="14.25" customHeight="1">
      <c r="D883" s="503"/>
      <c r="S883" s="741"/>
      <c r="W883" s="503"/>
    </row>
    <row r="884" spans="4:23" ht="14.25" customHeight="1">
      <c r="D884" s="503"/>
      <c r="S884" s="741"/>
      <c r="W884" s="503"/>
    </row>
    <row r="885" spans="4:23" ht="14.25" customHeight="1">
      <c r="D885" s="503"/>
      <c r="S885" s="741"/>
      <c r="W885" s="503"/>
    </row>
    <row r="886" spans="4:23" ht="14.25" customHeight="1">
      <c r="D886" s="503"/>
      <c r="S886" s="741"/>
      <c r="W886" s="503"/>
    </row>
    <row r="887" spans="4:23" ht="14.25" customHeight="1">
      <c r="D887" s="503"/>
      <c r="S887" s="741"/>
      <c r="W887" s="503"/>
    </row>
    <row r="888" spans="4:23" ht="14.25" customHeight="1">
      <c r="D888" s="503"/>
      <c r="S888" s="741"/>
      <c r="W888" s="503"/>
    </row>
    <row r="889" spans="4:23" ht="14.25" customHeight="1">
      <c r="D889" s="503"/>
      <c r="S889" s="741"/>
      <c r="W889" s="503"/>
    </row>
    <row r="890" spans="4:23" ht="14.25" customHeight="1">
      <c r="D890" s="503"/>
      <c r="S890" s="741"/>
      <c r="W890" s="503"/>
    </row>
    <row r="891" spans="4:23" ht="14.25" customHeight="1">
      <c r="D891" s="503"/>
      <c r="S891" s="741"/>
      <c r="W891" s="503"/>
    </row>
    <row r="892" spans="4:23" ht="14.25" customHeight="1">
      <c r="D892" s="503"/>
      <c r="S892" s="741"/>
      <c r="W892" s="503"/>
    </row>
    <row r="893" spans="4:23" ht="14.25" customHeight="1">
      <c r="D893" s="503"/>
      <c r="S893" s="741"/>
      <c r="W893" s="503"/>
    </row>
    <row r="894" spans="4:23" ht="14.25" customHeight="1">
      <c r="D894" s="503"/>
      <c r="S894" s="741"/>
      <c r="W894" s="503"/>
    </row>
    <row r="895" spans="4:23" ht="14.25" customHeight="1">
      <c r="D895" s="503"/>
      <c r="S895" s="741"/>
      <c r="W895" s="503"/>
    </row>
    <row r="896" spans="4:23" ht="14.25" customHeight="1">
      <c r="D896" s="503"/>
      <c r="S896" s="741"/>
      <c r="W896" s="503"/>
    </row>
    <row r="897" spans="4:23" ht="14.25" customHeight="1">
      <c r="D897" s="503"/>
      <c r="S897" s="741"/>
      <c r="W897" s="503"/>
    </row>
    <row r="898" spans="4:23" ht="14.25" customHeight="1">
      <c r="D898" s="503"/>
      <c r="S898" s="741"/>
      <c r="W898" s="503"/>
    </row>
    <row r="899" spans="4:23" ht="14.25" customHeight="1">
      <c r="D899" s="503"/>
      <c r="S899" s="741"/>
      <c r="W899" s="503"/>
    </row>
    <row r="900" spans="4:23" ht="14.25" customHeight="1">
      <c r="D900" s="503"/>
      <c r="S900" s="741"/>
      <c r="W900" s="503"/>
    </row>
    <row r="901" spans="4:23" ht="14.25" customHeight="1">
      <c r="D901" s="503"/>
      <c r="S901" s="741"/>
      <c r="W901" s="503"/>
    </row>
    <row r="902" spans="4:23" ht="14.25" customHeight="1">
      <c r="D902" s="503"/>
      <c r="S902" s="741"/>
      <c r="W902" s="503"/>
    </row>
    <row r="903" spans="4:23" ht="14.25" customHeight="1">
      <c r="D903" s="503"/>
      <c r="S903" s="741"/>
      <c r="W903" s="503"/>
    </row>
    <row r="904" spans="4:23" ht="14.25" customHeight="1">
      <c r="D904" s="503"/>
      <c r="S904" s="741"/>
      <c r="W904" s="503"/>
    </row>
    <row r="905" spans="4:23" ht="14.25" customHeight="1">
      <c r="D905" s="503"/>
      <c r="S905" s="741"/>
      <c r="W905" s="503"/>
    </row>
    <row r="906" spans="4:23" ht="14.25" customHeight="1">
      <c r="D906" s="503"/>
      <c r="S906" s="741"/>
      <c r="W906" s="503"/>
    </row>
    <row r="907" spans="4:23" ht="14.25" customHeight="1">
      <c r="D907" s="503"/>
      <c r="S907" s="741"/>
      <c r="W907" s="503"/>
    </row>
    <row r="908" spans="4:23" ht="14.25" customHeight="1">
      <c r="D908" s="503"/>
      <c r="S908" s="741"/>
      <c r="W908" s="503"/>
    </row>
    <row r="909" spans="4:23" ht="14.25" customHeight="1">
      <c r="D909" s="503"/>
      <c r="S909" s="741"/>
      <c r="W909" s="503"/>
    </row>
    <row r="910" spans="4:23" ht="14.25" customHeight="1">
      <c r="D910" s="503"/>
      <c r="S910" s="741"/>
      <c r="W910" s="503"/>
    </row>
    <row r="911" spans="4:23" ht="14.25" customHeight="1">
      <c r="D911" s="503"/>
      <c r="S911" s="741"/>
      <c r="W911" s="503"/>
    </row>
    <row r="912" spans="4:23" ht="14.25" customHeight="1">
      <c r="D912" s="503"/>
      <c r="S912" s="741"/>
      <c r="W912" s="503"/>
    </row>
    <row r="913" spans="4:23" ht="14.25" customHeight="1">
      <c r="D913" s="503"/>
      <c r="S913" s="741"/>
      <c r="W913" s="503"/>
    </row>
    <row r="914" spans="4:23" ht="14.25" customHeight="1">
      <c r="D914" s="503"/>
      <c r="S914" s="741"/>
      <c r="W914" s="503"/>
    </row>
    <row r="915" spans="4:23" ht="14.25" customHeight="1">
      <c r="D915" s="503"/>
      <c r="S915" s="741"/>
      <c r="W915" s="503"/>
    </row>
    <row r="916" spans="4:23" ht="14.25" customHeight="1">
      <c r="D916" s="503"/>
      <c r="S916" s="741"/>
      <c r="W916" s="503"/>
    </row>
    <row r="917" spans="4:23" ht="14.25" customHeight="1">
      <c r="D917" s="503"/>
      <c r="S917" s="741"/>
      <c r="W917" s="503"/>
    </row>
    <row r="918" spans="4:23" ht="14.25" customHeight="1">
      <c r="D918" s="503"/>
      <c r="S918" s="741"/>
      <c r="W918" s="503"/>
    </row>
    <row r="919" spans="4:23" ht="14.25" customHeight="1">
      <c r="D919" s="503"/>
      <c r="S919" s="741"/>
      <c r="W919" s="503"/>
    </row>
    <row r="920" spans="4:23" ht="14.25" customHeight="1">
      <c r="D920" s="503"/>
      <c r="S920" s="741"/>
      <c r="W920" s="503"/>
    </row>
    <row r="921" spans="4:23" ht="14.25" customHeight="1">
      <c r="D921" s="503"/>
      <c r="S921" s="741"/>
      <c r="W921" s="503"/>
    </row>
    <row r="922" spans="4:23" ht="14.25" customHeight="1">
      <c r="D922" s="503"/>
      <c r="S922" s="741"/>
      <c r="W922" s="503"/>
    </row>
    <row r="923" spans="4:23" ht="14.25" customHeight="1">
      <c r="D923" s="503"/>
      <c r="S923" s="741"/>
      <c r="W923" s="503"/>
    </row>
    <row r="924" spans="4:23" ht="14.25" customHeight="1">
      <c r="D924" s="503"/>
      <c r="S924" s="741"/>
      <c r="W924" s="503"/>
    </row>
    <row r="925" spans="4:23" ht="14.25" customHeight="1">
      <c r="D925" s="503"/>
      <c r="S925" s="741"/>
      <c r="W925" s="503"/>
    </row>
    <row r="926" spans="4:23" ht="14.25" customHeight="1">
      <c r="D926" s="503"/>
      <c r="S926" s="741"/>
      <c r="W926" s="503"/>
    </row>
    <row r="927" spans="4:23" ht="14.25" customHeight="1">
      <c r="D927" s="503"/>
      <c r="S927" s="741"/>
      <c r="W927" s="503"/>
    </row>
    <row r="928" spans="4:23" ht="14.25" customHeight="1">
      <c r="D928" s="503"/>
      <c r="S928" s="741"/>
      <c r="W928" s="503"/>
    </row>
    <row r="929" spans="4:23" ht="14.25" customHeight="1">
      <c r="D929" s="503"/>
      <c r="S929" s="741"/>
      <c r="W929" s="503"/>
    </row>
    <row r="930" spans="4:23" ht="14.25" customHeight="1">
      <c r="D930" s="503"/>
      <c r="S930" s="741"/>
      <c r="W930" s="503"/>
    </row>
    <row r="931" spans="4:23" ht="14.25" customHeight="1">
      <c r="D931" s="503"/>
      <c r="S931" s="741"/>
      <c r="W931" s="503"/>
    </row>
    <row r="932" spans="4:23" ht="14.25" customHeight="1">
      <c r="D932" s="503"/>
      <c r="S932" s="741"/>
      <c r="W932" s="503"/>
    </row>
    <row r="933" spans="4:23" ht="14.25" customHeight="1">
      <c r="D933" s="503"/>
      <c r="S933" s="741"/>
      <c r="W933" s="503"/>
    </row>
    <row r="934" spans="4:23" ht="14.25" customHeight="1">
      <c r="D934" s="503"/>
      <c r="S934" s="741"/>
      <c r="W934" s="503"/>
    </row>
    <row r="935" spans="4:23" ht="14.25" customHeight="1">
      <c r="D935" s="503"/>
      <c r="S935" s="741"/>
      <c r="W935" s="503"/>
    </row>
    <row r="936" spans="4:23" ht="14.25" customHeight="1">
      <c r="D936" s="503"/>
      <c r="S936" s="741"/>
      <c r="W936" s="503"/>
    </row>
    <row r="937" spans="4:23" ht="14.25" customHeight="1">
      <c r="D937" s="503"/>
      <c r="S937" s="741"/>
      <c r="W937" s="503"/>
    </row>
    <row r="938" spans="4:23" ht="14.25" customHeight="1">
      <c r="D938" s="503"/>
      <c r="S938" s="741"/>
      <c r="W938" s="503"/>
    </row>
    <row r="939" spans="4:23" ht="14.25" customHeight="1">
      <c r="D939" s="503"/>
      <c r="S939" s="741"/>
      <c r="W939" s="503"/>
    </row>
    <row r="940" spans="4:23" ht="14.25" customHeight="1">
      <c r="D940" s="503"/>
      <c r="S940" s="741"/>
      <c r="W940" s="503"/>
    </row>
    <row r="941" spans="4:23" ht="14.25" customHeight="1">
      <c r="D941" s="503"/>
      <c r="S941" s="741"/>
      <c r="W941" s="503"/>
    </row>
    <row r="942" spans="4:23" ht="14.25" customHeight="1">
      <c r="D942" s="503"/>
      <c r="S942" s="741"/>
      <c r="W942" s="503"/>
    </row>
    <row r="943" spans="4:23" ht="14.25" customHeight="1">
      <c r="D943" s="503"/>
      <c r="S943" s="741"/>
      <c r="W943" s="503"/>
    </row>
    <row r="944" spans="4:23" ht="14.25" customHeight="1">
      <c r="D944" s="503"/>
      <c r="S944" s="741"/>
      <c r="W944" s="503"/>
    </row>
    <row r="945" spans="4:23" ht="14.25" customHeight="1">
      <c r="D945" s="503"/>
      <c r="S945" s="741"/>
      <c r="W945" s="503"/>
    </row>
    <row r="946" spans="4:23" ht="14.25" customHeight="1">
      <c r="D946" s="503"/>
      <c r="S946" s="741"/>
      <c r="W946" s="503"/>
    </row>
    <row r="947" spans="4:23" ht="14.25" customHeight="1">
      <c r="D947" s="503"/>
      <c r="S947" s="741"/>
      <c r="W947" s="503"/>
    </row>
    <row r="948" spans="4:23" ht="14.25" customHeight="1">
      <c r="D948" s="503"/>
      <c r="S948" s="741"/>
      <c r="W948" s="503"/>
    </row>
    <row r="949" spans="4:23" ht="14.25" customHeight="1">
      <c r="D949" s="503"/>
      <c r="S949" s="741"/>
      <c r="W949" s="503"/>
    </row>
    <row r="950" spans="4:23" ht="14.25" customHeight="1">
      <c r="D950" s="503"/>
      <c r="S950" s="741"/>
      <c r="W950" s="503"/>
    </row>
    <row r="951" spans="4:23" ht="14.25" customHeight="1">
      <c r="D951" s="503"/>
      <c r="S951" s="741"/>
      <c r="W951" s="503"/>
    </row>
    <row r="952" spans="4:23" ht="14.25" customHeight="1">
      <c r="D952" s="503"/>
      <c r="S952" s="741"/>
      <c r="W952" s="503"/>
    </row>
    <row r="953" spans="4:23" ht="14.25" customHeight="1">
      <c r="D953" s="503"/>
      <c r="S953" s="741"/>
      <c r="W953" s="503"/>
    </row>
    <row r="954" spans="4:23" ht="14.25" customHeight="1">
      <c r="D954" s="503"/>
      <c r="S954" s="741"/>
      <c r="W954" s="503"/>
    </row>
    <row r="955" spans="4:23" ht="14.25" customHeight="1">
      <c r="D955" s="503"/>
      <c r="S955" s="741"/>
      <c r="W955" s="503"/>
    </row>
    <row r="956" spans="4:23" ht="14.25" customHeight="1">
      <c r="D956" s="503"/>
      <c r="S956" s="741"/>
      <c r="W956" s="503"/>
    </row>
    <row r="957" spans="4:23" ht="14.25" customHeight="1">
      <c r="D957" s="503"/>
      <c r="S957" s="741"/>
      <c r="W957" s="503"/>
    </row>
    <row r="958" spans="4:23" ht="14.25" customHeight="1">
      <c r="D958" s="503"/>
      <c r="S958" s="741"/>
      <c r="W958" s="503"/>
    </row>
    <row r="959" spans="4:23" ht="14.25" customHeight="1">
      <c r="D959" s="503"/>
      <c r="S959" s="741"/>
      <c r="W959" s="503"/>
    </row>
    <row r="960" spans="4:23" ht="14.25" customHeight="1">
      <c r="D960" s="503"/>
      <c r="S960" s="741"/>
      <c r="W960" s="503"/>
    </row>
    <row r="961" spans="4:23" ht="14.25" customHeight="1">
      <c r="D961" s="503"/>
      <c r="S961" s="741"/>
      <c r="W961" s="503"/>
    </row>
    <row r="962" spans="4:23" ht="14.25" customHeight="1">
      <c r="D962" s="503"/>
      <c r="S962" s="741"/>
      <c r="W962" s="503"/>
    </row>
    <row r="963" spans="4:23" ht="14.25" customHeight="1">
      <c r="D963" s="503"/>
      <c r="S963" s="741"/>
      <c r="W963" s="503"/>
    </row>
    <row r="964" spans="4:23" ht="14.25" customHeight="1">
      <c r="D964" s="503"/>
      <c r="S964" s="741"/>
      <c r="W964" s="503"/>
    </row>
    <row r="965" spans="4:23" ht="14.25" customHeight="1">
      <c r="D965" s="503"/>
      <c r="S965" s="741"/>
      <c r="W965" s="503"/>
    </row>
    <row r="966" spans="4:23" ht="14.25" customHeight="1">
      <c r="D966" s="503"/>
      <c r="S966" s="741"/>
      <c r="W966" s="503"/>
    </row>
    <row r="967" spans="4:23" ht="14.25" customHeight="1">
      <c r="D967" s="503"/>
      <c r="S967" s="741"/>
      <c r="W967" s="503"/>
    </row>
    <row r="968" spans="4:23" ht="14.25" customHeight="1">
      <c r="D968" s="503"/>
      <c r="S968" s="741"/>
      <c r="W968" s="503"/>
    </row>
    <row r="969" spans="4:23" ht="14.25" customHeight="1">
      <c r="D969" s="503"/>
      <c r="S969" s="741"/>
      <c r="W969" s="503"/>
    </row>
    <row r="970" spans="4:23" ht="14.25" customHeight="1">
      <c r="D970" s="503"/>
      <c r="S970" s="741"/>
      <c r="W970" s="503"/>
    </row>
    <row r="971" spans="4:23" ht="14.25" customHeight="1">
      <c r="D971" s="503"/>
      <c r="S971" s="741"/>
      <c r="W971" s="503"/>
    </row>
    <row r="972" spans="4:23" ht="14.25" customHeight="1">
      <c r="D972" s="503"/>
      <c r="S972" s="741"/>
      <c r="W972" s="503"/>
    </row>
    <row r="973" spans="4:23" ht="14.25" customHeight="1">
      <c r="D973" s="503"/>
      <c r="S973" s="741"/>
      <c r="W973" s="503"/>
    </row>
    <row r="974" spans="4:23" ht="14.25" customHeight="1">
      <c r="D974" s="503"/>
      <c r="S974" s="741"/>
      <c r="W974" s="503"/>
    </row>
    <row r="975" spans="4:23" ht="14.25" customHeight="1">
      <c r="D975" s="503"/>
      <c r="S975" s="741"/>
      <c r="W975" s="503"/>
    </row>
    <row r="976" spans="4:23" ht="14.25" customHeight="1">
      <c r="D976" s="503"/>
      <c r="S976" s="741"/>
      <c r="W976" s="503"/>
    </row>
    <row r="977" spans="4:23" ht="14.25" customHeight="1">
      <c r="D977" s="503"/>
      <c r="S977" s="741"/>
      <c r="W977" s="503"/>
    </row>
    <row r="978" spans="4:23" ht="14.25" customHeight="1">
      <c r="D978" s="503"/>
      <c r="S978" s="741"/>
      <c r="W978" s="503"/>
    </row>
    <row r="979" spans="4:23" ht="14.25" customHeight="1">
      <c r="D979" s="503"/>
      <c r="S979" s="741"/>
      <c r="W979" s="503"/>
    </row>
    <row r="980" spans="4:23" ht="14.25" customHeight="1">
      <c r="D980" s="503"/>
      <c r="S980" s="741"/>
      <c r="W980" s="503"/>
    </row>
    <row r="981" spans="4:23" ht="14.25" customHeight="1">
      <c r="D981" s="503"/>
      <c r="S981" s="741"/>
      <c r="W981" s="503"/>
    </row>
    <row r="982" spans="4:23" ht="14.25" customHeight="1">
      <c r="D982" s="503"/>
      <c r="S982" s="741"/>
      <c r="W982" s="503"/>
    </row>
    <row r="983" spans="4:23" ht="14.25" customHeight="1">
      <c r="D983" s="503"/>
      <c r="S983" s="741"/>
      <c r="W983" s="503"/>
    </row>
    <row r="984" spans="4:23" ht="14.25" customHeight="1">
      <c r="D984" s="503"/>
      <c r="S984" s="741"/>
      <c r="W984" s="503"/>
    </row>
    <row r="985" spans="4:23" ht="14.25" customHeight="1">
      <c r="D985" s="503"/>
      <c r="S985" s="741"/>
      <c r="W985" s="503"/>
    </row>
    <row r="986" spans="4:23" ht="14.25" customHeight="1">
      <c r="D986" s="503"/>
      <c r="S986" s="741"/>
      <c r="W986" s="503"/>
    </row>
    <row r="987" spans="4:23" ht="14.25" customHeight="1">
      <c r="D987" s="503"/>
      <c r="S987" s="741"/>
      <c r="W987" s="503"/>
    </row>
    <row r="988" spans="4:23" ht="14.25" customHeight="1">
      <c r="D988" s="503"/>
      <c r="S988" s="741"/>
      <c r="W988" s="503"/>
    </row>
    <row r="989" spans="4:23" ht="14.25" customHeight="1">
      <c r="D989" s="503"/>
      <c r="S989" s="741"/>
      <c r="W989" s="503"/>
    </row>
    <row r="990" spans="4:23" ht="14.25" customHeight="1">
      <c r="D990" s="503"/>
      <c r="S990" s="741"/>
      <c r="W990" s="503"/>
    </row>
    <row r="991" spans="4:23" ht="14.25" customHeight="1">
      <c r="D991" s="503"/>
      <c r="S991" s="741"/>
      <c r="W991" s="503"/>
    </row>
    <row r="992" spans="4:23" ht="14.25" customHeight="1">
      <c r="D992" s="503"/>
      <c r="S992" s="741"/>
      <c r="W992" s="503"/>
    </row>
    <row r="993" spans="4:23" ht="14.25" customHeight="1">
      <c r="D993" s="503"/>
      <c r="S993" s="741"/>
      <c r="W993" s="503"/>
    </row>
    <row r="994" spans="4:23" ht="14.25" customHeight="1">
      <c r="D994" s="503"/>
      <c r="S994" s="741"/>
      <c r="W994" s="503"/>
    </row>
    <row r="995" spans="4:23" ht="14.25" customHeight="1">
      <c r="D995" s="503"/>
      <c r="S995" s="741"/>
      <c r="W995" s="503"/>
    </row>
    <row r="996" spans="4:23" ht="14.25" customHeight="1">
      <c r="D996" s="503"/>
      <c r="S996" s="741"/>
      <c r="W996" s="503"/>
    </row>
    <row r="997" spans="4:23" ht="14.25" customHeight="1">
      <c r="D997" s="503"/>
      <c r="S997" s="741"/>
      <c r="W997" s="503"/>
    </row>
    <row r="998" spans="4:23" ht="14.25" customHeight="1">
      <c r="D998" s="503"/>
      <c r="S998" s="741"/>
      <c r="W998" s="503"/>
    </row>
    <row r="999" spans="4:23" ht="14.25" customHeight="1">
      <c r="D999" s="503"/>
      <c r="S999" s="741"/>
      <c r="W999" s="503"/>
    </row>
    <row r="1000" spans="4:23" ht="14.25" customHeight="1">
      <c r="D1000" s="503"/>
      <c r="S1000" s="741"/>
      <c r="W1000" s="503"/>
    </row>
  </sheetData>
  <mergeCells count="2">
    <mergeCell ref="AE6:AJ6"/>
    <mergeCell ref="AR6:AT6"/>
  </mergeCells>
  <printOptions headings="1"/>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4" filterMode="1">
    <tabColor theme="1" tint="0.34998626667073579"/>
  </sheetPr>
  <dimension ref="A1:JD1052"/>
  <sheetViews>
    <sheetView zoomScale="70" zoomScaleNormal="70" workbookViewId="0">
      <pane xSplit="7" ySplit="6" topLeftCell="BZ170" activePane="bottomRight" state="frozen"/>
      <selection pane="bottomRight" activeCell="BZ36" sqref="BZ36"/>
      <selection pane="bottomLeft" activeCell="A7" sqref="A7"/>
      <selection pane="topRight" activeCell="H1" sqref="H1"/>
    </sheetView>
  </sheetViews>
  <sheetFormatPr defaultColWidth="14.42578125" defaultRowHeight="12.95"/>
  <cols>
    <col min="1" max="1" width="12.5703125" style="1080" customWidth="1"/>
    <col min="2" max="2" width="16" style="1071" hidden="1" customWidth="1"/>
    <col min="3" max="3" width="10.5703125" style="1071" hidden="1" customWidth="1"/>
    <col min="4" max="4" width="16" style="1071" customWidth="1"/>
    <col min="5" max="5" width="14.5703125" style="1070" customWidth="1"/>
    <col min="6" max="6" width="14.5703125" style="1071" hidden="1" customWidth="1"/>
    <col min="7" max="7" width="8.85546875" style="884" customWidth="1"/>
    <col min="8" max="8" width="9" style="884" customWidth="1"/>
    <col min="9" max="9" width="14.140625" style="884" customWidth="1"/>
    <col min="10" max="10" width="10.85546875" style="1070" customWidth="1"/>
    <col min="11" max="11" width="10.85546875" style="1071" hidden="1" customWidth="1"/>
    <col min="12" max="12" width="10.85546875" style="1072" customWidth="1"/>
    <col min="13" max="13" width="11.85546875" style="884" customWidth="1"/>
    <col min="14" max="14" width="13.85546875" style="1074" hidden="1" customWidth="1"/>
    <col min="15" max="15" width="14.85546875" style="1074" hidden="1" customWidth="1"/>
    <col min="16" max="24" width="13.140625" style="1074" hidden="1" customWidth="1"/>
    <col min="25" max="25" width="18.140625" style="1074" hidden="1" customWidth="1"/>
    <col min="26" max="26" width="17.85546875" style="1074" hidden="1" customWidth="1"/>
    <col min="27" max="27" width="13.140625" style="1074" hidden="1" customWidth="1"/>
    <col min="28" max="42" width="14.85546875" style="1074" hidden="1" customWidth="1"/>
    <col min="43" max="44" width="14.85546875" style="1244" hidden="1" customWidth="1"/>
    <col min="45" max="45" width="13.140625" style="1244" hidden="1" customWidth="1"/>
    <col min="46" max="46" width="14.5703125" style="1244" hidden="1" customWidth="1"/>
    <col min="47" max="47" width="13.140625" style="1244" hidden="1" customWidth="1"/>
    <col min="48" max="49" width="14.85546875" style="1075" hidden="1" customWidth="1"/>
    <col min="50" max="78" width="14.85546875" style="1070" customWidth="1"/>
    <col min="79" max="79" width="17.140625" style="1251" customWidth="1"/>
    <col min="80" max="84" width="14.85546875" style="1251" customWidth="1"/>
    <col min="85" max="85" width="14.85546875" style="1262" customWidth="1"/>
    <col min="86" max="86" width="15" style="884" customWidth="1"/>
    <col min="87" max="87" width="13.85546875" style="1071" customWidth="1"/>
    <col min="88" max="88" width="13.85546875" style="884" customWidth="1"/>
    <col min="89" max="89" width="13.5703125" style="884" customWidth="1"/>
    <col min="90" max="90" width="18.140625" style="1072" customWidth="1"/>
    <col min="91" max="91" width="10.5703125" style="1077" customWidth="1"/>
    <col min="92" max="94" width="14.5703125" style="884" customWidth="1"/>
    <col min="95" max="95" width="11" style="884" customWidth="1"/>
    <col min="96" max="96" width="13.140625" style="884" customWidth="1"/>
    <col min="97" max="97" width="13.140625" style="1077" customWidth="1"/>
    <col min="98" max="98" width="16.5703125" style="884" customWidth="1"/>
    <col min="99" max="99" width="13.42578125" style="884" customWidth="1"/>
    <col min="100" max="106" width="13.5703125" style="884" customWidth="1"/>
    <col min="107" max="130" width="13.5703125" style="884" hidden="1" customWidth="1"/>
    <col min="131" max="131" width="12" style="1071" hidden="1" customWidth="1"/>
    <col min="132" max="132" width="10.42578125" style="884" customWidth="1"/>
    <col min="133" max="133" width="17.42578125" style="1078" hidden="1" customWidth="1"/>
    <col min="134" max="134" width="17.42578125" style="1079" hidden="1" customWidth="1"/>
    <col min="135" max="135" width="7.5703125" style="1079" hidden="1" customWidth="1"/>
    <col min="136" max="136" width="21.5703125" style="1078" hidden="1" customWidth="1"/>
    <col min="137" max="137" width="17.42578125" style="1079" hidden="1" customWidth="1"/>
    <col min="138" max="138" width="17.42578125" style="884" hidden="1" customWidth="1"/>
    <col min="139" max="139" width="17.42578125" style="1072" hidden="1" customWidth="1"/>
    <col min="140" max="143" width="17.42578125" style="884" hidden="1" customWidth="1"/>
    <col min="144" max="144" width="19.42578125" style="884" hidden="1" customWidth="1"/>
    <col min="145" max="145" width="17.42578125" style="884" hidden="1" customWidth="1"/>
    <col min="146" max="146" width="17.42578125" style="1070" hidden="1" customWidth="1"/>
    <col min="147" max="148" width="17.42578125" style="884" hidden="1" customWidth="1"/>
    <col min="149" max="151" width="14.42578125" style="884" hidden="1" customWidth="1"/>
    <col min="152" max="152" width="27.140625" style="884" hidden="1" customWidth="1"/>
    <col min="153" max="153" width="16.42578125" style="884" hidden="1" customWidth="1"/>
    <col min="154" max="154" width="14.42578125" style="884" hidden="1" customWidth="1"/>
    <col min="155" max="155" width="31.140625" style="884" hidden="1" customWidth="1"/>
    <col min="156" max="156" width="31" style="884" bestFit="1" customWidth="1"/>
    <col min="157" max="157" width="10.5703125" style="884" bestFit="1" customWidth="1"/>
    <col min="158" max="158" width="20.140625" style="884" customWidth="1"/>
    <col min="159" max="159" width="18.42578125" style="884" customWidth="1"/>
    <col min="160" max="165" width="14.42578125" style="884" customWidth="1"/>
    <col min="166" max="166" width="14.42578125" style="1080" customWidth="1"/>
    <col min="167" max="168" width="10.85546875" style="1071" customWidth="1"/>
    <col min="169" max="169" width="5.140625" style="1081" customWidth="1"/>
    <col min="170" max="173" width="14.42578125" style="884" customWidth="1"/>
    <col min="174" max="175" width="18.5703125" style="884" customWidth="1"/>
    <col min="176" max="176" width="10.140625" style="884" customWidth="1"/>
    <col min="177" max="177" width="11.140625" style="884" customWidth="1"/>
    <col min="178" max="178" width="10.42578125" style="884" customWidth="1"/>
    <col min="179" max="179" width="9.140625" style="884" hidden="1" customWidth="1"/>
    <col min="180" max="180" width="21" style="1220" hidden="1" customWidth="1"/>
    <col min="181" max="181" width="20.140625" style="1085" hidden="1" customWidth="1"/>
    <col min="182" max="182" width="4.85546875" style="1086" hidden="1" customWidth="1"/>
    <col min="183" max="188" width="0" style="884" hidden="1" customWidth="1"/>
    <col min="189" max="189" width="11.5703125" style="1070" hidden="1" customWidth="1"/>
    <col min="190" max="190" width="4.85546875" style="1086" hidden="1" customWidth="1"/>
    <col min="191" max="191" width="17.85546875" style="884" hidden="1" customWidth="1"/>
    <col min="192" max="197" width="0" style="884" hidden="1" customWidth="1"/>
    <col min="198" max="198" width="5" style="1086" hidden="1" customWidth="1"/>
    <col min="199" max="199" width="0" style="884" hidden="1" customWidth="1"/>
    <col min="200" max="200" width="7.140625" style="1086" customWidth="1"/>
    <col min="201" max="201" width="0" style="884" hidden="1" customWidth="1"/>
    <col min="202" max="202" width="0" style="1094" hidden="1" customWidth="1"/>
    <col min="203" max="213" width="0" style="884" hidden="1" customWidth="1"/>
    <col min="214" max="214" width="5.5703125" style="1086" hidden="1" customWidth="1"/>
    <col min="215" max="219" width="0" style="884" hidden="1" customWidth="1"/>
    <col min="220" max="220" width="0" style="1072" hidden="1" customWidth="1"/>
    <col min="221" max="227" width="0" style="884" hidden="1" customWidth="1"/>
    <col min="228" max="228" width="6.140625" style="1086" hidden="1" customWidth="1"/>
    <col min="229" max="229" width="0" style="884" hidden="1" customWidth="1"/>
    <col min="230" max="230" width="4.140625" style="884" customWidth="1"/>
    <col min="231" max="16384" width="14.42578125" style="884"/>
  </cols>
  <sheetData>
    <row r="1" spans="1:242" ht="14.25" customHeight="1">
      <c r="A1" s="1065" t="s">
        <v>51</v>
      </c>
      <c r="B1" s="1066"/>
      <c r="C1" s="1067"/>
      <c r="D1" s="1066"/>
      <c r="E1" s="884"/>
      <c r="F1" s="1068"/>
      <c r="G1" s="1069"/>
      <c r="H1" s="1069"/>
      <c r="I1" s="1069"/>
      <c r="M1" s="1073">
        <v>50</v>
      </c>
      <c r="N1" s="1066"/>
      <c r="O1" s="1074">
        <f>O2+O3</f>
        <v>2110000</v>
      </c>
      <c r="AQ1" s="1347" t="s">
        <v>328</v>
      </c>
      <c r="AR1" s="1347"/>
      <c r="AS1" s="1347"/>
      <c r="AT1" s="1347"/>
      <c r="AU1" s="1347"/>
      <c r="AV1" s="1347"/>
      <c r="AW1" s="1347"/>
      <c r="CA1" s="1348" t="s">
        <v>329</v>
      </c>
      <c r="CB1" s="1348"/>
      <c r="CC1" s="1348"/>
      <c r="CD1" s="1348"/>
      <c r="CE1" s="1348"/>
      <c r="CF1" s="1348"/>
      <c r="CG1" s="1348"/>
      <c r="CM1" s="1076"/>
      <c r="CQ1" s="1069"/>
      <c r="FO1" s="1082"/>
      <c r="FP1" s="1072"/>
      <c r="FR1" s="1083"/>
      <c r="FS1" s="1083"/>
      <c r="FT1" s="1083"/>
      <c r="FU1" s="1083"/>
      <c r="FV1" s="1083"/>
      <c r="FW1" s="1083"/>
      <c r="FX1" s="1084"/>
      <c r="GS1" s="1338" t="s">
        <v>330</v>
      </c>
      <c r="GT1" s="1338"/>
      <c r="GU1" s="1338"/>
      <c r="GV1" s="1338"/>
      <c r="GW1" s="1338"/>
      <c r="GX1" s="1338"/>
      <c r="GY1" s="1338"/>
      <c r="GZ1" s="1087"/>
      <c r="HA1" s="1087"/>
      <c r="HB1" s="1087"/>
      <c r="HC1" s="1087"/>
      <c r="HD1" s="1087"/>
      <c r="HE1" s="1087"/>
      <c r="HG1" s="1339" t="s">
        <v>331</v>
      </c>
      <c r="HH1" s="1339"/>
      <c r="HI1" s="1339"/>
      <c r="HJ1" s="1339"/>
      <c r="HK1" s="1339"/>
      <c r="HL1" s="1339"/>
      <c r="HM1" s="1339"/>
      <c r="HN1" s="1088"/>
      <c r="HO1" s="1088"/>
      <c r="HP1" s="1088"/>
      <c r="HQ1" s="1088"/>
      <c r="HR1" s="1088"/>
      <c r="HS1" s="1088"/>
    </row>
    <row r="2" spans="1:242" ht="14.25" customHeight="1">
      <c r="A2" s="1065" t="s">
        <v>53</v>
      </c>
      <c r="B2" s="1066"/>
      <c r="C2" s="1067"/>
      <c r="D2" s="1066"/>
      <c r="E2" s="1070" t="s">
        <v>332</v>
      </c>
      <c r="F2" s="1068"/>
      <c r="G2" s="1069"/>
      <c r="H2" s="1069"/>
      <c r="I2" s="1089" t="s">
        <v>333</v>
      </c>
      <c r="J2" s="1070" t="s">
        <v>334</v>
      </c>
      <c r="L2" s="1072" t="s">
        <v>335</v>
      </c>
      <c r="M2" s="1073">
        <v>27</v>
      </c>
      <c r="N2" s="1066"/>
      <c r="O2" s="1074">
        <v>110000</v>
      </c>
      <c r="AR2" s="1245" t="s">
        <v>336</v>
      </c>
      <c r="BV2" s="1074" t="s">
        <v>337</v>
      </c>
      <c r="BW2" s="1074">
        <v>75000</v>
      </c>
      <c r="BX2" s="1074"/>
      <c r="CB2" s="1252" t="s">
        <v>336</v>
      </c>
      <c r="CH2" s="884" t="s">
        <v>338</v>
      </c>
      <c r="CM2" s="1090"/>
      <c r="CQ2" s="1069"/>
      <c r="CU2" s="1091"/>
      <c r="FO2" s="1072"/>
      <c r="FP2" s="1072"/>
      <c r="FQ2" s="1072"/>
      <c r="FR2" s="1092"/>
      <c r="FS2" s="1092"/>
      <c r="FT2" s="1092"/>
      <c r="FU2" s="1092"/>
      <c r="FV2" s="1092"/>
      <c r="FW2" s="1092"/>
      <c r="FX2" s="1093"/>
      <c r="GA2" s="1340" t="s">
        <v>339</v>
      </c>
      <c r="GB2" s="1340"/>
      <c r="GC2" s="1340"/>
      <c r="GD2" s="1340"/>
      <c r="GE2" s="1340"/>
      <c r="GF2" s="1340"/>
      <c r="GG2" s="1340"/>
      <c r="GI2" s="1340" t="s">
        <v>340</v>
      </c>
      <c r="GJ2" s="1340"/>
      <c r="GK2" s="1340"/>
      <c r="GL2" s="1340"/>
      <c r="GM2" s="1340"/>
      <c r="GN2" s="1340"/>
      <c r="GO2" s="1340"/>
    </row>
    <row r="3" spans="1:242" ht="14.25" customHeight="1" thickBot="1">
      <c r="A3" s="1065" t="s">
        <v>55</v>
      </c>
      <c r="B3" s="1066"/>
      <c r="C3" s="1067"/>
      <c r="D3" s="1066"/>
      <c r="E3" s="1070" t="s">
        <v>341</v>
      </c>
      <c r="F3" s="1068"/>
      <c r="G3" s="1069"/>
      <c r="H3" s="1069"/>
      <c r="I3" s="1089" t="s">
        <v>342</v>
      </c>
      <c r="J3" s="1070" t="s">
        <v>343</v>
      </c>
      <c r="K3" s="1080" t="s">
        <v>344</v>
      </c>
      <c r="L3" s="1072" t="s">
        <v>345</v>
      </c>
      <c r="M3" s="1073">
        <f>M1-M2</f>
        <v>23</v>
      </c>
      <c r="N3" s="1066"/>
      <c r="O3" s="1074">
        <v>2000000</v>
      </c>
      <c r="AK3" s="1074">
        <f>SUBTOTAL(9,AK7:AK219)</f>
        <v>1234871.3412000006</v>
      </c>
      <c r="AL3" s="1074">
        <f>SUBTOTAL(9,AL7:AL219)</f>
        <v>1211646.0382426658</v>
      </c>
      <c r="AR3" s="1245">
        <v>3199200</v>
      </c>
      <c r="BV3" s="1074" t="s">
        <v>346</v>
      </c>
      <c r="BW3" s="1074">
        <v>15000</v>
      </c>
      <c r="BX3" s="1074"/>
      <c r="CB3" s="1252">
        <v>3600000</v>
      </c>
      <c r="CH3" s="1060" t="s">
        <v>347</v>
      </c>
      <c r="CI3" s="1095"/>
      <c r="CJ3" s="1060"/>
      <c r="CK3" s="1070">
        <v>3199200</v>
      </c>
      <c r="CM3" s="1090"/>
      <c r="CQ3" s="1069"/>
      <c r="CU3" s="1091"/>
      <c r="EG3" s="1078"/>
      <c r="FO3" s="1072"/>
      <c r="FP3" s="1072"/>
      <c r="FQ3" s="1072"/>
      <c r="FR3" s="1092"/>
      <c r="FS3" s="1092"/>
      <c r="FT3" s="1092"/>
      <c r="FU3" s="1092"/>
      <c r="FV3" s="1092"/>
      <c r="FW3" s="1092"/>
      <c r="FX3" s="1093"/>
      <c r="GE3" s="884">
        <v>11</v>
      </c>
      <c r="GF3" s="884">
        <v>12</v>
      </c>
      <c r="GG3" s="1070">
        <v>12</v>
      </c>
    </row>
    <row r="4" spans="1:242" ht="14.25" customHeight="1">
      <c r="A4" s="1096"/>
      <c r="B4" s="1097"/>
      <c r="C4" s="1098"/>
      <c r="D4" s="1097"/>
      <c r="E4" s="884"/>
      <c r="F4" s="1068"/>
      <c r="G4" s="1069"/>
      <c r="H4" s="1069"/>
      <c r="I4" s="1099"/>
      <c r="K4" s="1080" t="s">
        <v>348</v>
      </c>
      <c r="M4" s="1073"/>
      <c r="N4" s="1066"/>
      <c r="O4" s="1100" t="s">
        <v>58</v>
      </c>
      <c r="P4" s="1100">
        <f>P5*12%</f>
        <v>2400</v>
      </c>
      <c r="Q4" s="1100"/>
      <c r="R4" s="1100" t="s">
        <v>349</v>
      </c>
      <c r="S4" s="1100"/>
      <c r="T4" s="1100"/>
      <c r="U4" s="1100"/>
      <c r="V4" s="1100"/>
      <c r="W4" s="1100"/>
      <c r="X4" s="1100"/>
      <c r="Y4" s="1100"/>
      <c r="Z4" s="1100"/>
      <c r="AA4" s="1100"/>
      <c r="AB4" s="1100"/>
      <c r="AC4" s="1100"/>
      <c r="AD4" s="1100"/>
      <c r="AE4" s="1100"/>
      <c r="AF4" s="1100"/>
      <c r="AG4" s="1100"/>
      <c r="AH4" s="1100"/>
      <c r="AI4" s="1100"/>
      <c r="AJ4" s="1100"/>
      <c r="AK4" s="1100"/>
      <c r="AL4" s="1100"/>
      <c r="AM4" s="1100"/>
      <c r="AN4" s="1100"/>
      <c r="AO4" s="1100"/>
      <c r="AP4" s="1100"/>
      <c r="AQ4" s="1246"/>
      <c r="AR4" s="1246" t="s">
        <v>350</v>
      </c>
      <c r="AS4" s="1246"/>
      <c r="AT4" s="1246"/>
      <c r="AU4" s="1246"/>
      <c r="AV4" s="1059"/>
      <c r="AW4" s="1059"/>
      <c r="AX4" s="1101"/>
      <c r="AY4" s="1101"/>
      <c r="AZ4" s="1101"/>
      <c r="BA4" s="1101"/>
      <c r="BB4" s="1101"/>
      <c r="BC4" s="1101"/>
      <c r="BD4" s="1101"/>
      <c r="BE4" s="1101"/>
      <c r="BF4" s="1101"/>
      <c r="BG4" s="1101"/>
      <c r="BH4" s="1101"/>
      <c r="BI4" s="1101"/>
      <c r="BJ4" s="1101"/>
      <c r="BK4" s="1101"/>
      <c r="BL4" s="1101"/>
      <c r="BM4" s="1101"/>
      <c r="BN4" s="1101"/>
      <c r="BO4" s="1101"/>
      <c r="BP4" s="1101"/>
      <c r="BQ4" s="1101"/>
      <c r="BR4" s="1101"/>
      <c r="BS4" s="1101"/>
      <c r="BT4" s="1101"/>
      <c r="BU4" s="1101"/>
      <c r="BV4" s="1074" t="s">
        <v>351</v>
      </c>
      <c r="BW4" s="1317">
        <f>-30000*1.12</f>
        <v>-33600</v>
      </c>
      <c r="BX4" s="1074"/>
      <c r="BY4" s="1101"/>
      <c r="BZ4" s="1101"/>
      <c r="CA4" s="1253"/>
      <c r="CB4" s="1253" t="s">
        <v>350</v>
      </c>
      <c r="CC4" s="1253"/>
      <c r="CD4" s="1253"/>
      <c r="CE4" s="1253"/>
      <c r="CF4" s="1253"/>
      <c r="CG4" s="1263"/>
      <c r="CH4" s="1102"/>
      <c r="CI4" s="1103"/>
      <c r="CJ4" s="1102"/>
      <c r="CK4" s="1104"/>
      <c r="CM4" s="1090"/>
      <c r="CU4" s="1105" t="s">
        <v>352</v>
      </c>
      <c r="CV4" s="1069"/>
      <c r="CW4" s="1069"/>
      <c r="CX4" s="1069"/>
      <c r="CY4" s="1349" t="s">
        <v>353</v>
      </c>
      <c r="CZ4" s="1350"/>
      <c r="DA4" s="1350"/>
      <c r="DB4" s="1351"/>
      <c r="DC4" s="1069"/>
      <c r="DD4" s="1069"/>
      <c r="DE4" s="1069"/>
      <c r="DF4" s="1069"/>
      <c r="DG4" s="1069"/>
      <c r="DH4" s="1069"/>
      <c r="DI4" s="1069"/>
      <c r="DJ4" s="1069"/>
      <c r="DK4" s="1069"/>
      <c r="DL4" s="1069"/>
      <c r="DM4" s="1069"/>
      <c r="DN4" s="1069"/>
      <c r="DO4" s="1069"/>
      <c r="DP4" s="1069"/>
      <c r="DQ4" s="1069"/>
      <c r="DR4" s="1069"/>
      <c r="DS4" s="1069"/>
      <c r="DT4" s="1069"/>
      <c r="DU4" s="1069"/>
      <c r="DV4" s="1069"/>
      <c r="DW4" s="1069"/>
      <c r="DX4" s="1069"/>
      <c r="DY4" s="1069"/>
      <c r="DZ4" s="1069"/>
      <c r="EA4" s="1106"/>
      <c r="EC4" s="1107">
        <v>45839</v>
      </c>
      <c r="ED4" s="1108" t="s">
        <v>354</v>
      </c>
      <c r="EG4" s="1078"/>
      <c r="FO4" s="1072"/>
      <c r="FP4" s="1072"/>
      <c r="FQ4" s="1072"/>
      <c r="FR4" s="1092"/>
      <c r="FS4" s="1092"/>
      <c r="FT4" s="1092"/>
      <c r="FU4" s="1092"/>
      <c r="FV4" s="1092"/>
      <c r="FW4" s="1092"/>
      <c r="FX4" s="1093"/>
      <c r="GE4" s="1092">
        <v>0.25</v>
      </c>
      <c r="GF4" s="1092">
        <v>0.35</v>
      </c>
      <c r="GG4" s="1109">
        <v>0.4</v>
      </c>
    </row>
    <row r="5" spans="1:242" ht="26.45" thickBot="1">
      <c r="E5" s="1089"/>
      <c r="F5" s="1106"/>
      <c r="G5" s="1069"/>
      <c r="H5" s="1069"/>
      <c r="I5" s="1069"/>
      <c r="J5" s="1089"/>
      <c r="K5" s="1106" t="s">
        <v>355</v>
      </c>
      <c r="L5" s="1069"/>
      <c r="M5" s="1069"/>
      <c r="N5" s="823">
        <f>'[5]TSF 2 Price study with Additive'!L3</f>
        <v>100909.09090909091</v>
      </c>
      <c r="O5" s="823" t="s">
        <v>356</v>
      </c>
      <c r="P5" s="824">
        <v>20000</v>
      </c>
      <c r="Q5" s="825">
        <v>50000</v>
      </c>
      <c r="R5" s="826">
        <v>0</v>
      </c>
      <c r="S5" s="826"/>
      <c r="T5" s="826">
        <v>3000</v>
      </c>
      <c r="U5" s="826">
        <v>1000</v>
      </c>
      <c r="V5" s="826">
        <v>2500</v>
      </c>
      <c r="W5" s="826">
        <v>1000</v>
      </c>
      <c r="X5" s="826">
        <v>200</v>
      </c>
      <c r="Y5" s="827">
        <v>20000</v>
      </c>
      <c r="Z5" s="827">
        <v>75000</v>
      </c>
      <c r="AA5" s="1342" t="s">
        <v>357</v>
      </c>
      <c r="AB5" s="828">
        <v>44848</v>
      </c>
      <c r="AC5" s="829">
        <v>2.5000000000000001E-2</v>
      </c>
      <c r="AD5" s="830">
        <v>44849</v>
      </c>
      <c r="AE5" s="829">
        <v>2.5000000000000001E-2</v>
      </c>
      <c r="AF5" s="830" t="s">
        <v>358</v>
      </c>
      <c r="AG5" s="829">
        <v>2.5000000000000001E-2</v>
      </c>
      <c r="AH5" s="829"/>
      <c r="AI5" s="889">
        <v>0.05</v>
      </c>
      <c r="AJ5" s="829"/>
      <c r="AK5" s="994">
        <v>0.01</v>
      </c>
      <c r="AL5" s="995">
        <v>27537.409960060559</v>
      </c>
      <c r="AM5" s="995"/>
      <c r="AN5" s="995"/>
      <c r="AO5" s="830"/>
      <c r="AP5" s="1048">
        <v>0.13500000000000001</v>
      </c>
      <c r="AQ5" s="1247"/>
      <c r="AR5" s="1053">
        <v>2000000</v>
      </c>
      <c r="AS5" s="1053"/>
      <c r="AT5" s="1053"/>
      <c r="AU5" s="1054">
        <v>0.12</v>
      </c>
      <c r="AV5" s="1055"/>
      <c r="AW5" s="1059" t="s">
        <v>359</v>
      </c>
      <c r="AX5" s="1268">
        <v>1.2500000000000001E-2</v>
      </c>
      <c r="AY5" s="1277">
        <f>RECOVERIES!H13</f>
        <v>309227.44160000002</v>
      </c>
      <c r="AZ5" s="1277"/>
      <c r="BA5" s="1268">
        <v>3.7499999999999999E-2</v>
      </c>
      <c r="BB5" s="1277"/>
      <c r="BC5" s="1277">
        <v>30000</v>
      </c>
      <c r="BD5" s="1277">
        <v>260736</v>
      </c>
      <c r="BE5" s="1277"/>
      <c r="BF5" s="1277">
        <f>RECOVERIES!H50</f>
        <v>1238989.2480000001</v>
      </c>
      <c r="BG5" s="1277"/>
      <c r="BH5" s="1277"/>
      <c r="BI5" s="1277"/>
      <c r="BJ5" s="1277"/>
      <c r="BK5" s="1277"/>
      <c r="BL5" s="1277"/>
      <c r="BM5" s="1277"/>
      <c r="BN5" s="1277"/>
      <c r="BO5" s="1277"/>
      <c r="BP5" s="1277">
        <v>187418.72800000003</v>
      </c>
      <c r="BQ5" s="1277"/>
      <c r="BR5" s="1277">
        <v>148873.63680000001</v>
      </c>
      <c r="BS5" s="1277"/>
      <c r="BT5" s="1277">
        <f>RECOVERIES!H88</f>
        <v>65981.988800000006</v>
      </c>
      <c r="BU5" s="1277"/>
      <c r="BV5" s="1318">
        <f>RECOVERIES!H93</f>
        <v>50023.624000000003</v>
      </c>
      <c r="BW5" s="1318"/>
      <c r="BX5" s="1318"/>
      <c r="BY5" s="1277">
        <f>RECOVERIES!H98+RECOVERIES!O94</f>
        <v>1344164.0838315317</v>
      </c>
      <c r="BZ5" s="1277"/>
      <c r="CA5" s="1253"/>
      <c r="CB5" s="1254">
        <v>2000000</v>
      </c>
      <c r="CC5" s="1254"/>
      <c r="CD5" s="1254"/>
      <c r="CE5" s="1255">
        <v>0.12</v>
      </c>
      <c r="CF5" s="1256"/>
      <c r="CG5" s="1264"/>
      <c r="CH5" s="1110"/>
      <c r="CI5" s="1111"/>
      <c r="CJ5" s="1112">
        <f>7.5%+2.75%</f>
        <v>0.10249999999999999</v>
      </c>
      <c r="CK5" s="1112">
        <v>3.5000000000000003E-2</v>
      </c>
      <c r="CL5" s="1069"/>
      <c r="CM5" s="1113">
        <v>0.125</v>
      </c>
      <c r="CN5" s="1069"/>
      <c r="CO5" s="1089">
        <v>30000</v>
      </c>
      <c r="CP5" s="1069"/>
      <c r="CQ5" s="1114"/>
      <c r="CR5" s="1069"/>
      <c r="CS5" s="1076"/>
      <c r="CT5" s="1069"/>
      <c r="CU5" s="1115">
        <v>7.0000000000000007E-2</v>
      </c>
      <c r="CV5" s="1116"/>
      <c r="CW5" s="1117"/>
      <c r="CX5" s="1117"/>
      <c r="CY5" s="1063">
        <v>8.8848788999999997E-2</v>
      </c>
      <c r="CZ5" s="1063">
        <v>3.5157032999999997E-2</v>
      </c>
      <c r="DA5" s="1063">
        <v>2.5393427E-2</v>
      </c>
      <c r="DB5" s="1063">
        <v>1.9325566999999998E-2</v>
      </c>
      <c r="DC5" s="1117"/>
      <c r="DD5" s="1117"/>
      <c r="DE5" s="1117"/>
      <c r="DF5" s="1117"/>
      <c r="DG5" s="1117"/>
      <c r="DH5" s="1117"/>
      <c r="DI5" s="1117"/>
      <c r="DJ5" s="1117"/>
      <c r="DK5" s="1117"/>
      <c r="DL5" s="1117"/>
      <c r="DM5" s="1117"/>
      <c r="DN5" s="1117"/>
      <c r="DO5" s="1117"/>
      <c r="DP5" s="1117"/>
      <c r="DQ5" s="1117"/>
      <c r="DR5" s="1117"/>
      <c r="DS5" s="1117"/>
      <c r="DT5" s="1117"/>
      <c r="DU5" s="1117"/>
      <c r="DV5" s="1117"/>
      <c r="DW5" s="1117"/>
      <c r="DX5" s="1117"/>
      <c r="DY5" s="1117"/>
      <c r="DZ5" s="1117"/>
      <c r="EA5" s="1106"/>
      <c r="EB5" s="1118">
        <f>AT5/AR5</f>
        <v>0</v>
      </c>
      <c r="EC5" s="1026" t="s">
        <v>360</v>
      </c>
      <c r="ED5" s="1050">
        <v>45231</v>
      </c>
      <c r="EE5" s="1119"/>
      <c r="EF5" s="1120" t="s">
        <v>361</v>
      </c>
      <c r="EG5" s="1050">
        <f>ED5</f>
        <v>45231</v>
      </c>
      <c r="EH5" s="1069"/>
      <c r="EI5" s="1069"/>
      <c r="EJ5" s="1069"/>
      <c r="EK5" s="1069"/>
      <c r="EL5" s="1069"/>
      <c r="EM5" s="1069"/>
      <c r="EN5" s="1121" t="s">
        <v>362</v>
      </c>
      <c r="EO5" s="1122" t="s">
        <v>363</v>
      </c>
      <c r="EP5" s="1089"/>
      <c r="EQ5" s="1069"/>
      <c r="ER5" s="1069"/>
      <c r="EV5" s="884" t="s">
        <v>364</v>
      </c>
      <c r="FO5" s="1082"/>
      <c r="FP5" s="1072"/>
      <c r="FR5" s="1083"/>
      <c r="FS5" s="1083"/>
      <c r="FT5" s="1083"/>
      <c r="FU5" s="1083"/>
      <c r="FV5" s="1083"/>
      <c r="FW5" s="1083"/>
      <c r="FX5" s="1123">
        <v>45108</v>
      </c>
      <c r="FY5" s="1123">
        <v>45139</v>
      </c>
      <c r="FZ5" s="1124"/>
      <c r="GB5" s="1125">
        <v>0.15</v>
      </c>
      <c r="GF5" s="1126">
        <v>35</v>
      </c>
      <c r="GJ5" s="1125">
        <v>0.1</v>
      </c>
      <c r="GK5" s="1125">
        <v>2.5000000000000001E-2</v>
      </c>
      <c r="GN5" s="1126">
        <f>GF5</f>
        <v>35</v>
      </c>
      <c r="GO5" s="1070"/>
      <c r="HL5" s="1127">
        <v>33</v>
      </c>
      <c r="IH5" s="1316">
        <f>DATE(2025,9,1)</f>
        <v>45901</v>
      </c>
    </row>
    <row r="6" spans="1:242" s="1060" customFormat="1" ht="39" customHeight="1" thickBot="1">
      <c r="A6" s="832" t="s">
        <v>365</v>
      </c>
      <c r="B6" s="833" t="s">
        <v>366</v>
      </c>
      <c r="C6" s="832" t="s">
        <v>367</v>
      </c>
      <c r="D6" s="833" t="s">
        <v>368</v>
      </c>
      <c r="E6" s="834" t="s">
        <v>369</v>
      </c>
      <c r="F6" s="835" t="s">
        <v>62</v>
      </c>
      <c r="G6" s="836" t="s">
        <v>370</v>
      </c>
      <c r="H6" s="837" t="s">
        <v>371</v>
      </c>
      <c r="I6" s="836" t="s">
        <v>66</v>
      </c>
      <c r="J6" s="838" t="s">
        <v>65</v>
      </c>
      <c r="K6" s="839" t="s">
        <v>372</v>
      </c>
      <c r="L6" s="836" t="s">
        <v>373</v>
      </c>
      <c r="M6" s="836" t="s">
        <v>374</v>
      </c>
      <c r="N6" s="833" t="s">
        <v>375</v>
      </c>
      <c r="O6" s="833" t="s">
        <v>376</v>
      </c>
      <c r="P6" s="833" t="s">
        <v>377</v>
      </c>
      <c r="Q6" s="833" t="s">
        <v>378</v>
      </c>
      <c r="R6" s="840" t="s">
        <v>379</v>
      </c>
      <c r="S6" s="840" t="s">
        <v>380</v>
      </c>
      <c r="T6" s="840" t="s">
        <v>381</v>
      </c>
      <c r="U6" s="841" t="s">
        <v>382</v>
      </c>
      <c r="V6" s="841" t="s">
        <v>383</v>
      </c>
      <c r="W6" s="841" t="s">
        <v>384</v>
      </c>
      <c r="X6" s="841" t="s">
        <v>385</v>
      </c>
      <c r="Y6" s="840" t="s">
        <v>386</v>
      </c>
      <c r="Z6" s="840" t="s">
        <v>387</v>
      </c>
      <c r="AA6" s="1342"/>
      <c r="AB6" s="842" t="s">
        <v>388</v>
      </c>
      <c r="AC6" s="840" t="s">
        <v>389</v>
      </c>
      <c r="AD6" s="840" t="str">
        <f>AB6</f>
        <v>NEW SELLING PRICEL</v>
      </c>
      <c r="AE6" s="840" t="s">
        <v>390</v>
      </c>
      <c r="AF6" s="840" t="str">
        <f>AD6</f>
        <v>NEW SELLING PRICEL</v>
      </c>
      <c r="AG6" s="840" t="s">
        <v>391</v>
      </c>
      <c r="AH6" s="840" t="str">
        <f>AF6</f>
        <v>NEW SELLING PRICEL</v>
      </c>
      <c r="AI6" s="840" t="s">
        <v>392</v>
      </c>
      <c r="AJ6" s="840" t="s">
        <v>393</v>
      </c>
      <c r="AK6" s="840" t="s">
        <v>394</v>
      </c>
      <c r="AL6" s="840" t="s">
        <v>395</v>
      </c>
      <c r="AM6" s="840" t="s">
        <v>44</v>
      </c>
      <c r="AN6" s="840" t="s">
        <v>396</v>
      </c>
      <c r="AO6" s="840" t="s">
        <v>393</v>
      </c>
      <c r="AP6" s="1049" t="s">
        <v>397</v>
      </c>
      <c r="AQ6" s="1056" t="s">
        <v>393</v>
      </c>
      <c r="AR6" s="1057" t="s">
        <v>398</v>
      </c>
      <c r="AS6" s="1057" t="s">
        <v>399</v>
      </c>
      <c r="AT6" s="1057" t="s">
        <v>400</v>
      </c>
      <c r="AU6" s="1057" t="s">
        <v>69</v>
      </c>
      <c r="AV6" s="1058" t="s">
        <v>401</v>
      </c>
      <c r="AW6" s="1056" t="s">
        <v>393</v>
      </c>
      <c r="AX6" s="1250" t="s">
        <v>402</v>
      </c>
      <c r="AY6" s="1250" t="s">
        <v>403</v>
      </c>
      <c r="AZ6" s="1250" t="s">
        <v>404</v>
      </c>
      <c r="BA6" s="1250" t="s">
        <v>405</v>
      </c>
      <c r="BB6" s="1250" t="s">
        <v>406</v>
      </c>
      <c r="BC6" s="1250" t="s">
        <v>407</v>
      </c>
      <c r="BD6" s="1250" t="s">
        <v>408</v>
      </c>
      <c r="BE6" s="1250" t="s">
        <v>409</v>
      </c>
      <c r="BF6" s="1250" t="s">
        <v>410</v>
      </c>
      <c r="BG6" s="1250" t="s">
        <v>411</v>
      </c>
      <c r="BH6" s="1250" t="s">
        <v>412</v>
      </c>
      <c r="BI6" s="1250" t="s">
        <v>413</v>
      </c>
      <c r="BJ6" s="1250" t="s">
        <v>414</v>
      </c>
      <c r="BK6" s="1250" t="s">
        <v>415</v>
      </c>
      <c r="BL6" s="1250" t="s">
        <v>416</v>
      </c>
      <c r="BM6" s="1250" t="s">
        <v>417</v>
      </c>
      <c r="BN6" s="1250" t="s">
        <v>418</v>
      </c>
      <c r="BO6" s="1250" t="s">
        <v>419</v>
      </c>
      <c r="BP6" s="1250" t="s">
        <v>420</v>
      </c>
      <c r="BQ6" s="1250" t="s">
        <v>421</v>
      </c>
      <c r="BR6" s="1250" t="s">
        <v>422</v>
      </c>
      <c r="BS6" s="1250" t="s">
        <v>423</v>
      </c>
      <c r="BT6" s="1250" t="s">
        <v>424</v>
      </c>
      <c r="BU6" s="1250" t="s">
        <v>425</v>
      </c>
      <c r="BV6" s="1250" t="s">
        <v>426</v>
      </c>
      <c r="BW6" s="1250" t="s">
        <v>427</v>
      </c>
      <c r="BX6" s="1250" t="s">
        <v>428</v>
      </c>
      <c r="BY6" s="1250" t="s">
        <v>429</v>
      </c>
      <c r="BZ6" s="1250" t="s">
        <v>430</v>
      </c>
      <c r="CA6" s="1257" t="s">
        <v>393</v>
      </c>
      <c r="CB6" s="1258" t="s">
        <v>398</v>
      </c>
      <c r="CC6" s="1258" t="s">
        <v>399</v>
      </c>
      <c r="CD6" s="1258" t="s">
        <v>400</v>
      </c>
      <c r="CE6" s="1258" t="s">
        <v>69</v>
      </c>
      <c r="CF6" s="1259" t="s">
        <v>401</v>
      </c>
      <c r="CG6" s="1265" t="s">
        <v>72</v>
      </c>
      <c r="CH6" s="837" t="s">
        <v>72</v>
      </c>
      <c r="CI6" s="844" t="s">
        <v>431</v>
      </c>
      <c r="CJ6" s="837" t="s">
        <v>75</v>
      </c>
      <c r="CK6" s="836" t="s">
        <v>76</v>
      </c>
      <c r="CL6" s="836" t="s">
        <v>77</v>
      </c>
      <c r="CM6" s="845" t="s">
        <v>78</v>
      </c>
      <c r="CN6" s="836" t="s">
        <v>79</v>
      </c>
      <c r="CO6" s="836" t="s">
        <v>80</v>
      </c>
      <c r="CP6" s="836" t="s">
        <v>81</v>
      </c>
      <c r="CQ6" s="837" t="s">
        <v>82</v>
      </c>
      <c r="CR6" s="836" t="s">
        <v>83</v>
      </c>
      <c r="CS6" s="845" t="s">
        <v>432</v>
      </c>
      <c r="CT6" s="836" t="s">
        <v>84</v>
      </c>
      <c r="CU6" s="837" t="s">
        <v>433</v>
      </c>
      <c r="CV6" s="837" t="s">
        <v>434</v>
      </c>
      <c r="CW6" s="837" t="s">
        <v>435</v>
      </c>
      <c r="CX6" s="837" t="s">
        <v>436</v>
      </c>
      <c r="CY6" s="1064" t="s">
        <v>437</v>
      </c>
      <c r="CZ6" s="1064" t="s">
        <v>438</v>
      </c>
      <c r="DA6" s="1064" t="s">
        <v>439</v>
      </c>
      <c r="DB6" s="1064" t="s">
        <v>440</v>
      </c>
      <c r="DC6" s="837"/>
      <c r="DD6" s="837"/>
      <c r="DE6" s="837"/>
      <c r="DF6" s="837"/>
      <c r="DG6" s="837"/>
      <c r="DH6" s="837"/>
      <c r="DI6" s="837"/>
      <c r="DJ6" s="837"/>
      <c r="DK6" s="837"/>
      <c r="DL6" s="837"/>
      <c r="DM6" s="837"/>
      <c r="DN6" s="837"/>
      <c r="DO6" s="837"/>
      <c r="DP6" s="837"/>
      <c r="DQ6" s="837"/>
      <c r="DR6" s="837"/>
      <c r="DS6" s="837"/>
      <c r="DT6" s="837"/>
      <c r="DU6" s="837"/>
      <c r="DV6" s="837"/>
      <c r="DW6" s="837"/>
      <c r="DX6" s="837"/>
      <c r="DY6" s="837"/>
      <c r="DZ6" s="837"/>
      <c r="EA6" s="892" t="s">
        <v>441</v>
      </c>
      <c r="EB6" s="1051" t="s">
        <v>442</v>
      </c>
      <c r="EC6" s="1027" t="s">
        <v>443</v>
      </c>
      <c r="ED6" s="1027" t="s">
        <v>444</v>
      </c>
      <c r="EE6" s="1052"/>
      <c r="EF6" s="1027" t="s">
        <v>445</v>
      </c>
      <c r="EG6" s="1028" t="s">
        <v>446</v>
      </c>
      <c r="EH6" s="846" t="s">
        <v>447</v>
      </c>
      <c r="EI6" s="846" t="s">
        <v>448</v>
      </c>
      <c r="EJ6" s="846" t="s">
        <v>449</v>
      </c>
      <c r="EK6" s="846" t="s">
        <v>450</v>
      </c>
      <c r="EL6" s="846" t="s">
        <v>451</v>
      </c>
      <c r="EM6" s="846"/>
      <c r="EN6" s="847" t="s">
        <v>452</v>
      </c>
      <c r="EO6" s="847" t="s">
        <v>453</v>
      </c>
      <c r="EP6" s="843" t="s">
        <v>454</v>
      </c>
      <c r="EQ6" s="1051"/>
      <c r="ER6" s="848" t="s">
        <v>455</v>
      </c>
      <c r="ES6" s="1128"/>
      <c r="ET6" s="849" t="s">
        <v>456</v>
      </c>
      <c r="EU6" s="849" t="s">
        <v>454</v>
      </c>
      <c r="EV6" s="849" t="s">
        <v>457</v>
      </c>
      <c r="EW6" s="849" t="s">
        <v>458</v>
      </c>
      <c r="EX6" s="1128"/>
      <c r="EY6" s="1128" t="s">
        <v>458</v>
      </c>
      <c r="EZ6" s="1128" t="s">
        <v>90</v>
      </c>
      <c r="FB6" s="1334" t="s">
        <v>89</v>
      </c>
      <c r="FC6" s="1334"/>
      <c r="FD6" s="1345"/>
      <c r="FE6" s="1345"/>
      <c r="FF6" s="1345"/>
      <c r="FG6" s="1346"/>
      <c r="FI6" s="1129" t="s">
        <v>459</v>
      </c>
      <c r="FJ6" s="1130" t="s">
        <v>460</v>
      </c>
      <c r="FK6" s="1130" t="s">
        <v>461</v>
      </c>
      <c r="FL6" s="1131"/>
      <c r="FM6" s="1132"/>
      <c r="FN6" s="1336" t="s">
        <v>462</v>
      </c>
      <c r="FO6" s="1337"/>
      <c r="FP6" s="1336" t="s">
        <v>463</v>
      </c>
      <c r="FQ6" s="1341"/>
      <c r="FW6" s="1060" t="s">
        <v>464</v>
      </c>
      <c r="FX6" s="1133" t="s">
        <v>465</v>
      </c>
      <c r="FY6" s="1133" t="s">
        <v>466</v>
      </c>
      <c r="FZ6" s="1134"/>
      <c r="GA6" s="1060" t="str">
        <f>CL6</f>
        <v>Total Contract Price</v>
      </c>
      <c r="GB6" s="1060" t="s">
        <v>467</v>
      </c>
      <c r="GC6" s="1060" t="str">
        <f>CN6</f>
        <v>Equity</v>
      </c>
      <c r="GD6" s="1060" t="str">
        <f>CO6</f>
        <v>Reservation Fee</v>
      </c>
      <c r="GE6" s="1060" t="str">
        <f>CP6</f>
        <v>Net Equity</v>
      </c>
      <c r="GF6" s="1135" t="str">
        <f>CQ6</f>
        <v>Equity Term (Months)</v>
      </c>
      <c r="GG6" s="1136" t="str">
        <f t="shared" ref="GG6" si="0">CR6</f>
        <v>Monthly Equity</v>
      </c>
      <c r="GH6" s="1137"/>
      <c r="GI6" s="1060" t="s">
        <v>77</v>
      </c>
      <c r="GJ6" s="1060" t="s">
        <v>468</v>
      </c>
      <c r="GK6" s="1060" t="s">
        <v>469</v>
      </c>
      <c r="GL6" s="1060" t="s">
        <v>80</v>
      </c>
      <c r="GM6" s="1060" t="s">
        <v>81</v>
      </c>
      <c r="GN6" s="1135" t="s">
        <v>82</v>
      </c>
      <c r="GO6" s="1136" t="s">
        <v>83</v>
      </c>
      <c r="GP6" s="1137"/>
      <c r="GR6" s="1137"/>
      <c r="GS6" s="1046" t="str">
        <f t="shared" ref="GS6:HB7" si="1">CL6</f>
        <v>Total Contract Price</v>
      </c>
      <c r="GT6" s="1047" t="str">
        <f t="shared" si="1"/>
        <v>Equity Rate</v>
      </c>
      <c r="GU6" s="1021" t="str">
        <f t="shared" si="1"/>
        <v>Equity</v>
      </c>
      <c r="GV6" s="1021" t="str">
        <f t="shared" si="1"/>
        <v>Reservation Fee</v>
      </c>
      <c r="GW6" s="1021" t="str">
        <f t="shared" si="1"/>
        <v>Net Equity</v>
      </c>
      <c r="GX6" s="1046" t="str">
        <f t="shared" si="1"/>
        <v>Equity Term (Months)</v>
      </c>
      <c r="GY6" s="1021" t="str">
        <f t="shared" si="1"/>
        <v>Monthly Equity</v>
      </c>
      <c r="GZ6" s="1021" t="str">
        <f t="shared" si="1"/>
        <v>Balance %</v>
      </c>
      <c r="HA6" s="1021" t="str">
        <f t="shared" si="1"/>
        <v>Loanable Amount</v>
      </c>
      <c r="HB6" s="1046" t="str">
        <f t="shared" si="1"/>
        <v>Monthly Amort. 20 years @ 7% fixed 3 yrs only</v>
      </c>
      <c r="HC6" s="1046" t="str">
        <f t="shared" ref="HC6:HC7" si="2">CV6</f>
        <v>Monthly Amort. 15 years @ 7% fixed 3 yrs only</v>
      </c>
      <c r="HD6" s="1046" t="str">
        <f t="shared" ref="HD6:HD7" si="3">CW6</f>
        <v>Monthly Amort. 10 years @ 7% fixed 3 yrs only</v>
      </c>
      <c r="HE6" s="1046" t="str">
        <f t="shared" ref="HE6:HE7" si="4">CX6</f>
        <v>Monthly Amort. 5 years @ 7% fixed 3 yrs only</v>
      </c>
      <c r="HF6" s="1137"/>
      <c r="HG6" s="1046" t="str">
        <f>GS6</f>
        <v>Total Contract Price</v>
      </c>
      <c r="HH6" s="1021" t="str">
        <f t="shared" ref="HH6:HQ7" si="5">GT6</f>
        <v>Equity Rate</v>
      </c>
      <c r="HI6" s="1021" t="str">
        <f t="shared" si="5"/>
        <v>Equity</v>
      </c>
      <c r="HJ6" s="1021" t="str">
        <f t="shared" si="5"/>
        <v>Reservation Fee</v>
      </c>
      <c r="HK6" s="1021" t="str">
        <f t="shared" si="5"/>
        <v>Net Equity</v>
      </c>
      <c r="HL6" s="1046" t="str">
        <f t="shared" si="5"/>
        <v>Equity Term (Months)</v>
      </c>
      <c r="HM6" s="1021" t="str">
        <f t="shared" si="5"/>
        <v>Monthly Equity</v>
      </c>
      <c r="HN6" s="1021" t="str">
        <f t="shared" si="5"/>
        <v>Balance %</v>
      </c>
      <c r="HO6" s="1021" t="str">
        <f t="shared" si="5"/>
        <v>Loanable Amount</v>
      </c>
      <c r="HP6" s="1046" t="str">
        <f t="shared" si="5"/>
        <v>Monthly Amort. 20 years @ 7% fixed 3 yrs only</v>
      </c>
      <c r="HQ6" s="1046" t="str">
        <f t="shared" si="5"/>
        <v>Monthly Amort. 15 years @ 7% fixed 3 yrs only</v>
      </c>
      <c r="HR6" s="1046" t="str">
        <f t="shared" ref="HR6" si="6">HD6</f>
        <v>Monthly Amort. 10 years @ 7% fixed 3 yrs only</v>
      </c>
      <c r="HS6" s="1046" t="str">
        <f t="shared" ref="HS6" si="7">HE6</f>
        <v>Monthly Amort. 5 years @ 7% fixed 3 yrs only</v>
      </c>
      <c r="HT6" s="1137"/>
      <c r="HU6" s="1046" t="s">
        <v>470</v>
      </c>
      <c r="IF6" s="1311" t="s">
        <v>471</v>
      </c>
      <c r="IG6" s="1312" t="s">
        <v>472</v>
      </c>
      <c r="IH6" s="1311" t="s">
        <v>473</v>
      </c>
    </row>
    <row r="7" spans="1:242" s="1060" customFormat="1" ht="26.1" hidden="1">
      <c r="A7" s="855">
        <v>1</v>
      </c>
      <c r="B7" s="856" t="s">
        <v>149</v>
      </c>
      <c r="C7" s="855">
        <v>1</v>
      </c>
      <c r="D7" s="856" t="s">
        <v>474</v>
      </c>
      <c r="E7" s="857" t="str">
        <f>D7</f>
        <v>2nd Floor</v>
      </c>
      <c r="F7" s="891"/>
      <c r="G7" s="764" t="s">
        <v>146</v>
      </c>
      <c r="H7" s="764" t="s">
        <v>475</v>
      </c>
      <c r="I7" s="764" t="s">
        <v>476</v>
      </c>
      <c r="J7" s="831">
        <v>22</v>
      </c>
      <c r="K7" s="892"/>
      <c r="L7" s="764" t="s">
        <v>344</v>
      </c>
      <c r="M7" s="764" t="s">
        <v>477</v>
      </c>
      <c r="N7" s="856">
        <f>$N$5</f>
        <v>100909.09090909091</v>
      </c>
      <c r="O7" s="856">
        <f>J7*N7</f>
        <v>2220000</v>
      </c>
      <c r="P7" s="1138">
        <f>P4+P5</f>
        <v>22400</v>
      </c>
      <c r="Q7" s="1138">
        <f t="shared" ref="Q7:Q70" si="8">$Q$5</f>
        <v>50000</v>
      </c>
      <c r="R7" s="893"/>
      <c r="S7" s="893"/>
      <c r="T7" s="893"/>
      <c r="U7" s="858"/>
      <c r="V7" s="858"/>
      <c r="W7" s="858">
        <f>J7*$W$5</f>
        <v>22000</v>
      </c>
      <c r="X7" s="858"/>
      <c r="Y7" s="893"/>
      <c r="Z7" s="1138">
        <f t="shared" ref="Z7:Z12" si="9">$Z$5</f>
        <v>75000</v>
      </c>
      <c r="AA7" s="1138">
        <f>SUM(P7:Z7)</f>
        <v>169400</v>
      </c>
      <c r="AB7" s="1138">
        <f>O7+AA7</f>
        <v>2389400</v>
      </c>
      <c r="AC7" s="1138">
        <f>AB7*$AC$5</f>
        <v>59735</v>
      </c>
      <c r="AD7" s="1138">
        <f>AB7+AC7</f>
        <v>2449135</v>
      </c>
      <c r="AE7" s="1138">
        <f>AD7*$AE$5</f>
        <v>61228.375</v>
      </c>
      <c r="AF7" s="1138">
        <f>AD7+AE7</f>
        <v>2510363.375</v>
      </c>
      <c r="AG7" s="1138">
        <f>AF7*$AG$5</f>
        <v>62759.084375000006</v>
      </c>
      <c r="AH7" s="1138">
        <f>AF7+AG7</f>
        <v>2573122.4593750001</v>
      </c>
      <c r="AI7" s="1138">
        <f t="shared" ref="AI7:AI15" si="10">AH7*$AI$5</f>
        <v>128656.12296875002</v>
      </c>
      <c r="AJ7" s="1138">
        <f>AH7+AI7</f>
        <v>2701778.5823437502</v>
      </c>
      <c r="AK7" s="1138">
        <f>AJ7*$AK$5</f>
        <v>27017.785823437502</v>
      </c>
      <c r="AL7" s="1138">
        <f>$AL$5</f>
        <v>27537.409960060559</v>
      </c>
      <c r="AM7" s="1138"/>
      <c r="AN7" s="1138"/>
      <c r="AO7" s="1138">
        <f>AJ7+AK7+AL7+AM7+AN7</f>
        <v>2756333.7781272479</v>
      </c>
      <c r="AP7" s="1138">
        <f>AO7*$AP$5</f>
        <v>372105.06004717847</v>
      </c>
      <c r="AQ7" s="1248">
        <f>AO7+AP7</f>
        <v>3128438.8381744265</v>
      </c>
      <c r="AR7" s="1248">
        <f>AQ7</f>
        <v>3128438.8381744265</v>
      </c>
      <c r="AS7" s="1248"/>
      <c r="AT7" s="1248"/>
      <c r="AU7" s="1248">
        <f>AT7*$AU$5</f>
        <v>0</v>
      </c>
      <c r="AV7" s="1140">
        <f>AT7+AU7</f>
        <v>0</v>
      </c>
      <c r="AW7" s="1140">
        <f>AQ7+AU7</f>
        <v>3128438.8381744265</v>
      </c>
      <c r="AX7" s="1139">
        <f>AW7*$AX$5</f>
        <v>39105.485477180329</v>
      </c>
      <c r="AY7" s="831" t="s">
        <v>478</v>
      </c>
      <c r="AZ7" s="831">
        <f>AW7+AX7+AY7</f>
        <v>3167544.3236516067</v>
      </c>
      <c r="BA7" s="831">
        <f>AZ7*$BA$5</f>
        <v>118782.91213693525</v>
      </c>
      <c r="BB7" s="831"/>
      <c r="BC7" s="831">
        <f t="shared" ref="BC7:BC41" si="11">$BC$5*1.12</f>
        <v>33600</v>
      </c>
      <c r="BD7" s="831"/>
      <c r="BE7" s="831">
        <f>AZ7+BA7+BB7+BC7+BD7</f>
        <v>3319927.2357885418</v>
      </c>
      <c r="BF7" s="831"/>
      <c r="BG7" s="831">
        <f>BE7+BF7</f>
        <v>3319927.2357885418</v>
      </c>
      <c r="BH7" s="831"/>
      <c r="BI7" s="831">
        <f>BG7+BH7</f>
        <v>3319927.2357885418</v>
      </c>
      <c r="BJ7" s="831"/>
      <c r="BK7" s="831">
        <f>BI7+BJ7</f>
        <v>3319927.2357885418</v>
      </c>
      <c r="BL7" s="831"/>
      <c r="BM7" s="831">
        <f>BK7+BL7</f>
        <v>3319927.2357885418</v>
      </c>
      <c r="BN7" s="831"/>
      <c r="BO7" s="831">
        <f>BM7+BN7</f>
        <v>3319927.2357885418</v>
      </c>
      <c r="BP7" s="831"/>
      <c r="BQ7" s="831">
        <f>BO7+BP7</f>
        <v>3319927.2357885418</v>
      </c>
      <c r="BR7" s="831"/>
      <c r="BS7" s="831">
        <f>BQ7+BR7</f>
        <v>3319927.2357885418</v>
      </c>
      <c r="BT7" s="831"/>
      <c r="BU7" s="831">
        <f>BS7+BT7</f>
        <v>3319927.2357885418</v>
      </c>
      <c r="BV7" s="831"/>
      <c r="BW7" s="831">
        <f>$BW$2+$BW$3-BC7</f>
        <v>56400</v>
      </c>
      <c r="BX7" s="831">
        <f>SUM(BU7:BW7)</f>
        <v>3376327.2357885418</v>
      </c>
      <c r="BY7" s="831"/>
      <c r="BZ7" s="831">
        <f>BX7+BY7</f>
        <v>3376327.2357885418</v>
      </c>
      <c r="CA7" s="1260">
        <f>BZ7</f>
        <v>3376327.2357885418</v>
      </c>
      <c r="CB7" s="1260">
        <f>CA7-CD7</f>
        <v>3376327.2357885418</v>
      </c>
      <c r="CC7" s="1260"/>
      <c r="CD7" s="1260">
        <f>CC7*J7</f>
        <v>0</v>
      </c>
      <c r="CE7" s="1260">
        <f>CD7*$CE$5</f>
        <v>0</v>
      </c>
      <c r="CF7" s="1260">
        <f>CD7+CE7</f>
        <v>0</v>
      </c>
      <c r="CG7" s="1266">
        <f>CA7+CE7</f>
        <v>3376327.2357885418</v>
      </c>
      <c r="CH7" s="1141">
        <f>CG7</f>
        <v>3376327.2357885418</v>
      </c>
      <c r="CI7" s="1142">
        <f>IF(CB7&lt;=$CB$3,0,12%*CB7)</f>
        <v>0</v>
      </c>
      <c r="CJ7" s="1141">
        <f>CH7*CJ$5</f>
        <v>346073.54166832555</v>
      </c>
      <c r="CK7" s="1141">
        <f>CH7*CK$5</f>
        <v>118171.45325259898</v>
      </c>
      <c r="CL7" s="1143">
        <f>SUM(CH7:CK7)</f>
        <v>3840572.2307094666</v>
      </c>
      <c r="CM7" s="1144">
        <f>$CM$5</f>
        <v>0.125</v>
      </c>
      <c r="CN7" s="1141">
        <f>CL7*CM7</f>
        <v>480071.52883868333</v>
      </c>
      <c r="CO7" s="1141">
        <f>$CO$5</f>
        <v>30000</v>
      </c>
      <c r="CP7" s="1141">
        <f>CN7-CO7</f>
        <v>450071.52883868333</v>
      </c>
      <c r="CQ7" s="1145">
        <f>VLOOKUP(E7,$IF$6:$IH$19,3,FALSE)</f>
        <v>18</v>
      </c>
      <c r="CR7" s="1141">
        <f>CP7/CQ7</f>
        <v>25003.973824371296</v>
      </c>
      <c r="CS7" s="1144">
        <f>100%-CM7</f>
        <v>0.875</v>
      </c>
      <c r="CT7" s="1141">
        <f>CL7*CS7</f>
        <v>3360500.7018707832</v>
      </c>
      <c r="CU7" s="1146">
        <f t="shared" ref="CU7:CU70" si="12">-PMT($CU$5/12,240,CT7,0)</f>
        <v>26053.926173068994</v>
      </c>
      <c r="CV7" s="1146">
        <f t="shared" ref="CV7:CV70" si="13">-PMT($CU$5/12,180,CT7,0)</f>
        <v>30205.130350608837</v>
      </c>
      <c r="CW7" s="1146">
        <f t="shared" ref="CW7:CW70" si="14">-PMT($CU$5/12,120,CT7,0)</f>
        <v>39018.262590733539</v>
      </c>
      <c r="CX7" s="1146">
        <f t="shared" ref="CX7:CX70" si="15">-PMT($CU$5/12,60,CT7,0)</f>
        <v>66541.941592727337</v>
      </c>
      <c r="CY7" s="1146">
        <f>(CL7*80%)*$CY$5</f>
        <v>272984.15341245179</v>
      </c>
      <c r="CZ7" s="1146">
        <f>(CL7*80%)*$CZ$5</f>
        <v>108018.49972314907</v>
      </c>
      <c r="DA7" s="1146">
        <f>(CL7*80%)*$DA$5</f>
        <v>78020.232462998407</v>
      </c>
      <c r="DB7" s="1146">
        <f>(CL7*80%)*$DB$5</f>
        <v>59376.988770332202</v>
      </c>
      <c r="DC7" s="1146"/>
      <c r="DD7" s="1146"/>
      <c r="DE7" s="1146"/>
      <c r="DF7" s="1146"/>
      <c r="DG7" s="1146"/>
      <c r="DH7" s="1146"/>
      <c r="DI7" s="1146"/>
      <c r="DJ7" s="1146"/>
      <c r="DK7" s="1146"/>
      <c r="DL7" s="1146"/>
      <c r="DM7" s="1146"/>
      <c r="DN7" s="1146"/>
      <c r="DO7" s="1146"/>
      <c r="DP7" s="1146"/>
      <c r="DQ7" s="1146"/>
      <c r="DR7" s="1146"/>
      <c r="DS7" s="1146"/>
      <c r="DT7" s="1146"/>
      <c r="DU7" s="1146"/>
      <c r="DV7" s="1146"/>
      <c r="DW7" s="1146"/>
      <c r="DX7" s="1146"/>
      <c r="DY7" s="1146"/>
      <c r="DZ7" s="1146"/>
      <c r="EA7" s="1147">
        <f>AT7/AR7</f>
        <v>0</v>
      </c>
      <c r="EB7" s="1148">
        <f>CF7/CB7</f>
        <v>0</v>
      </c>
      <c r="EC7" s="1107">
        <f>EC4</f>
        <v>45839</v>
      </c>
      <c r="ED7" s="1029">
        <f t="shared" ref="ED7:ED70" si="16">(YEAR(EC7)-YEAR($ED$5))*12+MONTH(EC7)-MONTH($ED$5)</f>
        <v>20</v>
      </c>
      <c r="EE7" s="1149"/>
      <c r="EF7" s="1030">
        <f t="shared" ref="EF7:EF70" si="17">EC7+65</f>
        <v>45904</v>
      </c>
      <c r="EG7" s="1029">
        <f>(YEAR(EF7)-YEAR($EG$5))*12+MONTH(EF7)-MONTH($EG$5)+$EG$4+$EG$3</f>
        <v>22</v>
      </c>
      <c r="EH7" s="846" t="s">
        <v>479</v>
      </c>
      <c r="EI7" s="846" t="s">
        <v>480</v>
      </c>
      <c r="EJ7" s="850">
        <f t="shared" ref="EJ7:EJ70" si="18">EK7/J7</f>
        <v>0</v>
      </c>
      <c r="EK7" s="850">
        <f t="shared" ref="EK7:EK70" si="19">AV7</f>
        <v>0</v>
      </c>
      <c r="EL7" s="851">
        <f t="shared" ref="EL7:EL70" si="20">AV7/AR7</f>
        <v>0</v>
      </c>
      <c r="EM7" s="847"/>
      <c r="EN7" s="850"/>
      <c r="EO7" s="850"/>
      <c r="EP7" s="850">
        <f t="shared" ref="EP7:EP70" si="21">EN7-EO7</f>
        <v>0</v>
      </c>
      <c r="EQ7" s="1051"/>
      <c r="ER7" s="1150"/>
      <c r="ES7" s="1128"/>
      <c r="ET7" s="1151" t="s">
        <v>146</v>
      </c>
      <c r="EU7" s="1128" t="b">
        <f t="shared" ref="EU7:EU70" si="22">G7=ET7</f>
        <v>1</v>
      </c>
      <c r="EV7" s="1152" t="s">
        <v>481</v>
      </c>
      <c r="EW7" s="1153" t="s">
        <v>482</v>
      </c>
      <c r="EX7" s="1128"/>
      <c r="EY7" s="1128" t="s">
        <v>483</v>
      </c>
      <c r="EZ7" s="1128" t="s">
        <v>484</v>
      </c>
      <c r="FA7" s="1154">
        <f>CA7-CH7</f>
        <v>0</v>
      </c>
      <c r="FB7" s="1155" t="s">
        <v>81</v>
      </c>
      <c r="FC7" s="1155"/>
      <c r="FD7" s="1156">
        <f>CP7</f>
        <v>450071.52883868333</v>
      </c>
      <c r="FE7" s="1157"/>
      <c r="FF7" s="1157"/>
      <c r="FG7" s="1158"/>
      <c r="FI7" s="1309" t="s">
        <v>149</v>
      </c>
      <c r="FJ7" s="1159" t="s">
        <v>149</v>
      </c>
      <c r="FK7" s="1160" t="b">
        <f>FI7=FJ7</f>
        <v>1</v>
      </c>
      <c r="FL7" s="1131"/>
      <c r="FM7" s="1161"/>
      <c r="FN7" s="997" t="s">
        <v>485</v>
      </c>
      <c r="FO7" s="998" t="s">
        <v>486</v>
      </c>
      <c r="FP7" s="999" t="s">
        <v>487</v>
      </c>
      <c r="FQ7" s="998" t="s">
        <v>486</v>
      </c>
      <c r="FR7" s="1021" t="s">
        <v>488</v>
      </c>
      <c r="FS7" s="1022"/>
      <c r="FT7" s="1022"/>
      <c r="FU7" s="1295"/>
      <c r="FV7" s="1295"/>
      <c r="FW7" s="1023">
        <v>0.15</v>
      </c>
      <c r="FX7" s="1162">
        <v>14136.810431904947</v>
      </c>
      <c r="FY7" s="1163">
        <v>14578.585757901978</v>
      </c>
      <c r="FZ7" s="1137"/>
      <c r="GA7" s="1164">
        <f>CL7</f>
        <v>3840572.2307094666</v>
      </c>
      <c r="GB7" s="1165">
        <f>$GB$5</f>
        <v>0.15</v>
      </c>
      <c r="GC7" s="1154">
        <f>GA7*GB7</f>
        <v>576085.83460642002</v>
      </c>
      <c r="GD7" s="1164">
        <f>CO7</f>
        <v>30000</v>
      </c>
      <c r="GE7" s="1154">
        <f>GC7-GD7</f>
        <v>546085.83460642002</v>
      </c>
      <c r="GF7" s="1060">
        <f>$GF$5</f>
        <v>35</v>
      </c>
      <c r="GG7" s="1166">
        <f>GE7/GF7</f>
        <v>15602.452417326285</v>
      </c>
      <c r="GH7" s="1137"/>
      <c r="GI7" s="1164">
        <f>GA7</f>
        <v>3840572.2307094666</v>
      </c>
      <c r="GJ7" s="1154">
        <f>GI7*$GJ$5</f>
        <v>384057.2230709467</v>
      </c>
      <c r="GK7" s="1154">
        <f>GI7*$GK$5</f>
        <v>96014.305767736674</v>
      </c>
      <c r="GL7" s="1166">
        <v>15000</v>
      </c>
      <c r="GM7" s="1154">
        <f>GJ7-GL7</f>
        <v>369057.2230709467</v>
      </c>
      <c r="GN7" s="1060">
        <f>$GN$5</f>
        <v>35</v>
      </c>
      <c r="GO7" s="1154">
        <f>GM7/GN7</f>
        <v>10544.492087741333</v>
      </c>
      <c r="GP7" s="1137"/>
      <c r="GR7" s="1137"/>
      <c r="GS7" s="1010">
        <f t="shared" si="1"/>
        <v>3840572.2307094666</v>
      </c>
      <c r="GT7" s="1011">
        <f t="shared" si="1"/>
        <v>0.125</v>
      </c>
      <c r="GU7" s="1010">
        <f t="shared" si="1"/>
        <v>480071.52883868333</v>
      </c>
      <c r="GV7" s="1010">
        <f t="shared" si="1"/>
        <v>30000</v>
      </c>
      <c r="GW7" s="1010">
        <f t="shared" si="1"/>
        <v>450071.52883868333</v>
      </c>
      <c r="GX7" s="1010">
        <f t="shared" si="1"/>
        <v>18</v>
      </c>
      <c r="GY7" s="1010">
        <f t="shared" si="1"/>
        <v>25003.973824371296</v>
      </c>
      <c r="GZ7" s="1011">
        <f t="shared" si="1"/>
        <v>0.875</v>
      </c>
      <c r="HA7" s="1010">
        <f t="shared" si="1"/>
        <v>3360500.7018707832</v>
      </c>
      <c r="HB7" s="1010">
        <f t="shared" si="1"/>
        <v>26053.926173068994</v>
      </c>
      <c r="HC7" s="1010">
        <f t="shared" si="2"/>
        <v>30205.130350608837</v>
      </c>
      <c r="HD7" s="1010">
        <f t="shared" si="3"/>
        <v>39018.262590733539</v>
      </c>
      <c r="HE7" s="1010">
        <f t="shared" si="4"/>
        <v>66541.941592727337</v>
      </c>
      <c r="HF7" s="1137"/>
      <c r="HG7" s="1010">
        <f>GS7</f>
        <v>3840572.2307094666</v>
      </c>
      <c r="HH7" s="1011">
        <f t="shared" si="5"/>
        <v>0.125</v>
      </c>
      <c r="HI7" s="1010">
        <f t="shared" si="5"/>
        <v>480071.52883868333</v>
      </c>
      <c r="HJ7" s="1010">
        <f t="shared" si="5"/>
        <v>30000</v>
      </c>
      <c r="HK7" s="1010">
        <f t="shared" si="5"/>
        <v>450071.52883868333</v>
      </c>
      <c r="HL7" s="1012">
        <f>$HL$5</f>
        <v>33</v>
      </c>
      <c r="HM7" s="1167">
        <f>HK7/HL7</f>
        <v>13638.531176929799</v>
      </c>
      <c r="HN7" s="1168">
        <f>100%-HH7</f>
        <v>0.875</v>
      </c>
      <c r="HO7" s="1167">
        <f>HG7*HN7</f>
        <v>3360500.7018707832</v>
      </c>
      <c r="HP7" s="1146">
        <f>-PMT(7%/12,240,HO7,0)</f>
        <v>26053.926173068994</v>
      </c>
      <c r="HQ7" s="1146">
        <f>-PMT(7%/12,180,HO7,0)</f>
        <v>30205.130350608837</v>
      </c>
      <c r="HR7" s="1146">
        <f>-PMT(7%/12,120,HO7,0)</f>
        <v>39018.262590733539</v>
      </c>
      <c r="HS7" s="1146">
        <f>-PMT(7%/12,60,HO7,0)</f>
        <v>66541.941592727337</v>
      </c>
      <c r="HT7" s="1137"/>
      <c r="HU7" s="1167">
        <f>HM7-GY7</f>
        <v>-11365.442647441498</v>
      </c>
      <c r="HX7" s="1154"/>
      <c r="HY7" s="1154"/>
      <c r="IB7" s="1154"/>
      <c r="IC7" s="1154"/>
      <c r="ID7" s="1154"/>
      <c r="IE7" s="1154"/>
      <c r="IF7" s="1313"/>
      <c r="IG7" s="1314"/>
      <c r="IH7" s="1313"/>
    </row>
    <row r="8" spans="1:242" s="1060" customFormat="1" ht="14.45" hidden="1">
      <c r="A8" s="855">
        <f>A7+1</f>
        <v>2</v>
      </c>
      <c r="B8" s="856" t="s">
        <v>149</v>
      </c>
      <c r="C8" s="855">
        <f>C7+1</f>
        <v>2</v>
      </c>
      <c r="D8" s="856" t="s">
        <v>474</v>
      </c>
      <c r="E8" s="857" t="str">
        <f t="shared" ref="E8:E71" si="23">D8</f>
        <v>2nd Floor</v>
      </c>
      <c r="F8" s="891"/>
      <c r="G8" s="764" t="s">
        <v>150</v>
      </c>
      <c r="H8" s="764" t="s">
        <v>489</v>
      </c>
      <c r="I8" s="764" t="s">
        <v>476</v>
      </c>
      <c r="J8" s="831">
        <v>22</v>
      </c>
      <c r="K8" s="892"/>
      <c r="L8" s="764" t="s">
        <v>344</v>
      </c>
      <c r="M8" s="764" t="s">
        <v>477</v>
      </c>
      <c r="N8" s="856">
        <f t="shared" ref="N8:N71" si="24">$N$5</f>
        <v>100909.09090909091</v>
      </c>
      <c r="O8" s="856">
        <f t="shared" ref="O8:O12" si="25">J8*N8</f>
        <v>2220000</v>
      </c>
      <c r="P8" s="1138">
        <f>$P$7</f>
        <v>22400</v>
      </c>
      <c r="Q8" s="1138">
        <f t="shared" si="8"/>
        <v>50000</v>
      </c>
      <c r="R8" s="893"/>
      <c r="S8" s="893"/>
      <c r="T8" s="893"/>
      <c r="U8" s="858"/>
      <c r="V8" s="858"/>
      <c r="W8" s="858">
        <f t="shared" ref="W8:W9" si="26">J8*$W$5</f>
        <v>22000</v>
      </c>
      <c r="X8" s="858"/>
      <c r="Y8" s="893"/>
      <c r="Z8" s="1138">
        <f t="shared" si="9"/>
        <v>75000</v>
      </c>
      <c r="AA8" s="1138">
        <f t="shared" ref="AA8:AA13" si="27">SUM(P8:Z8)</f>
        <v>169400</v>
      </c>
      <c r="AB8" s="1138">
        <f t="shared" ref="AB8:AB71" si="28">O8+AA8</f>
        <v>2389400</v>
      </c>
      <c r="AC8" s="1138">
        <f t="shared" ref="AC8:AC71" si="29">AB8*$AC$5</f>
        <v>59735</v>
      </c>
      <c r="AD8" s="1138">
        <f t="shared" ref="AD8:AD71" si="30">AB8+AC8</f>
        <v>2449135</v>
      </c>
      <c r="AE8" s="1138">
        <f t="shared" ref="AE8:AE71" si="31">AD8*$AE$5</f>
        <v>61228.375</v>
      </c>
      <c r="AF8" s="1138">
        <f t="shared" ref="AF8:AF71" si="32">AD8+AE8</f>
        <v>2510363.375</v>
      </c>
      <c r="AG8" s="1138">
        <f t="shared" ref="AG8:AG71" si="33">AF8*$AG$5</f>
        <v>62759.084375000006</v>
      </c>
      <c r="AH8" s="1138">
        <f t="shared" ref="AH8:AH71" si="34">AF8+AG8</f>
        <v>2573122.4593750001</v>
      </c>
      <c r="AI8" s="1138">
        <f t="shared" si="10"/>
        <v>128656.12296875002</v>
      </c>
      <c r="AJ8" s="1138">
        <f t="shared" ref="AJ8:AJ71" si="35">AH8+AI8</f>
        <v>2701778.5823437502</v>
      </c>
      <c r="AK8" s="1138">
        <f t="shared" ref="AK8:AK71" si="36">AJ8*$AK$5</f>
        <v>27017.785823437502</v>
      </c>
      <c r="AL8" s="1138">
        <f t="shared" ref="AL8:AL71" si="37">$AL$5</f>
        <v>27537.409960060559</v>
      </c>
      <c r="AM8" s="1138"/>
      <c r="AN8" s="1138"/>
      <c r="AO8" s="1138">
        <f t="shared" ref="AO8:AO71" si="38">AJ8+AK8+AL8+AM8+AN8</f>
        <v>2756333.7781272479</v>
      </c>
      <c r="AP8" s="1138">
        <f t="shared" ref="AP8:AP71" si="39">AO8*$AP$5</f>
        <v>372105.06004717847</v>
      </c>
      <c r="AQ8" s="1248">
        <f t="shared" ref="AQ8:AQ71" si="40">AO8+AP8</f>
        <v>3128438.8381744265</v>
      </c>
      <c r="AR8" s="1248">
        <f t="shared" ref="AR8:AR9" si="41">AQ8</f>
        <v>3128438.8381744265</v>
      </c>
      <c r="AS8" s="1248"/>
      <c r="AT8" s="1248"/>
      <c r="AU8" s="1248">
        <f t="shared" ref="AU8:AU71" si="42">AT8*$AU$5</f>
        <v>0</v>
      </c>
      <c r="AV8" s="1140">
        <f t="shared" ref="AV8:AV71" si="43">AT8+AU8</f>
        <v>0</v>
      </c>
      <c r="AW8" s="1140">
        <f t="shared" ref="AW8:AW71" si="44">AQ8+AU8</f>
        <v>3128438.8381744265</v>
      </c>
      <c r="AX8" s="1139">
        <f t="shared" ref="AX8:AX71" si="45">AW8*$AX$5</f>
        <v>39105.485477180329</v>
      </c>
      <c r="AY8" s="831" t="s">
        <v>478</v>
      </c>
      <c r="AZ8" s="831">
        <f t="shared" ref="AZ8:AZ71" si="46">AW8+AX8+AY8</f>
        <v>3167544.3236516067</v>
      </c>
      <c r="BA8" s="831">
        <f t="shared" ref="BA8:BA71" si="47">AZ8*$BA$5</f>
        <v>118782.91213693525</v>
      </c>
      <c r="BB8" s="831"/>
      <c r="BC8" s="831">
        <f t="shared" si="11"/>
        <v>33600</v>
      </c>
      <c r="BD8" s="831"/>
      <c r="BE8" s="831">
        <f t="shared" ref="BE8:BE71" si="48">AZ8+BA8+BB8+BC8+BD8</f>
        <v>3319927.2357885418</v>
      </c>
      <c r="BF8" s="831"/>
      <c r="BG8" s="831">
        <f t="shared" ref="BG8:BG71" si="49">BE8+BF8</f>
        <v>3319927.2357885418</v>
      </c>
      <c r="BH8" s="831"/>
      <c r="BI8" s="831">
        <f t="shared" ref="BI8:BI71" si="50">BG8+BH8</f>
        <v>3319927.2357885418</v>
      </c>
      <c r="BJ8" s="831"/>
      <c r="BK8" s="831">
        <f t="shared" ref="BK8:BK71" si="51">BI8+BJ8</f>
        <v>3319927.2357885418</v>
      </c>
      <c r="BL8" s="831"/>
      <c r="BM8" s="831">
        <f t="shared" ref="BM8:BM71" si="52">BK8+BL8</f>
        <v>3319927.2357885418</v>
      </c>
      <c r="BN8" s="831"/>
      <c r="BO8" s="831">
        <f t="shared" ref="BO8:BO71" si="53">BM8+BN8</f>
        <v>3319927.2357885418</v>
      </c>
      <c r="BP8" s="831"/>
      <c r="BQ8" s="831">
        <f t="shared" ref="BQ8:BQ71" si="54">BO8+BP8</f>
        <v>3319927.2357885418</v>
      </c>
      <c r="BR8" s="831"/>
      <c r="BS8" s="831">
        <f t="shared" ref="BS8:BS71" si="55">BQ8+BR8</f>
        <v>3319927.2357885418</v>
      </c>
      <c r="BT8" s="831"/>
      <c r="BU8" s="831">
        <f t="shared" ref="BU8:BU71" si="56">BS8+BT8</f>
        <v>3319927.2357885418</v>
      </c>
      <c r="BV8" s="831"/>
      <c r="BW8" s="831">
        <f t="shared" ref="BW8:BW71" si="57">$BW$2+$BW$3-BC8</f>
        <v>56400</v>
      </c>
      <c r="BX8" s="831">
        <f t="shared" ref="BX8:BX71" si="58">SUM(BU8:BW8)</f>
        <v>3376327.2357885418</v>
      </c>
      <c r="BY8" s="831"/>
      <c r="BZ8" s="831">
        <f t="shared" ref="BZ8:BZ71" si="59">BX8+BY8</f>
        <v>3376327.2357885418</v>
      </c>
      <c r="CA8" s="1260">
        <f t="shared" ref="CA8:CA71" si="60">BZ8</f>
        <v>3376327.2357885418</v>
      </c>
      <c r="CB8" s="1260">
        <f t="shared" ref="CB8:CB71" si="61">CA8-CD8</f>
        <v>3376327.2357885418</v>
      </c>
      <c r="CC8" s="1260"/>
      <c r="CD8" s="1260">
        <f t="shared" ref="CD8:CD71" si="62">CC8*J8</f>
        <v>0</v>
      </c>
      <c r="CE8" s="1260">
        <f t="shared" ref="CE8:CE71" si="63">CD8*$CE$5</f>
        <v>0</v>
      </c>
      <c r="CF8" s="1260">
        <f t="shared" ref="CF8:CF71" si="64">CD8+CE8</f>
        <v>0</v>
      </c>
      <c r="CG8" s="1266">
        <f t="shared" ref="CG8:CG71" si="65">CA8+CE8</f>
        <v>3376327.2357885418</v>
      </c>
      <c r="CH8" s="1141">
        <f t="shared" ref="CH8:CH71" si="66">CG8</f>
        <v>3376327.2357885418</v>
      </c>
      <c r="CI8" s="1142">
        <f t="shared" ref="CI8:CI71" si="67">IF(CB8&lt;=$CB$3,0,12%*CB8)</f>
        <v>0</v>
      </c>
      <c r="CJ8" s="1141">
        <f t="shared" ref="CJ8:CJ71" si="68">CH8*CJ$5</f>
        <v>346073.54166832555</v>
      </c>
      <c r="CK8" s="1141">
        <f t="shared" ref="CK8:CK71" si="69">CH8*CK$5</f>
        <v>118171.45325259898</v>
      </c>
      <c r="CL8" s="1143">
        <f t="shared" ref="CL8:CL13" si="70">SUM(CH8:CK8)</f>
        <v>3840572.2307094666</v>
      </c>
      <c r="CM8" s="1144">
        <f t="shared" ref="CM8:CM71" si="71">$CM$5</f>
        <v>0.125</v>
      </c>
      <c r="CN8" s="1141">
        <f t="shared" ref="CN8:CN71" si="72">CL8*CM8</f>
        <v>480071.52883868333</v>
      </c>
      <c r="CO8" s="1141">
        <f t="shared" ref="CO8:CO71" si="73">$CO$5</f>
        <v>30000</v>
      </c>
      <c r="CP8" s="1141">
        <f t="shared" ref="CP8:CP71" si="74">CN8-CO8</f>
        <v>450071.52883868333</v>
      </c>
      <c r="CQ8" s="1145">
        <f t="shared" ref="CQ8:CQ71" si="75">VLOOKUP(E8,$IF$6:$IH$19,3,FALSE)</f>
        <v>18</v>
      </c>
      <c r="CR8" s="1141">
        <f t="shared" ref="CR8:CR71" si="76">CP8/CQ8</f>
        <v>25003.973824371296</v>
      </c>
      <c r="CS8" s="1144">
        <f t="shared" ref="CS8:CS71" si="77">100%-CM8</f>
        <v>0.875</v>
      </c>
      <c r="CT8" s="1141">
        <f t="shared" ref="CT8:CT71" si="78">CL8*CS8</f>
        <v>3360500.7018707832</v>
      </c>
      <c r="CU8" s="1146">
        <f t="shared" si="12"/>
        <v>26053.926173068994</v>
      </c>
      <c r="CV8" s="1146">
        <f t="shared" si="13"/>
        <v>30205.130350608837</v>
      </c>
      <c r="CW8" s="1146">
        <f t="shared" si="14"/>
        <v>39018.262590733539</v>
      </c>
      <c r="CX8" s="1146">
        <f t="shared" si="15"/>
        <v>66541.941592727337</v>
      </c>
      <c r="CY8" s="1146">
        <f t="shared" ref="CY8:CY71" si="79">(CL8*80%)*$CY$5</f>
        <v>272984.15341245179</v>
      </c>
      <c r="CZ8" s="1146">
        <f t="shared" ref="CZ8:CZ71" si="80">(CL8*80%)*$CZ$5</f>
        <v>108018.49972314907</v>
      </c>
      <c r="DA8" s="1146">
        <f t="shared" ref="DA8:DA71" si="81">(CL8*80%)*$DA$5</f>
        <v>78020.232462998407</v>
      </c>
      <c r="DB8" s="1146">
        <f t="shared" ref="DB8:DB71" si="82">(CL8*80%)*$DB$5</f>
        <v>59376.988770332202</v>
      </c>
      <c r="DC8" s="1146"/>
      <c r="DD8" s="1146"/>
      <c r="DE8" s="1146"/>
      <c r="DF8" s="1146"/>
      <c r="DG8" s="1146"/>
      <c r="DH8" s="1146"/>
      <c r="DI8" s="1146"/>
      <c r="DJ8" s="1146"/>
      <c r="DK8" s="1146"/>
      <c r="DL8" s="1146"/>
      <c r="DM8" s="1146"/>
      <c r="DN8" s="1146"/>
      <c r="DO8" s="1146"/>
      <c r="DP8" s="1146"/>
      <c r="DQ8" s="1146"/>
      <c r="DR8" s="1146"/>
      <c r="DS8" s="1146"/>
      <c r="DT8" s="1146"/>
      <c r="DU8" s="1146"/>
      <c r="DV8" s="1146"/>
      <c r="DW8" s="1146"/>
      <c r="DX8" s="1146"/>
      <c r="DY8" s="1146"/>
      <c r="DZ8" s="1146"/>
      <c r="EA8" s="1147">
        <f t="shared" ref="EA8:EA70" si="83">AT8/AR8</f>
        <v>0</v>
      </c>
      <c r="EB8" s="1148">
        <f t="shared" ref="EB8:EB71" si="84">CF8/CB8</f>
        <v>0</v>
      </c>
      <c r="EC8" s="1107">
        <f>$EC$7</f>
        <v>45839</v>
      </c>
      <c r="ED8" s="1029">
        <f t="shared" si="16"/>
        <v>20</v>
      </c>
      <c r="EE8" s="1149"/>
      <c r="EF8" s="1030">
        <f t="shared" si="17"/>
        <v>45904</v>
      </c>
      <c r="EG8" s="1029">
        <f t="shared" ref="EG8:EG71" si="85">(YEAR(EF8)-YEAR($EG$5))*12+MONTH(EF8)-MONTH($EG$5)+$EG$4+$EG$3</f>
        <v>22</v>
      </c>
      <c r="EH8" s="846" t="s">
        <v>490</v>
      </c>
      <c r="EI8" s="846" t="s">
        <v>480</v>
      </c>
      <c r="EJ8" s="850">
        <f t="shared" si="18"/>
        <v>0</v>
      </c>
      <c r="EK8" s="850">
        <f t="shared" si="19"/>
        <v>0</v>
      </c>
      <c r="EL8" s="851">
        <f t="shared" si="20"/>
        <v>0</v>
      </c>
      <c r="EM8" s="847"/>
      <c r="EN8" s="850"/>
      <c r="EO8" s="850"/>
      <c r="EP8" s="850">
        <f t="shared" si="21"/>
        <v>0</v>
      </c>
      <c r="EQ8" s="1051"/>
      <c r="ER8" s="1150"/>
      <c r="ES8" s="1128"/>
      <c r="ET8" s="1151" t="s">
        <v>150</v>
      </c>
      <c r="EU8" s="1128" t="b">
        <f t="shared" si="22"/>
        <v>1</v>
      </c>
      <c r="EV8" s="1152" t="s">
        <v>491</v>
      </c>
      <c r="EW8" s="1153" t="s">
        <v>482</v>
      </c>
      <c r="EX8" s="1128"/>
      <c r="EY8" s="1128" t="s">
        <v>483</v>
      </c>
      <c r="EZ8" s="1128" t="s">
        <v>484</v>
      </c>
      <c r="FA8" s="1169">
        <f t="shared" ref="FA8:FA71" si="86">CA8-CH8</f>
        <v>0</v>
      </c>
      <c r="FB8" s="1170"/>
      <c r="FC8" s="1296" t="s">
        <v>99</v>
      </c>
      <c r="FD8" s="1297" t="s">
        <v>100</v>
      </c>
      <c r="FE8" s="1297" t="s">
        <v>101</v>
      </c>
      <c r="FF8" s="1171" t="s">
        <v>102</v>
      </c>
      <c r="FG8" s="1172" t="s">
        <v>103</v>
      </c>
      <c r="FI8" s="1309" t="s">
        <v>149</v>
      </c>
      <c r="FJ8" s="1159" t="s">
        <v>149</v>
      </c>
      <c r="FK8" s="1160" t="b">
        <f t="shared" ref="FK8:FK71" si="87">FI8=FJ8</f>
        <v>1</v>
      </c>
      <c r="FL8" s="1131"/>
      <c r="FM8" s="1161"/>
      <c r="FN8" s="1173">
        <v>28</v>
      </c>
      <c r="FO8" s="1174">
        <f>EDATE($EG$5,FN8)</f>
        <v>46082</v>
      </c>
      <c r="FP8" s="1175">
        <v>35</v>
      </c>
      <c r="FQ8" s="1176">
        <f t="shared" ref="FQ8:FQ13" si="88">EDATE(FR8,FP8)</f>
        <v>46113</v>
      </c>
      <c r="FR8" s="1177">
        <v>45047</v>
      </c>
      <c r="FS8" s="1178"/>
      <c r="FT8" s="1178"/>
      <c r="FU8" s="1295"/>
      <c r="FV8" s="1295"/>
      <c r="FW8" s="1023">
        <v>0.15</v>
      </c>
      <c r="FX8" s="1162">
        <v>14136.810431904947</v>
      </c>
      <c r="FY8" s="1163">
        <v>14578.585757901978</v>
      </c>
      <c r="FZ8" s="1137"/>
      <c r="GA8" s="1164">
        <f t="shared" ref="GA8:GA71" si="89">CL8</f>
        <v>3840572.2307094666</v>
      </c>
      <c r="GB8" s="1165">
        <f t="shared" ref="GB8:GB71" si="90">$GB$5</f>
        <v>0.15</v>
      </c>
      <c r="GC8" s="1154">
        <f t="shared" ref="GC8:GC71" si="91">GA8*GB8</f>
        <v>576085.83460642002</v>
      </c>
      <c r="GD8" s="1164">
        <f t="shared" ref="GD8:GD71" si="92">CO8</f>
        <v>30000</v>
      </c>
      <c r="GE8" s="1154">
        <f t="shared" ref="GE8:GE71" si="93">GC8-GD8</f>
        <v>546085.83460642002</v>
      </c>
      <c r="GF8" s="1060">
        <f t="shared" ref="GF8:GF71" si="94">$GF$5</f>
        <v>35</v>
      </c>
      <c r="GG8" s="1166">
        <f t="shared" ref="GG8:GG71" si="95">GE8/GF8</f>
        <v>15602.452417326285</v>
      </c>
      <c r="GH8" s="1137"/>
      <c r="GI8" s="1164">
        <f t="shared" ref="GI8:GI71" si="96">GA8</f>
        <v>3840572.2307094666</v>
      </c>
      <c r="GJ8" s="1154">
        <f t="shared" ref="GJ8:GJ71" si="97">GI8*$GJ$5</f>
        <v>384057.2230709467</v>
      </c>
      <c r="GK8" s="1154">
        <f t="shared" ref="GK8:GK71" si="98">GI8*$GK$5</f>
        <v>96014.305767736674</v>
      </c>
      <c r="GL8" s="1166">
        <v>15000</v>
      </c>
      <c r="GM8" s="1154">
        <f t="shared" ref="GM8:GM71" si="99">GJ8-GL8</f>
        <v>369057.2230709467</v>
      </c>
      <c r="GN8" s="1060">
        <f t="shared" ref="GN8:GN71" si="100">$GN$5</f>
        <v>35</v>
      </c>
      <c r="GO8" s="1154">
        <f t="shared" ref="GO8:GO71" si="101">GM8/GN8</f>
        <v>10544.492087741333</v>
      </c>
      <c r="GP8" s="1137"/>
      <c r="GR8" s="1137"/>
      <c r="GS8" s="1010">
        <f t="shared" ref="GS8:GS71" si="102">CL8</f>
        <v>3840572.2307094666</v>
      </c>
      <c r="GT8" s="1011">
        <f t="shared" ref="GT8:GT71" si="103">CM8</f>
        <v>0.125</v>
      </c>
      <c r="GU8" s="1010">
        <f t="shared" ref="GU8:GU71" si="104">CN8</f>
        <v>480071.52883868333</v>
      </c>
      <c r="GV8" s="1010">
        <f t="shared" ref="GV8:GV71" si="105">CO8</f>
        <v>30000</v>
      </c>
      <c r="GW8" s="1010">
        <f t="shared" ref="GW8:GW71" si="106">CP8</f>
        <v>450071.52883868333</v>
      </c>
      <c r="GX8" s="1010">
        <f t="shared" ref="GX8:GX71" si="107">CQ8</f>
        <v>18</v>
      </c>
      <c r="GY8" s="1010">
        <f t="shared" ref="GY8:GY71" si="108">CR8</f>
        <v>25003.973824371296</v>
      </c>
      <c r="GZ8" s="1011">
        <f t="shared" ref="GZ8:GZ71" si="109">CS8</f>
        <v>0.875</v>
      </c>
      <c r="HA8" s="1010">
        <f t="shared" ref="HA8:HA71" si="110">CT8</f>
        <v>3360500.7018707832</v>
      </c>
      <c r="HB8" s="1010">
        <f t="shared" ref="HB8:HB71" si="111">CU8</f>
        <v>26053.926173068994</v>
      </c>
      <c r="HC8" s="1010">
        <f t="shared" ref="HC8:HC71" si="112">CV8</f>
        <v>30205.130350608837</v>
      </c>
      <c r="HD8" s="1010">
        <f t="shared" ref="HD8:HD71" si="113">CW8</f>
        <v>39018.262590733539</v>
      </c>
      <c r="HE8" s="1010">
        <f t="shared" ref="HE8:HE71" si="114">CX8</f>
        <v>66541.941592727337</v>
      </c>
      <c r="HF8" s="1137"/>
      <c r="HG8" s="1010">
        <f t="shared" ref="HG8:HG71" si="115">GS8</f>
        <v>3840572.2307094666</v>
      </c>
      <c r="HH8" s="1011">
        <f t="shared" ref="HH8:HH71" si="116">GT8</f>
        <v>0.125</v>
      </c>
      <c r="HI8" s="1010">
        <f t="shared" ref="HI8:HI71" si="117">GU8</f>
        <v>480071.52883868333</v>
      </c>
      <c r="HJ8" s="1010">
        <f t="shared" ref="HJ8:HJ71" si="118">GV8</f>
        <v>30000</v>
      </c>
      <c r="HK8" s="1010">
        <f t="shared" ref="HK8:HK71" si="119">GW8</f>
        <v>450071.52883868333</v>
      </c>
      <c r="HL8" s="1012">
        <f t="shared" ref="HL8:HL71" si="120">$HL$5</f>
        <v>33</v>
      </c>
      <c r="HM8" s="1167">
        <f t="shared" ref="HM8:HM71" si="121">HK8/HL8</f>
        <v>13638.531176929799</v>
      </c>
      <c r="HN8" s="1168">
        <f t="shared" ref="HN8:HN71" si="122">100%-HH8</f>
        <v>0.875</v>
      </c>
      <c r="HO8" s="1167">
        <f t="shared" ref="HO8:HO71" si="123">HG8*HN8</f>
        <v>3360500.7018707832</v>
      </c>
      <c r="HP8" s="1146">
        <f t="shared" ref="HP8:HP71" si="124">-PMT(7%/12,240,HO8,0)</f>
        <v>26053.926173068994</v>
      </c>
      <c r="HQ8" s="1146">
        <f t="shared" ref="HQ8:HQ71" si="125">-PMT(7%/12,180,HO8,0)</f>
        <v>30205.130350608837</v>
      </c>
      <c r="HR8" s="1146">
        <f t="shared" ref="HR8:HR71" si="126">-PMT(7%/12,120,HO8,0)</f>
        <v>39018.262590733539</v>
      </c>
      <c r="HS8" s="1146">
        <f t="shared" ref="HS8:HS71" si="127">-PMT(7%/12,60,HO8,0)</f>
        <v>66541.941592727337</v>
      </c>
      <c r="HT8" s="1137"/>
      <c r="HU8" s="1167">
        <f t="shared" ref="HU8:HU71" si="128">HM8-GY8</f>
        <v>-11365.442647441498</v>
      </c>
      <c r="HW8" s="1060" t="s">
        <v>492</v>
      </c>
      <c r="HX8" s="1154"/>
      <c r="HY8" s="1154"/>
      <c r="IB8" s="1154"/>
      <c r="IC8" s="1154"/>
      <c r="ID8" s="1154"/>
      <c r="IE8" s="1154"/>
      <c r="IF8" s="1313" t="s">
        <v>474</v>
      </c>
      <c r="IG8" s="1314">
        <f>DATE(2027,3,1)</f>
        <v>46447</v>
      </c>
      <c r="IH8" s="1315">
        <f>DATEDIF($IH$5,IG8,"m")</f>
        <v>18</v>
      </c>
    </row>
    <row r="9" spans="1:242" s="1060" customFormat="1" ht="14.45" hidden="1">
      <c r="A9" s="855">
        <f t="shared" ref="A9:A12" si="129">A8+1</f>
        <v>3</v>
      </c>
      <c r="B9" s="856" t="s">
        <v>149</v>
      </c>
      <c r="C9" s="855">
        <f t="shared" ref="C9:C21" si="130">C8+1</f>
        <v>3</v>
      </c>
      <c r="D9" s="856" t="s">
        <v>474</v>
      </c>
      <c r="E9" s="857" t="str">
        <f t="shared" si="23"/>
        <v>2nd Floor</v>
      </c>
      <c r="F9" s="891"/>
      <c r="G9" s="764" t="s">
        <v>153</v>
      </c>
      <c r="H9" s="764" t="s">
        <v>493</v>
      </c>
      <c r="I9" s="764" t="s">
        <v>476</v>
      </c>
      <c r="J9" s="831">
        <v>22</v>
      </c>
      <c r="K9" s="892"/>
      <c r="L9" s="764" t="s">
        <v>344</v>
      </c>
      <c r="M9" s="764" t="s">
        <v>477</v>
      </c>
      <c r="N9" s="856">
        <f t="shared" si="24"/>
        <v>100909.09090909091</v>
      </c>
      <c r="O9" s="856">
        <f t="shared" si="25"/>
        <v>2220000</v>
      </c>
      <c r="P9" s="1138">
        <f t="shared" ref="P9:P12" si="131">$P$7</f>
        <v>22400</v>
      </c>
      <c r="Q9" s="1138">
        <f t="shared" si="8"/>
        <v>50000</v>
      </c>
      <c r="R9" s="893"/>
      <c r="S9" s="893"/>
      <c r="T9" s="893"/>
      <c r="U9" s="858"/>
      <c r="V9" s="858"/>
      <c r="W9" s="858">
        <f t="shared" si="26"/>
        <v>22000</v>
      </c>
      <c r="X9" s="858"/>
      <c r="Y9" s="893"/>
      <c r="Z9" s="1138">
        <f t="shared" si="9"/>
        <v>75000</v>
      </c>
      <c r="AA9" s="1138">
        <f t="shared" si="27"/>
        <v>169400</v>
      </c>
      <c r="AB9" s="1138">
        <f t="shared" si="28"/>
        <v>2389400</v>
      </c>
      <c r="AC9" s="1138">
        <f t="shared" si="29"/>
        <v>59735</v>
      </c>
      <c r="AD9" s="1138">
        <f t="shared" si="30"/>
        <v>2449135</v>
      </c>
      <c r="AE9" s="1138">
        <f t="shared" si="31"/>
        <v>61228.375</v>
      </c>
      <c r="AF9" s="1138">
        <f t="shared" si="32"/>
        <v>2510363.375</v>
      </c>
      <c r="AG9" s="1138">
        <f t="shared" si="33"/>
        <v>62759.084375000006</v>
      </c>
      <c r="AH9" s="1138">
        <f t="shared" si="34"/>
        <v>2573122.4593750001</v>
      </c>
      <c r="AI9" s="1138">
        <f t="shared" si="10"/>
        <v>128656.12296875002</v>
      </c>
      <c r="AJ9" s="1138">
        <f t="shared" si="35"/>
        <v>2701778.5823437502</v>
      </c>
      <c r="AK9" s="1138">
        <f t="shared" si="36"/>
        <v>27017.785823437502</v>
      </c>
      <c r="AL9" s="1138">
        <f t="shared" si="37"/>
        <v>27537.409960060559</v>
      </c>
      <c r="AM9" s="1138"/>
      <c r="AN9" s="1138"/>
      <c r="AO9" s="1138">
        <f t="shared" si="38"/>
        <v>2756333.7781272479</v>
      </c>
      <c r="AP9" s="1138">
        <f t="shared" si="39"/>
        <v>372105.06004717847</v>
      </c>
      <c r="AQ9" s="1248">
        <f t="shared" si="40"/>
        <v>3128438.8381744265</v>
      </c>
      <c r="AR9" s="1248">
        <f t="shared" si="41"/>
        <v>3128438.8381744265</v>
      </c>
      <c r="AS9" s="1248"/>
      <c r="AT9" s="1248"/>
      <c r="AU9" s="1248">
        <f t="shared" si="42"/>
        <v>0</v>
      </c>
      <c r="AV9" s="1140">
        <f t="shared" si="43"/>
        <v>0</v>
      </c>
      <c r="AW9" s="1140">
        <f t="shared" si="44"/>
        <v>3128438.8381744265</v>
      </c>
      <c r="AX9" s="1139">
        <f t="shared" si="45"/>
        <v>39105.485477180329</v>
      </c>
      <c r="AY9" s="831" t="s">
        <v>478</v>
      </c>
      <c r="AZ9" s="831">
        <f t="shared" si="46"/>
        <v>3167544.3236516067</v>
      </c>
      <c r="BA9" s="831">
        <f t="shared" si="47"/>
        <v>118782.91213693525</v>
      </c>
      <c r="BB9" s="831"/>
      <c r="BC9" s="831">
        <f t="shared" si="11"/>
        <v>33600</v>
      </c>
      <c r="BD9" s="831"/>
      <c r="BE9" s="831">
        <f t="shared" si="48"/>
        <v>3319927.2357885418</v>
      </c>
      <c r="BF9" s="831"/>
      <c r="BG9" s="831">
        <f t="shared" si="49"/>
        <v>3319927.2357885418</v>
      </c>
      <c r="BH9" s="831"/>
      <c r="BI9" s="831">
        <f t="shared" si="50"/>
        <v>3319927.2357885418</v>
      </c>
      <c r="BJ9" s="831"/>
      <c r="BK9" s="831">
        <f t="shared" si="51"/>
        <v>3319927.2357885418</v>
      </c>
      <c r="BL9" s="831"/>
      <c r="BM9" s="831">
        <f t="shared" si="52"/>
        <v>3319927.2357885418</v>
      </c>
      <c r="BN9" s="831"/>
      <c r="BO9" s="831">
        <f t="shared" si="53"/>
        <v>3319927.2357885418</v>
      </c>
      <c r="BP9" s="831"/>
      <c r="BQ9" s="831">
        <f t="shared" si="54"/>
        <v>3319927.2357885418</v>
      </c>
      <c r="BR9" s="831"/>
      <c r="BS9" s="831">
        <f t="shared" si="55"/>
        <v>3319927.2357885418</v>
      </c>
      <c r="BT9" s="831"/>
      <c r="BU9" s="831">
        <f t="shared" si="56"/>
        <v>3319927.2357885418</v>
      </c>
      <c r="BV9" s="831"/>
      <c r="BW9" s="831">
        <f t="shared" si="57"/>
        <v>56400</v>
      </c>
      <c r="BX9" s="831">
        <f t="shared" si="58"/>
        <v>3376327.2357885418</v>
      </c>
      <c r="BY9" s="831"/>
      <c r="BZ9" s="831">
        <f t="shared" si="59"/>
        <v>3376327.2357885418</v>
      </c>
      <c r="CA9" s="1260">
        <f t="shared" si="60"/>
        <v>3376327.2357885418</v>
      </c>
      <c r="CB9" s="1260">
        <f t="shared" si="61"/>
        <v>3376327.2357885418</v>
      </c>
      <c r="CC9" s="1260"/>
      <c r="CD9" s="1260">
        <f t="shared" si="62"/>
        <v>0</v>
      </c>
      <c r="CE9" s="1260">
        <f t="shared" si="63"/>
        <v>0</v>
      </c>
      <c r="CF9" s="1260">
        <f t="shared" si="64"/>
        <v>0</v>
      </c>
      <c r="CG9" s="1266">
        <f t="shared" si="65"/>
        <v>3376327.2357885418</v>
      </c>
      <c r="CH9" s="1141">
        <f t="shared" si="66"/>
        <v>3376327.2357885418</v>
      </c>
      <c r="CI9" s="1142">
        <f t="shared" si="67"/>
        <v>0</v>
      </c>
      <c r="CJ9" s="1141">
        <f t="shared" si="68"/>
        <v>346073.54166832555</v>
      </c>
      <c r="CK9" s="1141">
        <f t="shared" si="69"/>
        <v>118171.45325259898</v>
      </c>
      <c r="CL9" s="1143">
        <f t="shared" si="70"/>
        <v>3840572.2307094666</v>
      </c>
      <c r="CM9" s="1144">
        <f t="shared" si="71"/>
        <v>0.125</v>
      </c>
      <c r="CN9" s="1141">
        <f t="shared" si="72"/>
        <v>480071.52883868333</v>
      </c>
      <c r="CO9" s="1141">
        <f t="shared" si="73"/>
        <v>30000</v>
      </c>
      <c r="CP9" s="1141">
        <f t="shared" si="74"/>
        <v>450071.52883868333</v>
      </c>
      <c r="CQ9" s="1145">
        <f t="shared" si="75"/>
        <v>18</v>
      </c>
      <c r="CR9" s="1141">
        <f t="shared" si="76"/>
        <v>25003.973824371296</v>
      </c>
      <c r="CS9" s="1144">
        <f t="shared" si="77"/>
        <v>0.875</v>
      </c>
      <c r="CT9" s="1141">
        <f t="shared" si="78"/>
        <v>3360500.7018707832</v>
      </c>
      <c r="CU9" s="1146">
        <f t="shared" si="12"/>
        <v>26053.926173068994</v>
      </c>
      <c r="CV9" s="1146">
        <f t="shared" si="13"/>
        <v>30205.130350608837</v>
      </c>
      <c r="CW9" s="1146">
        <f t="shared" si="14"/>
        <v>39018.262590733539</v>
      </c>
      <c r="CX9" s="1146">
        <f t="shared" si="15"/>
        <v>66541.941592727337</v>
      </c>
      <c r="CY9" s="1146">
        <f t="shared" si="79"/>
        <v>272984.15341245179</v>
      </c>
      <c r="CZ9" s="1146">
        <f t="shared" si="80"/>
        <v>108018.49972314907</v>
      </c>
      <c r="DA9" s="1146">
        <f t="shared" si="81"/>
        <v>78020.232462998407</v>
      </c>
      <c r="DB9" s="1146">
        <f t="shared" si="82"/>
        <v>59376.988770332202</v>
      </c>
      <c r="DC9" s="1146"/>
      <c r="DD9" s="1146"/>
      <c r="DE9" s="1146"/>
      <c r="DF9" s="1146"/>
      <c r="DG9" s="1146"/>
      <c r="DH9" s="1146"/>
      <c r="DI9" s="1146"/>
      <c r="DJ9" s="1146"/>
      <c r="DK9" s="1146"/>
      <c r="DL9" s="1146"/>
      <c r="DM9" s="1146"/>
      <c r="DN9" s="1146"/>
      <c r="DO9" s="1146"/>
      <c r="DP9" s="1146"/>
      <c r="DQ9" s="1146"/>
      <c r="DR9" s="1146"/>
      <c r="DS9" s="1146"/>
      <c r="DT9" s="1146"/>
      <c r="DU9" s="1146"/>
      <c r="DV9" s="1146"/>
      <c r="DW9" s="1146"/>
      <c r="DX9" s="1146"/>
      <c r="DY9" s="1146"/>
      <c r="DZ9" s="1146"/>
      <c r="EA9" s="1147">
        <f t="shared" si="83"/>
        <v>0</v>
      </c>
      <c r="EB9" s="1148">
        <f t="shared" si="84"/>
        <v>0</v>
      </c>
      <c r="EC9" s="1107">
        <f t="shared" ref="EC9:EC72" si="132">$EC$7</f>
        <v>45839</v>
      </c>
      <c r="ED9" s="1029">
        <f t="shared" si="16"/>
        <v>20</v>
      </c>
      <c r="EE9" s="1149"/>
      <c r="EF9" s="1030">
        <f t="shared" si="17"/>
        <v>45904</v>
      </c>
      <c r="EG9" s="1029">
        <f t="shared" si="85"/>
        <v>22</v>
      </c>
      <c r="EH9" s="846" t="s">
        <v>490</v>
      </c>
      <c r="EI9" s="846" t="s">
        <v>480</v>
      </c>
      <c r="EJ9" s="850">
        <f t="shared" si="18"/>
        <v>0</v>
      </c>
      <c r="EK9" s="850">
        <f t="shared" si="19"/>
        <v>0</v>
      </c>
      <c r="EL9" s="851">
        <f t="shared" si="20"/>
        <v>0</v>
      </c>
      <c r="EM9" s="847"/>
      <c r="EN9" s="850"/>
      <c r="EO9" s="850"/>
      <c r="EP9" s="850">
        <f t="shared" si="21"/>
        <v>0</v>
      </c>
      <c r="EQ9" s="1051"/>
      <c r="ER9" s="1150"/>
      <c r="ES9" s="1128"/>
      <c r="ET9" s="1151" t="s">
        <v>153</v>
      </c>
      <c r="EU9" s="1128" t="b">
        <f t="shared" si="22"/>
        <v>1</v>
      </c>
      <c r="EV9" s="1152" t="s">
        <v>494</v>
      </c>
      <c r="EW9" s="1153" t="s">
        <v>482</v>
      </c>
      <c r="EX9" s="1128"/>
      <c r="EY9" s="1128" t="s">
        <v>483</v>
      </c>
      <c r="EZ9" s="1128" t="s">
        <v>484</v>
      </c>
      <c r="FA9" s="1169">
        <f t="shared" si="86"/>
        <v>0</v>
      </c>
      <c r="FB9" s="1170" t="s">
        <v>106</v>
      </c>
      <c r="FC9" s="1298"/>
      <c r="FD9" s="1299"/>
      <c r="FE9" s="1300">
        <v>0.25</v>
      </c>
      <c r="FF9" s="1179">
        <f>FD7*FE9</f>
        <v>112517.88220967083</v>
      </c>
      <c r="FG9" s="1180" t="e">
        <f>FF9/FD9</f>
        <v>#DIV/0!</v>
      </c>
      <c r="FI9" s="1309" t="s">
        <v>149</v>
      </c>
      <c r="FJ9" s="1159" t="s">
        <v>149</v>
      </c>
      <c r="FK9" s="1160" t="b">
        <f t="shared" si="87"/>
        <v>1</v>
      </c>
      <c r="FL9" s="1131"/>
      <c r="FM9" s="1161"/>
      <c r="FP9" s="1175">
        <v>34</v>
      </c>
      <c r="FQ9" s="1176">
        <f t="shared" si="88"/>
        <v>46113</v>
      </c>
      <c r="FR9" s="1177">
        <v>45078</v>
      </c>
      <c r="FS9" s="1178"/>
      <c r="FT9" s="1178"/>
      <c r="FU9" s="1295"/>
      <c r="FV9" s="1295"/>
      <c r="FW9" s="1023">
        <v>0.15</v>
      </c>
      <c r="FX9" s="1162">
        <v>14136.810431904947</v>
      </c>
      <c r="FY9" s="1163">
        <v>14578.585757901978</v>
      </c>
      <c r="FZ9" s="1137"/>
      <c r="GA9" s="1164">
        <f t="shared" si="89"/>
        <v>3840572.2307094666</v>
      </c>
      <c r="GB9" s="1165">
        <f t="shared" si="90"/>
        <v>0.15</v>
      </c>
      <c r="GC9" s="1154">
        <f t="shared" si="91"/>
        <v>576085.83460642002</v>
      </c>
      <c r="GD9" s="1164">
        <f t="shared" si="92"/>
        <v>30000</v>
      </c>
      <c r="GE9" s="1154">
        <f t="shared" si="93"/>
        <v>546085.83460642002</v>
      </c>
      <c r="GF9" s="1060">
        <f t="shared" si="94"/>
        <v>35</v>
      </c>
      <c r="GG9" s="1166">
        <f t="shared" si="95"/>
        <v>15602.452417326285</v>
      </c>
      <c r="GH9" s="1137"/>
      <c r="GI9" s="1164">
        <f t="shared" si="96"/>
        <v>3840572.2307094666</v>
      </c>
      <c r="GJ9" s="1154">
        <f t="shared" si="97"/>
        <v>384057.2230709467</v>
      </c>
      <c r="GK9" s="1154">
        <f t="shared" si="98"/>
        <v>96014.305767736674</v>
      </c>
      <c r="GL9" s="1166">
        <v>15000</v>
      </c>
      <c r="GM9" s="1154">
        <f t="shared" si="99"/>
        <v>369057.2230709467</v>
      </c>
      <c r="GN9" s="1060">
        <f t="shared" si="100"/>
        <v>35</v>
      </c>
      <c r="GO9" s="1154">
        <f t="shared" si="101"/>
        <v>10544.492087741333</v>
      </c>
      <c r="GP9" s="1137"/>
      <c r="GR9" s="1137"/>
      <c r="GS9" s="1010">
        <f t="shared" si="102"/>
        <v>3840572.2307094666</v>
      </c>
      <c r="GT9" s="1011">
        <f t="shared" si="103"/>
        <v>0.125</v>
      </c>
      <c r="GU9" s="1010">
        <f t="shared" si="104"/>
        <v>480071.52883868333</v>
      </c>
      <c r="GV9" s="1010">
        <f t="shared" si="105"/>
        <v>30000</v>
      </c>
      <c r="GW9" s="1010">
        <f t="shared" si="106"/>
        <v>450071.52883868333</v>
      </c>
      <c r="GX9" s="1010">
        <f t="shared" si="107"/>
        <v>18</v>
      </c>
      <c r="GY9" s="1010">
        <f t="shared" si="108"/>
        <v>25003.973824371296</v>
      </c>
      <c r="GZ9" s="1011">
        <f t="shared" si="109"/>
        <v>0.875</v>
      </c>
      <c r="HA9" s="1010">
        <f t="shared" si="110"/>
        <v>3360500.7018707832</v>
      </c>
      <c r="HB9" s="1010">
        <f t="shared" si="111"/>
        <v>26053.926173068994</v>
      </c>
      <c r="HC9" s="1010">
        <f t="shared" si="112"/>
        <v>30205.130350608837</v>
      </c>
      <c r="HD9" s="1010">
        <f t="shared" si="113"/>
        <v>39018.262590733539</v>
      </c>
      <c r="HE9" s="1010">
        <f t="shared" si="114"/>
        <v>66541.941592727337</v>
      </c>
      <c r="HF9" s="1137"/>
      <c r="HG9" s="1010">
        <f t="shared" si="115"/>
        <v>3840572.2307094666</v>
      </c>
      <c r="HH9" s="1011">
        <f t="shared" si="116"/>
        <v>0.125</v>
      </c>
      <c r="HI9" s="1010">
        <f t="shared" si="117"/>
        <v>480071.52883868333</v>
      </c>
      <c r="HJ9" s="1010">
        <f t="shared" si="118"/>
        <v>30000</v>
      </c>
      <c r="HK9" s="1010">
        <f t="shared" si="119"/>
        <v>450071.52883868333</v>
      </c>
      <c r="HL9" s="1012">
        <f t="shared" si="120"/>
        <v>33</v>
      </c>
      <c r="HM9" s="1167">
        <f t="shared" si="121"/>
        <v>13638.531176929799</v>
      </c>
      <c r="HN9" s="1168">
        <f t="shared" si="122"/>
        <v>0.875</v>
      </c>
      <c r="HO9" s="1167">
        <f t="shared" si="123"/>
        <v>3360500.7018707832</v>
      </c>
      <c r="HP9" s="1146">
        <f t="shared" si="124"/>
        <v>26053.926173068994</v>
      </c>
      <c r="HQ9" s="1146">
        <f t="shared" si="125"/>
        <v>30205.130350608837</v>
      </c>
      <c r="HR9" s="1146">
        <f t="shared" si="126"/>
        <v>39018.262590733539</v>
      </c>
      <c r="HS9" s="1146">
        <f t="shared" si="127"/>
        <v>66541.941592727337</v>
      </c>
      <c r="HT9" s="1137"/>
      <c r="HU9" s="1167">
        <f t="shared" si="128"/>
        <v>-11365.442647441498</v>
      </c>
      <c r="HX9" s="1154"/>
      <c r="HY9" s="1154"/>
      <c r="IB9" s="1154"/>
      <c r="IC9" s="1154"/>
      <c r="ID9" s="1154"/>
      <c r="IE9" s="1154"/>
      <c r="IF9" s="1313" t="s">
        <v>495</v>
      </c>
      <c r="IG9" s="1314">
        <f>DATE(2026,10,1)</f>
        <v>46296</v>
      </c>
      <c r="IH9" s="1315">
        <f t="shared" ref="IH9:IH19" si="133">DATEDIF($IH$5,IG9,"m")</f>
        <v>13</v>
      </c>
    </row>
    <row r="10" spans="1:242" s="1060" customFormat="1" ht="14.45" hidden="1">
      <c r="A10" s="855">
        <f t="shared" si="129"/>
        <v>4</v>
      </c>
      <c r="B10" s="856" t="s">
        <v>149</v>
      </c>
      <c r="C10" s="855">
        <f t="shared" si="130"/>
        <v>4</v>
      </c>
      <c r="D10" s="856" t="s">
        <v>474</v>
      </c>
      <c r="E10" s="857" t="str">
        <f t="shared" si="23"/>
        <v>2nd Floor</v>
      </c>
      <c r="F10" s="891"/>
      <c r="G10" s="764" t="s">
        <v>156</v>
      </c>
      <c r="H10" s="764" t="s">
        <v>496</v>
      </c>
      <c r="I10" s="764" t="s">
        <v>476</v>
      </c>
      <c r="J10" s="831">
        <v>22</v>
      </c>
      <c r="K10" s="892"/>
      <c r="L10" s="764" t="s">
        <v>344</v>
      </c>
      <c r="M10" s="764" t="s">
        <v>117</v>
      </c>
      <c r="N10" s="856">
        <f t="shared" si="24"/>
        <v>100909.09090909091</v>
      </c>
      <c r="O10" s="856">
        <f t="shared" si="25"/>
        <v>2220000</v>
      </c>
      <c r="P10" s="1138">
        <f t="shared" si="131"/>
        <v>22400</v>
      </c>
      <c r="Q10" s="1138">
        <f t="shared" si="8"/>
        <v>50000</v>
      </c>
      <c r="R10" s="893"/>
      <c r="S10" s="893"/>
      <c r="T10" s="893"/>
      <c r="U10" s="858"/>
      <c r="V10" s="858">
        <f>J10*$V$5</f>
        <v>55000</v>
      </c>
      <c r="W10" s="858"/>
      <c r="X10" s="858"/>
      <c r="Y10" s="893"/>
      <c r="Z10" s="1138">
        <f t="shared" si="9"/>
        <v>75000</v>
      </c>
      <c r="AA10" s="1138">
        <f t="shared" si="27"/>
        <v>202400</v>
      </c>
      <c r="AB10" s="1138">
        <f t="shared" si="28"/>
        <v>2422400</v>
      </c>
      <c r="AC10" s="1138">
        <f t="shared" si="29"/>
        <v>60560</v>
      </c>
      <c r="AD10" s="1138">
        <f t="shared" si="30"/>
        <v>2482960</v>
      </c>
      <c r="AE10" s="1138">
        <f t="shared" si="31"/>
        <v>62074</v>
      </c>
      <c r="AF10" s="1138">
        <f t="shared" si="32"/>
        <v>2545034</v>
      </c>
      <c r="AG10" s="1138">
        <f t="shared" si="33"/>
        <v>63625.850000000006</v>
      </c>
      <c r="AH10" s="1138">
        <f t="shared" si="34"/>
        <v>2608659.85</v>
      </c>
      <c r="AI10" s="1138">
        <f t="shared" si="10"/>
        <v>130432.99250000001</v>
      </c>
      <c r="AJ10" s="1138">
        <f t="shared" si="35"/>
        <v>2739092.8425000003</v>
      </c>
      <c r="AK10" s="1138">
        <f t="shared" si="36"/>
        <v>27390.928425000002</v>
      </c>
      <c r="AL10" s="1138">
        <f t="shared" si="37"/>
        <v>27537.409960060559</v>
      </c>
      <c r="AM10" s="1138"/>
      <c r="AN10" s="1138"/>
      <c r="AO10" s="1138">
        <f t="shared" si="38"/>
        <v>2794021.1808850607</v>
      </c>
      <c r="AP10" s="1138">
        <f t="shared" si="39"/>
        <v>377192.85941948323</v>
      </c>
      <c r="AQ10" s="1248">
        <f t="shared" si="40"/>
        <v>3171214.0403045439</v>
      </c>
      <c r="AR10" s="1248">
        <f>AQ10-AT10</f>
        <v>3171214.0403045439</v>
      </c>
      <c r="AS10" s="1248"/>
      <c r="AT10" s="1248">
        <f>AS10*J10</f>
        <v>0</v>
      </c>
      <c r="AU10" s="1248">
        <f t="shared" si="42"/>
        <v>0</v>
      </c>
      <c r="AV10" s="1140">
        <f t="shared" si="43"/>
        <v>0</v>
      </c>
      <c r="AW10" s="1140">
        <f t="shared" si="44"/>
        <v>3171214.0403045439</v>
      </c>
      <c r="AX10" s="1139">
        <f t="shared" si="45"/>
        <v>39640.1755038068</v>
      </c>
      <c r="AY10" s="831" t="s">
        <v>478</v>
      </c>
      <c r="AZ10" s="831">
        <f t="shared" si="46"/>
        <v>3210854.2158083506</v>
      </c>
      <c r="BA10" s="831">
        <f t="shared" si="47"/>
        <v>120407.03309281314</v>
      </c>
      <c r="BB10" s="831"/>
      <c r="BC10" s="831">
        <f t="shared" si="11"/>
        <v>33600</v>
      </c>
      <c r="BD10" s="831"/>
      <c r="BE10" s="831">
        <f t="shared" si="48"/>
        <v>3364861.2489011637</v>
      </c>
      <c r="BF10" s="831"/>
      <c r="BG10" s="831">
        <f t="shared" si="49"/>
        <v>3364861.2489011637</v>
      </c>
      <c r="BH10" s="831"/>
      <c r="BI10" s="831">
        <f t="shared" si="50"/>
        <v>3364861.2489011637</v>
      </c>
      <c r="BJ10" s="831"/>
      <c r="BK10" s="831">
        <f t="shared" si="51"/>
        <v>3364861.2489011637</v>
      </c>
      <c r="BL10" s="831"/>
      <c r="BM10" s="831">
        <f t="shared" si="52"/>
        <v>3364861.2489011637</v>
      </c>
      <c r="BN10" s="831"/>
      <c r="BO10" s="831">
        <f t="shared" si="53"/>
        <v>3364861.2489011637</v>
      </c>
      <c r="BP10" s="831"/>
      <c r="BQ10" s="831">
        <f t="shared" si="54"/>
        <v>3364861.2489011637</v>
      </c>
      <c r="BR10" s="831"/>
      <c r="BS10" s="831">
        <f t="shared" si="55"/>
        <v>3364861.2489011637</v>
      </c>
      <c r="BT10" s="831"/>
      <c r="BU10" s="831">
        <f t="shared" si="56"/>
        <v>3364861.2489011637</v>
      </c>
      <c r="BV10" s="831"/>
      <c r="BW10" s="831">
        <f t="shared" si="57"/>
        <v>56400</v>
      </c>
      <c r="BX10" s="831">
        <f t="shared" si="58"/>
        <v>3421261.2489011637</v>
      </c>
      <c r="BY10" s="831"/>
      <c r="BZ10" s="831">
        <f t="shared" si="59"/>
        <v>3421261.2489011637</v>
      </c>
      <c r="CA10" s="1260">
        <f t="shared" si="60"/>
        <v>3421261.2489011637</v>
      </c>
      <c r="CB10" s="1260">
        <f t="shared" si="61"/>
        <v>3421261.2489011637</v>
      </c>
      <c r="CC10" s="1260"/>
      <c r="CD10" s="1260">
        <f t="shared" si="62"/>
        <v>0</v>
      </c>
      <c r="CE10" s="1260">
        <f t="shared" si="63"/>
        <v>0</v>
      </c>
      <c r="CF10" s="1260">
        <f t="shared" si="64"/>
        <v>0</v>
      </c>
      <c r="CG10" s="1266">
        <f t="shared" si="65"/>
        <v>3421261.2489011637</v>
      </c>
      <c r="CH10" s="1141">
        <f t="shared" si="66"/>
        <v>3421261.2489011637</v>
      </c>
      <c r="CI10" s="1142">
        <f t="shared" si="67"/>
        <v>0</v>
      </c>
      <c r="CJ10" s="1141">
        <f t="shared" si="68"/>
        <v>350679.27801236924</v>
      </c>
      <c r="CK10" s="1141">
        <f t="shared" si="69"/>
        <v>119744.14371154075</v>
      </c>
      <c r="CL10" s="1143">
        <f t="shared" si="70"/>
        <v>3891684.6706250738</v>
      </c>
      <c r="CM10" s="1144">
        <f t="shared" si="71"/>
        <v>0.125</v>
      </c>
      <c r="CN10" s="1141">
        <f t="shared" si="72"/>
        <v>486460.58382813423</v>
      </c>
      <c r="CO10" s="1141">
        <f t="shared" si="73"/>
        <v>30000</v>
      </c>
      <c r="CP10" s="1141">
        <f t="shared" si="74"/>
        <v>456460.58382813423</v>
      </c>
      <c r="CQ10" s="1145">
        <f t="shared" si="75"/>
        <v>18</v>
      </c>
      <c r="CR10" s="1141">
        <f t="shared" si="76"/>
        <v>25358.921323785235</v>
      </c>
      <c r="CS10" s="1144">
        <f t="shared" si="77"/>
        <v>0.875</v>
      </c>
      <c r="CT10" s="1141">
        <f t="shared" si="78"/>
        <v>3405224.0867969394</v>
      </c>
      <c r="CU10" s="1146">
        <f t="shared" si="12"/>
        <v>26400.666100374212</v>
      </c>
      <c r="CV10" s="1146">
        <f t="shared" si="13"/>
        <v>30607.116778007276</v>
      </c>
      <c r="CW10" s="1146">
        <f t="shared" si="14"/>
        <v>39537.539011662055</v>
      </c>
      <c r="CX10" s="1146">
        <f t="shared" si="15"/>
        <v>67427.518217046629</v>
      </c>
      <c r="CY10" s="1146">
        <f t="shared" si="79"/>
        <v>276617.17612392135</v>
      </c>
      <c r="CZ10" s="1146">
        <f t="shared" si="80"/>
        <v>109456.06911260787</v>
      </c>
      <c r="DA10" s="1146">
        <f t="shared" si="81"/>
        <v>79058.568472429484</v>
      </c>
      <c r="DB10" s="1146">
        <f t="shared" si="82"/>
        <v>60167.210276030237</v>
      </c>
      <c r="DC10" s="1146"/>
      <c r="DD10" s="1146"/>
      <c r="DE10" s="1146"/>
      <c r="DF10" s="1146"/>
      <c r="DG10" s="1146"/>
      <c r="DH10" s="1146"/>
      <c r="DI10" s="1146"/>
      <c r="DJ10" s="1146"/>
      <c r="DK10" s="1146"/>
      <c r="DL10" s="1146"/>
      <c r="DM10" s="1146"/>
      <c r="DN10" s="1146"/>
      <c r="DO10" s="1146"/>
      <c r="DP10" s="1146"/>
      <c r="DQ10" s="1146"/>
      <c r="DR10" s="1146"/>
      <c r="DS10" s="1146"/>
      <c r="DT10" s="1146"/>
      <c r="DU10" s="1146"/>
      <c r="DV10" s="1146"/>
      <c r="DW10" s="1146"/>
      <c r="DX10" s="1146"/>
      <c r="DY10" s="1146"/>
      <c r="DZ10" s="1146"/>
      <c r="EA10" s="1147">
        <f t="shared" si="83"/>
        <v>0</v>
      </c>
      <c r="EB10" s="1148">
        <f t="shared" si="84"/>
        <v>0</v>
      </c>
      <c r="EC10" s="1107">
        <f t="shared" si="132"/>
        <v>45839</v>
      </c>
      <c r="ED10" s="1029">
        <f t="shared" si="16"/>
        <v>20</v>
      </c>
      <c r="EE10" s="1149"/>
      <c r="EF10" s="1030">
        <f t="shared" si="17"/>
        <v>45904</v>
      </c>
      <c r="EG10" s="1029">
        <f t="shared" si="85"/>
        <v>22</v>
      </c>
      <c r="EH10" s="846" t="s">
        <v>490</v>
      </c>
      <c r="EI10" s="846" t="s">
        <v>480</v>
      </c>
      <c r="EJ10" s="850">
        <f t="shared" si="18"/>
        <v>0</v>
      </c>
      <c r="EK10" s="850">
        <f t="shared" si="19"/>
        <v>0</v>
      </c>
      <c r="EL10" s="851">
        <f t="shared" si="20"/>
        <v>0</v>
      </c>
      <c r="EM10" s="847"/>
      <c r="EN10" s="850"/>
      <c r="EO10" s="850"/>
      <c r="EP10" s="850">
        <f t="shared" si="21"/>
        <v>0</v>
      </c>
      <c r="EQ10" s="1051"/>
      <c r="ER10" s="1150"/>
      <c r="ES10" s="1128"/>
      <c r="ET10" s="1151" t="s">
        <v>156</v>
      </c>
      <c r="EU10" s="1128" t="b">
        <f t="shared" si="22"/>
        <v>1</v>
      </c>
      <c r="EV10" s="1152" t="s">
        <v>497</v>
      </c>
      <c r="EW10" s="1153" t="s">
        <v>482</v>
      </c>
      <c r="EX10" s="1128"/>
      <c r="EY10" s="1128" t="s">
        <v>483</v>
      </c>
      <c r="EZ10" s="1128" t="s">
        <v>484</v>
      </c>
      <c r="FA10" s="1169">
        <f t="shared" si="86"/>
        <v>0</v>
      </c>
      <c r="FB10" s="1170" t="s">
        <v>110</v>
      </c>
      <c r="FC10" s="1298"/>
      <c r="FD10" s="1299"/>
      <c r="FE10" s="1300">
        <v>0.35</v>
      </c>
      <c r="FF10" s="1179">
        <f>FD7*FE10</f>
        <v>157525.03509353916</v>
      </c>
      <c r="FG10" s="1180" t="e">
        <f>FF10/FD10</f>
        <v>#DIV/0!</v>
      </c>
      <c r="FI10" s="1309" t="s">
        <v>149</v>
      </c>
      <c r="FJ10" s="1159" t="s">
        <v>149</v>
      </c>
      <c r="FK10" s="1160" t="b">
        <f t="shared" si="87"/>
        <v>1</v>
      </c>
      <c r="FL10" s="1131"/>
      <c r="FM10" s="1161"/>
      <c r="FP10" s="1181">
        <v>33</v>
      </c>
      <c r="FQ10" s="1176">
        <f t="shared" si="88"/>
        <v>46113</v>
      </c>
      <c r="FR10" s="1177">
        <v>45108</v>
      </c>
      <c r="FS10" s="1178"/>
      <c r="FT10" s="1178"/>
      <c r="FU10" s="1295"/>
      <c r="FV10" s="1295"/>
      <c r="FW10" s="1023">
        <v>0.15</v>
      </c>
      <c r="FX10" s="1162">
        <v>14637.845763601757</v>
      </c>
      <c r="FY10" s="1163">
        <v>15095.278443714313</v>
      </c>
      <c r="FZ10" s="1137"/>
      <c r="GA10" s="1164">
        <f t="shared" si="89"/>
        <v>3891684.6706250738</v>
      </c>
      <c r="GB10" s="1165">
        <f t="shared" si="90"/>
        <v>0.15</v>
      </c>
      <c r="GC10" s="1154">
        <f t="shared" si="91"/>
        <v>583752.70059376105</v>
      </c>
      <c r="GD10" s="1164">
        <f t="shared" si="92"/>
        <v>30000</v>
      </c>
      <c r="GE10" s="1154">
        <f t="shared" si="93"/>
        <v>553752.70059376105</v>
      </c>
      <c r="GF10" s="1060">
        <f t="shared" si="94"/>
        <v>35</v>
      </c>
      <c r="GG10" s="1166">
        <f>GE10/GF10</f>
        <v>15821.505731250316</v>
      </c>
      <c r="GH10" s="1137"/>
      <c r="GI10" s="1164">
        <f t="shared" si="96"/>
        <v>3891684.6706250738</v>
      </c>
      <c r="GJ10" s="1154">
        <f t="shared" si="97"/>
        <v>389168.46706250741</v>
      </c>
      <c r="GK10" s="1154">
        <f t="shared" si="98"/>
        <v>97292.116765626852</v>
      </c>
      <c r="GL10" s="1166">
        <v>15000</v>
      </c>
      <c r="GM10" s="1154">
        <f t="shared" si="99"/>
        <v>374168.46706250741</v>
      </c>
      <c r="GN10" s="1060">
        <f t="shared" si="100"/>
        <v>35</v>
      </c>
      <c r="GO10" s="1154">
        <f t="shared" si="101"/>
        <v>10690.527630357354</v>
      </c>
      <c r="GP10" s="1137"/>
      <c r="GR10" s="1137"/>
      <c r="GS10" s="1010">
        <f t="shared" si="102"/>
        <v>3891684.6706250738</v>
      </c>
      <c r="GT10" s="1011">
        <f t="shared" si="103"/>
        <v>0.125</v>
      </c>
      <c r="GU10" s="1010">
        <f t="shared" si="104"/>
        <v>486460.58382813423</v>
      </c>
      <c r="GV10" s="1010">
        <f t="shared" si="105"/>
        <v>30000</v>
      </c>
      <c r="GW10" s="1010">
        <f t="shared" si="106"/>
        <v>456460.58382813423</v>
      </c>
      <c r="GX10" s="1010">
        <f t="shared" si="107"/>
        <v>18</v>
      </c>
      <c r="GY10" s="1010">
        <f t="shared" si="108"/>
        <v>25358.921323785235</v>
      </c>
      <c r="GZ10" s="1011">
        <f t="shared" si="109"/>
        <v>0.875</v>
      </c>
      <c r="HA10" s="1010">
        <f t="shared" si="110"/>
        <v>3405224.0867969394</v>
      </c>
      <c r="HB10" s="1010">
        <f t="shared" si="111"/>
        <v>26400.666100374212</v>
      </c>
      <c r="HC10" s="1010">
        <f t="shared" si="112"/>
        <v>30607.116778007276</v>
      </c>
      <c r="HD10" s="1010">
        <f t="shared" si="113"/>
        <v>39537.539011662055</v>
      </c>
      <c r="HE10" s="1010">
        <f t="shared" si="114"/>
        <v>67427.518217046629</v>
      </c>
      <c r="HF10" s="1137"/>
      <c r="HG10" s="1010">
        <f t="shared" si="115"/>
        <v>3891684.6706250738</v>
      </c>
      <c r="HH10" s="1011">
        <f t="shared" si="116"/>
        <v>0.125</v>
      </c>
      <c r="HI10" s="1010">
        <f t="shared" si="117"/>
        <v>486460.58382813423</v>
      </c>
      <c r="HJ10" s="1010">
        <f t="shared" si="118"/>
        <v>30000</v>
      </c>
      <c r="HK10" s="1010">
        <f t="shared" si="119"/>
        <v>456460.58382813423</v>
      </c>
      <c r="HL10" s="1012">
        <f t="shared" si="120"/>
        <v>33</v>
      </c>
      <c r="HM10" s="1167">
        <f t="shared" si="121"/>
        <v>13832.138903882855</v>
      </c>
      <c r="HN10" s="1168">
        <f t="shared" si="122"/>
        <v>0.875</v>
      </c>
      <c r="HO10" s="1167">
        <f t="shared" si="123"/>
        <v>3405224.0867969394</v>
      </c>
      <c r="HP10" s="1146">
        <f t="shared" si="124"/>
        <v>26400.666100374212</v>
      </c>
      <c r="HQ10" s="1146">
        <f t="shared" si="125"/>
        <v>30607.116778007276</v>
      </c>
      <c r="HR10" s="1146">
        <f t="shared" si="126"/>
        <v>39537.539011662055</v>
      </c>
      <c r="HS10" s="1146">
        <f t="shared" si="127"/>
        <v>67427.518217046629</v>
      </c>
      <c r="HT10" s="1137"/>
      <c r="HU10" s="1167">
        <f t="shared" si="128"/>
        <v>-11526.78241990238</v>
      </c>
      <c r="HX10" s="1154"/>
      <c r="HY10" s="1154"/>
      <c r="IB10" s="1154"/>
      <c r="IC10" s="1154"/>
      <c r="ID10" s="1154"/>
      <c r="IE10" s="1154"/>
      <c r="IF10" s="1313" t="s">
        <v>498</v>
      </c>
      <c r="IG10" s="1314">
        <f t="shared" ref="IG10:IG15" si="134">DATE(2026,10,1)</f>
        <v>46296</v>
      </c>
      <c r="IH10" s="1315">
        <f t="shared" si="133"/>
        <v>13</v>
      </c>
    </row>
    <row r="11" spans="1:242" s="1060" customFormat="1" ht="14.45" hidden="1">
      <c r="A11" s="855">
        <f t="shared" si="129"/>
        <v>5</v>
      </c>
      <c r="B11" s="856" t="s">
        <v>149</v>
      </c>
      <c r="C11" s="855">
        <f t="shared" si="130"/>
        <v>5</v>
      </c>
      <c r="D11" s="856" t="s">
        <v>474</v>
      </c>
      <c r="E11" s="857" t="str">
        <f t="shared" si="23"/>
        <v>2nd Floor</v>
      </c>
      <c r="F11" s="891"/>
      <c r="G11" s="764" t="s">
        <v>157</v>
      </c>
      <c r="H11" s="764" t="s">
        <v>499</v>
      </c>
      <c r="I11" s="764" t="s">
        <v>476</v>
      </c>
      <c r="J11" s="831">
        <v>22</v>
      </c>
      <c r="K11" s="892"/>
      <c r="L11" s="764" t="s">
        <v>500</v>
      </c>
      <c r="M11" s="764" t="s">
        <v>117</v>
      </c>
      <c r="N11" s="856">
        <f t="shared" si="24"/>
        <v>100909.09090909091</v>
      </c>
      <c r="O11" s="856">
        <f t="shared" si="25"/>
        <v>2220000</v>
      </c>
      <c r="P11" s="1138">
        <f t="shared" si="131"/>
        <v>22400</v>
      </c>
      <c r="Q11" s="1138">
        <f t="shared" si="8"/>
        <v>50000</v>
      </c>
      <c r="R11" s="893"/>
      <c r="S11" s="893"/>
      <c r="T11" s="893"/>
      <c r="U11" s="858"/>
      <c r="V11" s="858">
        <f>J11*$V$5</f>
        <v>55000</v>
      </c>
      <c r="W11" s="858"/>
      <c r="X11" s="858"/>
      <c r="Y11" s="893"/>
      <c r="Z11" s="1138">
        <f t="shared" si="9"/>
        <v>75000</v>
      </c>
      <c r="AA11" s="1138">
        <f t="shared" si="27"/>
        <v>202400</v>
      </c>
      <c r="AB11" s="1138">
        <f t="shared" si="28"/>
        <v>2422400</v>
      </c>
      <c r="AC11" s="1138">
        <f t="shared" si="29"/>
        <v>60560</v>
      </c>
      <c r="AD11" s="1138">
        <f t="shared" si="30"/>
        <v>2482960</v>
      </c>
      <c r="AE11" s="1138">
        <f t="shared" si="31"/>
        <v>62074</v>
      </c>
      <c r="AF11" s="1138">
        <f t="shared" si="32"/>
        <v>2545034</v>
      </c>
      <c r="AG11" s="1138">
        <f t="shared" si="33"/>
        <v>63625.850000000006</v>
      </c>
      <c r="AH11" s="1138">
        <f t="shared" si="34"/>
        <v>2608659.85</v>
      </c>
      <c r="AI11" s="1138">
        <f t="shared" si="10"/>
        <v>130432.99250000001</v>
      </c>
      <c r="AJ11" s="1138">
        <f t="shared" si="35"/>
        <v>2739092.8425000003</v>
      </c>
      <c r="AK11" s="1138">
        <f t="shared" si="36"/>
        <v>27390.928425000002</v>
      </c>
      <c r="AL11" s="1138">
        <f t="shared" si="37"/>
        <v>27537.409960060559</v>
      </c>
      <c r="AM11" s="1138"/>
      <c r="AN11" s="1138"/>
      <c r="AO11" s="1138">
        <f t="shared" si="38"/>
        <v>2794021.1808850607</v>
      </c>
      <c r="AP11" s="1138">
        <f t="shared" si="39"/>
        <v>377192.85941948323</v>
      </c>
      <c r="AQ11" s="1248">
        <f t="shared" si="40"/>
        <v>3171214.0403045439</v>
      </c>
      <c r="AR11" s="1248">
        <f>AQ11-AT11</f>
        <v>3171214.0403045439</v>
      </c>
      <c r="AS11" s="1248"/>
      <c r="AT11" s="1248">
        <f>AS11*J11</f>
        <v>0</v>
      </c>
      <c r="AU11" s="1248">
        <f t="shared" si="42"/>
        <v>0</v>
      </c>
      <c r="AV11" s="1140">
        <f t="shared" si="43"/>
        <v>0</v>
      </c>
      <c r="AW11" s="1140">
        <f t="shared" si="44"/>
        <v>3171214.0403045439</v>
      </c>
      <c r="AX11" s="1139">
        <f t="shared" si="45"/>
        <v>39640.1755038068</v>
      </c>
      <c r="AY11" s="831" t="s">
        <v>478</v>
      </c>
      <c r="AZ11" s="831">
        <f t="shared" si="46"/>
        <v>3210854.2158083506</v>
      </c>
      <c r="BA11" s="831">
        <f t="shared" si="47"/>
        <v>120407.03309281314</v>
      </c>
      <c r="BB11" s="831"/>
      <c r="BC11" s="831">
        <f t="shared" si="11"/>
        <v>33600</v>
      </c>
      <c r="BD11" s="831"/>
      <c r="BE11" s="831">
        <f t="shared" si="48"/>
        <v>3364861.2489011637</v>
      </c>
      <c r="BF11" s="831"/>
      <c r="BG11" s="831">
        <f t="shared" si="49"/>
        <v>3364861.2489011637</v>
      </c>
      <c r="BH11" s="831"/>
      <c r="BI11" s="831">
        <f t="shared" si="50"/>
        <v>3364861.2489011637</v>
      </c>
      <c r="BJ11" s="831"/>
      <c r="BK11" s="831">
        <f t="shared" si="51"/>
        <v>3364861.2489011637</v>
      </c>
      <c r="BL11" s="831"/>
      <c r="BM11" s="831">
        <f t="shared" si="52"/>
        <v>3364861.2489011637</v>
      </c>
      <c r="BN11" s="831"/>
      <c r="BO11" s="831">
        <f t="shared" si="53"/>
        <v>3364861.2489011637</v>
      </c>
      <c r="BP11" s="831"/>
      <c r="BQ11" s="831">
        <f t="shared" si="54"/>
        <v>3364861.2489011637</v>
      </c>
      <c r="BR11" s="831"/>
      <c r="BS11" s="831">
        <f t="shared" si="55"/>
        <v>3364861.2489011637</v>
      </c>
      <c r="BT11" s="831"/>
      <c r="BU11" s="831">
        <f t="shared" si="56"/>
        <v>3364861.2489011637</v>
      </c>
      <c r="BV11" s="831"/>
      <c r="BW11" s="831">
        <f t="shared" si="57"/>
        <v>56400</v>
      </c>
      <c r="BX11" s="831">
        <f t="shared" si="58"/>
        <v>3421261.2489011637</v>
      </c>
      <c r="BY11" s="831"/>
      <c r="BZ11" s="831">
        <f t="shared" si="59"/>
        <v>3421261.2489011637</v>
      </c>
      <c r="CA11" s="1260">
        <f t="shared" si="60"/>
        <v>3421261.2489011637</v>
      </c>
      <c r="CB11" s="1260">
        <f t="shared" si="61"/>
        <v>3421261.2489011637</v>
      </c>
      <c r="CC11" s="1260"/>
      <c r="CD11" s="1260">
        <f t="shared" si="62"/>
        <v>0</v>
      </c>
      <c r="CE11" s="1260">
        <f t="shared" si="63"/>
        <v>0</v>
      </c>
      <c r="CF11" s="1260">
        <f t="shared" si="64"/>
        <v>0</v>
      </c>
      <c r="CG11" s="1266">
        <f t="shared" si="65"/>
        <v>3421261.2489011637</v>
      </c>
      <c r="CH11" s="1141">
        <f t="shared" si="66"/>
        <v>3421261.2489011637</v>
      </c>
      <c r="CI11" s="1142">
        <f t="shared" si="67"/>
        <v>0</v>
      </c>
      <c r="CJ11" s="1141">
        <f t="shared" si="68"/>
        <v>350679.27801236924</v>
      </c>
      <c r="CK11" s="1141">
        <f t="shared" si="69"/>
        <v>119744.14371154075</v>
      </c>
      <c r="CL11" s="1143">
        <f t="shared" si="70"/>
        <v>3891684.6706250738</v>
      </c>
      <c r="CM11" s="1144">
        <f t="shared" si="71"/>
        <v>0.125</v>
      </c>
      <c r="CN11" s="1141">
        <f t="shared" si="72"/>
        <v>486460.58382813423</v>
      </c>
      <c r="CO11" s="1141">
        <f t="shared" si="73"/>
        <v>30000</v>
      </c>
      <c r="CP11" s="1141">
        <f t="shared" si="74"/>
        <v>456460.58382813423</v>
      </c>
      <c r="CQ11" s="1145">
        <f t="shared" si="75"/>
        <v>18</v>
      </c>
      <c r="CR11" s="1141">
        <f t="shared" si="76"/>
        <v>25358.921323785235</v>
      </c>
      <c r="CS11" s="1144">
        <f t="shared" si="77"/>
        <v>0.875</v>
      </c>
      <c r="CT11" s="1141">
        <f t="shared" si="78"/>
        <v>3405224.0867969394</v>
      </c>
      <c r="CU11" s="1146">
        <f t="shared" si="12"/>
        <v>26400.666100374212</v>
      </c>
      <c r="CV11" s="1146">
        <f t="shared" si="13"/>
        <v>30607.116778007276</v>
      </c>
      <c r="CW11" s="1146">
        <f t="shared" si="14"/>
        <v>39537.539011662055</v>
      </c>
      <c r="CX11" s="1146">
        <f t="shared" si="15"/>
        <v>67427.518217046629</v>
      </c>
      <c r="CY11" s="1146">
        <f t="shared" si="79"/>
        <v>276617.17612392135</v>
      </c>
      <c r="CZ11" s="1146">
        <f t="shared" si="80"/>
        <v>109456.06911260787</v>
      </c>
      <c r="DA11" s="1146">
        <f t="shared" si="81"/>
        <v>79058.568472429484</v>
      </c>
      <c r="DB11" s="1146">
        <f t="shared" si="82"/>
        <v>60167.210276030237</v>
      </c>
      <c r="DC11" s="1146"/>
      <c r="DD11" s="1146"/>
      <c r="DE11" s="1146"/>
      <c r="DF11" s="1146"/>
      <c r="DG11" s="1146"/>
      <c r="DH11" s="1146"/>
      <c r="DI11" s="1146"/>
      <c r="DJ11" s="1146"/>
      <c r="DK11" s="1146"/>
      <c r="DL11" s="1146"/>
      <c r="DM11" s="1146"/>
      <c r="DN11" s="1146"/>
      <c r="DO11" s="1146"/>
      <c r="DP11" s="1146"/>
      <c r="DQ11" s="1146"/>
      <c r="DR11" s="1146"/>
      <c r="DS11" s="1146"/>
      <c r="DT11" s="1146"/>
      <c r="DU11" s="1146"/>
      <c r="DV11" s="1146"/>
      <c r="DW11" s="1146"/>
      <c r="DX11" s="1146"/>
      <c r="DY11" s="1146"/>
      <c r="DZ11" s="1146"/>
      <c r="EA11" s="1147">
        <f t="shared" si="83"/>
        <v>0</v>
      </c>
      <c r="EB11" s="1148">
        <f t="shared" si="84"/>
        <v>0</v>
      </c>
      <c r="EC11" s="1107">
        <f t="shared" si="132"/>
        <v>45839</v>
      </c>
      <c r="ED11" s="1029">
        <f t="shared" si="16"/>
        <v>20</v>
      </c>
      <c r="EE11" s="1149"/>
      <c r="EF11" s="1030">
        <f t="shared" si="17"/>
        <v>45904</v>
      </c>
      <c r="EG11" s="1029">
        <f t="shared" si="85"/>
        <v>22</v>
      </c>
      <c r="EH11" s="846" t="s">
        <v>479</v>
      </c>
      <c r="EI11" s="846" t="s">
        <v>480</v>
      </c>
      <c r="EJ11" s="850">
        <f t="shared" si="18"/>
        <v>0</v>
      </c>
      <c r="EK11" s="850">
        <f t="shared" si="19"/>
        <v>0</v>
      </c>
      <c r="EL11" s="851">
        <f t="shared" si="20"/>
        <v>0</v>
      </c>
      <c r="EM11" s="847"/>
      <c r="EN11" s="850"/>
      <c r="EO11" s="850"/>
      <c r="EP11" s="850">
        <f t="shared" si="21"/>
        <v>0</v>
      </c>
      <c r="EQ11" s="1051"/>
      <c r="ER11" s="1150"/>
      <c r="ES11" s="1128"/>
      <c r="ET11" s="1151" t="s">
        <v>157</v>
      </c>
      <c r="EU11" s="1128" t="b">
        <f t="shared" si="22"/>
        <v>1</v>
      </c>
      <c r="EV11" s="1152" t="s">
        <v>501</v>
      </c>
      <c r="EW11" s="1153" t="s">
        <v>482</v>
      </c>
      <c r="EX11" s="1128"/>
      <c r="EY11" s="1128" t="s">
        <v>483</v>
      </c>
      <c r="EZ11" s="1128" t="s">
        <v>484</v>
      </c>
      <c r="FA11" s="1169">
        <f t="shared" si="86"/>
        <v>0</v>
      </c>
      <c r="FB11" s="1170" t="s">
        <v>114</v>
      </c>
      <c r="FC11" s="1298"/>
      <c r="FD11" s="1299"/>
      <c r="FE11" s="1300">
        <v>0.4</v>
      </c>
      <c r="FF11" s="1179">
        <f>FD7*FE11</f>
        <v>180028.61153547335</v>
      </c>
      <c r="FG11" s="1180" t="e">
        <f>FF11/FD11</f>
        <v>#DIV/0!</v>
      </c>
      <c r="FI11" s="1309" t="s">
        <v>149</v>
      </c>
      <c r="FJ11" s="1159" t="s">
        <v>149</v>
      </c>
      <c r="FK11" s="1160" t="b">
        <f t="shared" si="87"/>
        <v>1</v>
      </c>
      <c r="FL11" s="1131"/>
      <c r="FM11" s="1161"/>
      <c r="FP11" s="1181">
        <f>32+3</f>
        <v>35</v>
      </c>
      <c r="FQ11" s="1176">
        <f t="shared" si="88"/>
        <v>46204</v>
      </c>
      <c r="FR11" s="1177">
        <v>45139</v>
      </c>
      <c r="FS11" s="1178"/>
      <c r="FT11" s="1178"/>
      <c r="FU11" s="1295"/>
      <c r="FV11" s="1295"/>
      <c r="FW11" s="1023">
        <v>0.15</v>
      </c>
      <c r="FX11" s="1162">
        <v>14637.845763601757</v>
      </c>
      <c r="FY11" s="1163">
        <v>15095.278443714313</v>
      </c>
      <c r="FZ11" s="1137"/>
      <c r="GA11" s="1164">
        <f t="shared" si="89"/>
        <v>3891684.6706250738</v>
      </c>
      <c r="GB11" s="1165">
        <f t="shared" si="90"/>
        <v>0.15</v>
      </c>
      <c r="GC11" s="1154">
        <f t="shared" si="91"/>
        <v>583752.70059376105</v>
      </c>
      <c r="GD11" s="1164">
        <f t="shared" si="92"/>
        <v>30000</v>
      </c>
      <c r="GE11" s="1154">
        <f t="shared" si="93"/>
        <v>553752.70059376105</v>
      </c>
      <c r="GF11" s="1060">
        <f t="shared" si="94"/>
        <v>35</v>
      </c>
      <c r="GG11" s="1166">
        <f t="shared" si="95"/>
        <v>15821.505731250316</v>
      </c>
      <c r="GH11" s="1137"/>
      <c r="GI11" s="1164">
        <f t="shared" si="96"/>
        <v>3891684.6706250738</v>
      </c>
      <c r="GJ11" s="1154">
        <f t="shared" si="97"/>
        <v>389168.46706250741</v>
      </c>
      <c r="GK11" s="1154">
        <f t="shared" si="98"/>
        <v>97292.116765626852</v>
      </c>
      <c r="GL11" s="1166">
        <v>15000</v>
      </c>
      <c r="GM11" s="1154">
        <f t="shared" si="99"/>
        <v>374168.46706250741</v>
      </c>
      <c r="GN11" s="1060">
        <f t="shared" si="100"/>
        <v>35</v>
      </c>
      <c r="GO11" s="1154">
        <f t="shared" si="101"/>
        <v>10690.527630357354</v>
      </c>
      <c r="GP11" s="1137"/>
      <c r="GR11" s="1137"/>
      <c r="GS11" s="1010">
        <f t="shared" si="102"/>
        <v>3891684.6706250738</v>
      </c>
      <c r="GT11" s="1011">
        <f t="shared" si="103"/>
        <v>0.125</v>
      </c>
      <c r="GU11" s="1010">
        <f t="shared" si="104"/>
        <v>486460.58382813423</v>
      </c>
      <c r="GV11" s="1010">
        <f t="shared" si="105"/>
        <v>30000</v>
      </c>
      <c r="GW11" s="1010">
        <f t="shared" si="106"/>
        <v>456460.58382813423</v>
      </c>
      <c r="GX11" s="1010">
        <f t="shared" si="107"/>
        <v>18</v>
      </c>
      <c r="GY11" s="1010">
        <f t="shared" si="108"/>
        <v>25358.921323785235</v>
      </c>
      <c r="GZ11" s="1011">
        <f t="shared" si="109"/>
        <v>0.875</v>
      </c>
      <c r="HA11" s="1010">
        <f t="shared" si="110"/>
        <v>3405224.0867969394</v>
      </c>
      <c r="HB11" s="1010">
        <f t="shared" si="111"/>
        <v>26400.666100374212</v>
      </c>
      <c r="HC11" s="1010">
        <f t="shared" si="112"/>
        <v>30607.116778007276</v>
      </c>
      <c r="HD11" s="1010">
        <f t="shared" si="113"/>
        <v>39537.539011662055</v>
      </c>
      <c r="HE11" s="1010">
        <f t="shared" si="114"/>
        <v>67427.518217046629</v>
      </c>
      <c r="HF11" s="1137"/>
      <c r="HG11" s="1010">
        <f t="shared" si="115"/>
        <v>3891684.6706250738</v>
      </c>
      <c r="HH11" s="1011">
        <f t="shared" si="116"/>
        <v>0.125</v>
      </c>
      <c r="HI11" s="1010">
        <f t="shared" si="117"/>
        <v>486460.58382813423</v>
      </c>
      <c r="HJ11" s="1010">
        <f t="shared" si="118"/>
        <v>30000</v>
      </c>
      <c r="HK11" s="1010">
        <f t="shared" si="119"/>
        <v>456460.58382813423</v>
      </c>
      <c r="HL11" s="1012">
        <f t="shared" si="120"/>
        <v>33</v>
      </c>
      <c r="HM11" s="1167">
        <f t="shared" si="121"/>
        <v>13832.138903882855</v>
      </c>
      <c r="HN11" s="1168">
        <f t="shared" si="122"/>
        <v>0.875</v>
      </c>
      <c r="HO11" s="1167">
        <f t="shared" si="123"/>
        <v>3405224.0867969394</v>
      </c>
      <c r="HP11" s="1146">
        <f t="shared" si="124"/>
        <v>26400.666100374212</v>
      </c>
      <c r="HQ11" s="1146">
        <f t="shared" si="125"/>
        <v>30607.116778007276</v>
      </c>
      <c r="HR11" s="1146">
        <f t="shared" si="126"/>
        <v>39537.539011662055</v>
      </c>
      <c r="HS11" s="1146">
        <f t="shared" si="127"/>
        <v>67427.518217046629</v>
      </c>
      <c r="HT11" s="1137"/>
      <c r="HU11" s="1167">
        <f t="shared" si="128"/>
        <v>-11526.78241990238</v>
      </c>
      <c r="HX11" s="1154"/>
      <c r="HY11" s="1154"/>
      <c r="IB11" s="1154"/>
      <c r="IC11" s="1154"/>
      <c r="ID11" s="1154"/>
      <c r="IE11" s="1154"/>
      <c r="IF11" s="1313" t="s">
        <v>502</v>
      </c>
      <c r="IG11" s="1314">
        <f t="shared" si="134"/>
        <v>46296</v>
      </c>
      <c r="IH11" s="1315">
        <f t="shared" si="133"/>
        <v>13</v>
      </c>
    </row>
    <row r="12" spans="1:242" s="1060" customFormat="1" ht="15" hidden="1" thickBot="1">
      <c r="A12" s="855">
        <f t="shared" si="129"/>
        <v>6</v>
      </c>
      <c r="B12" s="856" t="s">
        <v>149</v>
      </c>
      <c r="C12" s="855">
        <f t="shared" si="130"/>
        <v>6</v>
      </c>
      <c r="D12" s="856" t="s">
        <v>474</v>
      </c>
      <c r="E12" s="857" t="str">
        <f t="shared" si="23"/>
        <v>2nd Floor</v>
      </c>
      <c r="F12" s="891"/>
      <c r="G12" s="764" t="s">
        <v>158</v>
      </c>
      <c r="H12" s="764" t="s">
        <v>503</v>
      </c>
      <c r="I12" s="764" t="s">
        <v>476</v>
      </c>
      <c r="J12" s="831">
        <v>22</v>
      </c>
      <c r="K12" s="892"/>
      <c r="L12" s="764" t="s">
        <v>500</v>
      </c>
      <c r="M12" s="764" t="s">
        <v>93</v>
      </c>
      <c r="N12" s="856">
        <f t="shared" si="24"/>
        <v>100909.09090909091</v>
      </c>
      <c r="O12" s="856">
        <f t="shared" si="25"/>
        <v>2220000</v>
      </c>
      <c r="P12" s="1138">
        <f t="shared" si="131"/>
        <v>22400</v>
      </c>
      <c r="Q12" s="1138">
        <f t="shared" si="8"/>
        <v>50000</v>
      </c>
      <c r="R12" s="893"/>
      <c r="S12" s="893"/>
      <c r="T12" s="893"/>
      <c r="U12" s="858"/>
      <c r="V12" s="858"/>
      <c r="W12" s="858"/>
      <c r="X12" s="858"/>
      <c r="Y12" s="893"/>
      <c r="Z12" s="1138">
        <f t="shared" si="9"/>
        <v>75000</v>
      </c>
      <c r="AA12" s="1138">
        <f t="shared" si="27"/>
        <v>147400</v>
      </c>
      <c r="AB12" s="1138">
        <f t="shared" si="28"/>
        <v>2367400</v>
      </c>
      <c r="AC12" s="1138">
        <f t="shared" si="29"/>
        <v>59185</v>
      </c>
      <c r="AD12" s="1138">
        <f t="shared" si="30"/>
        <v>2426585</v>
      </c>
      <c r="AE12" s="1138">
        <f t="shared" si="31"/>
        <v>60664.625</v>
      </c>
      <c r="AF12" s="1138">
        <f t="shared" si="32"/>
        <v>2487249.625</v>
      </c>
      <c r="AG12" s="1138">
        <f t="shared" si="33"/>
        <v>62181.240625000006</v>
      </c>
      <c r="AH12" s="1138">
        <f t="shared" si="34"/>
        <v>2549430.8656250001</v>
      </c>
      <c r="AI12" s="1138">
        <f t="shared" si="10"/>
        <v>127471.54328125001</v>
      </c>
      <c r="AJ12" s="1138">
        <f t="shared" si="35"/>
        <v>2676902.4089062503</v>
      </c>
      <c r="AK12" s="1138">
        <f t="shared" si="36"/>
        <v>26769.024089062503</v>
      </c>
      <c r="AL12" s="1138">
        <f t="shared" si="37"/>
        <v>27537.409960060559</v>
      </c>
      <c r="AM12" s="1138"/>
      <c r="AN12" s="1138"/>
      <c r="AO12" s="1138">
        <f t="shared" si="38"/>
        <v>2731208.8429553732</v>
      </c>
      <c r="AP12" s="1138">
        <f t="shared" si="39"/>
        <v>368713.19379897544</v>
      </c>
      <c r="AQ12" s="1248">
        <f t="shared" si="40"/>
        <v>3099922.0367543488</v>
      </c>
      <c r="AR12" s="1248">
        <f t="shared" ref="AR12:AR20" si="135">AQ12</f>
        <v>3099922.0367543488</v>
      </c>
      <c r="AS12" s="1248"/>
      <c r="AT12" s="1248"/>
      <c r="AU12" s="1248">
        <f t="shared" si="42"/>
        <v>0</v>
      </c>
      <c r="AV12" s="1140">
        <f t="shared" si="43"/>
        <v>0</v>
      </c>
      <c r="AW12" s="1140">
        <f t="shared" si="44"/>
        <v>3099922.0367543488</v>
      </c>
      <c r="AX12" s="1139">
        <f t="shared" si="45"/>
        <v>38749.025459429358</v>
      </c>
      <c r="AY12" s="831" t="s">
        <v>478</v>
      </c>
      <c r="AZ12" s="831">
        <f t="shared" si="46"/>
        <v>3138671.062213778</v>
      </c>
      <c r="BA12" s="831">
        <f t="shared" si="47"/>
        <v>117700.16483301668</v>
      </c>
      <c r="BB12" s="831"/>
      <c r="BC12" s="831">
        <f t="shared" si="11"/>
        <v>33600</v>
      </c>
      <c r="BD12" s="831"/>
      <c r="BE12" s="831">
        <f t="shared" si="48"/>
        <v>3289971.2270467947</v>
      </c>
      <c r="BF12" s="831"/>
      <c r="BG12" s="831">
        <f t="shared" si="49"/>
        <v>3289971.2270467947</v>
      </c>
      <c r="BH12" s="831"/>
      <c r="BI12" s="831">
        <f t="shared" si="50"/>
        <v>3289971.2270467947</v>
      </c>
      <c r="BJ12" s="831"/>
      <c r="BK12" s="831">
        <f t="shared" si="51"/>
        <v>3289971.2270467947</v>
      </c>
      <c r="BL12" s="831"/>
      <c r="BM12" s="831">
        <f t="shared" si="52"/>
        <v>3289971.2270467947</v>
      </c>
      <c r="BN12" s="831"/>
      <c r="BO12" s="831">
        <f t="shared" si="53"/>
        <v>3289971.2270467947</v>
      </c>
      <c r="BP12" s="831"/>
      <c r="BQ12" s="831">
        <f t="shared" si="54"/>
        <v>3289971.2270467947</v>
      </c>
      <c r="BR12" s="831"/>
      <c r="BS12" s="831">
        <f t="shared" si="55"/>
        <v>3289971.2270467947</v>
      </c>
      <c r="BT12" s="831"/>
      <c r="BU12" s="831">
        <f t="shared" si="56"/>
        <v>3289971.2270467947</v>
      </c>
      <c r="BV12" s="831"/>
      <c r="BW12" s="831">
        <f t="shared" si="57"/>
        <v>56400</v>
      </c>
      <c r="BX12" s="831">
        <f t="shared" si="58"/>
        <v>3346371.2270467947</v>
      </c>
      <c r="BY12" s="831"/>
      <c r="BZ12" s="831">
        <f t="shared" si="59"/>
        <v>3346371.2270467947</v>
      </c>
      <c r="CA12" s="1260">
        <f t="shared" si="60"/>
        <v>3346371.2270467947</v>
      </c>
      <c r="CB12" s="1260">
        <f t="shared" si="61"/>
        <v>3346371.2270467947</v>
      </c>
      <c r="CC12" s="1260"/>
      <c r="CD12" s="1260">
        <f t="shared" si="62"/>
        <v>0</v>
      </c>
      <c r="CE12" s="1260">
        <f t="shared" si="63"/>
        <v>0</v>
      </c>
      <c r="CF12" s="1260">
        <f t="shared" si="64"/>
        <v>0</v>
      </c>
      <c r="CG12" s="1266">
        <f t="shared" si="65"/>
        <v>3346371.2270467947</v>
      </c>
      <c r="CH12" s="1141">
        <f t="shared" si="66"/>
        <v>3346371.2270467947</v>
      </c>
      <c r="CI12" s="1142">
        <f t="shared" si="67"/>
        <v>0</v>
      </c>
      <c r="CJ12" s="1141">
        <f t="shared" si="68"/>
        <v>343003.05077229644</v>
      </c>
      <c r="CK12" s="1141">
        <f t="shared" si="69"/>
        <v>117122.99294663782</v>
      </c>
      <c r="CL12" s="1143">
        <f t="shared" si="70"/>
        <v>3806497.2707657288</v>
      </c>
      <c r="CM12" s="1144">
        <f t="shared" si="71"/>
        <v>0.125</v>
      </c>
      <c r="CN12" s="1141">
        <f t="shared" si="72"/>
        <v>475812.1588457161</v>
      </c>
      <c r="CO12" s="1141">
        <f t="shared" si="73"/>
        <v>30000</v>
      </c>
      <c r="CP12" s="1141">
        <f t="shared" si="74"/>
        <v>445812.1588457161</v>
      </c>
      <c r="CQ12" s="1145">
        <f t="shared" si="75"/>
        <v>18</v>
      </c>
      <c r="CR12" s="1141">
        <f t="shared" si="76"/>
        <v>24767.34215809534</v>
      </c>
      <c r="CS12" s="1144">
        <f t="shared" si="77"/>
        <v>0.875</v>
      </c>
      <c r="CT12" s="1141">
        <f t="shared" si="78"/>
        <v>3330685.1119200126</v>
      </c>
      <c r="CU12" s="1146">
        <f t="shared" si="12"/>
        <v>25822.76622153218</v>
      </c>
      <c r="CV12" s="1146">
        <f t="shared" si="13"/>
        <v>29937.139399009873</v>
      </c>
      <c r="CW12" s="1146">
        <f t="shared" si="14"/>
        <v>38672.078310114535</v>
      </c>
      <c r="CX12" s="1146">
        <f t="shared" si="15"/>
        <v>65951.557176514485</v>
      </c>
      <c r="CY12" s="1146">
        <f t="shared" si="79"/>
        <v>270562.13827147207</v>
      </c>
      <c r="CZ12" s="1146">
        <f t="shared" si="80"/>
        <v>107060.12013017652</v>
      </c>
      <c r="DA12" s="1146">
        <f t="shared" si="81"/>
        <v>77328.008456711017</v>
      </c>
      <c r="DB12" s="1146">
        <f t="shared" si="82"/>
        <v>58850.174433200184</v>
      </c>
      <c r="DC12" s="1146"/>
      <c r="DD12" s="1146"/>
      <c r="DE12" s="1146"/>
      <c r="DF12" s="1146"/>
      <c r="DG12" s="1146"/>
      <c r="DH12" s="1146"/>
      <c r="DI12" s="1146"/>
      <c r="DJ12" s="1146"/>
      <c r="DK12" s="1146"/>
      <c r="DL12" s="1146"/>
      <c r="DM12" s="1146"/>
      <c r="DN12" s="1146"/>
      <c r="DO12" s="1146"/>
      <c r="DP12" s="1146"/>
      <c r="DQ12" s="1146"/>
      <c r="DR12" s="1146"/>
      <c r="DS12" s="1146"/>
      <c r="DT12" s="1146"/>
      <c r="DU12" s="1146"/>
      <c r="DV12" s="1146"/>
      <c r="DW12" s="1146"/>
      <c r="DX12" s="1146"/>
      <c r="DY12" s="1146"/>
      <c r="DZ12" s="1146"/>
      <c r="EA12" s="1147">
        <f t="shared" si="83"/>
        <v>0</v>
      </c>
      <c r="EB12" s="1148">
        <f t="shared" si="84"/>
        <v>0</v>
      </c>
      <c r="EC12" s="1107">
        <f t="shared" si="132"/>
        <v>45839</v>
      </c>
      <c r="ED12" s="1029">
        <f t="shared" si="16"/>
        <v>20</v>
      </c>
      <c r="EE12" s="1149"/>
      <c r="EF12" s="1030">
        <f t="shared" si="17"/>
        <v>45904</v>
      </c>
      <c r="EG12" s="1029">
        <f t="shared" si="85"/>
        <v>22</v>
      </c>
      <c r="EH12" s="846" t="s">
        <v>490</v>
      </c>
      <c r="EI12" s="846" t="s">
        <v>480</v>
      </c>
      <c r="EJ12" s="850">
        <f t="shared" si="18"/>
        <v>0</v>
      </c>
      <c r="EK12" s="850">
        <f t="shared" si="19"/>
        <v>0</v>
      </c>
      <c r="EL12" s="851">
        <f t="shared" si="20"/>
        <v>0</v>
      </c>
      <c r="EM12" s="847"/>
      <c r="EN12" s="850"/>
      <c r="EO12" s="850"/>
      <c r="EP12" s="850">
        <f t="shared" si="21"/>
        <v>0</v>
      </c>
      <c r="EQ12" s="1051"/>
      <c r="ER12" s="1150"/>
      <c r="ES12" s="1128"/>
      <c r="ET12" s="1151" t="s">
        <v>158</v>
      </c>
      <c r="EU12" s="1128" t="b">
        <f t="shared" si="22"/>
        <v>1</v>
      </c>
      <c r="EV12" s="1152" t="s">
        <v>504</v>
      </c>
      <c r="EW12" s="1153" t="s">
        <v>482</v>
      </c>
      <c r="EX12" s="1128"/>
      <c r="EY12" s="1128" t="s">
        <v>483</v>
      </c>
      <c r="EZ12" s="1128" t="s">
        <v>484</v>
      </c>
      <c r="FA12" s="1169">
        <f t="shared" si="86"/>
        <v>0</v>
      </c>
      <c r="FB12" s="1182" t="s">
        <v>102</v>
      </c>
      <c r="FC12" s="1301"/>
      <c r="FD12" s="1302">
        <f>SUM(FD9:FD11)</f>
        <v>0</v>
      </c>
      <c r="FE12" s="1303">
        <f>SUM(FE9:FE11)</f>
        <v>1</v>
      </c>
      <c r="FF12" s="1183">
        <f>SUM(FF9:FF11)</f>
        <v>450071.52883868339</v>
      </c>
      <c r="FG12" s="1184"/>
      <c r="FI12" s="1309" t="s">
        <v>149</v>
      </c>
      <c r="FJ12" s="1159" t="s">
        <v>149</v>
      </c>
      <c r="FK12" s="1160" t="b">
        <f t="shared" si="87"/>
        <v>1</v>
      </c>
      <c r="FL12" s="1131"/>
      <c r="FM12" s="1161"/>
      <c r="FP12" s="1181">
        <v>34</v>
      </c>
      <c r="FQ12" s="1176">
        <f t="shared" si="88"/>
        <v>46204</v>
      </c>
      <c r="FR12" s="1177">
        <v>45170</v>
      </c>
      <c r="FS12" s="1178"/>
      <c r="FT12" s="1178"/>
      <c r="FU12" s="1295"/>
      <c r="FV12" s="1295"/>
      <c r="FW12" s="1023">
        <v>0.15</v>
      </c>
      <c r="FX12" s="1162">
        <v>13992.593304018388</v>
      </c>
      <c r="FY12" s="1163">
        <v>14429.861844768962</v>
      </c>
      <c r="FZ12" s="1137"/>
      <c r="GA12" s="1164">
        <f t="shared" si="89"/>
        <v>3806497.2707657288</v>
      </c>
      <c r="GB12" s="1165">
        <f t="shared" si="90"/>
        <v>0.15</v>
      </c>
      <c r="GC12" s="1154">
        <f t="shared" si="91"/>
        <v>570974.59061485925</v>
      </c>
      <c r="GD12" s="1164">
        <f t="shared" si="92"/>
        <v>30000</v>
      </c>
      <c r="GE12" s="1154">
        <f t="shared" si="93"/>
        <v>540974.59061485925</v>
      </c>
      <c r="GF12" s="1060">
        <f t="shared" si="94"/>
        <v>35</v>
      </c>
      <c r="GG12" s="1166">
        <f t="shared" si="95"/>
        <v>15456.416874710265</v>
      </c>
      <c r="GH12" s="1137"/>
      <c r="GI12" s="1164">
        <f t="shared" si="96"/>
        <v>3806497.2707657288</v>
      </c>
      <c r="GJ12" s="1154">
        <f t="shared" si="97"/>
        <v>380649.72707657289</v>
      </c>
      <c r="GK12" s="1154">
        <f t="shared" si="98"/>
        <v>95162.431769143222</v>
      </c>
      <c r="GL12" s="1166">
        <v>15000</v>
      </c>
      <c r="GM12" s="1154">
        <f t="shared" si="99"/>
        <v>365649.72707657289</v>
      </c>
      <c r="GN12" s="1060">
        <f t="shared" si="100"/>
        <v>35</v>
      </c>
      <c r="GO12" s="1154">
        <f t="shared" si="101"/>
        <v>10447.135059330654</v>
      </c>
      <c r="GP12" s="1137"/>
      <c r="GR12" s="1137"/>
      <c r="GS12" s="1010">
        <f t="shared" si="102"/>
        <v>3806497.2707657288</v>
      </c>
      <c r="GT12" s="1011">
        <f t="shared" si="103"/>
        <v>0.125</v>
      </c>
      <c r="GU12" s="1010">
        <f t="shared" si="104"/>
        <v>475812.1588457161</v>
      </c>
      <c r="GV12" s="1010">
        <f t="shared" si="105"/>
        <v>30000</v>
      </c>
      <c r="GW12" s="1010">
        <f t="shared" si="106"/>
        <v>445812.1588457161</v>
      </c>
      <c r="GX12" s="1010">
        <f t="shared" si="107"/>
        <v>18</v>
      </c>
      <c r="GY12" s="1010">
        <f t="shared" si="108"/>
        <v>24767.34215809534</v>
      </c>
      <c r="GZ12" s="1011">
        <f t="shared" si="109"/>
        <v>0.875</v>
      </c>
      <c r="HA12" s="1010">
        <f t="shared" si="110"/>
        <v>3330685.1119200126</v>
      </c>
      <c r="HB12" s="1010">
        <f t="shared" si="111"/>
        <v>25822.76622153218</v>
      </c>
      <c r="HC12" s="1010">
        <f t="shared" si="112"/>
        <v>29937.139399009873</v>
      </c>
      <c r="HD12" s="1010">
        <f t="shared" si="113"/>
        <v>38672.078310114535</v>
      </c>
      <c r="HE12" s="1010">
        <f t="shared" si="114"/>
        <v>65951.557176514485</v>
      </c>
      <c r="HF12" s="1137"/>
      <c r="HG12" s="1010">
        <f t="shared" si="115"/>
        <v>3806497.2707657288</v>
      </c>
      <c r="HH12" s="1011">
        <f t="shared" si="116"/>
        <v>0.125</v>
      </c>
      <c r="HI12" s="1010">
        <f t="shared" si="117"/>
        <v>475812.1588457161</v>
      </c>
      <c r="HJ12" s="1010">
        <f t="shared" si="118"/>
        <v>30000</v>
      </c>
      <c r="HK12" s="1010">
        <f t="shared" si="119"/>
        <v>445812.1588457161</v>
      </c>
      <c r="HL12" s="1012">
        <f t="shared" si="120"/>
        <v>33</v>
      </c>
      <c r="HM12" s="1167">
        <f t="shared" si="121"/>
        <v>13509.459358961094</v>
      </c>
      <c r="HN12" s="1168">
        <f t="shared" si="122"/>
        <v>0.875</v>
      </c>
      <c r="HO12" s="1167">
        <f t="shared" si="123"/>
        <v>3330685.1119200126</v>
      </c>
      <c r="HP12" s="1146">
        <f t="shared" si="124"/>
        <v>25822.76622153218</v>
      </c>
      <c r="HQ12" s="1146">
        <f t="shared" si="125"/>
        <v>29937.139399009873</v>
      </c>
      <c r="HR12" s="1146">
        <f t="shared" si="126"/>
        <v>38672.078310114535</v>
      </c>
      <c r="HS12" s="1146">
        <f t="shared" si="127"/>
        <v>65951.557176514485</v>
      </c>
      <c r="HT12" s="1137"/>
      <c r="HU12" s="1167">
        <f t="shared" si="128"/>
        <v>-11257.882799134246</v>
      </c>
      <c r="HX12" s="1154"/>
      <c r="HY12" s="1154"/>
      <c r="IB12" s="1154"/>
      <c r="IC12" s="1154"/>
      <c r="ID12" s="1154"/>
      <c r="IE12" s="1154"/>
      <c r="IF12" s="1313" t="s">
        <v>505</v>
      </c>
      <c r="IG12" s="1314">
        <f t="shared" si="134"/>
        <v>46296</v>
      </c>
      <c r="IH12" s="1315">
        <f t="shared" si="133"/>
        <v>13</v>
      </c>
    </row>
    <row r="13" spans="1:242" s="1060" customFormat="1" ht="14.25" hidden="1" customHeight="1">
      <c r="A13" s="891">
        <f>A12+1</f>
        <v>7</v>
      </c>
      <c r="B13" s="856" t="s">
        <v>149</v>
      </c>
      <c r="C13" s="855">
        <f t="shared" si="130"/>
        <v>7</v>
      </c>
      <c r="D13" s="856" t="s">
        <v>474</v>
      </c>
      <c r="E13" s="857" t="str">
        <f t="shared" si="23"/>
        <v>2nd Floor</v>
      </c>
      <c r="F13" s="1185"/>
      <c r="G13" s="764" t="s">
        <v>159</v>
      </c>
      <c r="H13" s="764" t="s">
        <v>506</v>
      </c>
      <c r="I13" s="764" t="s">
        <v>476</v>
      </c>
      <c r="J13" s="1139">
        <v>22</v>
      </c>
      <c r="K13" s="1142"/>
      <c r="L13" s="764" t="s">
        <v>500</v>
      </c>
      <c r="M13" s="764" t="s">
        <v>93</v>
      </c>
      <c r="N13" s="856">
        <f t="shared" si="24"/>
        <v>100909.09090909091</v>
      </c>
      <c r="O13" s="1138">
        <f>J13*N13</f>
        <v>2220000</v>
      </c>
      <c r="P13" s="1138">
        <f>(P4+P5)</f>
        <v>22400</v>
      </c>
      <c r="Q13" s="1138">
        <f t="shared" si="8"/>
        <v>50000</v>
      </c>
      <c r="R13" s="1138"/>
      <c r="S13" s="1138"/>
      <c r="T13" s="1138"/>
      <c r="U13" s="1138"/>
      <c r="V13" s="858"/>
      <c r="W13" s="858"/>
      <c r="X13" s="1138"/>
      <c r="Y13" s="1138"/>
      <c r="Z13" s="1138">
        <f>$Z$5</f>
        <v>75000</v>
      </c>
      <c r="AA13" s="1138">
        <f t="shared" si="27"/>
        <v>147400</v>
      </c>
      <c r="AB13" s="1138">
        <f t="shared" si="28"/>
        <v>2367400</v>
      </c>
      <c r="AC13" s="1138">
        <f t="shared" si="29"/>
        <v>59185</v>
      </c>
      <c r="AD13" s="1138">
        <f t="shared" si="30"/>
        <v>2426585</v>
      </c>
      <c r="AE13" s="1138">
        <f t="shared" si="31"/>
        <v>60664.625</v>
      </c>
      <c r="AF13" s="1138">
        <f t="shared" si="32"/>
        <v>2487249.625</v>
      </c>
      <c r="AG13" s="1138">
        <f t="shared" si="33"/>
        <v>62181.240625000006</v>
      </c>
      <c r="AH13" s="1138">
        <f t="shared" si="34"/>
        <v>2549430.8656250001</v>
      </c>
      <c r="AI13" s="1138">
        <f t="shared" si="10"/>
        <v>127471.54328125001</v>
      </c>
      <c r="AJ13" s="1138">
        <f t="shared" si="35"/>
        <v>2676902.4089062503</v>
      </c>
      <c r="AK13" s="1138">
        <f t="shared" si="36"/>
        <v>26769.024089062503</v>
      </c>
      <c r="AL13" s="1138">
        <f t="shared" si="37"/>
        <v>27537.409960060559</v>
      </c>
      <c r="AM13" s="1138"/>
      <c r="AN13" s="1138"/>
      <c r="AO13" s="1138">
        <f t="shared" si="38"/>
        <v>2731208.8429553732</v>
      </c>
      <c r="AP13" s="1138">
        <f t="shared" si="39"/>
        <v>368713.19379897544</v>
      </c>
      <c r="AQ13" s="1248">
        <f t="shared" si="40"/>
        <v>3099922.0367543488</v>
      </c>
      <c r="AR13" s="1248">
        <f t="shared" si="135"/>
        <v>3099922.0367543488</v>
      </c>
      <c r="AS13" s="1248"/>
      <c r="AT13" s="1248"/>
      <c r="AU13" s="1248">
        <f t="shared" si="42"/>
        <v>0</v>
      </c>
      <c r="AV13" s="1140">
        <f t="shared" si="43"/>
        <v>0</v>
      </c>
      <c r="AW13" s="1140">
        <f t="shared" si="44"/>
        <v>3099922.0367543488</v>
      </c>
      <c r="AX13" s="1139">
        <f t="shared" si="45"/>
        <v>38749.025459429358</v>
      </c>
      <c r="AY13" s="831" t="s">
        <v>478</v>
      </c>
      <c r="AZ13" s="831">
        <f t="shared" si="46"/>
        <v>3138671.062213778</v>
      </c>
      <c r="BA13" s="831">
        <f t="shared" si="47"/>
        <v>117700.16483301668</v>
      </c>
      <c r="BB13" s="831"/>
      <c r="BC13" s="831">
        <f t="shared" si="11"/>
        <v>33600</v>
      </c>
      <c r="BD13" s="831"/>
      <c r="BE13" s="831">
        <f t="shared" si="48"/>
        <v>3289971.2270467947</v>
      </c>
      <c r="BF13" s="831"/>
      <c r="BG13" s="831">
        <f t="shared" si="49"/>
        <v>3289971.2270467947</v>
      </c>
      <c r="BH13" s="831"/>
      <c r="BI13" s="831">
        <f t="shared" si="50"/>
        <v>3289971.2270467947</v>
      </c>
      <c r="BJ13" s="831"/>
      <c r="BK13" s="831">
        <f t="shared" si="51"/>
        <v>3289971.2270467947</v>
      </c>
      <c r="BL13" s="831"/>
      <c r="BM13" s="831">
        <f t="shared" si="52"/>
        <v>3289971.2270467947</v>
      </c>
      <c r="BN13" s="831"/>
      <c r="BO13" s="831">
        <f t="shared" si="53"/>
        <v>3289971.2270467947</v>
      </c>
      <c r="BP13" s="831"/>
      <c r="BQ13" s="831">
        <f t="shared" si="54"/>
        <v>3289971.2270467947</v>
      </c>
      <c r="BR13" s="831"/>
      <c r="BS13" s="831">
        <f t="shared" si="55"/>
        <v>3289971.2270467947</v>
      </c>
      <c r="BT13" s="831"/>
      <c r="BU13" s="831">
        <f t="shared" si="56"/>
        <v>3289971.2270467947</v>
      </c>
      <c r="BV13" s="831"/>
      <c r="BW13" s="831">
        <f t="shared" si="57"/>
        <v>56400</v>
      </c>
      <c r="BX13" s="831">
        <f t="shared" si="58"/>
        <v>3346371.2270467947</v>
      </c>
      <c r="BY13" s="831"/>
      <c r="BZ13" s="831">
        <f t="shared" si="59"/>
        <v>3346371.2270467947</v>
      </c>
      <c r="CA13" s="1260">
        <f t="shared" si="60"/>
        <v>3346371.2270467947</v>
      </c>
      <c r="CB13" s="1260">
        <f t="shared" si="61"/>
        <v>3346371.2270467947</v>
      </c>
      <c r="CC13" s="1260"/>
      <c r="CD13" s="1260">
        <f t="shared" si="62"/>
        <v>0</v>
      </c>
      <c r="CE13" s="1260">
        <f t="shared" si="63"/>
        <v>0</v>
      </c>
      <c r="CF13" s="1260">
        <f t="shared" si="64"/>
        <v>0</v>
      </c>
      <c r="CG13" s="1266">
        <f t="shared" si="65"/>
        <v>3346371.2270467947</v>
      </c>
      <c r="CH13" s="1141">
        <f t="shared" si="66"/>
        <v>3346371.2270467947</v>
      </c>
      <c r="CI13" s="1142">
        <f t="shared" si="67"/>
        <v>0</v>
      </c>
      <c r="CJ13" s="1141">
        <f t="shared" si="68"/>
        <v>343003.05077229644</v>
      </c>
      <c r="CK13" s="1141">
        <f t="shared" si="69"/>
        <v>117122.99294663782</v>
      </c>
      <c r="CL13" s="1143">
        <f t="shared" si="70"/>
        <v>3806497.2707657288</v>
      </c>
      <c r="CM13" s="1144">
        <f t="shared" si="71"/>
        <v>0.125</v>
      </c>
      <c r="CN13" s="1141">
        <f t="shared" si="72"/>
        <v>475812.1588457161</v>
      </c>
      <c r="CO13" s="1141">
        <f t="shared" si="73"/>
        <v>30000</v>
      </c>
      <c r="CP13" s="1141">
        <f t="shared" si="74"/>
        <v>445812.1588457161</v>
      </c>
      <c r="CQ13" s="1145">
        <f t="shared" si="75"/>
        <v>18</v>
      </c>
      <c r="CR13" s="1141">
        <f t="shared" si="76"/>
        <v>24767.34215809534</v>
      </c>
      <c r="CS13" s="1144">
        <f t="shared" si="77"/>
        <v>0.875</v>
      </c>
      <c r="CT13" s="1141">
        <f t="shared" si="78"/>
        <v>3330685.1119200126</v>
      </c>
      <c r="CU13" s="1146">
        <f t="shared" si="12"/>
        <v>25822.76622153218</v>
      </c>
      <c r="CV13" s="1146">
        <f t="shared" si="13"/>
        <v>29937.139399009873</v>
      </c>
      <c r="CW13" s="1146">
        <f t="shared" si="14"/>
        <v>38672.078310114535</v>
      </c>
      <c r="CX13" s="1146">
        <f t="shared" si="15"/>
        <v>65951.557176514485</v>
      </c>
      <c r="CY13" s="1146">
        <f t="shared" si="79"/>
        <v>270562.13827147207</v>
      </c>
      <c r="CZ13" s="1146">
        <f t="shared" si="80"/>
        <v>107060.12013017652</v>
      </c>
      <c r="DA13" s="1146">
        <f t="shared" si="81"/>
        <v>77328.008456711017</v>
      </c>
      <c r="DB13" s="1146">
        <f t="shared" si="82"/>
        <v>58850.174433200184</v>
      </c>
      <c r="DC13" s="1146"/>
      <c r="DD13" s="1146"/>
      <c r="DE13" s="1146"/>
      <c r="DF13" s="1146"/>
      <c r="DG13" s="1146"/>
      <c r="DH13" s="1146"/>
      <c r="DI13" s="1146"/>
      <c r="DJ13" s="1146"/>
      <c r="DK13" s="1146"/>
      <c r="DL13" s="1146"/>
      <c r="DM13" s="1146"/>
      <c r="DN13" s="1146"/>
      <c r="DO13" s="1146"/>
      <c r="DP13" s="1146"/>
      <c r="DQ13" s="1146"/>
      <c r="DR13" s="1146"/>
      <c r="DS13" s="1146"/>
      <c r="DT13" s="1146"/>
      <c r="DU13" s="1146"/>
      <c r="DV13" s="1146"/>
      <c r="DW13" s="1146"/>
      <c r="DX13" s="1146"/>
      <c r="DY13" s="1146"/>
      <c r="DZ13" s="1146"/>
      <c r="EA13" s="1147">
        <f t="shared" si="83"/>
        <v>0</v>
      </c>
      <c r="EB13" s="1148">
        <f t="shared" si="84"/>
        <v>0</v>
      </c>
      <c r="EC13" s="1107">
        <f t="shared" si="132"/>
        <v>45839</v>
      </c>
      <c r="ED13" s="1029">
        <f t="shared" si="16"/>
        <v>20</v>
      </c>
      <c r="EE13" s="1149"/>
      <c r="EF13" s="1030">
        <f t="shared" si="17"/>
        <v>45904</v>
      </c>
      <c r="EG13" s="1029">
        <f t="shared" si="85"/>
        <v>22</v>
      </c>
      <c r="EH13" s="846" t="s">
        <v>490</v>
      </c>
      <c r="EI13" s="846" t="s">
        <v>480</v>
      </c>
      <c r="EJ13" s="850">
        <f t="shared" si="18"/>
        <v>0</v>
      </c>
      <c r="EK13" s="850">
        <f t="shared" si="19"/>
        <v>0</v>
      </c>
      <c r="EL13" s="851">
        <f t="shared" si="20"/>
        <v>0</v>
      </c>
      <c r="EM13" s="847"/>
      <c r="EN13" s="850"/>
      <c r="EO13" s="850"/>
      <c r="EP13" s="850">
        <f t="shared" si="21"/>
        <v>0</v>
      </c>
      <c r="EQ13" s="1128"/>
      <c r="ER13" s="1150"/>
      <c r="ES13" s="1128"/>
      <c r="ET13" s="1151" t="s">
        <v>159</v>
      </c>
      <c r="EU13" s="1128" t="b">
        <f t="shared" si="22"/>
        <v>1</v>
      </c>
      <c r="EV13" s="1152" t="s">
        <v>504</v>
      </c>
      <c r="EW13" s="1153" t="s">
        <v>482</v>
      </c>
      <c r="EX13" s="1128"/>
      <c r="EY13" s="1128" t="s">
        <v>483</v>
      </c>
      <c r="EZ13" s="1128" t="s">
        <v>484</v>
      </c>
      <c r="FA13" s="1169">
        <f t="shared" si="86"/>
        <v>0</v>
      </c>
      <c r="FI13" s="1309" t="s">
        <v>149</v>
      </c>
      <c r="FJ13" s="1159" t="s">
        <v>149</v>
      </c>
      <c r="FK13" s="1160" t="b">
        <f t="shared" si="87"/>
        <v>1</v>
      </c>
      <c r="FL13" s="1131"/>
      <c r="FM13" s="1161"/>
      <c r="FP13" s="1181">
        <f>FP12-1+3</f>
        <v>36</v>
      </c>
      <c r="FQ13" s="1176">
        <f t="shared" si="88"/>
        <v>46296</v>
      </c>
      <c r="FR13" s="1177">
        <v>45200</v>
      </c>
      <c r="FU13" s="1295"/>
      <c r="FV13" s="1295"/>
      <c r="FW13" s="1023">
        <v>0.15</v>
      </c>
      <c r="FX13" s="1162">
        <v>13992.593304018388</v>
      </c>
      <c r="FY13" s="1163">
        <v>14429.861844768962</v>
      </c>
      <c r="FZ13" s="1137"/>
      <c r="GA13" s="1164">
        <f t="shared" si="89"/>
        <v>3806497.2707657288</v>
      </c>
      <c r="GB13" s="1165">
        <f t="shared" si="90"/>
        <v>0.15</v>
      </c>
      <c r="GC13" s="1154">
        <f t="shared" si="91"/>
        <v>570974.59061485925</v>
      </c>
      <c r="GD13" s="1164">
        <f t="shared" si="92"/>
        <v>30000</v>
      </c>
      <c r="GE13" s="1154">
        <f t="shared" si="93"/>
        <v>540974.59061485925</v>
      </c>
      <c r="GF13" s="1060">
        <f t="shared" si="94"/>
        <v>35</v>
      </c>
      <c r="GG13" s="1166">
        <f t="shared" si="95"/>
        <v>15456.416874710265</v>
      </c>
      <c r="GH13" s="1137"/>
      <c r="GI13" s="1164">
        <f t="shared" si="96"/>
        <v>3806497.2707657288</v>
      </c>
      <c r="GJ13" s="1154">
        <f t="shared" si="97"/>
        <v>380649.72707657289</v>
      </c>
      <c r="GK13" s="1154">
        <f t="shared" si="98"/>
        <v>95162.431769143222</v>
      </c>
      <c r="GL13" s="1166">
        <v>15000</v>
      </c>
      <c r="GM13" s="1154">
        <f t="shared" si="99"/>
        <v>365649.72707657289</v>
      </c>
      <c r="GN13" s="1060">
        <f t="shared" si="100"/>
        <v>35</v>
      </c>
      <c r="GO13" s="1154">
        <f t="shared" si="101"/>
        <v>10447.135059330654</v>
      </c>
      <c r="GP13" s="1137"/>
      <c r="GR13" s="1137"/>
      <c r="GS13" s="1010">
        <f t="shared" si="102"/>
        <v>3806497.2707657288</v>
      </c>
      <c r="GT13" s="1011">
        <f t="shared" si="103"/>
        <v>0.125</v>
      </c>
      <c r="GU13" s="1010">
        <f t="shared" si="104"/>
        <v>475812.1588457161</v>
      </c>
      <c r="GV13" s="1010">
        <f t="shared" si="105"/>
        <v>30000</v>
      </c>
      <c r="GW13" s="1010">
        <f t="shared" si="106"/>
        <v>445812.1588457161</v>
      </c>
      <c r="GX13" s="1010">
        <f t="shared" si="107"/>
        <v>18</v>
      </c>
      <c r="GY13" s="1010">
        <f t="shared" si="108"/>
        <v>24767.34215809534</v>
      </c>
      <c r="GZ13" s="1011">
        <f t="shared" si="109"/>
        <v>0.875</v>
      </c>
      <c r="HA13" s="1010">
        <f t="shared" si="110"/>
        <v>3330685.1119200126</v>
      </c>
      <c r="HB13" s="1010">
        <f t="shared" si="111"/>
        <v>25822.76622153218</v>
      </c>
      <c r="HC13" s="1010">
        <f t="shared" si="112"/>
        <v>29937.139399009873</v>
      </c>
      <c r="HD13" s="1010">
        <f t="shared" si="113"/>
        <v>38672.078310114535</v>
      </c>
      <c r="HE13" s="1010">
        <f t="shared" si="114"/>
        <v>65951.557176514485</v>
      </c>
      <c r="HF13" s="1137"/>
      <c r="HG13" s="1010">
        <f t="shared" si="115"/>
        <v>3806497.2707657288</v>
      </c>
      <c r="HH13" s="1011">
        <f t="shared" si="116"/>
        <v>0.125</v>
      </c>
      <c r="HI13" s="1010">
        <f t="shared" si="117"/>
        <v>475812.1588457161</v>
      </c>
      <c r="HJ13" s="1010">
        <f t="shared" si="118"/>
        <v>30000</v>
      </c>
      <c r="HK13" s="1010">
        <f t="shared" si="119"/>
        <v>445812.1588457161</v>
      </c>
      <c r="HL13" s="1012">
        <f t="shared" si="120"/>
        <v>33</v>
      </c>
      <c r="HM13" s="1167">
        <f t="shared" si="121"/>
        <v>13509.459358961094</v>
      </c>
      <c r="HN13" s="1168">
        <f t="shared" si="122"/>
        <v>0.875</v>
      </c>
      <c r="HO13" s="1167">
        <f t="shared" si="123"/>
        <v>3330685.1119200126</v>
      </c>
      <c r="HP13" s="1146">
        <f t="shared" si="124"/>
        <v>25822.76622153218</v>
      </c>
      <c r="HQ13" s="1146">
        <f t="shared" si="125"/>
        <v>29937.139399009873</v>
      </c>
      <c r="HR13" s="1146">
        <f t="shared" si="126"/>
        <v>38672.078310114535</v>
      </c>
      <c r="HS13" s="1146">
        <f t="shared" si="127"/>
        <v>65951.557176514485</v>
      </c>
      <c r="HT13" s="1137"/>
      <c r="HU13" s="1167">
        <f t="shared" si="128"/>
        <v>-11257.882799134246</v>
      </c>
      <c r="HX13" s="1154"/>
      <c r="HY13" s="1154"/>
      <c r="IB13" s="1154"/>
      <c r="IC13" s="1154"/>
      <c r="ID13" s="1154"/>
      <c r="IE13" s="1154"/>
      <c r="IF13" s="1313" t="s">
        <v>507</v>
      </c>
      <c r="IG13" s="1314">
        <f t="shared" si="134"/>
        <v>46296</v>
      </c>
      <c r="IH13" s="1315">
        <f t="shared" si="133"/>
        <v>13</v>
      </c>
    </row>
    <row r="14" spans="1:242" s="1060" customFormat="1" ht="14.25" customHeight="1">
      <c r="A14" s="1186">
        <f>A13+1</f>
        <v>8</v>
      </c>
      <c r="B14" s="856" t="s">
        <v>149</v>
      </c>
      <c r="C14" s="855">
        <f t="shared" si="130"/>
        <v>8</v>
      </c>
      <c r="D14" s="856" t="s">
        <v>474</v>
      </c>
      <c r="E14" s="857" t="str">
        <f t="shared" si="23"/>
        <v>2nd Floor</v>
      </c>
      <c r="F14" s="1185"/>
      <c r="G14" s="764" t="s">
        <v>161</v>
      </c>
      <c r="H14" s="764" t="s">
        <v>508</v>
      </c>
      <c r="I14" s="764" t="s">
        <v>476</v>
      </c>
      <c r="J14" s="1139">
        <v>22</v>
      </c>
      <c r="K14" s="1142"/>
      <c r="L14" s="764" t="s">
        <v>500</v>
      </c>
      <c r="M14" s="764" t="s">
        <v>93</v>
      </c>
      <c r="N14" s="856">
        <f t="shared" si="24"/>
        <v>100909.09090909091</v>
      </c>
      <c r="O14" s="1138">
        <f t="shared" ref="O14:O77" si="136">J14*N14</f>
        <v>2220000</v>
      </c>
      <c r="P14" s="1138">
        <f>$P$13</f>
        <v>22400</v>
      </c>
      <c r="Q14" s="1138">
        <f t="shared" si="8"/>
        <v>50000</v>
      </c>
      <c r="R14" s="1138"/>
      <c r="S14" s="1138"/>
      <c r="T14" s="1138"/>
      <c r="U14" s="1138"/>
      <c r="V14" s="1138"/>
      <c r="W14" s="858"/>
      <c r="X14" s="1138"/>
      <c r="Y14" s="1138"/>
      <c r="Z14" s="1138">
        <f t="shared" ref="Z14:Z77" si="137">$Z$5</f>
        <v>75000</v>
      </c>
      <c r="AA14" s="1138">
        <f t="shared" ref="AA14:AA77" si="138">SUM(P14:Z14)</f>
        <v>147400</v>
      </c>
      <c r="AB14" s="1138">
        <f t="shared" si="28"/>
        <v>2367400</v>
      </c>
      <c r="AC14" s="1138">
        <f t="shared" si="29"/>
        <v>59185</v>
      </c>
      <c r="AD14" s="1138">
        <f t="shared" si="30"/>
        <v>2426585</v>
      </c>
      <c r="AE14" s="1138">
        <f t="shared" si="31"/>
        <v>60664.625</v>
      </c>
      <c r="AF14" s="1138">
        <f t="shared" si="32"/>
        <v>2487249.625</v>
      </c>
      <c r="AG14" s="1138">
        <f t="shared" si="33"/>
        <v>62181.240625000006</v>
      </c>
      <c r="AH14" s="1138">
        <f t="shared" si="34"/>
        <v>2549430.8656250001</v>
      </c>
      <c r="AI14" s="1138">
        <f t="shared" si="10"/>
        <v>127471.54328125001</v>
      </c>
      <c r="AJ14" s="1138">
        <f t="shared" si="35"/>
        <v>2676902.4089062503</v>
      </c>
      <c r="AK14" s="1138">
        <f t="shared" si="36"/>
        <v>26769.024089062503</v>
      </c>
      <c r="AL14" s="1138">
        <f t="shared" si="37"/>
        <v>27537.409960060559</v>
      </c>
      <c r="AM14" s="1138"/>
      <c r="AN14" s="1138"/>
      <c r="AO14" s="1138">
        <f t="shared" si="38"/>
        <v>2731208.8429553732</v>
      </c>
      <c r="AP14" s="1138">
        <f t="shared" si="39"/>
        <v>368713.19379897544</v>
      </c>
      <c r="AQ14" s="1248">
        <f t="shared" si="40"/>
        <v>3099922.0367543488</v>
      </c>
      <c r="AR14" s="1248">
        <f t="shared" si="135"/>
        <v>3099922.0367543488</v>
      </c>
      <c r="AS14" s="1248"/>
      <c r="AT14" s="1248"/>
      <c r="AU14" s="1248">
        <f t="shared" si="42"/>
        <v>0</v>
      </c>
      <c r="AV14" s="1140">
        <f t="shared" si="43"/>
        <v>0</v>
      </c>
      <c r="AW14" s="1140">
        <f t="shared" si="44"/>
        <v>3099922.0367543488</v>
      </c>
      <c r="AX14" s="1139">
        <f t="shared" si="45"/>
        <v>38749.025459429358</v>
      </c>
      <c r="AY14" s="831" t="s">
        <v>478</v>
      </c>
      <c r="AZ14" s="831">
        <f t="shared" si="46"/>
        <v>3138671.062213778</v>
      </c>
      <c r="BA14" s="831">
        <f t="shared" si="47"/>
        <v>117700.16483301668</v>
      </c>
      <c r="BB14" s="831"/>
      <c r="BC14" s="831">
        <f t="shared" si="11"/>
        <v>33600</v>
      </c>
      <c r="BD14" s="831"/>
      <c r="BE14" s="831">
        <f t="shared" si="48"/>
        <v>3289971.2270467947</v>
      </c>
      <c r="BF14" s="831">
        <v>42723.767172413798</v>
      </c>
      <c r="BG14" s="831">
        <f t="shared" si="49"/>
        <v>3332694.9942192086</v>
      </c>
      <c r="BH14" s="831"/>
      <c r="BI14" s="831">
        <f t="shared" si="50"/>
        <v>3332694.9942192086</v>
      </c>
      <c r="BJ14" s="831"/>
      <c r="BK14" s="831">
        <f t="shared" si="51"/>
        <v>3332694.9942192086</v>
      </c>
      <c r="BL14" s="831"/>
      <c r="BM14" s="831">
        <f t="shared" si="52"/>
        <v>3332694.9942192086</v>
      </c>
      <c r="BN14" s="831"/>
      <c r="BO14" s="831">
        <f t="shared" si="53"/>
        <v>3332694.9942192086</v>
      </c>
      <c r="BP14" s="831"/>
      <c r="BQ14" s="831">
        <f t="shared" si="54"/>
        <v>3332694.9942192086</v>
      </c>
      <c r="BR14" s="831"/>
      <c r="BS14" s="831">
        <f t="shared" si="55"/>
        <v>3332694.9942192086</v>
      </c>
      <c r="BT14" s="831"/>
      <c r="BU14" s="831">
        <f t="shared" si="56"/>
        <v>3332694.9942192086</v>
      </c>
      <c r="BV14" s="831"/>
      <c r="BW14" s="831">
        <f t="shared" si="57"/>
        <v>56400</v>
      </c>
      <c r="BX14" s="831">
        <f t="shared" si="58"/>
        <v>3389094.9942192086</v>
      </c>
      <c r="BY14" s="831">
        <f>$BY$5/44</f>
        <v>30549.183723443901</v>
      </c>
      <c r="BZ14" s="831">
        <f t="shared" si="59"/>
        <v>3419644.1779426527</v>
      </c>
      <c r="CA14" s="1260">
        <f t="shared" si="60"/>
        <v>3419644.1779426527</v>
      </c>
      <c r="CB14" s="1260">
        <f t="shared" si="61"/>
        <v>3419644.1779426527</v>
      </c>
      <c r="CC14" s="1260"/>
      <c r="CD14" s="1260">
        <f t="shared" si="62"/>
        <v>0</v>
      </c>
      <c r="CE14" s="1260">
        <f t="shared" si="63"/>
        <v>0</v>
      </c>
      <c r="CF14" s="1260">
        <f t="shared" si="64"/>
        <v>0</v>
      </c>
      <c r="CG14" s="1266">
        <f t="shared" si="65"/>
        <v>3419644.1779426527</v>
      </c>
      <c r="CH14" s="1141">
        <f t="shared" si="66"/>
        <v>3419644.1779426527</v>
      </c>
      <c r="CI14" s="1142">
        <f t="shared" si="67"/>
        <v>0</v>
      </c>
      <c r="CJ14" s="1141">
        <f t="shared" si="68"/>
        <v>350513.52823912189</v>
      </c>
      <c r="CK14" s="1141">
        <f t="shared" si="69"/>
        <v>119687.54622799286</v>
      </c>
      <c r="CL14" s="1143">
        <f t="shared" ref="CL14:CL77" si="139">SUM(CH14:CK14)</f>
        <v>3889845.2524097678</v>
      </c>
      <c r="CM14" s="1144">
        <f t="shared" si="71"/>
        <v>0.125</v>
      </c>
      <c r="CN14" s="1141">
        <f t="shared" si="72"/>
        <v>486230.65655122098</v>
      </c>
      <c r="CO14" s="1141">
        <f t="shared" si="73"/>
        <v>30000</v>
      </c>
      <c r="CP14" s="1141">
        <f t="shared" si="74"/>
        <v>456230.65655122098</v>
      </c>
      <c r="CQ14" s="1145">
        <f t="shared" si="75"/>
        <v>18</v>
      </c>
      <c r="CR14" s="1141">
        <f t="shared" si="76"/>
        <v>25346.147586178944</v>
      </c>
      <c r="CS14" s="1144">
        <f t="shared" si="77"/>
        <v>0.875</v>
      </c>
      <c r="CT14" s="1141">
        <f t="shared" si="78"/>
        <v>3403614.5958585469</v>
      </c>
      <c r="CU14" s="1146">
        <f t="shared" si="12"/>
        <v>26388.187734259976</v>
      </c>
      <c r="CV14" s="1146">
        <f t="shared" si="13"/>
        <v>30592.6502184362</v>
      </c>
      <c r="CW14" s="1146">
        <f t="shared" si="14"/>
        <v>39518.851457144759</v>
      </c>
      <c r="CX14" s="1146">
        <f t="shared" si="15"/>
        <v>67395.648367426635</v>
      </c>
      <c r="CY14" s="1146">
        <f t="shared" si="79"/>
        <v>276486.43205920578</v>
      </c>
      <c r="CZ14" s="1146">
        <f t="shared" si="80"/>
        <v>109404.33432309084</v>
      </c>
      <c r="DA14" s="1146">
        <f t="shared" si="81"/>
        <v>79021.201166691215</v>
      </c>
      <c r="DB14" s="1146">
        <f t="shared" si="82"/>
        <v>60138.772036061506</v>
      </c>
      <c r="DC14" s="1146"/>
      <c r="DD14" s="1146"/>
      <c r="DE14" s="1146"/>
      <c r="DF14" s="1146"/>
      <c r="DG14" s="1146"/>
      <c r="DH14" s="1146"/>
      <c r="DI14" s="1146"/>
      <c r="DJ14" s="1146"/>
      <c r="DK14" s="1146"/>
      <c r="DL14" s="1146"/>
      <c r="DM14" s="1146"/>
      <c r="DN14" s="1146"/>
      <c r="DO14" s="1146"/>
      <c r="DP14" s="1146"/>
      <c r="DQ14" s="1146"/>
      <c r="DR14" s="1146"/>
      <c r="DS14" s="1146"/>
      <c r="DT14" s="1146"/>
      <c r="DU14" s="1146"/>
      <c r="DV14" s="1146"/>
      <c r="DW14" s="1146"/>
      <c r="DX14" s="1146"/>
      <c r="DY14" s="1146"/>
      <c r="DZ14" s="1146"/>
      <c r="EA14" s="1147">
        <f t="shared" si="83"/>
        <v>0</v>
      </c>
      <c r="EB14" s="1148">
        <f t="shared" si="84"/>
        <v>0</v>
      </c>
      <c r="EC14" s="1107">
        <f t="shared" si="132"/>
        <v>45839</v>
      </c>
      <c r="ED14" s="1029">
        <f t="shared" si="16"/>
        <v>20</v>
      </c>
      <c r="EE14" s="1149"/>
      <c r="EF14" s="1030">
        <f t="shared" si="17"/>
        <v>45904</v>
      </c>
      <c r="EG14" s="1029">
        <f t="shared" si="85"/>
        <v>22</v>
      </c>
      <c r="EH14" s="846" t="s">
        <v>490</v>
      </c>
      <c r="EI14" s="846" t="s">
        <v>480</v>
      </c>
      <c r="EJ14" s="850">
        <f t="shared" si="18"/>
        <v>0</v>
      </c>
      <c r="EK14" s="850">
        <f t="shared" si="19"/>
        <v>0</v>
      </c>
      <c r="EL14" s="851">
        <f t="shared" si="20"/>
        <v>0</v>
      </c>
      <c r="EM14" s="1128"/>
      <c r="EN14" s="850"/>
      <c r="EO14" s="850"/>
      <c r="EP14" s="850">
        <f t="shared" si="21"/>
        <v>0</v>
      </c>
      <c r="EQ14" s="1128"/>
      <c r="ER14" s="1150"/>
      <c r="ES14" s="1128"/>
      <c r="ET14" s="1151" t="s">
        <v>161</v>
      </c>
      <c r="EU14" s="1128" t="b">
        <f t="shared" si="22"/>
        <v>1</v>
      </c>
      <c r="EV14" s="1152" t="s">
        <v>509</v>
      </c>
      <c r="EW14" s="1153" t="s">
        <v>482</v>
      </c>
      <c r="EX14" s="1128"/>
      <c r="EY14" s="1128" t="s">
        <v>483</v>
      </c>
      <c r="EZ14" s="1128" t="s">
        <v>484</v>
      </c>
      <c r="FA14" s="1169">
        <f t="shared" si="86"/>
        <v>0</v>
      </c>
      <c r="FI14" s="1309" t="s">
        <v>96</v>
      </c>
      <c r="FJ14" s="1159" t="s">
        <v>96</v>
      </c>
      <c r="FK14" s="1160" t="b">
        <f t="shared" si="87"/>
        <v>1</v>
      </c>
      <c r="FL14" s="1131"/>
      <c r="FM14" s="1161"/>
      <c r="FP14" s="1181">
        <f>FP13-1</f>
        <v>35</v>
      </c>
      <c r="FQ14" s="1176">
        <f t="shared" ref="FQ14" si="140">EDATE(FR14,FP14)</f>
        <v>46296</v>
      </c>
      <c r="FR14" s="1177">
        <v>45231</v>
      </c>
      <c r="FS14" s="1060" t="s">
        <v>510</v>
      </c>
      <c r="FU14" s="1295"/>
      <c r="FV14" s="1295"/>
      <c r="FW14" s="1023">
        <v>0.15</v>
      </c>
      <c r="FX14" s="1162">
        <v>13992.593304018388</v>
      </c>
      <c r="FY14" s="1163">
        <v>14429.861844768962</v>
      </c>
      <c r="FZ14" s="1137"/>
      <c r="GA14" s="1164">
        <f t="shared" si="89"/>
        <v>3889845.2524097678</v>
      </c>
      <c r="GB14" s="1165">
        <f t="shared" si="90"/>
        <v>0.15</v>
      </c>
      <c r="GC14" s="1154">
        <f t="shared" si="91"/>
        <v>583476.78786146513</v>
      </c>
      <c r="GD14" s="1164">
        <f t="shared" si="92"/>
        <v>30000</v>
      </c>
      <c r="GE14" s="1154">
        <f t="shared" si="93"/>
        <v>553476.78786146513</v>
      </c>
      <c r="GF14" s="1060">
        <f t="shared" si="94"/>
        <v>35</v>
      </c>
      <c r="GG14" s="1166">
        <f t="shared" si="95"/>
        <v>15813.622510327576</v>
      </c>
      <c r="GH14" s="1137"/>
      <c r="GI14" s="1164">
        <f t="shared" si="96"/>
        <v>3889845.2524097678</v>
      </c>
      <c r="GJ14" s="1154">
        <f t="shared" si="97"/>
        <v>388984.52524097683</v>
      </c>
      <c r="GK14" s="1154">
        <f t="shared" si="98"/>
        <v>97246.131310244207</v>
      </c>
      <c r="GL14" s="1166">
        <v>15000</v>
      </c>
      <c r="GM14" s="1154">
        <f t="shared" si="99"/>
        <v>373984.52524097683</v>
      </c>
      <c r="GN14" s="1060">
        <f t="shared" si="100"/>
        <v>35</v>
      </c>
      <c r="GO14" s="1154">
        <f t="shared" si="101"/>
        <v>10685.272149742195</v>
      </c>
      <c r="GP14" s="1137"/>
      <c r="GR14" s="1137"/>
      <c r="GS14" s="1010">
        <f t="shared" si="102"/>
        <v>3889845.2524097678</v>
      </c>
      <c r="GT14" s="1011">
        <f t="shared" si="103"/>
        <v>0.125</v>
      </c>
      <c r="GU14" s="1010">
        <f t="shared" si="104"/>
        <v>486230.65655122098</v>
      </c>
      <c r="GV14" s="1010">
        <f t="shared" si="105"/>
        <v>30000</v>
      </c>
      <c r="GW14" s="1010">
        <f t="shared" si="106"/>
        <v>456230.65655122098</v>
      </c>
      <c r="GX14" s="1010">
        <f t="shared" si="107"/>
        <v>18</v>
      </c>
      <c r="GY14" s="1010">
        <f t="shared" si="108"/>
        <v>25346.147586178944</v>
      </c>
      <c r="GZ14" s="1011">
        <f t="shared" si="109"/>
        <v>0.875</v>
      </c>
      <c r="HA14" s="1010">
        <f t="shared" si="110"/>
        <v>3403614.5958585469</v>
      </c>
      <c r="HB14" s="1010">
        <f t="shared" si="111"/>
        <v>26388.187734259976</v>
      </c>
      <c r="HC14" s="1010">
        <f t="shared" si="112"/>
        <v>30592.6502184362</v>
      </c>
      <c r="HD14" s="1010">
        <f t="shared" si="113"/>
        <v>39518.851457144759</v>
      </c>
      <c r="HE14" s="1010">
        <f t="shared" si="114"/>
        <v>67395.648367426635</v>
      </c>
      <c r="HF14" s="1137"/>
      <c r="HG14" s="1010">
        <f t="shared" si="115"/>
        <v>3889845.2524097678</v>
      </c>
      <c r="HH14" s="1011">
        <f t="shared" si="116"/>
        <v>0.125</v>
      </c>
      <c r="HI14" s="1010">
        <f t="shared" si="117"/>
        <v>486230.65655122098</v>
      </c>
      <c r="HJ14" s="1010">
        <f t="shared" si="118"/>
        <v>30000</v>
      </c>
      <c r="HK14" s="1010">
        <f t="shared" si="119"/>
        <v>456230.65655122098</v>
      </c>
      <c r="HL14" s="1012">
        <f t="shared" si="120"/>
        <v>33</v>
      </c>
      <c r="HM14" s="1167">
        <f t="shared" si="121"/>
        <v>13825.171410643059</v>
      </c>
      <c r="HN14" s="1168">
        <f t="shared" si="122"/>
        <v>0.875</v>
      </c>
      <c r="HO14" s="1167">
        <f t="shared" si="123"/>
        <v>3403614.5958585469</v>
      </c>
      <c r="HP14" s="1146">
        <f t="shared" si="124"/>
        <v>26388.187734259976</v>
      </c>
      <c r="HQ14" s="1146">
        <f t="shared" si="125"/>
        <v>30592.6502184362</v>
      </c>
      <c r="HR14" s="1146">
        <f t="shared" si="126"/>
        <v>39518.851457144759</v>
      </c>
      <c r="HS14" s="1146">
        <f t="shared" si="127"/>
        <v>67395.648367426635</v>
      </c>
      <c r="HT14" s="1137"/>
      <c r="HU14" s="1167">
        <f t="shared" si="128"/>
        <v>-11520.976175535885</v>
      </c>
      <c r="HX14" s="1154"/>
      <c r="HY14" s="1154"/>
      <c r="IB14" s="1154"/>
      <c r="IC14" s="1154"/>
      <c r="ID14" s="1154"/>
      <c r="IE14" s="1154"/>
      <c r="IF14" s="1313" t="s">
        <v>511</v>
      </c>
      <c r="IG14" s="1314">
        <f t="shared" si="134"/>
        <v>46296</v>
      </c>
      <c r="IH14" s="1315">
        <f t="shared" si="133"/>
        <v>13</v>
      </c>
    </row>
    <row r="15" spans="1:242" s="1060" customFormat="1" ht="14.25" hidden="1" customHeight="1">
      <c r="A15" s="1186">
        <f t="shared" ref="A15:A78" si="141">A14+1</f>
        <v>9</v>
      </c>
      <c r="B15" s="856" t="s">
        <v>149</v>
      </c>
      <c r="C15" s="855">
        <f t="shared" si="130"/>
        <v>9</v>
      </c>
      <c r="D15" s="856" t="s">
        <v>474</v>
      </c>
      <c r="E15" s="857" t="str">
        <f t="shared" si="23"/>
        <v>2nd Floor</v>
      </c>
      <c r="F15" s="1185"/>
      <c r="G15" s="764" t="s">
        <v>162</v>
      </c>
      <c r="H15" s="764" t="s">
        <v>512</v>
      </c>
      <c r="I15" s="764" t="s">
        <v>476</v>
      </c>
      <c r="J15" s="1139">
        <v>22</v>
      </c>
      <c r="K15" s="1142"/>
      <c r="L15" s="764" t="s">
        <v>500</v>
      </c>
      <c r="M15" s="764" t="s">
        <v>93</v>
      </c>
      <c r="N15" s="856">
        <f t="shared" si="24"/>
        <v>100909.09090909091</v>
      </c>
      <c r="O15" s="1138">
        <f t="shared" si="136"/>
        <v>2220000</v>
      </c>
      <c r="P15" s="1138">
        <f t="shared" ref="P15:P78" si="142">$P$13</f>
        <v>22400</v>
      </c>
      <c r="Q15" s="1138">
        <f t="shared" si="8"/>
        <v>50000</v>
      </c>
      <c r="R15" s="1138"/>
      <c r="S15" s="1138"/>
      <c r="T15" s="1138"/>
      <c r="U15" s="1138"/>
      <c r="V15" s="1138"/>
      <c r="W15" s="858"/>
      <c r="X15" s="1138"/>
      <c r="Y15" s="1138"/>
      <c r="Z15" s="1138">
        <f t="shared" si="137"/>
        <v>75000</v>
      </c>
      <c r="AA15" s="1138">
        <f t="shared" si="138"/>
        <v>147400</v>
      </c>
      <c r="AB15" s="1138">
        <f t="shared" si="28"/>
        <v>2367400</v>
      </c>
      <c r="AC15" s="1138">
        <f t="shared" si="29"/>
        <v>59185</v>
      </c>
      <c r="AD15" s="1138">
        <f t="shared" si="30"/>
        <v>2426585</v>
      </c>
      <c r="AE15" s="1138">
        <f t="shared" si="31"/>
        <v>60664.625</v>
      </c>
      <c r="AF15" s="1138">
        <f t="shared" si="32"/>
        <v>2487249.625</v>
      </c>
      <c r="AG15" s="1138">
        <f t="shared" si="33"/>
        <v>62181.240625000006</v>
      </c>
      <c r="AH15" s="1138">
        <f t="shared" si="34"/>
        <v>2549430.8656250001</v>
      </c>
      <c r="AI15" s="1138">
        <f t="shared" si="10"/>
        <v>127471.54328125001</v>
      </c>
      <c r="AJ15" s="1138">
        <f t="shared" si="35"/>
        <v>2676902.4089062503</v>
      </c>
      <c r="AK15" s="1138">
        <f t="shared" si="36"/>
        <v>26769.024089062503</v>
      </c>
      <c r="AL15" s="1138">
        <f t="shared" si="37"/>
        <v>27537.409960060559</v>
      </c>
      <c r="AM15" s="1138"/>
      <c r="AN15" s="1138"/>
      <c r="AO15" s="1138">
        <f t="shared" si="38"/>
        <v>2731208.8429553732</v>
      </c>
      <c r="AP15" s="1138">
        <f t="shared" si="39"/>
        <v>368713.19379897544</v>
      </c>
      <c r="AQ15" s="1248">
        <f t="shared" si="40"/>
        <v>3099922.0367543488</v>
      </c>
      <c r="AR15" s="1248">
        <f t="shared" si="135"/>
        <v>3099922.0367543488</v>
      </c>
      <c r="AS15" s="1248"/>
      <c r="AT15" s="1248"/>
      <c r="AU15" s="1248">
        <f t="shared" si="42"/>
        <v>0</v>
      </c>
      <c r="AV15" s="1140">
        <f t="shared" si="43"/>
        <v>0</v>
      </c>
      <c r="AW15" s="1140">
        <f t="shared" si="44"/>
        <v>3099922.0367543488</v>
      </c>
      <c r="AX15" s="1139">
        <f t="shared" si="45"/>
        <v>38749.025459429358</v>
      </c>
      <c r="AY15" s="831" t="s">
        <v>478</v>
      </c>
      <c r="AZ15" s="831">
        <f t="shared" si="46"/>
        <v>3138671.062213778</v>
      </c>
      <c r="BA15" s="831">
        <f t="shared" si="47"/>
        <v>117700.16483301668</v>
      </c>
      <c r="BB15" s="831"/>
      <c r="BC15" s="831">
        <f t="shared" si="11"/>
        <v>33600</v>
      </c>
      <c r="BD15" s="831"/>
      <c r="BE15" s="831">
        <f t="shared" si="48"/>
        <v>3289971.2270467947</v>
      </c>
      <c r="BF15" s="831"/>
      <c r="BG15" s="831">
        <f t="shared" si="49"/>
        <v>3289971.2270467947</v>
      </c>
      <c r="BH15" s="831"/>
      <c r="BI15" s="831">
        <f t="shared" si="50"/>
        <v>3289971.2270467947</v>
      </c>
      <c r="BJ15" s="831"/>
      <c r="BK15" s="831">
        <f t="shared" si="51"/>
        <v>3289971.2270467947</v>
      </c>
      <c r="BL15" s="831"/>
      <c r="BM15" s="831">
        <f t="shared" si="52"/>
        <v>3289971.2270467947</v>
      </c>
      <c r="BN15" s="831"/>
      <c r="BO15" s="831">
        <f t="shared" si="53"/>
        <v>3289971.2270467947</v>
      </c>
      <c r="BP15" s="831"/>
      <c r="BQ15" s="831">
        <f t="shared" si="54"/>
        <v>3289971.2270467947</v>
      </c>
      <c r="BR15" s="831"/>
      <c r="BS15" s="831">
        <f t="shared" si="55"/>
        <v>3289971.2270467947</v>
      </c>
      <c r="BT15" s="831"/>
      <c r="BU15" s="831">
        <f t="shared" si="56"/>
        <v>3289971.2270467947</v>
      </c>
      <c r="BV15" s="831"/>
      <c r="BW15" s="831">
        <f t="shared" si="57"/>
        <v>56400</v>
      </c>
      <c r="BX15" s="831">
        <f t="shared" si="58"/>
        <v>3346371.2270467947</v>
      </c>
      <c r="BY15" s="831"/>
      <c r="BZ15" s="831">
        <f t="shared" si="59"/>
        <v>3346371.2270467947</v>
      </c>
      <c r="CA15" s="1260">
        <f t="shared" si="60"/>
        <v>3346371.2270467947</v>
      </c>
      <c r="CB15" s="1260">
        <f t="shared" si="61"/>
        <v>3346371.2270467947</v>
      </c>
      <c r="CC15" s="1260"/>
      <c r="CD15" s="1260">
        <f t="shared" si="62"/>
        <v>0</v>
      </c>
      <c r="CE15" s="1260">
        <f t="shared" si="63"/>
        <v>0</v>
      </c>
      <c r="CF15" s="1260">
        <f t="shared" si="64"/>
        <v>0</v>
      </c>
      <c r="CG15" s="1266">
        <f t="shared" si="65"/>
        <v>3346371.2270467947</v>
      </c>
      <c r="CH15" s="1141">
        <f t="shared" si="66"/>
        <v>3346371.2270467947</v>
      </c>
      <c r="CI15" s="1142">
        <f t="shared" si="67"/>
        <v>0</v>
      </c>
      <c r="CJ15" s="1141">
        <f t="shared" si="68"/>
        <v>343003.05077229644</v>
      </c>
      <c r="CK15" s="1141">
        <f t="shared" si="69"/>
        <v>117122.99294663782</v>
      </c>
      <c r="CL15" s="1143">
        <f t="shared" si="139"/>
        <v>3806497.2707657288</v>
      </c>
      <c r="CM15" s="1144">
        <f t="shared" si="71"/>
        <v>0.125</v>
      </c>
      <c r="CN15" s="1141">
        <f t="shared" si="72"/>
        <v>475812.1588457161</v>
      </c>
      <c r="CO15" s="1141">
        <f t="shared" si="73"/>
        <v>30000</v>
      </c>
      <c r="CP15" s="1141">
        <f t="shared" si="74"/>
        <v>445812.1588457161</v>
      </c>
      <c r="CQ15" s="1145">
        <f t="shared" si="75"/>
        <v>18</v>
      </c>
      <c r="CR15" s="1141">
        <f t="shared" si="76"/>
        <v>24767.34215809534</v>
      </c>
      <c r="CS15" s="1144">
        <f t="shared" si="77"/>
        <v>0.875</v>
      </c>
      <c r="CT15" s="1141">
        <f t="shared" si="78"/>
        <v>3330685.1119200126</v>
      </c>
      <c r="CU15" s="1146">
        <f t="shared" si="12"/>
        <v>25822.76622153218</v>
      </c>
      <c r="CV15" s="1146">
        <f t="shared" si="13"/>
        <v>29937.139399009873</v>
      </c>
      <c r="CW15" s="1146">
        <f t="shared" si="14"/>
        <v>38672.078310114535</v>
      </c>
      <c r="CX15" s="1146">
        <f t="shared" si="15"/>
        <v>65951.557176514485</v>
      </c>
      <c r="CY15" s="1146">
        <f t="shared" si="79"/>
        <v>270562.13827147207</v>
      </c>
      <c r="CZ15" s="1146">
        <f t="shared" si="80"/>
        <v>107060.12013017652</v>
      </c>
      <c r="DA15" s="1146">
        <f t="shared" si="81"/>
        <v>77328.008456711017</v>
      </c>
      <c r="DB15" s="1146">
        <f t="shared" si="82"/>
        <v>58850.174433200184</v>
      </c>
      <c r="DC15" s="1146"/>
      <c r="DD15" s="1146"/>
      <c r="DE15" s="1146"/>
      <c r="DF15" s="1146"/>
      <c r="DG15" s="1146"/>
      <c r="DH15" s="1146"/>
      <c r="DI15" s="1146"/>
      <c r="DJ15" s="1146"/>
      <c r="DK15" s="1146"/>
      <c r="DL15" s="1146"/>
      <c r="DM15" s="1146"/>
      <c r="DN15" s="1146"/>
      <c r="DO15" s="1146"/>
      <c r="DP15" s="1146"/>
      <c r="DQ15" s="1146"/>
      <c r="DR15" s="1146"/>
      <c r="DS15" s="1146"/>
      <c r="DT15" s="1146"/>
      <c r="DU15" s="1146"/>
      <c r="DV15" s="1146"/>
      <c r="DW15" s="1146"/>
      <c r="DX15" s="1146"/>
      <c r="DY15" s="1146"/>
      <c r="DZ15" s="1146"/>
      <c r="EA15" s="1147">
        <f t="shared" si="83"/>
        <v>0</v>
      </c>
      <c r="EB15" s="1148">
        <f t="shared" si="84"/>
        <v>0</v>
      </c>
      <c r="EC15" s="1107">
        <f t="shared" si="132"/>
        <v>45839</v>
      </c>
      <c r="ED15" s="1029">
        <f t="shared" si="16"/>
        <v>20</v>
      </c>
      <c r="EE15" s="1149"/>
      <c r="EF15" s="1030">
        <f t="shared" si="17"/>
        <v>45904</v>
      </c>
      <c r="EG15" s="1029">
        <f t="shared" si="85"/>
        <v>22</v>
      </c>
      <c r="EH15" s="846" t="s">
        <v>490</v>
      </c>
      <c r="EI15" s="846" t="s">
        <v>480</v>
      </c>
      <c r="EJ15" s="850">
        <f t="shared" si="18"/>
        <v>0</v>
      </c>
      <c r="EK15" s="850">
        <f t="shared" si="19"/>
        <v>0</v>
      </c>
      <c r="EL15" s="851">
        <f t="shared" si="20"/>
        <v>0</v>
      </c>
      <c r="EM15" s="1128"/>
      <c r="EN15" s="850"/>
      <c r="EO15" s="850"/>
      <c r="EP15" s="850">
        <f t="shared" si="21"/>
        <v>0</v>
      </c>
      <c r="EQ15" s="1128"/>
      <c r="ER15" s="1150"/>
      <c r="ES15" s="1128"/>
      <c r="ET15" s="1151" t="s">
        <v>162</v>
      </c>
      <c r="EU15" s="1128" t="b">
        <f t="shared" si="22"/>
        <v>1</v>
      </c>
      <c r="EV15" s="1152" t="s">
        <v>513</v>
      </c>
      <c r="EW15" s="1153" t="s">
        <v>482</v>
      </c>
      <c r="EX15" s="1128"/>
      <c r="EY15" s="1128" t="s">
        <v>483</v>
      </c>
      <c r="EZ15" s="1128" t="s">
        <v>484</v>
      </c>
      <c r="FA15" s="1169">
        <f t="shared" si="86"/>
        <v>0</v>
      </c>
      <c r="FB15" s="1187"/>
      <c r="FC15" s="1188" t="s">
        <v>137</v>
      </c>
      <c r="FD15" s="1187"/>
      <c r="FI15" s="1309" t="s">
        <v>149</v>
      </c>
      <c r="FJ15" s="1159" t="s">
        <v>149</v>
      </c>
      <c r="FK15" s="1160" t="b">
        <f t="shared" si="87"/>
        <v>1</v>
      </c>
      <c r="FL15" s="1131"/>
      <c r="FM15" s="1161"/>
      <c r="FP15" s="1181">
        <v>33</v>
      </c>
      <c r="FQ15" s="1176">
        <f t="shared" ref="FQ15" si="143">EDATE(FR15,FP15)</f>
        <v>46235</v>
      </c>
      <c r="FR15" s="1177">
        <v>45231</v>
      </c>
      <c r="FS15" s="1060" t="s">
        <v>514</v>
      </c>
      <c r="FU15" s="1295"/>
      <c r="FV15" s="1295"/>
      <c r="FW15" s="1023">
        <v>0.15</v>
      </c>
      <c r="FX15" s="1162">
        <v>13992.593304018388</v>
      </c>
      <c r="FY15" s="1163">
        <v>14429.861844768962</v>
      </c>
      <c r="FZ15" s="1137"/>
      <c r="GA15" s="1164">
        <f t="shared" si="89"/>
        <v>3806497.2707657288</v>
      </c>
      <c r="GB15" s="1165">
        <f t="shared" si="90"/>
        <v>0.15</v>
      </c>
      <c r="GC15" s="1154">
        <f t="shared" si="91"/>
        <v>570974.59061485925</v>
      </c>
      <c r="GD15" s="1164">
        <f t="shared" si="92"/>
        <v>30000</v>
      </c>
      <c r="GE15" s="1154">
        <f t="shared" si="93"/>
        <v>540974.59061485925</v>
      </c>
      <c r="GF15" s="1060">
        <f t="shared" si="94"/>
        <v>35</v>
      </c>
      <c r="GG15" s="1166">
        <f t="shared" si="95"/>
        <v>15456.416874710265</v>
      </c>
      <c r="GH15" s="1137"/>
      <c r="GI15" s="1164">
        <f t="shared" si="96"/>
        <v>3806497.2707657288</v>
      </c>
      <c r="GJ15" s="1154">
        <f t="shared" si="97"/>
        <v>380649.72707657289</v>
      </c>
      <c r="GK15" s="1154">
        <f t="shared" si="98"/>
        <v>95162.431769143222</v>
      </c>
      <c r="GL15" s="1166">
        <v>15000</v>
      </c>
      <c r="GM15" s="1154">
        <f t="shared" si="99"/>
        <v>365649.72707657289</v>
      </c>
      <c r="GN15" s="1060">
        <f t="shared" si="100"/>
        <v>35</v>
      </c>
      <c r="GO15" s="1154">
        <f t="shared" si="101"/>
        <v>10447.135059330654</v>
      </c>
      <c r="GP15" s="1137"/>
      <c r="GR15" s="1137"/>
      <c r="GS15" s="1010">
        <f t="shared" si="102"/>
        <v>3806497.2707657288</v>
      </c>
      <c r="GT15" s="1011">
        <f t="shared" si="103"/>
        <v>0.125</v>
      </c>
      <c r="GU15" s="1010">
        <f t="shared" si="104"/>
        <v>475812.1588457161</v>
      </c>
      <c r="GV15" s="1010">
        <f t="shared" si="105"/>
        <v>30000</v>
      </c>
      <c r="GW15" s="1010">
        <f t="shared" si="106"/>
        <v>445812.1588457161</v>
      </c>
      <c r="GX15" s="1010">
        <f t="shared" si="107"/>
        <v>18</v>
      </c>
      <c r="GY15" s="1010">
        <f t="shared" si="108"/>
        <v>24767.34215809534</v>
      </c>
      <c r="GZ15" s="1011">
        <f t="shared" si="109"/>
        <v>0.875</v>
      </c>
      <c r="HA15" s="1010">
        <f t="shared" si="110"/>
        <v>3330685.1119200126</v>
      </c>
      <c r="HB15" s="1010">
        <f t="shared" si="111"/>
        <v>25822.76622153218</v>
      </c>
      <c r="HC15" s="1010">
        <f t="shared" si="112"/>
        <v>29937.139399009873</v>
      </c>
      <c r="HD15" s="1010">
        <f t="shared" si="113"/>
        <v>38672.078310114535</v>
      </c>
      <c r="HE15" s="1010">
        <f t="shared" si="114"/>
        <v>65951.557176514485</v>
      </c>
      <c r="HF15" s="1137"/>
      <c r="HG15" s="1010">
        <f t="shared" si="115"/>
        <v>3806497.2707657288</v>
      </c>
      <c r="HH15" s="1011">
        <f t="shared" si="116"/>
        <v>0.125</v>
      </c>
      <c r="HI15" s="1010">
        <f t="shared" si="117"/>
        <v>475812.1588457161</v>
      </c>
      <c r="HJ15" s="1010">
        <f t="shared" si="118"/>
        <v>30000</v>
      </c>
      <c r="HK15" s="1010">
        <f t="shared" si="119"/>
        <v>445812.1588457161</v>
      </c>
      <c r="HL15" s="1012">
        <f t="shared" si="120"/>
        <v>33</v>
      </c>
      <c r="HM15" s="1167">
        <f t="shared" si="121"/>
        <v>13509.459358961094</v>
      </c>
      <c r="HN15" s="1168">
        <f t="shared" si="122"/>
        <v>0.875</v>
      </c>
      <c r="HO15" s="1167">
        <f t="shared" si="123"/>
        <v>3330685.1119200126</v>
      </c>
      <c r="HP15" s="1146">
        <f t="shared" si="124"/>
        <v>25822.76622153218</v>
      </c>
      <c r="HQ15" s="1146">
        <f t="shared" si="125"/>
        <v>29937.139399009873</v>
      </c>
      <c r="HR15" s="1146">
        <f t="shared" si="126"/>
        <v>38672.078310114535</v>
      </c>
      <c r="HS15" s="1146">
        <f t="shared" si="127"/>
        <v>65951.557176514485</v>
      </c>
      <c r="HT15" s="1137"/>
      <c r="HU15" s="1167">
        <f t="shared" si="128"/>
        <v>-11257.882799134246</v>
      </c>
      <c r="HX15" s="1154"/>
      <c r="HY15" s="1154"/>
      <c r="IB15" s="1154"/>
      <c r="IC15" s="1154"/>
      <c r="ID15" s="1154"/>
      <c r="IE15" s="1154"/>
      <c r="IF15" s="1313" t="s">
        <v>515</v>
      </c>
      <c r="IG15" s="1314">
        <f t="shared" si="134"/>
        <v>46296</v>
      </c>
      <c r="IH15" s="1315">
        <f t="shared" si="133"/>
        <v>13</v>
      </c>
    </row>
    <row r="16" spans="1:242" s="1060" customFormat="1" ht="14.25" hidden="1" customHeight="1">
      <c r="A16" s="1186">
        <f t="shared" si="141"/>
        <v>10</v>
      </c>
      <c r="B16" s="856" t="s">
        <v>149</v>
      </c>
      <c r="C16" s="855">
        <f t="shared" si="130"/>
        <v>10</v>
      </c>
      <c r="D16" s="856" t="s">
        <v>474</v>
      </c>
      <c r="E16" s="857" t="str">
        <f t="shared" si="23"/>
        <v>2nd Floor</v>
      </c>
      <c r="F16" s="1185"/>
      <c r="G16" s="764" t="s">
        <v>163</v>
      </c>
      <c r="H16" s="764" t="s">
        <v>516</v>
      </c>
      <c r="I16" s="764" t="s">
        <v>476</v>
      </c>
      <c r="J16" s="1139">
        <v>22</v>
      </c>
      <c r="K16" s="1142"/>
      <c r="L16" s="764" t="s">
        <v>500</v>
      </c>
      <c r="M16" s="764" t="s">
        <v>93</v>
      </c>
      <c r="N16" s="856">
        <f t="shared" si="24"/>
        <v>100909.09090909091</v>
      </c>
      <c r="O16" s="1138">
        <f t="shared" si="136"/>
        <v>2220000</v>
      </c>
      <c r="P16" s="1138">
        <f t="shared" si="142"/>
        <v>22400</v>
      </c>
      <c r="Q16" s="1138">
        <f t="shared" si="8"/>
        <v>50000</v>
      </c>
      <c r="R16" s="1138"/>
      <c r="S16" s="1138"/>
      <c r="T16" s="1138"/>
      <c r="U16" s="1138"/>
      <c r="V16" s="1138"/>
      <c r="W16" s="858"/>
      <c r="X16" s="1138"/>
      <c r="Y16" s="1138"/>
      <c r="Z16" s="1138">
        <f t="shared" si="137"/>
        <v>75000</v>
      </c>
      <c r="AA16" s="1138">
        <f t="shared" si="138"/>
        <v>147400</v>
      </c>
      <c r="AB16" s="1138">
        <f t="shared" si="28"/>
        <v>2367400</v>
      </c>
      <c r="AC16" s="1138">
        <f t="shared" si="29"/>
        <v>59185</v>
      </c>
      <c r="AD16" s="1138">
        <f t="shared" si="30"/>
        <v>2426585</v>
      </c>
      <c r="AE16" s="1138">
        <f t="shared" si="31"/>
        <v>60664.625</v>
      </c>
      <c r="AF16" s="1138">
        <f t="shared" si="32"/>
        <v>2487249.625</v>
      </c>
      <c r="AG16" s="1138">
        <f t="shared" si="33"/>
        <v>62181.240625000006</v>
      </c>
      <c r="AH16" s="1138">
        <f t="shared" si="34"/>
        <v>2549430.8656250001</v>
      </c>
      <c r="AI16" s="1138">
        <f t="shared" ref="AI16:AI71" si="144">AH16*$AI$5</f>
        <v>127471.54328125001</v>
      </c>
      <c r="AJ16" s="1138">
        <f t="shared" si="35"/>
        <v>2676902.4089062503</v>
      </c>
      <c r="AK16" s="1138">
        <f t="shared" si="36"/>
        <v>26769.024089062503</v>
      </c>
      <c r="AL16" s="1138">
        <f t="shared" si="37"/>
        <v>27537.409960060559</v>
      </c>
      <c r="AM16" s="1138"/>
      <c r="AN16" s="1138"/>
      <c r="AO16" s="1138">
        <f t="shared" si="38"/>
        <v>2731208.8429553732</v>
      </c>
      <c r="AP16" s="1138">
        <f t="shared" si="39"/>
        <v>368713.19379897544</v>
      </c>
      <c r="AQ16" s="1248">
        <f t="shared" si="40"/>
        <v>3099922.0367543488</v>
      </c>
      <c r="AR16" s="1248">
        <f t="shared" si="135"/>
        <v>3099922.0367543488</v>
      </c>
      <c r="AS16" s="1248"/>
      <c r="AT16" s="1248"/>
      <c r="AU16" s="1248">
        <f t="shared" si="42"/>
        <v>0</v>
      </c>
      <c r="AV16" s="1140">
        <f t="shared" si="43"/>
        <v>0</v>
      </c>
      <c r="AW16" s="1140">
        <f t="shared" si="44"/>
        <v>3099922.0367543488</v>
      </c>
      <c r="AX16" s="1139">
        <f t="shared" si="45"/>
        <v>38749.025459429358</v>
      </c>
      <c r="AY16" s="831" t="s">
        <v>478</v>
      </c>
      <c r="AZ16" s="831">
        <f t="shared" si="46"/>
        <v>3138671.062213778</v>
      </c>
      <c r="BA16" s="831">
        <f t="shared" si="47"/>
        <v>117700.16483301668</v>
      </c>
      <c r="BB16" s="831"/>
      <c r="BC16" s="831">
        <f t="shared" si="11"/>
        <v>33600</v>
      </c>
      <c r="BD16" s="831"/>
      <c r="BE16" s="831">
        <f t="shared" si="48"/>
        <v>3289971.2270467947</v>
      </c>
      <c r="BF16" s="831"/>
      <c r="BG16" s="831">
        <f t="shared" si="49"/>
        <v>3289971.2270467947</v>
      </c>
      <c r="BH16" s="831"/>
      <c r="BI16" s="831">
        <f t="shared" si="50"/>
        <v>3289971.2270467947</v>
      </c>
      <c r="BJ16" s="831"/>
      <c r="BK16" s="831">
        <f t="shared" si="51"/>
        <v>3289971.2270467947</v>
      </c>
      <c r="BL16" s="831"/>
      <c r="BM16" s="831">
        <f t="shared" si="52"/>
        <v>3289971.2270467947</v>
      </c>
      <c r="BN16" s="831"/>
      <c r="BO16" s="831">
        <f t="shared" si="53"/>
        <v>3289971.2270467947</v>
      </c>
      <c r="BP16" s="831"/>
      <c r="BQ16" s="831">
        <f t="shared" si="54"/>
        <v>3289971.2270467947</v>
      </c>
      <c r="BR16" s="831"/>
      <c r="BS16" s="831">
        <f t="shared" si="55"/>
        <v>3289971.2270467947</v>
      </c>
      <c r="BT16" s="831"/>
      <c r="BU16" s="831">
        <f t="shared" si="56"/>
        <v>3289971.2270467947</v>
      </c>
      <c r="BV16" s="831"/>
      <c r="BW16" s="831">
        <f t="shared" si="57"/>
        <v>56400</v>
      </c>
      <c r="BX16" s="831">
        <f t="shared" si="58"/>
        <v>3346371.2270467947</v>
      </c>
      <c r="BY16" s="831"/>
      <c r="BZ16" s="831">
        <f t="shared" si="59"/>
        <v>3346371.2270467947</v>
      </c>
      <c r="CA16" s="1260">
        <f t="shared" si="60"/>
        <v>3346371.2270467947</v>
      </c>
      <c r="CB16" s="1260">
        <f t="shared" si="61"/>
        <v>3346371.2270467947</v>
      </c>
      <c r="CC16" s="1260"/>
      <c r="CD16" s="1260">
        <f t="shared" si="62"/>
        <v>0</v>
      </c>
      <c r="CE16" s="1260">
        <f t="shared" si="63"/>
        <v>0</v>
      </c>
      <c r="CF16" s="1260">
        <f t="shared" si="64"/>
        <v>0</v>
      </c>
      <c r="CG16" s="1266">
        <f t="shared" si="65"/>
        <v>3346371.2270467947</v>
      </c>
      <c r="CH16" s="1141">
        <f t="shared" si="66"/>
        <v>3346371.2270467947</v>
      </c>
      <c r="CI16" s="1142">
        <f t="shared" si="67"/>
        <v>0</v>
      </c>
      <c r="CJ16" s="1141">
        <f t="shared" si="68"/>
        <v>343003.05077229644</v>
      </c>
      <c r="CK16" s="1141">
        <f t="shared" si="69"/>
        <v>117122.99294663782</v>
      </c>
      <c r="CL16" s="1143">
        <f t="shared" si="139"/>
        <v>3806497.2707657288</v>
      </c>
      <c r="CM16" s="1144">
        <f t="shared" si="71"/>
        <v>0.125</v>
      </c>
      <c r="CN16" s="1141">
        <f t="shared" si="72"/>
        <v>475812.1588457161</v>
      </c>
      <c r="CO16" s="1141">
        <f t="shared" si="73"/>
        <v>30000</v>
      </c>
      <c r="CP16" s="1141">
        <f t="shared" si="74"/>
        <v>445812.1588457161</v>
      </c>
      <c r="CQ16" s="1145">
        <f t="shared" si="75"/>
        <v>18</v>
      </c>
      <c r="CR16" s="1141">
        <f>CP16/CQ16</f>
        <v>24767.34215809534</v>
      </c>
      <c r="CS16" s="1144">
        <f t="shared" si="77"/>
        <v>0.875</v>
      </c>
      <c r="CT16" s="1141">
        <f t="shared" si="78"/>
        <v>3330685.1119200126</v>
      </c>
      <c r="CU16" s="1146">
        <f t="shared" si="12"/>
        <v>25822.76622153218</v>
      </c>
      <c r="CV16" s="1146">
        <f t="shared" si="13"/>
        <v>29937.139399009873</v>
      </c>
      <c r="CW16" s="1146">
        <f t="shared" si="14"/>
        <v>38672.078310114535</v>
      </c>
      <c r="CX16" s="1146">
        <f t="shared" si="15"/>
        <v>65951.557176514485</v>
      </c>
      <c r="CY16" s="1146">
        <f t="shared" si="79"/>
        <v>270562.13827147207</v>
      </c>
      <c r="CZ16" s="1146">
        <f t="shared" si="80"/>
        <v>107060.12013017652</v>
      </c>
      <c r="DA16" s="1146">
        <f t="shared" si="81"/>
        <v>77328.008456711017</v>
      </c>
      <c r="DB16" s="1146">
        <f t="shared" si="82"/>
        <v>58850.174433200184</v>
      </c>
      <c r="DC16" s="1146"/>
      <c r="DD16" s="1146"/>
      <c r="DE16" s="1146"/>
      <c r="DF16" s="1146"/>
      <c r="DG16" s="1146"/>
      <c r="DH16" s="1146"/>
      <c r="DI16" s="1146"/>
      <c r="DJ16" s="1146"/>
      <c r="DK16" s="1146"/>
      <c r="DL16" s="1146"/>
      <c r="DM16" s="1146"/>
      <c r="DN16" s="1146"/>
      <c r="DO16" s="1146"/>
      <c r="DP16" s="1146"/>
      <c r="DQ16" s="1146"/>
      <c r="DR16" s="1146"/>
      <c r="DS16" s="1146"/>
      <c r="DT16" s="1146"/>
      <c r="DU16" s="1146"/>
      <c r="DV16" s="1146"/>
      <c r="DW16" s="1146"/>
      <c r="DX16" s="1146"/>
      <c r="DY16" s="1146"/>
      <c r="DZ16" s="1146"/>
      <c r="EA16" s="1147">
        <f t="shared" si="83"/>
        <v>0</v>
      </c>
      <c r="EB16" s="1148">
        <f t="shared" si="84"/>
        <v>0</v>
      </c>
      <c r="EC16" s="1107">
        <f t="shared" si="132"/>
        <v>45839</v>
      </c>
      <c r="ED16" s="1029">
        <f t="shared" si="16"/>
        <v>20</v>
      </c>
      <c r="EE16" s="1149"/>
      <c r="EF16" s="1030">
        <f t="shared" si="17"/>
        <v>45904</v>
      </c>
      <c r="EG16" s="1029">
        <f t="shared" si="85"/>
        <v>22</v>
      </c>
      <c r="EH16" s="846" t="s">
        <v>490</v>
      </c>
      <c r="EI16" s="846" t="s">
        <v>480</v>
      </c>
      <c r="EJ16" s="850">
        <f t="shared" si="18"/>
        <v>0</v>
      </c>
      <c r="EK16" s="850">
        <f t="shared" si="19"/>
        <v>0</v>
      </c>
      <c r="EL16" s="851">
        <f t="shared" si="20"/>
        <v>0</v>
      </c>
      <c r="EM16" s="1128"/>
      <c r="EN16" s="850"/>
      <c r="EO16" s="850"/>
      <c r="EP16" s="850">
        <f t="shared" si="21"/>
        <v>0</v>
      </c>
      <c r="EQ16" s="1128"/>
      <c r="ER16" s="1150"/>
      <c r="ES16" s="1128"/>
      <c r="ET16" s="1151" t="s">
        <v>163</v>
      </c>
      <c r="EU16" s="1128" t="b">
        <f t="shared" si="22"/>
        <v>1</v>
      </c>
      <c r="EV16" s="1152" t="s">
        <v>513</v>
      </c>
      <c r="EW16" s="1153" t="s">
        <v>482</v>
      </c>
      <c r="EX16" s="1128"/>
      <c r="EY16" s="1128" t="s">
        <v>483</v>
      </c>
      <c r="EZ16" s="1128" t="s">
        <v>484</v>
      </c>
      <c r="FA16" s="1169">
        <f t="shared" si="86"/>
        <v>0</v>
      </c>
      <c r="FB16" s="1187"/>
      <c r="FC16" s="1304"/>
      <c r="FD16" s="1304"/>
      <c r="FI16" s="1309" t="s">
        <v>149</v>
      </c>
      <c r="FJ16" s="1159" t="s">
        <v>149</v>
      </c>
      <c r="FK16" s="1160" t="b">
        <f t="shared" si="87"/>
        <v>1</v>
      </c>
      <c r="FL16" s="1131"/>
      <c r="FM16" s="1161"/>
      <c r="FP16" s="1181">
        <f t="shared" ref="FP16:FP26" si="145">FP15-1</f>
        <v>32</v>
      </c>
      <c r="FQ16" s="1176">
        <f t="shared" ref="FQ16" si="146">EDATE(FR16,FP16)</f>
        <v>46235</v>
      </c>
      <c r="FR16" s="1177">
        <v>45261</v>
      </c>
      <c r="FU16" s="1295"/>
      <c r="FV16" s="1295"/>
      <c r="FW16" s="1023">
        <v>0.15</v>
      </c>
      <c r="FX16" s="1162">
        <v>13992.593304018388</v>
      </c>
      <c r="FY16" s="1163">
        <v>14429.861844768962</v>
      </c>
      <c r="FZ16" s="1137"/>
      <c r="GA16" s="1164">
        <f t="shared" si="89"/>
        <v>3806497.2707657288</v>
      </c>
      <c r="GB16" s="1165">
        <f t="shared" si="90"/>
        <v>0.15</v>
      </c>
      <c r="GC16" s="1154">
        <f t="shared" si="91"/>
        <v>570974.59061485925</v>
      </c>
      <c r="GD16" s="1164">
        <f t="shared" si="92"/>
        <v>30000</v>
      </c>
      <c r="GE16" s="1154">
        <f t="shared" si="93"/>
        <v>540974.59061485925</v>
      </c>
      <c r="GF16" s="1060">
        <f t="shared" si="94"/>
        <v>35</v>
      </c>
      <c r="GG16" s="1166">
        <f t="shared" si="95"/>
        <v>15456.416874710265</v>
      </c>
      <c r="GH16" s="1137"/>
      <c r="GI16" s="1164">
        <f t="shared" si="96"/>
        <v>3806497.2707657288</v>
      </c>
      <c r="GJ16" s="1154">
        <f t="shared" si="97"/>
        <v>380649.72707657289</v>
      </c>
      <c r="GK16" s="1154">
        <f t="shared" si="98"/>
        <v>95162.431769143222</v>
      </c>
      <c r="GL16" s="1166">
        <v>15000</v>
      </c>
      <c r="GM16" s="1154">
        <f t="shared" si="99"/>
        <v>365649.72707657289</v>
      </c>
      <c r="GN16" s="1060">
        <f t="shared" si="100"/>
        <v>35</v>
      </c>
      <c r="GO16" s="1154">
        <f t="shared" si="101"/>
        <v>10447.135059330654</v>
      </c>
      <c r="GP16" s="1137"/>
      <c r="GR16" s="1137"/>
      <c r="GS16" s="1010">
        <f t="shared" si="102"/>
        <v>3806497.2707657288</v>
      </c>
      <c r="GT16" s="1011">
        <f t="shared" si="103"/>
        <v>0.125</v>
      </c>
      <c r="GU16" s="1010">
        <f t="shared" si="104"/>
        <v>475812.1588457161</v>
      </c>
      <c r="GV16" s="1010">
        <f t="shared" si="105"/>
        <v>30000</v>
      </c>
      <c r="GW16" s="1010">
        <f t="shared" si="106"/>
        <v>445812.1588457161</v>
      </c>
      <c r="GX16" s="1010">
        <f t="shared" si="107"/>
        <v>18</v>
      </c>
      <c r="GY16" s="1010">
        <f t="shared" si="108"/>
        <v>24767.34215809534</v>
      </c>
      <c r="GZ16" s="1011">
        <f t="shared" si="109"/>
        <v>0.875</v>
      </c>
      <c r="HA16" s="1010">
        <f t="shared" si="110"/>
        <v>3330685.1119200126</v>
      </c>
      <c r="HB16" s="1010">
        <f t="shared" si="111"/>
        <v>25822.76622153218</v>
      </c>
      <c r="HC16" s="1010">
        <f t="shared" si="112"/>
        <v>29937.139399009873</v>
      </c>
      <c r="HD16" s="1010">
        <f t="shared" si="113"/>
        <v>38672.078310114535</v>
      </c>
      <c r="HE16" s="1010">
        <f t="shared" si="114"/>
        <v>65951.557176514485</v>
      </c>
      <c r="HF16" s="1137"/>
      <c r="HG16" s="1010">
        <f t="shared" si="115"/>
        <v>3806497.2707657288</v>
      </c>
      <c r="HH16" s="1011">
        <f t="shared" si="116"/>
        <v>0.125</v>
      </c>
      <c r="HI16" s="1010">
        <f t="shared" si="117"/>
        <v>475812.1588457161</v>
      </c>
      <c r="HJ16" s="1010">
        <f t="shared" si="118"/>
        <v>30000</v>
      </c>
      <c r="HK16" s="1010">
        <f t="shared" si="119"/>
        <v>445812.1588457161</v>
      </c>
      <c r="HL16" s="1012">
        <f t="shared" si="120"/>
        <v>33</v>
      </c>
      <c r="HM16" s="1167">
        <f t="shared" si="121"/>
        <v>13509.459358961094</v>
      </c>
      <c r="HN16" s="1168">
        <f t="shared" si="122"/>
        <v>0.875</v>
      </c>
      <c r="HO16" s="1167">
        <f t="shared" si="123"/>
        <v>3330685.1119200126</v>
      </c>
      <c r="HP16" s="1146">
        <f t="shared" si="124"/>
        <v>25822.76622153218</v>
      </c>
      <c r="HQ16" s="1146">
        <f t="shared" si="125"/>
        <v>29937.139399009873</v>
      </c>
      <c r="HR16" s="1146">
        <f t="shared" si="126"/>
        <v>38672.078310114535</v>
      </c>
      <c r="HS16" s="1146">
        <f t="shared" si="127"/>
        <v>65951.557176514485</v>
      </c>
      <c r="HT16" s="1137"/>
      <c r="HU16" s="1167">
        <f t="shared" si="128"/>
        <v>-11257.882799134246</v>
      </c>
      <c r="HX16" s="1154"/>
      <c r="HY16" s="1154"/>
      <c r="IB16" s="1154"/>
      <c r="IC16" s="1154"/>
      <c r="ID16" s="1154"/>
      <c r="IE16" s="1154"/>
      <c r="IF16" s="1313" t="s">
        <v>310</v>
      </c>
      <c r="IG16" s="1314">
        <f>DATE(2026,11,1)</f>
        <v>46327</v>
      </c>
      <c r="IH16" s="1315">
        <f t="shared" si="133"/>
        <v>14</v>
      </c>
    </row>
    <row r="17" spans="1:264" s="1060" customFormat="1" ht="14.25" hidden="1" customHeight="1">
      <c r="A17" s="1186">
        <f t="shared" si="141"/>
        <v>11</v>
      </c>
      <c r="B17" s="856" t="s">
        <v>149</v>
      </c>
      <c r="C17" s="855">
        <f t="shared" si="130"/>
        <v>11</v>
      </c>
      <c r="D17" s="856" t="s">
        <v>474</v>
      </c>
      <c r="E17" s="857" t="str">
        <f t="shared" si="23"/>
        <v>2nd Floor</v>
      </c>
      <c r="F17" s="1185"/>
      <c r="G17" s="764" t="s">
        <v>164</v>
      </c>
      <c r="H17" s="764" t="s">
        <v>517</v>
      </c>
      <c r="I17" s="764" t="s">
        <v>476</v>
      </c>
      <c r="J17" s="1139">
        <v>22</v>
      </c>
      <c r="K17" s="1142"/>
      <c r="L17" s="764" t="s">
        <v>500</v>
      </c>
      <c r="M17" s="764" t="s">
        <v>93</v>
      </c>
      <c r="N17" s="856">
        <f t="shared" si="24"/>
        <v>100909.09090909091</v>
      </c>
      <c r="O17" s="1138">
        <f t="shared" si="136"/>
        <v>2220000</v>
      </c>
      <c r="P17" s="1138">
        <f t="shared" si="142"/>
        <v>22400</v>
      </c>
      <c r="Q17" s="1138">
        <f t="shared" si="8"/>
        <v>50000</v>
      </c>
      <c r="R17" s="1138"/>
      <c r="S17" s="1138"/>
      <c r="T17" s="1138"/>
      <c r="U17" s="1138"/>
      <c r="V17" s="1138"/>
      <c r="W17" s="858"/>
      <c r="X17" s="1138"/>
      <c r="Y17" s="1138"/>
      <c r="Z17" s="1138">
        <f t="shared" si="137"/>
        <v>75000</v>
      </c>
      <c r="AA17" s="1138">
        <f t="shared" si="138"/>
        <v>147400</v>
      </c>
      <c r="AB17" s="1138">
        <f t="shared" si="28"/>
        <v>2367400</v>
      </c>
      <c r="AC17" s="1138">
        <f t="shared" si="29"/>
        <v>59185</v>
      </c>
      <c r="AD17" s="1138">
        <f t="shared" si="30"/>
        <v>2426585</v>
      </c>
      <c r="AE17" s="1138">
        <f t="shared" si="31"/>
        <v>60664.625</v>
      </c>
      <c r="AF17" s="1138">
        <f t="shared" si="32"/>
        <v>2487249.625</v>
      </c>
      <c r="AG17" s="1138">
        <f t="shared" si="33"/>
        <v>62181.240625000006</v>
      </c>
      <c r="AH17" s="1138">
        <f t="shared" si="34"/>
        <v>2549430.8656250001</v>
      </c>
      <c r="AI17" s="1138">
        <f t="shared" si="144"/>
        <v>127471.54328125001</v>
      </c>
      <c r="AJ17" s="1138">
        <f t="shared" si="35"/>
        <v>2676902.4089062503</v>
      </c>
      <c r="AK17" s="1138">
        <f t="shared" si="36"/>
        <v>26769.024089062503</v>
      </c>
      <c r="AL17" s="1138">
        <f t="shared" si="37"/>
        <v>27537.409960060559</v>
      </c>
      <c r="AM17" s="1138"/>
      <c r="AN17" s="1138"/>
      <c r="AO17" s="1138">
        <f t="shared" si="38"/>
        <v>2731208.8429553732</v>
      </c>
      <c r="AP17" s="1138">
        <f t="shared" si="39"/>
        <v>368713.19379897544</v>
      </c>
      <c r="AQ17" s="1248">
        <f t="shared" si="40"/>
        <v>3099922.0367543488</v>
      </c>
      <c r="AR17" s="1248">
        <f t="shared" si="135"/>
        <v>3099922.0367543488</v>
      </c>
      <c r="AS17" s="1248"/>
      <c r="AT17" s="1248"/>
      <c r="AU17" s="1248">
        <f t="shared" si="42"/>
        <v>0</v>
      </c>
      <c r="AV17" s="1140">
        <f t="shared" si="43"/>
        <v>0</v>
      </c>
      <c r="AW17" s="1140">
        <f t="shared" si="44"/>
        <v>3099922.0367543488</v>
      </c>
      <c r="AX17" s="1139">
        <f t="shared" si="45"/>
        <v>38749.025459429358</v>
      </c>
      <c r="AY17" s="831" t="s">
        <v>478</v>
      </c>
      <c r="AZ17" s="831">
        <f t="shared" si="46"/>
        <v>3138671.062213778</v>
      </c>
      <c r="BA17" s="831">
        <f t="shared" si="47"/>
        <v>117700.16483301668</v>
      </c>
      <c r="BB17" s="831"/>
      <c r="BC17" s="831">
        <f t="shared" si="11"/>
        <v>33600</v>
      </c>
      <c r="BD17" s="831"/>
      <c r="BE17" s="831">
        <f t="shared" si="48"/>
        <v>3289971.2270467947</v>
      </c>
      <c r="BF17" s="831"/>
      <c r="BG17" s="831">
        <f t="shared" si="49"/>
        <v>3289971.2270467947</v>
      </c>
      <c r="BH17" s="831"/>
      <c r="BI17" s="831">
        <f t="shared" si="50"/>
        <v>3289971.2270467947</v>
      </c>
      <c r="BJ17" s="831"/>
      <c r="BK17" s="831">
        <f t="shared" si="51"/>
        <v>3289971.2270467947</v>
      </c>
      <c r="BL17" s="831"/>
      <c r="BM17" s="831">
        <f t="shared" si="52"/>
        <v>3289971.2270467947</v>
      </c>
      <c r="BN17" s="831"/>
      <c r="BO17" s="831">
        <f t="shared" si="53"/>
        <v>3289971.2270467947</v>
      </c>
      <c r="BP17" s="831"/>
      <c r="BQ17" s="831">
        <f t="shared" si="54"/>
        <v>3289971.2270467947</v>
      </c>
      <c r="BR17" s="831"/>
      <c r="BS17" s="831">
        <f t="shared" si="55"/>
        <v>3289971.2270467947</v>
      </c>
      <c r="BT17" s="831"/>
      <c r="BU17" s="831">
        <f t="shared" si="56"/>
        <v>3289971.2270467947</v>
      </c>
      <c r="BV17" s="831"/>
      <c r="BW17" s="831">
        <f t="shared" si="57"/>
        <v>56400</v>
      </c>
      <c r="BX17" s="831">
        <f t="shared" si="58"/>
        <v>3346371.2270467947</v>
      </c>
      <c r="BY17" s="831"/>
      <c r="BZ17" s="831">
        <f t="shared" si="59"/>
        <v>3346371.2270467947</v>
      </c>
      <c r="CA17" s="1260">
        <f t="shared" si="60"/>
        <v>3346371.2270467947</v>
      </c>
      <c r="CB17" s="1260">
        <f t="shared" si="61"/>
        <v>3346371.2270467947</v>
      </c>
      <c r="CC17" s="1260"/>
      <c r="CD17" s="1260">
        <f t="shared" si="62"/>
        <v>0</v>
      </c>
      <c r="CE17" s="1260">
        <f t="shared" si="63"/>
        <v>0</v>
      </c>
      <c r="CF17" s="1260">
        <f t="shared" si="64"/>
        <v>0</v>
      </c>
      <c r="CG17" s="1266">
        <f t="shared" si="65"/>
        <v>3346371.2270467947</v>
      </c>
      <c r="CH17" s="1141">
        <f t="shared" si="66"/>
        <v>3346371.2270467947</v>
      </c>
      <c r="CI17" s="1142">
        <f t="shared" si="67"/>
        <v>0</v>
      </c>
      <c r="CJ17" s="1141">
        <f t="shared" si="68"/>
        <v>343003.05077229644</v>
      </c>
      <c r="CK17" s="1141">
        <f t="shared" si="69"/>
        <v>117122.99294663782</v>
      </c>
      <c r="CL17" s="1143">
        <f t="shared" si="139"/>
        <v>3806497.2707657288</v>
      </c>
      <c r="CM17" s="1144">
        <f t="shared" si="71"/>
        <v>0.125</v>
      </c>
      <c r="CN17" s="1141">
        <f t="shared" si="72"/>
        <v>475812.1588457161</v>
      </c>
      <c r="CO17" s="1141">
        <f t="shared" si="73"/>
        <v>30000</v>
      </c>
      <c r="CP17" s="1141">
        <f t="shared" si="74"/>
        <v>445812.1588457161</v>
      </c>
      <c r="CQ17" s="1145">
        <f t="shared" si="75"/>
        <v>18</v>
      </c>
      <c r="CR17" s="1141">
        <f t="shared" si="76"/>
        <v>24767.34215809534</v>
      </c>
      <c r="CS17" s="1144">
        <f t="shared" si="77"/>
        <v>0.875</v>
      </c>
      <c r="CT17" s="1141">
        <f t="shared" si="78"/>
        <v>3330685.1119200126</v>
      </c>
      <c r="CU17" s="1146">
        <f t="shared" si="12"/>
        <v>25822.76622153218</v>
      </c>
      <c r="CV17" s="1146">
        <f t="shared" si="13"/>
        <v>29937.139399009873</v>
      </c>
      <c r="CW17" s="1146">
        <f t="shared" si="14"/>
        <v>38672.078310114535</v>
      </c>
      <c r="CX17" s="1146">
        <f t="shared" si="15"/>
        <v>65951.557176514485</v>
      </c>
      <c r="CY17" s="1146">
        <f t="shared" si="79"/>
        <v>270562.13827147207</v>
      </c>
      <c r="CZ17" s="1146">
        <f t="shared" si="80"/>
        <v>107060.12013017652</v>
      </c>
      <c r="DA17" s="1146">
        <f t="shared" si="81"/>
        <v>77328.008456711017</v>
      </c>
      <c r="DB17" s="1146">
        <f t="shared" si="82"/>
        <v>58850.174433200184</v>
      </c>
      <c r="DC17" s="1146"/>
      <c r="DD17" s="1146"/>
      <c r="DE17" s="1146"/>
      <c r="DF17" s="1146"/>
      <c r="DG17" s="1146"/>
      <c r="DH17" s="1146"/>
      <c r="DI17" s="1146"/>
      <c r="DJ17" s="1146"/>
      <c r="DK17" s="1146"/>
      <c r="DL17" s="1146"/>
      <c r="DM17" s="1146"/>
      <c r="DN17" s="1146"/>
      <c r="DO17" s="1146"/>
      <c r="DP17" s="1146"/>
      <c r="DQ17" s="1146"/>
      <c r="DR17" s="1146"/>
      <c r="DS17" s="1146"/>
      <c r="DT17" s="1146"/>
      <c r="DU17" s="1146"/>
      <c r="DV17" s="1146"/>
      <c r="DW17" s="1146"/>
      <c r="DX17" s="1146"/>
      <c r="DY17" s="1146"/>
      <c r="DZ17" s="1146"/>
      <c r="EA17" s="1147">
        <f t="shared" si="83"/>
        <v>0</v>
      </c>
      <c r="EB17" s="1148">
        <f t="shared" si="84"/>
        <v>0</v>
      </c>
      <c r="EC17" s="1107">
        <f t="shared" si="132"/>
        <v>45839</v>
      </c>
      <c r="ED17" s="1029">
        <f t="shared" si="16"/>
        <v>20</v>
      </c>
      <c r="EE17" s="1149"/>
      <c r="EF17" s="1030">
        <f t="shared" si="17"/>
        <v>45904</v>
      </c>
      <c r="EG17" s="1029">
        <f t="shared" si="85"/>
        <v>22</v>
      </c>
      <c r="EH17" s="846" t="s">
        <v>490</v>
      </c>
      <c r="EI17" s="846" t="s">
        <v>480</v>
      </c>
      <c r="EJ17" s="850">
        <f t="shared" si="18"/>
        <v>0</v>
      </c>
      <c r="EK17" s="850">
        <f t="shared" si="19"/>
        <v>0</v>
      </c>
      <c r="EL17" s="851">
        <f t="shared" si="20"/>
        <v>0</v>
      </c>
      <c r="EM17" s="1128"/>
      <c r="EN17" s="850"/>
      <c r="EO17" s="850"/>
      <c r="EP17" s="850">
        <f t="shared" si="21"/>
        <v>0</v>
      </c>
      <c r="EQ17" s="1128"/>
      <c r="ER17" s="1150"/>
      <c r="ES17" s="1128"/>
      <c r="ET17" s="1151" t="s">
        <v>164</v>
      </c>
      <c r="EU17" s="1128" t="b">
        <f t="shared" si="22"/>
        <v>1</v>
      </c>
      <c r="EV17" s="1152" t="s">
        <v>518</v>
      </c>
      <c r="EW17" s="1153" t="s">
        <v>482</v>
      </c>
      <c r="EX17" s="1128"/>
      <c r="EY17" s="1128" t="s">
        <v>483</v>
      </c>
      <c r="EZ17" s="1128" t="s">
        <v>484</v>
      </c>
      <c r="FA17" s="1169">
        <f t="shared" si="86"/>
        <v>0</v>
      </c>
      <c r="FB17" s="1187"/>
      <c r="FC17" s="162"/>
      <c r="FD17" s="1189"/>
      <c r="FI17" s="1309" t="s">
        <v>149</v>
      </c>
      <c r="FJ17" s="1159" t="s">
        <v>149</v>
      </c>
      <c r="FK17" s="1160" t="b">
        <f t="shared" si="87"/>
        <v>1</v>
      </c>
      <c r="FL17" s="1131"/>
      <c r="FM17" s="1161"/>
      <c r="FN17" s="884"/>
      <c r="FP17" s="1181">
        <f t="shared" si="145"/>
        <v>31</v>
      </c>
      <c r="FQ17" s="1176">
        <f t="shared" ref="FQ17" si="147">EDATE(FR17,FP17)</f>
        <v>46235</v>
      </c>
      <c r="FR17" s="1177">
        <v>45292</v>
      </c>
      <c r="FS17" s="884"/>
      <c r="FT17" s="884"/>
      <c r="FU17" s="1295"/>
      <c r="FV17" s="1295"/>
      <c r="FW17" s="1023">
        <v>0.15</v>
      </c>
      <c r="FX17" s="1162">
        <v>13992.593304018388</v>
      </c>
      <c r="FY17" s="1163">
        <v>14429.861844768962</v>
      </c>
      <c r="FZ17" s="1137"/>
      <c r="GA17" s="1164">
        <f t="shared" si="89"/>
        <v>3806497.2707657288</v>
      </c>
      <c r="GB17" s="1165">
        <f t="shared" si="90"/>
        <v>0.15</v>
      </c>
      <c r="GC17" s="1154">
        <f t="shared" si="91"/>
        <v>570974.59061485925</v>
      </c>
      <c r="GD17" s="1164">
        <f t="shared" si="92"/>
        <v>30000</v>
      </c>
      <c r="GE17" s="1154">
        <f t="shared" si="93"/>
        <v>540974.59061485925</v>
      </c>
      <c r="GF17" s="1060">
        <f t="shared" si="94"/>
        <v>35</v>
      </c>
      <c r="GG17" s="1166">
        <f t="shared" si="95"/>
        <v>15456.416874710265</v>
      </c>
      <c r="GH17" s="1137"/>
      <c r="GI17" s="1164">
        <f t="shared" si="96"/>
        <v>3806497.2707657288</v>
      </c>
      <c r="GJ17" s="1154">
        <f t="shared" si="97"/>
        <v>380649.72707657289</v>
      </c>
      <c r="GK17" s="1154">
        <f t="shared" si="98"/>
        <v>95162.431769143222</v>
      </c>
      <c r="GL17" s="1166">
        <v>15000</v>
      </c>
      <c r="GM17" s="1154">
        <f t="shared" si="99"/>
        <v>365649.72707657289</v>
      </c>
      <c r="GN17" s="1060">
        <f t="shared" si="100"/>
        <v>35</v>
      </c>
      <c r="GO17" s="1154">
        <f t="shared" si="101"/>
        <v>10447.135059330654</v>
      </c>
      <c r="GP17" s="1137"/>
      <c r="GR17" s="1137"/>
      <c r="GS17" s="1010">
        <f t="shared" si="102"/>
        <v>3806497.2707657288</v>
      </c>
      <c r="GT17" s="1011">
        <f t="shared" si="103"/>
        <v>0.125</v>
      </c>
      <c r="GU17" s="1010">
        <f t="shared" si="104"/>
        <v>475812.1588457161</v>
      </c>
      <c r="GV17" s="1010">
        <f t="shared" si="105"/>
        <v>30000</v>
      </c>
      <c r="GW17" s="1010">
        <f t="shared" si="106"/>
        <v>445812.1588457161</v>
      </c>
      <c r="GX17" s="1010">
        <f t="shared" si="107"/>
        <v>18</v>
      </c>
      <c r="GY17" s="1010">
        <f t="shared" si="108"/>
        <v>24767.34215809534</v>
      </c>
      <c r="GZ17" s="1011">
        <f t="shared" si="109"/>
        <v>0.875</v>
      </c>
      <c r="HA17" s="1010">
        <f t="shared" si="110"/>
        <v>3330685.1119200126</v>
      </c>
      <c r="HB17" s="1010">
        <f t="shared" si="111"/>
        <v>25822.76622153218</v>
      </c>
      <c r="HC17" s="1010">
        <f t="shared" si="112"/>
        <v>29937.139399009873</v>
      </c>
      <c r="HD17" s="1010">
        <f t="shared" si="113"/>
        <v>38672.078310114535</v>
      </c>
      <c r="HE17" s="1010">
        <f t="shared" si="114"/>
        <v>65951.557176514485</v>
      </c>
      <c r="HF17" s="1137"/>
      <c r="HG17" s="1010">
        <f t="shared" si="115"/>
        <v>3806497.2707657288</v>
      </c>
      <c r="HH17" s="1011">
        <f t="shared" si="116"/>
        <v>0.125</v>
      </c>
      <c r="HI17" s="1010">
        <f t="shared" si="117"/>
        <v>475812.1588457161</v>
      </c>
      <c r="HJ17" s="1010">
        <f t="shared" si="118"/>
        <v>30000</v>
      </c>
      <c r="HK17" s="1010">
        <f t="shared" si="119"/>
        <v>445812.1588457161</v>
      </c>
      <c r="HL17" s="1012">
        <f t="shared" si="120"/>
        <v>33</v>
      </c>
      <c r="HM17" s="1167">
        <f t="shared" si="121"/>
        <v>13509.459358961094</v>
      </c>
      <c r="HN17" s="1168">
        <f t="shared" si="122"/>
        <v>0.875</v>
      </c>
      <c r="HO17" s="1167">
        <f t="shared" si="123"/>
        <v>3330685.1119200126</v>
      </c>
      <c r="HP17" s="1146">
        <f t="shared" si="124"/>
        <v>25822.76622153218</v>
      </c>
      <c r="HQ17" s="1146">
        <f t="shared" si="125"/>
        <v>29937.139399009873</v>
      </c>
      <c r="HR17" s="1146">
        <f t="shared" si="126"/>
        <v>38672.078310114535</v>
      </c>
      <c r="HS17" s="1146">
        <f t="shared" si="127"/>
        <v>65951.557176514485</v>
      </c>
      <c r="HT17" s="1137"/>
      <c r="HU17" s="1167">
        <f t="shared" si="128"/>
        <v>-11257.882799134246</v>
      </c>
      <c r="HX17" s="1154"/>
      <c r="HY17" s="1154"/>
      <c r="IB17" s="1154"/>
      <c r="IC17" s="1154"/>
      <c r="ID17" s="1154"/>
      <c r="IE17" s="1154"/>
      <c r="IF17" s="1313" t="s">
        <v>519</v>
      </c>
      <c r="IG17" s="1314">
        <f>DATE(2026,12,1)</f>
        <v>46357</v>
      </c>
      <c r="IH17" s="1315">
        <f t="shared" si="133"/>
        <v>15</v>
      </c>
    </row>
    <row r="18" spans="1:264" s="1199" customFormat="1" ht="14.25" customHeight="1">
      <c r="A18" s="1186">
        <f t="shared" si="141"/>
        <v>12</v>
      </c>
      <c r="B18" s="824" t="s">
        <v>149</v>
      </c>
      <c r="C18" s="855">
        <f t="shared" si="130"/>
        <v>12</v>
      </c>
      <c r="D18" s="856" t="s">
        <v>474</v>
      </c>
      <c r="E18" s="857" t="str">
        <f t="shared" si="23"/>
        <v>2nd Floor</v>
      </c>
      <c r="F18" s="1185"/>
      <c r="G18" s="764" t="s">
        <v>165</v>
      </c>
      <c r="H18" s="764" t="s">
        <v>520</v>
      </c>
      <c r="I18" s="764" t="s">
        <v>476</v>
      </c>
      <c r="J18" s="1139">
        <v>22</v>
      </c>
      <c r="K18" s="1142"/>
      <c r="L18" s="764" t="s">
        <v>500</v>
      </c>
      <c r="M18" s="764" t="s">
        <v>93</v>
      </c>
      <c r="N18" s="856">
        <f t="shared" si="24"/>
        <v>100909.09090909091</v>
      </c>
      <c r="O18" s="1138">
        <f t="shared" si="136"/>
        <v>2220000</v>
      </c>
      <c r="P18" s="1138">
        <f t="shared" si="142"/>
        <v>22400</v>
      </c>
      <c r="Q18" s="1138">
        <f t="shared" si="8"/>
        <v>50000</v>
      </c>
      <c r="R18" s="1138"/>
      <c r="S18" s="1138"/>
      <c r="T18" s="1138"/>
      <c r="U18" s="1138"/>
      <c r="V18" s="858"/>
      <c r="W18" s="1138"/>
      <c r="X18" s="1138"/>
      <c r="Y18" s="1138"/>
      <c r="Z18" s="1138">
        <f t="shared" si="137"/>
        <v>75000</v>
      </c>
      <c r="AA18" s="1138">
        <f t="shared" si="138"/>
        <v>147400</v>
      </c>
      <c r="AB18" s="1138">
        <f t="shared" si="28"/>
        <v>2367400</v>
      </c>
      <c r="AC18" s="1138">
        <f t="shared" si="29"/>
        <v>59185</v>
      </c>
      <c r="AD18" s="1138">
        <f t="shared" si="30"/>
        <v>2426585</v>
      </c>
      <c r="AE18" s="1138">
        <f t="shared" si="31"/>
        <v>60664.625</v>
      </c>
      <c r="AF18" s="1138">
        <f t="shared" si="32"/>
        <v>2487249.625</v>
      </c>
      <c r="AG18" s="1138">
        <f t="shared" si="33"/>
        <v>62181.240625000006</v>
      </c>
      <c r="AH18" s="1138">
        <f t="shared" si="34"/>
        <v>2549430.8656250001</v>
      </c>
      <c r="AI18" s="1138">
        <f t="shared" si="144"/>
        <v>127471.54328125001</v>
      </c>
      <c r="AJ18" s="1138">
        <f t="shared" si="35"/>
        <v>2676902.4089062503</v>
      </c>
      <c r="AK18" s="1138">
        <f t="shared" si="36"/>
        <v>26769.024089062503</v>
      </c>
      <c r="AL18" s="1138">
        <f t="shared" si="37"/>
        <v>27537.409960060559</v>
      </c>
      <c r="AM18" s="1138"/>
      <c r="AN18" s="1138"/>
      <c r="AO18" s="1138">
        <f t="shared" si="38"/>
        <v>2731208.8429553732</v>
      </c>
      <c r="AP18" s="1138">
        <f t="shared" si="39"/>
        <v>368713.19379897544</v>
      </c>
      <c r="AQ18" s="1248">
        <f t="shared" si="40"/>
        <v>3099922.0367543488</v>
      </c>
      <c r="AR18" s="1248">
        <f t="shared" si="135"/>
        <v>3099922.0367543488</v>
      </c>
      <c r="AS18" s="1248"/>
      <c r="AT18" s="1248"/>
      <c r="AU18" s="1248">
        <f>AT18*$AU$5</f>
        <v>0</v>
      </c>
      <c r="AV18" s="1140">
        <f>AT18+AU18</f>
        <v>0</v>
      </c>
      <c r="AW18" s="1140">
        <f t="shared" si="44"/>
        <v>3099922.0367543488</v>
      </c>
      <c r="AX18" s="1139">
        <f t="shared" si="45"/>
        <v>38749.025459429358</v>
      </c>
      <c r="AY18" s="831" t="s">
        <v>478</v>
      </c>
      <c r="AZ18" s="831">
        <f t="shared" si="46"/>
        <v>3138671.062213778</v>
      </c>
      <c r="BA18" s="831">
        <f t="shared" si="47"/>
        <v>117700.16483301668</v>
      </c>
      <c r="BB18" s="831"/>
      <c r="BC18" s="831">
        <f t="shared" si="11"/>
        <v>33600</v>
      </c>
      <c r="BD18" s="831"/>
      <c r="BE18" s="831">
        <f t="shared" si="48"/>
        <v>3289971.2270467947</v>
      </c>
      <c r="BF18" s="831"/>
      <c r="BG18" s="831">
        <f t="shared" si="49"/>
        <v>3289971.2270467947</v>
      </c>
      <c r="BH18" s="831"/>
      <c r="BI18" s="831">
        <f t="shared" si="50"/>
        <v>3289971.2270467947</v>
      </c>
      <c r="BJ18" s="831"/>
      <c r="BK18" s="831">
        <f t="shared" si="51"/>
        <v>3289971.2270467947</v>
      </c>
      <c r="BL18" s="831"/>
      <c r="BM18" s="831">
        <f t="shared" si="52"/>
        <v>3289971.2270467947</v>
      </c>
      <c r="BN18" s="831"/>
      <c r="BO18" s="831">
        <f t="shared" si="53"/>
        <v>3289971.2270467947</v>
      </c>
      <c r="BP18" s="831"/>
      <c r="BQ18" s="831">
        <f t="shared" si="54"/>
        <v>3289971.2270467947</v>
      </c>
      <c r="BR18" s="831"/>
      <c r="BS18" s="831">
        <f t="shared" si="55"/>
        <v>3289971.2270467947</v>
      </c>
      <c r="BT18" s="831">
        <f>$BT$5/41</f>
        <v>1609.3168000000001</v>
      </c>
      <c r="BU18" s="831">
        <f t="shared" si="56"/>
        <v>3291580.5438467949</v>
      </c>
      <c r="BV18" s="831">
        <f>$BV$5/43</f>
        <v>1163.3400930232558</v>
      </c>
      <c r="BW18" s="831">
        <f t="shared" si="57"/>
        <v>56400</v>
      </c>
      <c r="BX18" s="831">
        <f t="shared" si="58"/>
        <v>3349143.883939818</v>
      </c>
      <c r="BY18" s="831">
        <f>$BY$5/44</f>
        <v>30549.183723443901</v>
      </c>
      <c r="BZ18" s="831">
        <f t="shared" si="59"/>
        <v>3379693.0676632621</v>
      </c>
      <c r="CA18" s="1260">
        <f t="shared" si="60"/>
        <v>3379693.0676632621</v>
      </c>
      <c r="CB18" s="1260">
        <f t="shared" si="61"/>
        <v>3379693.0676632621</v>
      </c>
      <c r="CC18" s="1260"/>
      <c r="CD18" s="1260">
        <f t="shared" si="62"/>
        <v>0</v>
      </c>
      <c r="CE18" s="1260">
        <f t="shared" si="63"/>
        <v>0</v>
      </c>
      <c r="CF18" s="1260">
        <f t="shared" si="64"/>
        <v>0</v>
      </c>
      <c r="CG18" s="1266">
        <f t="shared" si="65"/>
        <v>3379693.0676632621</v>
      </c>
      <c r="CH18" s="1141">
        <f t="shared" si="66"/>
        <v>3379693.0676632621</v>
      </c>
      <c r="CI18" s="1142">
        <f t="shared" si="67"/>
        <v>0</v>
      </c>
      <c r="CJ18" s="1141">
        <f>CH18*CJ$5</f>
        <v>346418.53943548433</v>
      </c>
      <c r="CK18" s="1141">
        <f t="shared" si="69"/>
        <v>118289.25736821418</v>
      </c>
      <c r="CL18" s="1143">
        <f t="shared" si="139"/>
        <v>3844400.8644669605</v>
      </c>
      <c r="CM18" s="1144">
        <f t="shared" si="71"/>
        <v>0.125</v>
      </c>
      <c r="CN18" s="1141">
        <f t="shared" si="72"/>
        <v>480550.10805837007</v>
      </c>
      <c r="CO18" s="1141">
        <f>$CO$5</f>
        <v>30000</v>
      </c>
      <c r="CP18" s="1141">
        <f t="shared" si="74"/>
        <v>450550.10805837007</v>
      </c>
      <c r="CQ18" s="1145">
        <f t="shared" si="75"/>
        <v>18</v>
      </c>
      <c r="CR18" s="1141">
        <f t="shared" si="76"/>
        <v>25030.561558798338</v>
      </c>
      <c r="CS18" s="1144">
        <f t="shared" si="77"/>
        <v>0.875</v>
      </c>
      <c r="CT18" s="1141">
        <f t="shared" si="78"/>
        <v>3363850.7564085904</v>
      </c>
      <c r="CU18" s="1146">
        <f t="shared" si="12"/>
        <v>26079.899110243263</v>
      </c>
      <c r="CV18" s="1146">
        <f t="shared" si="13"/>
        <v>30235.241587883618</v>
      </c>
      <c r="CW18" s="1146">
        <f t="shared" si="14"/>
        <v>39057.15956450197</v>
      </c>
      <c r="CX18" s="1146">
        <f t="shared" si="15"/>
        <v>66608.276687751466</v>
      </c>
      <c r="CY18" s="1146">
        <f t="shared" si="79"/>
        <v>273256.28899075405</v>
      </c>
      <c r="CZ18" s="1146">
        <f t="shared" si="80"/>
        <v>108126.18244583477</v>
      </c>
      <c r="DA18" s="1146">
        <f t="shared" si="81"/>
        <v>78098.010168462934</v>
      </c>
      <c r="DB18" s="1146">
        <f t="shared" si="82"/>
        <v>59436.181184891328</v>
      </c>
      <c r="DC18" s="1146"/>
      <c r="DD18" s="1146"/>
      <c r="DE18" s="1146"/>
      <c r="DF18" s="1146"/>
      <c r="DG18" s="1146"/>
      <c r="DH18" s="1146"/>
      <c r="DI18" s="1146"/>
      <c r="DJ18" s="1146"/>
      <c r="DK18" s="1146"/>
      <c r="DL18" s="1146"/>
      <c r="DM18" s="1146"/>
      <c r="DN18" s="1146"/>
      <c r="DO18" s="1146"/>
      <c r="DP18" s="1146"/>
      <c r="DQ18" s="1146"/>
      <c r="DR18" s="1146"/>
      <c r="DS18" s="1146"/>
      <c r="DT18" s="1146"/>
      <c r="DU18" s="1146"/>
      <c r="DV18" s="1146"/>
      <c r="DW18" s="1146"/>
      <c r="DX18" s="1146"/>
      <c r="DY18" s="1146"/>
      <c r="DZ18" s="1146"/>
      <c r="EA18" s="1147">
        <f t="shared" si="83"/>
        <v>0</v>
      </c>
      <c r="EB18" s="1148">
        <f t="shared" si="84"/>
        <v>0</v>
      </c>
      <c r="EC18" s="1190">
        <f t="shared" si="132"/>
        <v>45839</v>
      </c>
      <c r="ED18" s="1031">
        <f t="shared" si="16"/>
        <v>20</v>
      </c>
      <c r="EE18" s="1191"/>
      <c r="EF18" s="1032">
        <f t="shared" si="17"/>
        <v>45904</v>
      </c>
      <c r="EG18" s="1029">
        <f t="shared" si="85"/>
        <v>22</v>
      </c>
      <c r="EH18" s="852" t="s">
        <v>490</v>
      </c>
      <c r="EI18" s="852" t="s">
        <v>480</v>
      </c>
      <c r="EJ18" s="853">
        <f t="shared" si="18"/>
        <v>0</v>
      </c>
      <c r="EK18" s="853">
        <f t="shared" si="19"/>
        <v>0</v>
      </c>
      <c r="EL18" s="854">
        <f t="shared" si="20"/>
        <v>0</v>
      </c>
      <c r="EM18" s="1192"/>
      <c r="EN18" s="853"/>
      <c r="EO18" s="853"/>
      <c r="EP18" s="853">
        <f t="shared" si="21"/>
        <v>0</v>
      </c>
      <c r="EQ18" s="1192"/>
      <c r="ER18" s="1193"/>
      <c r="ES18" s="1192"/>
      <c r="ET18" s="1194" t="s">
        <v>165</v>
      </c>
      <c r="EU18" s="1192" t="b">
        <f t="shared" si="22"/>
        <v>1</v>
      </c>
      <c r="EV18" s="1195" t="s">
        <v>521</v>
      </c>
      <c r="EW18" s="1196" t="s">
        <v>522</v>
      </c>
      <c r="EX18" s="1197"/>
      <c r="EY18" s="1128" t="s">
        <v>483</v>
      </c>
      <c r="EZ18" s="1128" t="s">
        <v>484</v>
      </c>
      <c r="FA18" s="1169">
        <f t="shared" si="86"/>
        <v>0</v>
      </c>
      <c r="FB18" s="1198" t="s">
        <v>147</v>
      </c>
      <c r="FC18" s="1187" t="s">
        <v>523</v>
      </c>
      <c r="FD18" s="1189"/>
      <c r="FE18" s="884"/>
      <c r="FF18" s="884"/>
      <c r="FG18" s="884"/>
      <c r="FH18" s="884"/>
      <c r="FI18" s="1309" t="s">
        <v>96</v>
      </c>
      <c r="FJ18" s="1159" t="s">
        <v>96</v>
      </c>
      <c r="FK18" s="1160" t="b">
        <f t="shared" si="87"/>
        <v>1</v>
      </c>
      <c r="FL18" s="1131"/>
      <c r="FM18" s="1161"/>
      <c r="FN18" s="884"/>
      <c r="FO18" s="888"/>
      <c r="FP18" s="1181">
        <f t="shared" si="145"/>
        <v>30</v>
      </c>
      <c r="FQ18" s="1176">
        <f t="shared" ref="FQ18" si="148">EDATE(FR18,FP18)</f>
        <v>46235</v>
      </c>
      <c r="FR18" s="1177">
        <v>45323</v>
      </c>
      <c r="FS18" s="884"/>
      <c r="FT18" s="884"/>
      <c r="FU18" s="1295"/>
      <c r="FV18" s="1295"/>
      <c r="FW18" s="1023">
        <v>0.125</v>
      </c>
      <c r="FX18" s="1162">
        <v>11584.736844257748</v>
      </c>
      <c r="FY18" s="1163">
        <v>11946.759870640803</v>
      </c>
      <c r="FZ18" s="1086"/>
      <c r="GA18" s="1164">
        <f t="shared" si="89"/>
        <v>3844400.8644669605</v>
      </c>
      <c r="GB18" s="1165">
        <f t="shared" si="90"/>
        <v>0.15</v>
      </c>
      <c r="GC18" s="1154">
        <f t="shared" si="91"/>
        <v>576660.12967004406</v>
      </c>
      <c r="GD18" s="1164">
        <f t="shared" si="92"/>
        <v>30000</v>
      </c>
      <c r="GE18" s="1154">
        <f t="shared" si="93"/>
        <v>546660.12967004406</v>
      </c>
      <c r="GF18" s="1060">
        <f t="shared" si="94"/>
        <v>35</v>
      </c>
      <c r="GG18" s="1166">
        <f t="shared" si="95"/>
        <v>15618.860847715545</v>
      </c>
      <c r="GH18" s="1086"/>
      <c r="GI18" s="1164">
        <f t="shared" si="96"/>
        <v>3844400.8644669605</v>
      </c>
      <c r="GJ18" s="1154">
        <f t="shared" si="97"/>
        <v>384440.08644669608</v>
      </c>
      <c r="GK18" s="1154">
        <f t="shared" si="98"/>
        <v>96110.021611674019</v>
      </c>
      <c r="GL18" s="1166">
        <v>15000</v>
      </c>
      <c r="GM18" s="1154">
        <f t="shared" si="99"/>
        <v>369440.08644669608</v>
      </c>
      <c r="GN18" s="1060">
        <f t="shared" si="100"/>
        <v>35</v>
      </c>
      <c r="GO18" s="1154">
        <f t="shared" si="101"/>
        <v>10555.431041334174</v>
      </c>
      <c r="GP18" s="1086"/>
      <c r="GR18" s="1086"/>
      <c r="GS18" s="1010">
        <f t="shared" si="102"/>
        <v>3844400.8644669605</v>
      </c>
      <c r="GT18" s="1011">
        <f t="shared" si="103"/>
        <v>0.125</v>
      </c>
      <c r="GU18" s="1010">
        <f t="shared" si="104"/>
        <v>480550.10805837007</v>
      </c>
      <c r="GV18" s="1010">
        <f t="shared" si="105"/>
        <v>30000</v>
      </c>
      <c r="GW18" s="1010">
        <f t="shared" si="106"/>
        <v>450550.10805837007</v>
      </c>
      <c r="GX18" s="1010">
        <f t="shared" si="107"/>
        <v>18</v>
      </c>
      <c r="GY18" s="1010">
        <f t="shared" si="108"/>
        <v>25030.561558798338</v>
      </c>
      <c r="GZ18" s="1011">
        <f t="shared" si="109"/>
        <v>0.875</v>
      </c>
      <c r="HA18" s="1010">
        <f t="shared" si="110"/>
        <v>3363850.7564085904</v>
      </c>
      <c r="HB18" s="1010">
        <f t="shared" si="111"/>
        <v>26079.899110243263</v>
      </c>
      <c r="HC18" s="1010">
        <f t="shared" si="112"/>
        <v>30235.241587883618</v>
      </c>
      <c r="HD18" s="1010">
        <f t="shared" si="113"/>
        <v>39057.15956450197</v>
      </c>
      <c r="HE18" s="1010">
        <f t="shared" si="114"/>
        <v>66608.276687751466</v>
      </c>
      <c r="HF18" s="1086"/>
      <c r="HG18" s="1010">
        <f t="shared" si="115"/>
        <v>3844400.8644669605</v>
      </c>
      <c r="HH18" s="1011">
        <f t="shared" si="116"/>
        <v>0.125</v>
      </c>
      <c r="HI18" s="1010">
        <f t="shared" si="117"/>
        <v>480550.10805837007</v>
      </c>
      <c r="HJ18" s="1010">
        <f t="shared" si="118"/>
        <v>30000</v>
      </c>
      <c r="HK18" s="1010">
        <f t="shared" si="119"/>
        <v>450550.10805837007</v>
      </c>
      <c r="HL18" s="1012">
        <f t="shared" si="120"/>
        <v>33</v>
      </c>
      <c r="HM18" s="1167">
        <f t="shared" si="121"/>
        <v>13653.033577526367</v>
      </c>
      <c r="HN18" s="1168">
        <f t="shared" si="122"/>
        <v>0.875</v>
      </c>
      <c r="HO18" s="1167">
        <f t="shared" si="123"/>
        <v>3363850.7564085904</v>
      </c>
      <c r="HP18" s="1146">
        <f t="shared" si="124"/>
        <v>26079.899110243263</v>
      </c>
      <c r="HQ18" s="1146">
        <f t="shared" si="125"/>
        <v>30235.241587883618</v>
      </c>
      <c r="HR18" s="1146">
        <f t="shared" si="126"/>
        <v>39057.15956450197</v>
      </c>
      <c r="HS18" s="1146">
        <f t="shared" si="127"/>
        <v>66608.276687751466</v>
      </c>
      <c r="HT18" s="1086"/>
      <c r="HU18" s="1167">
        <f t="shared" si="128"/>
        <v>-11377.527981271971</v>
      </c>
      <c r="HV18" s="884"/>
      <c r="HW18" s="884"/>
      <c r="HX18" s="1154"/>
      <c r="HY18" s="1154"/>
      <c r="HZ18" s="884"/>
      <c r="IA18" s="884"/>
      <c r="IB18" s="1154"/>
      <c r="IC18" s="1154"/>
      <c r="ID18" s="1154"/>
      <c r="IE18" s="1154"/>
      <c r="IF18" s="1313" t="s">
        <v>524</v>
      </c>
      <c r="IG18" s="1314">
        <f>DATE(2027,1,1)</f>
        <v>46388</v>
      </c>
      <c r="IH18" s="1315">
        <f t="shared" si="133"/>
        <v>16</v>
      </c>
      <c r="II18" s="884"/>
      <c r="IJ18" s="884"/>
      <c r="IK18" s="884"/>
      <c r="IL18" s="884"/>
      <c r="IM18" s="884"/>
      <c r="IN18" s="884"/>
      <c r="IO18" s="884"/>
      <c r="IP18" s="884"/>
      <c r="IQ18" s="884"/>
      <c r="IR18" s="884"/>
      <c r="IS18" s="884"/>
      <c r="IT18" s="884"/>
      <c r="IU18" s="884"/>
      <c r="IV18" s="884"/>
      <c r="IW18" s="884"/>
      <c r="IX18" s="884"/>
      <c r="IY18" s="884"/>
      <c r="IZ18" s="884"/>
      <c r="JA18" s="884"/>
      <c r="JB18" s="884"/>
      <c r="JC18" s="884"/>
      <c r="JD18" s="884"/>
    </row>
    <row r="19" spans="1:264" ht="14.25" hidden="1" customHeight="1">
      <c r="A19" s="1186">
        <f t="shared" si="141"/>
        <v>13</v>
      </c>
      <c r="B19" s="824" t="s">
        <v>149</v>
      </c>
      <c r="C19" s="855">
        <f t="shared" si="130"/>
        <v>13</v>
      </c>
      <c r="D19" s="856" t="s">
        <v>474</v>
      </c>
      <c r="E19" s="857" t="str">
        <f t="shared" si="23"/>
        <v>2nd Floor</v>
      </c>
      <c r="F19" s="1185"/>
      <c r="G19" s="764" t="s">
        <v>167</v>
      </c>
      <c r="H19" s="764" t="s">
        <v>525</v>
      </c>
      <c r="I19" s="764" t="s">
        <v>476</v>
      </c>
      <c r="J19" s="1139">
        <v>22</v>
      </c>
      <c r="K19" s="1142"/>
      <c r="L19" s="764" t="s">
        <v>500</v>
      </c>
      <c r="M19" s="764" t="s">
        <v>93</v>
      </c>
      <c r="N19" s="856">
        <f t="shared" si="24"/>
        <v>100909.09090909091</v>
      </c>
      <c r="O19" s="1138">
        <f t="shared" si="136"/>
        <v>2220000</v>
      </c>
      <c r="P19" s="1138">
        <f t="shared" si="142"/>
        <v>22400</v>
      </c>
      <c r="Q19" s="1138">
        <f t="shared" si="8"/>
        <v>50000</v>
      </c>
      <c r="R19" s="1138"/>
      <c r="S19" s="1138"/>
      <c r="T19" s="1138"/>
      <c r="U19" s="1138"/>
      <c r="V19" s="858"/>
      <c r="W19" s="858"/>
      <c r="X19" s="1138"/>
      <c r="Y19" s="1138"/>
      <c r="Z19" s="1138">
        <f t="shared" si="137"/>
        <v>75000</v>
      </c>
      <c r="AA19" s="1138">
        <f t="shared" si="138"/>
        <v>147400</v>
      </c>
      <c r="AB19" s="1138">
        <f t="shared" si="28"/>
        <v>2367400</v>
      </c>
      <c r="AC19" s="1138">
        <f t="shared" si="29"/>
        <v>59185</v>
      </c>
      <c r="AD19" s="1138">
        <f t="shared" si="30"/>
        <v>2426585</v>
      </c>
      <c r="AE19" s="1138">
        <f t="shared" si="31"/>
        <v>60664.625</v>
      </c>
      <c r="AF19" s="1138">
        <f t="shared" si="32"/>
        <v>2487249.625</v>
      </c>
      <c r="AG19" s="1138">
        <f t="shared" si="33"/>
        <v>62181.240625000006</v>
      </c>
      <c r="AH19" s="1138">
        <f t="shared" si="34"/>
        <v>2549430.8656250001</v>
      </c>
      <c r="AI19" s="1138">
        <f t="shared" si="144"/>
        <v>127471.54328125001</v>
      </c>
      <c r="AJ19" s="1138">
        <f t="shared" si="35"/>
        <v>2676902.4089062503</v>
      </c>
      <c r="AK19" s="1138">
        <f t="shared" si="36"/>
        <v>26769.024089062503</v>
      </c>
      <c r="AL19" s="1138">
        <f t="shared" si="37"/>
        <v>27537.409960060559</v>
      </c>
      <c r="AM19" s="1138"/>
      <c r="AN19" s="1138"/>
      <c r="AO19" s="1138">
        <f t="shared" si="38"/>
        <v>2731208.8429553732</v>
      </c>
      <c r="AP19" s="1138">
        <f t="shared" si="39"/>
        <v>368713.19379897544</v>
      </c>
      <c r="AQ19" s="1248">
        <f t="shared" si="40"/>
        <v>3099922.0367543488</v>
      </c>
      <c r="AR19" s="1248">
        <f t="shared" si="135"/>
        <v>3099922.0367543488</v>
      </c>
      <c r="AS19" s="1248"/>
      <c r="AT19" s="1248"/>
      <c r="AU19" s="1248">
        <f t="shared" si="42"/>
        <v>0</v>
      </c>
      <c r="AV19" s="1140">
        <f t="shared" si="43"/>
        <v>0</v>
      </c>
      <c r="AW19" s="1140">
        <f t="shared" si="44"/>
        <v>3099922.0367543488</v>
      </c>
      <c r="AX19" s="1139">
        <f t="shared" si="45"/>
        <v>38749.025459429358</v>
      </c>
      <c r="AY19" s="831" t="s">
        <v>478</v>
      </c>
      <c r="AZ19" s="831">
        <f t="shared" si="46"/>
        <v>3138671.062213778</v>
      </c>
      <c r="BA19" s="831">
        <f t="shared" si="47"/>
        <v>117700.16483301668</v>
      </c>
      <c r="BB19" s="831"/>
      <c r="BC19" s="831">
        <f t="shared" si="11"/>
        <v>33600</v>
      </c>
      <c r="BD19" s="831"/>
      <c r="BE19" s="831">
        <f t="shared" si="48"/>
        <v>3289971.2270467947</v>
      </c>
      <c r="BF19" s="831"/>
      <c r="BG19" s="831">
        <f t="shared" si="49"/>
        <v>3289971.2270467947</v>
      </c>
      <c r="BH19" s="831"/>
      <c r="BI19" s="831">
        <f t="shared" si="50"/>
        <v>3289971.2270467947</v>
      </c>
      <c r="BJ19" s="831"/>
      <c r="BK19" s="831">
        <f t="shared" si="51"/>
        <v>3289971.2270467947</v>
      </c>
      <c r="BL19" s="831"/>
      <c r="BM19" s="831">
        <f t="shared" si="52"/>
        <v>3289971.2270467947</v>
      </c>
      <c r="BN19" s="831"/>
      <c r="BO19" s="831">
        <f t="shared" si="53"/>
        <v>3289971.2270467947</v>
      </c>
      <c r="BP19" s="831"/>
      <c r="BQ19" s="831">
        <f t="shared" si="54"/>
        <v>3289971.2270467947</v>
      </c>
      <c r="BR19" s="831"/>
      <c r="BS19" s="831">
        <f t="shared" si="55"/>
        <v>3289971.2270467947</v>
      </c>
      <c r="BT19" s="831"/>
      <c r="BU19" s="831">
        <f t="shared" si="56"/>
        <v>3289971.2270467947</v>
      </c>
      <c r="BV19" s="831"/>
      <c r="BW19" s="831">
        <f t="shared" si="57"/>
        <v>56400</v>
      </c>
      <c r="BX19" s="831">
        <f t="shared" si="58"/>
        <v>3346371.2270467947</v>
      </c>
      <c r="BY19" s="831"/>
      <c r="BZ19" s="831">
        <f t="shared" si="59"/>
        <v>3346371.2270467947</v>
      </c>
      <c r="CA19" s="1260">
        <f t="shared" si="60"/>
        <v>3346371.2270467947</v>
      </c>
      <c r="CB19" s="1260">
        <f t="shared" si="61"/>
        <v>3346371.2270467947</v>
      </c>
      <c r="CC19" s="1260"/>
      <c r="CD19" s="1260">
        <f t="shared" si="62"/>
        <v>0</v>
      </c>
      <c r="CE19" s="1260">
        <f t="shared" si="63"/>
        <v>0</v>
      </c>
      <c r="CF19" s="1260">
        <f t="shared" si="64"/>
        <v>0</v>
      </c>
      <c r="CG19" s="1266">
        <f t="shared" si="65"/>
        <v>3346371.2270467947</v>
      </c>
      <c r="CH19" s="1141">
        <f t="shared" si="66"/>
        <v>3346371.2270467947</v>
      </c>
      <c r="CI19" s="1142">
        <f t="shared" si="67"/>
        <v>0</v>
      </c>
      <c r="CJ19" s="1141">
        <f t="shared" si="68"/>
        <v>343003.05077229644</v>
      </c>
      <c r="CK19" s="1141">
        <f t="shared" si="69"/>
        <v>117122.99294663782</v>
      </c>
      <c r="CL19" s="1143">
        <f t="shared" si="139"/>
        <v>3806497.2707657288</v>
      </c>
      <c r="CM19" s="1144">
        <f t="shared" si="71"/>
        <v>0.125</v>
      </c>
      <c r="CN19" s="1141">
        <f t="shared" si="72"/>
        <v>475812.1588457161</v>
      </c>
      <c r="CO19" s="1141">
        <f t="shared" si="73"/>
        <v>30000</v>
      </c>
      <c r="CP19" s="1141">
        <f t="shared" si="74"/>
        <v>445812.1588457161</v>
      </c>
      <c r="CQ19" s="1145">
        <f t="shared" si="75"/>
        <v>18</v>
      </c>
      <c r="CR19" s="1141">
        <f t="shared" si="76"/>
        <v>24767.34215809534</v>
      </c>
      <c r="CS19" s="1144">
        <f t="shared" si="77"/>
        <v>0.875</v>
      </c>
      <c r="CT19" s="1141">
        <f t="shared" si="78"/>
        <v>3330685.1119200126</v>
      </c>
      <c r="CU19" s="1146">
        <f t="shared" si="12"/>
        <v>25822.76622153218</v>
      </c>
      <c r="CV19" s="1146">
        <f t="shared" si="13"/>
        <v>29937.139399009873</v>
      </c>
      <c r="CW19" s="1146">
        <f t="shared" si="14"/>
        <v>38672.078310114535</v>
      </c>
      <c r="CX19" s="1146">
        <f t="shared" si="15"/>
        <v>65951.557176514485</v>
      </c>
      <c r="CY19" s="1146">
        <f t="shared" si="79"/>
        <v>270562.13827147207</v>
      </c>
      <c r="CZ19" s="1146">
        <f t="shared" si="80"/>
        <v>107060.12013017652</v>
      </c>
      <c r="DA19" s="1146">
        <f t="shared" si="81"/>
        <v>77328.008456711017</v>
      </c>
      <c r="DB19" s="1146">
        <f t="shared" si="82"/>
        <v>58850.174433200184</v>
      </c>
      <c r="DC19" s="1146"/>
      <c r="DD19" s="1146"/>
      <c r="DE19" s="1146"/>
      <c r="DF19" s="1146"/>
      <c r="DG19" s="1146"/>
      <c r="DH19" s="1146"/>
      <c r="DI19" s="1146"/>
      <c r="DJ19" s="1146"/>
      <c r="DK19" s="1146"/>
      <c r="DL19" s="1146"/>
      <c r="DM19" s="1146"/>
      <c r="DN19" s="1146"/>
      <c r="DO19" s="1146"/>
      <c r="DP19" s="1146"/>
      <c r="DQ19" s="1146"/>
      <c r="DR19" s="1146"/>
      <c r="DS19" s="1146"/>
      <c r="DT19" s="1146"/>
      <c r="DU19" s="1146"/>
      <c r="DV19" s="1146"/>
      <c r="DW19" s="1146"/>
      <c r="DX19" s="1146"/>
      <c r="DY19" s="1146"/>
      <c r="DZ19" s="1146"/>
      <c r="EA19" s="1147">
        <f t="shared" si="83"/>
        <v>0</v>
      </c>
      <c r="EB19" s="1148">
        <f t="shared" si="84"/>
        <v>0</v>
      </c>
      <c r="EC19" s="1190">
        <f t="shared" si="132"/>
        <v>45839</v>
      </c>
      <c r="ED19" s="1031">
        <f t="shared" si="16"/>
        <v>20</v>
      </c>
      <c r="EE19" s="1191"/>
      <c r="EF19" s="1032">
        <f t="shared" si="17"/>
        <v>45904</v>
      </c>
      <c r="EG19" s="1029">
        <f t="shared" si="85"/>
        <v>22</v>
      </c>
      <c r="EH19" s="859" t="s">
        <v>490</v>
      </c>
      <c r="EI19" s="859" t="s">
        <v>480</v>
      </c>
      <c r="EJ19" s="860">
        <f t="shared" si="18"/>
        <v>0</v>
      </c>
      <c r="EK19" s="860">
        <f t="shared" si="19"/>
        <v>0</v>
      </c>
      <c r="EL19" s="861">
        <f t="shared" si="20"/>
        <v>0</v>
      </c>
      <c r="EM19" s="1197"/>
      <c r="EN19" s="860"/>
      <c r="EO19" s="860"/>
      <c r="EP19" s="860">
        <f t="shared" si="21"/>
        <v>0</v>
      </c>
      <c r="EQ19" s="1197"/>
      <c r="ER19" s="1200"/>
      <c r="ES19" s="1197"/>
      <c r="ET19" s="1194" t="s">
        <v>167</v>
      </c>
      <c r="EU19" s="1197" t="b">
        <f t="shared" si="22"/>
        <v>1</v>
      </c>
      <c r="EV19" s="1201" t="s">
        <v>526</v>
      </c>
      <c r="EW19" s="1202" t="s">
        <v>482</v>
      </c>
      <c r="EX19" s="1197"/>
      <c r="EY19" s="1128" t="s">
        <v>483</v>
      </c>
      <c r="EZ19" s="1128" t="s">
        <v>484</v>
      </c>
      <c r="FA19" s="1169">
        <f t="shared" si="86"/>
        <v>0</v>
      </c>
      <c r="FB19" s="1198" t="s">
        <v>151</v>
      </c>
      <c r="FC19" s="1189" t="s">
        <v>527</v>
      </c>
      <c r="FD19" s="1189"/>
      <c r="FI19" s="1309" t="s">
        <v>149</v>
      </c>
      <c r="FJ19" s="1159" t="s">
        <v>149</v>
      </c>
      <c r="FK19" s="1160" t="b">
        <f t="shared" si="87"/>
        <v>1</v>
      </c>
      <c r="FL19" s="1131"/>
      <c r="FM19" s="1161"/>
      <c r="FO19" s="1060"/>
      <c r="FP19" s="1181">
        <f t="shared" si="145"/>
        <v>29</v>
      </c>
      <c r="FQ19" s="1176">
        <f t="shared" ref="FQ19" si="149">EDATE(FR19,FP19)</f>
        <v>46235</v>
      </c>
      <c r="FR19" s="1177">
        <v>45352</v>
      </c>
      <c r="FU19" s="1295"/>
      <c r="FV19" s="1295"/>
      <c r="FW19" s="1023">
        <v>0.15</v>
      </c>
      <c r="FX19" s="1162">
        <v>13992.593304018388</v>
      </c>
      <c r="FY19" s="1163">
        <v>14429.861844768962</v>
      </c>
      <c r="GA19" s="1164">
        <f t="shared" si="89"/>
        <v>3806497.2707657288</v>
      </c>
      <c r="GB19" s="1165">
        <f t="shared" si="90"/>
        <v>0.15</v>
      </c>
      <c r="GC19" s="1154">
        <f t="shared" si="91"/>
        <v>570974.59061485925</v>
      </c>
      <c r="GD19" s="1164">
        <f t="shared" si="92"/>
        <v>30000</v>
      </c>
      <c r="GE19" s="1154">
        <f t="shared" si="93"/>
        <v>540974.59061485925</v>
      </c>
      <c r="GF19" s="1060">
        <f t="shared" si="94"/>
        <v>35</v>
      </c>
      <c r="GG19" s="1166">
        <f t="shared" si="95"/>
        <v>15456.416874710265</v>
      </c>
      <c r="GI19" s="1164">
        <f t="shared" si="96"/>
        <v>3806497.2707657288</v>
      </c>
      <c r="GJ19" s="1154">
        <f t="shared" si="97"/>
        <v>380649.72707657289</v>
      </c>
      <c r="GK19" s="1154">
        <f t="shared" si="98"/>
        <v>95162.431769143222</v>
      </c>
      <c r="GL19" s="1166">
        <v>15000</v>
      </c>
      <c r="GM19" s="1154">
        <f t="shared" si="99"/>
        <v>365649.72707657289</v>
      </c>
      <c r="GN19" s="1060">
        <f t="shared" si="100"/>
        <v>35</v>
      </c>
      <c r="GO19" s="1154">
        <f t="shared" si="101"/>
        <v>10447.135059330654</v>
      </c>
      <c r="GS19" s="1010">
        <f t="shared" si="102"/>
        <v>3806497.2707657288</v>
      </c>
      <c r="GT19" s="1011">
        <f t="shared" si="103"/>
        <v>0.125</v>
      </c>
      <c r="GU19" s="1010">
        <f t="shared" si="104"/>
        <v>475812.1588457161</v>
      </c>
      <c r="GV19" s="1010">
        <f t="shared" si="105"/>
        <v>30000</v>
      </c>
      <c r="GW19" s="1010">
        <f t="shared" si="106"/>
        <v>445812.1588457161</v>
      </c>
      <c r="GX19" s="1010">
        <f t="shared" si="107"/>
        <v>18</v>
      </c>
      <c r="GY19" s="1010">
        <f t="shared" si="108"/>
        <v>24767.34215809534</v>
      </c>
      <c r="GZ19" s="1011">
        <f t="shared" si="109"/>
        <v>0.875</v>
      </c>
      <c r="HA19" s="1010">
        <f t="shared" si="110"/>
        <v>3330685.1119200126</v>
      </c>
      <c r="HB19" s="1010">
        <f t="shared" si="111"/>
        <v>25822.76622153218</v>
      </c>
      <c r="HC19" s="1010">
        <f t="shared" si="112"/>
        <v>29937.139399009873</v>
      </c>
      <c r="HD19" s="1010">
        <f t="shared" si="113"/>
        <v>38672.078310114535</v>
      </c>
      <c r="HE19" s="1010">
        <f t="shared" si="114"/>
        <v>65951.557176514485</v>
      </c>
      <c r="HG19" s="1010">
        <f t="shared" si="115"/>
        <v>3806497.2707657288</v>
      </c>
      <c r="HH19" s="1011">
        <f t="shared" si="116"/>
        <v>0.125</v>
      </c>
      <c r="HI19" s="1010">
        <f t="shared" si="117"/>
        <v>475812.1588457161</v>
      </c>
      <c r="HJ19" s="1010">
        <f t="shared" si="118"/>
        <v>30000</v>
      </c>
      <c r="HK19" s="1010">
        <f t="shared" si="119"/>
        <v>445812.1588457161</v>
      </c>
      <c r="HL19" s="1012">
        <f t="shared" si="120"/>
        <v>33</v>
      </c>
      <c r="HM19" s="1167">
        <f t="shared" si="121"/>
        <v>13509.459358961094</v>
      </c>
      <c r="HN19" s="1168">
        <f t="shared" si="122"/>
        <v>0.875</v>
      </c>
      <c r="HO19" s="1167">
        <f t="shared" si="123"/>
        <v>3330685.1119200126</v>
      </c>
      <c r="HP19" s="1146">
        <f t="shared" si="124"/>
        <v>25822.76622153218</v>
      </c>
      <c r="HQ19" s="1146">
        <f t="shared" si="125"/>
        <v>29937.139399009873</v>
      </c>
      <c r="HR19" s="1146">
        <f t="shared" si="126"/>
        <v>38672.078310114535</v>
      </c>
      <c r="HS19" s="1146">
        <f t="shared" si="127"/>
        <v>65951.557176514485</v>
      </c>
      <c r="HU19" s="1167">
        <f t="shared" si="128"/>
        <v>-11257.882799134246</v>
      </c>
      <c r="HX19" s="1154"/>
      <c r="HY19" s="1154"/>
      <c r="IB19" s="1154"/>
      <c r="IC19" s="1154"/>
      <c r="ID19" s="1154"/>
      <c r="IE19" s="1154"/>
      <c r="IF19" s="1313" t="s">
        <v>528</v>
      </c>
      <c r="IG19" s="1314">
        <f>DATE(2027,2,1)</f>
        <v>46419</v>
      </c>
      <c r="IH19" s="1315">
        <f t="shared" si="133"/>
        <v>17</v>
      </c>
    </row>
    <row r="20" spans="1:264" s="1199" customFormat="1" ht="14.25" hidden="1" customHeight="1">
      <c r="A20" s="1186">
        <f t="shared" si="141"/>
        <v>14</v>
      </c>
      <c r="B20" s="824" t="s">
        <v>149</v>
      </c>
      <c r="C20" s="855">
        <f t="shared" si="130"/>
        <v>14</v>
      </c>
      <c r="D20" s="856" t="s">
        <v>474</v>
      </c>
      <c r="E20" s="857" t="str">
        <f t="shared" si="23"/>
        <v>2nd Floor</v>
      </c>
      <c r="F20" s="1185"/>
      <c r="G20" s="764" t="s">
        <v>168</v>
      </c>
      <c r="H20" s="764" t="s">
        <v>529</v>
      </c>
      <c r="I20" s="764" t="s">
        <v>476</v>
      </c>
      <c r="J20" s="1139">
        <v>22</v>
      </c>
      <c r="K20" s="1142"/>
      <c r="L20" s="764" t="s">
        <v>500</v>
      </c>
      <c r="M20" s="764" t="s">
        <v>93</v>
      </c>
      <c r="N20" s="856">
        <f t="shared" si="24"/>
        <v>100909.09090909091</v>
      </c>
      <c r="O20" s="1138">
        <f t="shared" si="136"/>
        <v>2220000</v>
      </c>
      <c r="P20" s="1138">
        <f t="shared" si="142"/>
        <v>22400</v>
      </c>
      <c r="Q20" s="1138">
        <f t="shared" si="8"/>
        <v>50000</v>
      </c>
      <c r="R20" s="1138"/>
      <c r="S20" s="1138"/>
      <c r="T20" s="1138"/>
      <c r="U20" s="1138"/>
      <c r="V20" s="1138"/>
      <c r="W20" s="858"/>
      <c r="X20" s="1138"/>
      <c r="Y20" s="1138"/>
      <c r="Z20" s="1138">
        <f t="shared" si="137"/>
        <v>75000</v>
      </c>
      <c r="AA20" s="1138">
        <f t="shared" si="138"/>
        <v>147400</v>
      </c>
      <c r="AB20" s="1138">
        <f t="shared" si="28"/>
        <v>2367400</v>
      </c>
      <c r="AC20" s="1138">
        <f t="shared" si="29"/>
        <v>59185</v>
      </c>
      <c r="AD20" s="1138">
        <f t="shared" si="30"/>
        <v>2426585</v>
      </c>
      <c r="AE20" s="1138">
        <f t="shared" si="31"/>
        <v>60664.625</v>
      </c>
      <c r="AF20" s="1138">
        <f t="shared" si="32"/>
        <v>2487249.625</v>
      </c>
      <c r="AG20" s="1138">
        <f t="shared" si="33"/>
        <v>62181.240625000006</v>
      </c>
      <c r="AH20" s="1138">
        <f t="shared" si="34"/>
        <v>2549430.8656250001</v>
      </c>
      <c r="AI20" s="1138">
        <f t="shared" si="144"/>
        <v>127471.54328125001</v>
      </c>
      <c r="AJ20" s="1138">
        <f t="shared" si="35"/>
        <v>2676902.4089062503</v>
      </c>
      <c r="AK20" s="1138">
        <f t="shared" si="36"/>
        <v>26769.024089062503</v>
      </c>
      <c r="AL20" s="1138">
        <f t="shared" si="37"/>
        <v>27537.409960060559</v>
      </c>
      <c r="AM20" s="1138"/>
      <c r="AN20" s="1138"/>
      <c r="AO20" s="1138">
        <f t="shared" si="38"/>
        <v>2731208.8429553732</v>
      </c>
      <c r="AP20" s="1138">
        <f t="shared" si="39"/>
        <v>368713.19379897544</v>
      </c>
      <c r="AQ20" s="1248">
        <f t="shared" si="40"/>
        <v>3099922.0367543488</v>
      </c>
      <c r="AR20" s="1248">
        <f t="shared" si="135"/>
        <v>3099922.0367543488</v>
      </c>
      <c r="AS20" s="1248"/>
      <c r="AT20" s="1248"/>
      <c r="AU20" s="1248">
        <f t="shared" si="42"/>
        <v>0</v>
      </c>
      <c r="AV20" s="1140">
        <f t="shared" si="43"/>
        <v>0</v>
      </c>
      <c r="AW20" s="1140">
        <f t="shared" si="44"/>
        <v>3099922.0367543488</v>
      </c>
      <c r="AX20" s="1139">
        <f t="shared" si="45"/>
        <v>38749.025459429358</v>
      </c>
      <c r="AY20" s="831" t="s">
        <v>478</v>
      </c>
      <c r="AZ20" s="831">
        <f t="shared" si="46"/>
        <v>3138671.062213778</v>
      </c>
      <c r="BA20" s="831">
        <f t="shared" si="47"/>
        <v>117700.16483301668</v>
      </c>
      <c r="BB20" s="831"/>
      <c r="BC20" s="831">
        <f t="shared" si="11"/>
        <v>33600</v>
      </c>
      <c r="BD20" s="831"/>
      <c r="BE20" s="831">
        <f t="shared" si="48"/>
        <v>3289971.2270467947</v>
      </c>
      <c r="BF20" s="831"/>
      <c r="BG20" s="831">
        <f t="shared" si="49"/>
        <v>3289971.2270467947</v>
      </c>
      <c r="BH20" s="831"/>
      <c r="BI20" s="831">
        <f t="shared" si="50"/>
        <v>3289971.2270467947</v>
      </c>
      <c r="BJ20" s="831"/>
      <c r="BK20" s="831">
        <f t="shared" si="51"/>
        <v>3289971.2270467947</v>
      </c>
      <c r="BL20" s="831"/>
      <c r="BM20" s="831">
        <f t="shared" si="52"/>
        <v>3289971.2270467947</v>
      </c>
      <c r="BN20" s="831"/>
      <c r="BO20" s="831">
        <f t="shared" si="53"/>
        <v>3289971.2270467947</v>
      </c>
      <c r="BP20" s="831"/>
      <c r="BQ20" s="831">
        <f t="shared" si="54"/>
        <v>3289971.2270467947</v>
      </c>
      <c r="BR20" s="831"/>
      <c r="BS20" s="831">
        <f t="shared" si="55"/>
        <v>3289971.2270467947</v>
      </c>
      <c r="BT20" s="831"/>
      <c r="BU20" s="831">
        <f t="shared" si="56"/>
        <v>3289971.2270467947</v>
      </c>
      <c r="BV20" s="831"/>
      <c r="BW20" s="831">
        <f t="shared" si="57"/>
        <v>56400</v>
      </c>
      <c r="BX20" s="831">
        <f t="shared" si="58"/>
        <v>3346371.2270467947</v>
      </c>
      <c r="BY20" s="831"/>
      <c r="BZ20" s="831">
        <f t="shared" si="59"/>
        <v>3346371.2270467947</v>
      </c>
      <c r="CA20" s="1260">
        <f t="shared" si="60"/>
        <v>3346371.2270467947</v>
      </c>
      <c r="CB20" s="1260">
        <f t="shared" si="61"/>
        <v>3346371.2270467947</v>
      </c>
      <c r="CC20" s="1260"/>
      <c r="CD20" s="1260">
        <f t="shared" si="62"/>
        <v>0</v>
      </c>
      <c r="CE20" s="1260">
        <f t="shared" si="63"/>
        <v>0</v>
      </c>
      <c r="CF20" s="1260">
        <f t="shared" si="64"/>
        <v>0</v>
      </c>
      <c r="CG20" s="1266">
        <f t="shared" si="65"/>
        <v>3346371.2270467947</v>
      </c>
      <c r="CH20" s="1141">
        <f t="shared" si="66"/>
        <v>3346371.2270467947</v>
      </c>
      <c r="CI20" s="1142">
        <f t="shared" si="67"/>
        <v>0</v>
      </c>
      <c r="CJ20" s="1141">
        <f t="shared" si="68"/>
        <v>343003.05077229644</v>
      </c>
      <c r="CK20" s="1141">
        <f t="shared" si="69"/>
        <v>117122.99294663782</v>
      </c>
      <c r="CL20" s="1143">
        <f t="shared" si="139"/>
        <v>3806497.2707657288</v>
      </c>
      <c r="CM20" s="1144">
        <f t="shared" si="71"/>
        <v>0.125</v>
      </c>
      <c r="CN20" s="1141">
        <f t="shared" si="72"/>
        <v>475812.1588457161</v>
      </c>
      <c r="CO20" s="1141">
        <f>$CO$5</f>
        <v>30000</v>
      </c>
      <c r="CP20" s="1141">
        <f t="shared" si="74"/>
        <v>445812.1588457161</v>
      </c>
      <c r="CQ20" s="1145">
        <f t="shared" si="75"/>
        <v>18</v>
      </c>
      <c r="CR20" s="1141">
        <f t="shared" si="76"/>
        <v>24767.34215809534</v>
      </c>
      <c r="CS20" s="1144">
        <f t="shared" si="77"/>
        <v>0.875</v>
      </c>
      <c r="CT20" s="1141">
        <f t="shared" si="78"/>
        <v>3330685.1119200126</v>
      </c>
      <c r="CU20" s="1146">
        <f t="shared" si="12"/>
        <v>25822.76622153218</v>
      </c>
      <c r="CV20" s="1146">
        <f t="shared" si="13"/>
        <v>29937.139399009873</v>
      </c>
      <c r="CW20" s="1146">
        <f t="shared" si="14"/>
        <v>38672.078310114535</v>
      </c>
      <c r="CX20" s="1146">
        <f t="shared" si="15"/>
        <v>65951.557176514485</v>
      </c>
      <c r="CY20" s="1146">
        <f t="shared" si="79"/>
        <v>270562.13827147207</v>
      </c>
      <c r="CZ20" s="1146">
        <f t="shared" si="80"/>
        <v>107060.12013017652</v>
      </c>
      <c r="DA20" s="1146">
        <f t="shared" si="81"/>
        <v>77328.008456711017</v>
      </c>
      <c r="DB20" s="1146">
        <f t="shared" si="82"/>
        <v>58850.174433200184</v>
      </c>
      <c r="DC20" s="1146"/>
      <c r="DD20" s="1146"/>
      <c r="DE20" s="1146"/>
      <c r="DF20" s="1146"/>
      <c r="DG20" s="1146"/>
      <c r="DH20" s="1146"/>
      <c r="DI20" s="1146"/>
      <c r="DJ20" s="1146"/>
      <c r="DK20" s="1146"/>
      <c r="DL20" s="1146"/>
      <c r="DM20" s="1146"/>
      <c r="DN20" s="1146"/>
      <c r="DO20" s="1146"/>
      <c r="DP20" s="1146"/>
      <c r="DQ20" s="1146"/>
      <c r="DR20" s="1146"/>
      <c r="DS20" s="1146"/>
      <c r="DT20" s="1146"/>
      <c r="DU20" s="1146"/>
      <c r="DV20" s="1146"/>
      <c r="DW20" s="1146"/>
      <c r="DX20" s="1146"/>
      <c r="DY20" s="1146"/>
      <c r="DZ20" s="1146"/>
      <c r="EA20" s="1147">
        <f t="shared" si="83"/>
        <v>0</v>
      </c>
      <c r="EB20" s="1148">
        <f t="shared" si="84"/>
        <v>0</v>
      </c>
      <c r="EC20" s="1190">
        <f t="shared" si="132"/>
        <v>45839</v>
      </c>
      <c r="ED20" s="1031">
        <f t="shared" si="16"/>
        <v>20</v>
      </c>
      <c r="EE20" s="1191"/>
      <c r="EF20" s="1032">
        <f t="shared" si="17"/>
        <v>45904</v>
      </c>
      <c r="EG20" s="1029">
        <f t="shared" si="85"/>
        <v>22</v>
      </c>
      <c r="EH20" s="852" t="s">
        <v>490</v>
      </c>
      <c r="EI20" s="852" t="s">
        <v>480</v>
      </c>
      <c r="EJ20" s="853">
        <f t="shared" si="18"/>
        <v>0</v>
      </c>
      <c r="EK20" s="853">
        <f t="shared" si="19"/>
        <v>0</v>
      </c>
      <c r="EL20" s="854">
        <f t="shared" si="20"/>
        <v>0</v>
      </c>
      <c r="EM20" s="1192"/>
      <c r="EN20" s="853"/>
      <c r="EO20" s="853"/>
      <c r="EP20" s="853">
        <f t="shared" si="21"/>
        <v>0</v>
      </c>
      <c r="EQ20" s="1192"/>
      <c r="ER20" s="1193"/>
      <c r="ES20" s="1192"/>
      <c r="ET20" s="1194" t="s">
        <v>168</v>
      </c>
      <c r="EU20" s="1192" t="b">
        <f t="shared" si="22"/>
        <v>1</v>
      </c>
      <c r="EV20" s="1195" t="s">
        <v>530</v>
      </c>
      <c r="EW20" s="1196" t="s">
        <v>531</v>
      </c>
      <c r="EX20" s="1197"/>
      <c r="EY20" s="1128" t="s">
        <v>483</v>
      </c>
      <c r="EZ20" s="1128" t="s">
        <v>484</v>
      </c>
      <c r="FA20" s="1169">
        <f t="shared" si="86"/>
        <v>0</v>
      </c>
      <c r="FB20" s="1198" t="s">
        <v>154</v>
      </c>
      <c r="FC20" s="1189" t="s">
        <v>532</v>
      </c>
      <c r="FD20" s="1189"/>
      <c r="FE20" s="884"/>
      <c r="FF20" s="884"/>
      <c r="FG20" s="884"/>
      <c r="FH20" s="884"/>
      <c r="FI20" s="1309" t="s">
        <v>149</v>
      </c>
      <c r="FJ20" s="1159" t="s">
        <v>149</v>
      </c>
      <c r="FK20" s="1160" t="b">
        <f t="shared" si="87"/>
        <v>1</v>
      </c>
      <c r="FL20" s="1131"/>
      <c r="FM20" s="1161"/>
      <c r="FN20" s="884"/>
      <c r="FO20" s="888"/>
      <c r="FP20" s="1181">
        <f t="shared" si="145"/>
        <v>28</v>
      </c>
      <c r="FQ20" s="1176">
        <f t="shared" ref="FQ20" si="150">EDATE(FR20,FP20)</f>
        <v>46235</v>
      </c>
      <c r="FR20" s="1177">
        <v>45383</v>
      </c>
      <c r="FS20" s="884"/>
      <c r="FT20" s="884"/>
      <c r="FU20" s="1295"/>
      <c r="FV20" s="1295"/>
      <c r="FW20" s="1023">
        <v>0.125</v>
      </c>
      <c r="FX20" s="1162">
        <v>11584.736844257748</v>
      </c>
      <c r="FY20" s="1163">
        <v>11946.759870640803</v>
      </c>
      <c r="FZ20" s="1086"/>
      <c r="GA20" s="1164">
        <f t="shared" si="89"/>
        <v>3806497.2707657288</v>
      </c>
      <c r="GB20" s="1165">
        <f t="shared" si="90"/>
        <v>0.15</v>
      </c>
      <c r="GC20" s="1154">
        <f t="shared" si="91"/>
        <v>570974.59061485925</v>
      </c>
      <c r="GD20" s="1164">
        <f t="shared" si="92"/>
        <v>30000</v>
      </c>
      <c r="GE20" s="1154">
        <f t="shared" si="93"/>
        <v>540974.59061485925</v>
      </c>
      <c r="GF20" s="1060">
        <f t="shared" si="94"/>
        <v>35</v>
      </c>
      <c r="GG20" s="1166">
        <f t="shared" si="95"/>
        <v>15456.416874710265</v>
      </c>
      <c r="GH20" s="1086"/>
      <c r="GI20" s="1164">
        <f t="shared" si="96"/>
        <v>3806497.2707657288</v>
      </c>
      <c r="GJ20" s="1154">
        <f t="shared" si="97"/>
        <v>380649.72707657289</v>
      </c>
      <c r="GK20" s="1154">
        <f t="shared" si="98"/>
        <v>95162.431769143222</v>
      </c>
      <c r="GL20" s="1166">
        <v>15000</v>
      </c>
      <c r="GM20" s="1154">
        <f t="shared" si="99"/>
        <v>365649.72707657289</v>
      </c>
      <c r="GN20" s="1060">
        <f t="shared" si="100"/>
        <v>35</v>
      </c>
      <c r="GO20" s="1154">
        <f t="shared" si="101"/>
        <v>10447.135059330654</v>
      </c>
      <c r="GP20" s="1086"/>
      <c r="GR20" s="1086"/>
      <c r="GS20" s="1010">
        <f t="shared" si="102"/>
        <v>3806497.2707657288</v>
      </c>
      <c r="GT20" s="1011">
        <f t="shared" si="103"/>
        <v>0.125</v>
      </c>
      <c r="GU20" s="1010">
        <f t="shared" si="104"/>
        <v>475812.1588457161</v>
      </c>
      <c r="GV20" s="1010">
        <f t="shared" si="105"/>
        <v>30000</v>
      </c>
      <c r="GW20" s="1010">
        <f t="shared" si="106"/>
        <v>445812.1588457161</v>
      </c>
      <c r="GX20" s="1010">
        <f t="shared" si="107"/>
        <v>18</v>
      </c>
      <c r="GY20" s="1010">
        <f t="shared" si="108"/>
        <v>24767.34215809534</v>
      </c>
      <c r="GZ20" s="1011">
        <f t="shared" si="109"/>
        <v>0.875</v>
      </c>
      <c r="HA20" s="1010">
        <f t="shared" si="110"/>
        <v>3330685.1119200126</v>
      </c>
      <c r="HB20" s="1010">
        <f t="shared" si="111"/>
        <v>25822.76622153218</v>
      </c>
      <c r="HC20" s="1010">
        <f t="shared" si="112"/>
        <v>29937.139399009873</v>
      </c>
      <c r="HD20" s="1010">
        <f t="shared" si="113"/>
        <v>38672.078310114535</v>
      </c>
      <c r="HE20" s="1010">
        <f t="shared" si="114"/>
        <v>65951.557176514485</v>
      </c>
      <c r="HF20" s="1086"/>
      <c r="HG20" s="1010">
        <f t="shared" si="115"/>
        <v>3806497.2707657288</v>
      </c>
      <c r="HH20" s="1011">
        <f t="shared" si="116"/>
        <v>0.125</v>
      </c>
      <c r="HI20" s="1010">
        <f t="shared" si="117"/>
        <v>475812.1588457161</v>
      </c>
      <c r="HJ20" s="1010">
        <f t="shared" si="118"/>
        <v>30000</v>
      </c>
      <c r="HK20" s="1010">
        <f t="shared" si="119"/>
        <v>445812.1588457161</v>
      </c>
      <c r="HL20" s="1012">
        <f t="shared" si="120"/>
        <v>33</v>
      </c>
      <c r="HM20" s="1167">
        <f t="shared" si="121"/>
        <v>13509.459358961094</v>
      </c>
      <c r="HN20" s="1168">
        <f t="shared" si="122"/>
        <v>0.875</v>
      </c>
      <c r="HO20" s="1167">
        <f t="shared" si="123"/>
        <v>3330685.1119200126</v>
      </c>
      <c r="HP20" s="1146">
        <f t="shared" si="124"/>
        <v>25822.76622153218</v>
      </c>
      <c r="HQ20" s="1146">
        <f t="shared" si="125"/>
        <v>29937.139399009873</v>
      </c>
      <c r="HR20" s="1146">
        <f t="shared" si="126"/>
        <v>38672.078310114535</v>
      </c>
      <c r="HS20" s="1146">
        <f t="shared" si="127"/>
        <v>65951.557176514485</v>
      </c>
      <c r="HT20" s="1086"/>
      <c r="HU20" s="1167">
        <f t="shared" si="128"/>
        <v>-11257.882799134246</v>
      </c>
      <c r="HV20" s="884"/>
      <c r="HW20" s="884"/>
      <c r="HX20" s="1154"/>
      <c r="HY20" s="1154"/>
      <c r="HZ20" s="884"/>
      <c r="IA20" s="884"/>
      <c r="IB20" s="1154"/>
      <c r="IC20" s="1154"/>
      <c r="ID20" s="1154"/>
      <c r="IE20" s="1154"/>
      <c r="IF20" s="884"/>
      <c r="IG20" s="1060"/>
      <c r="IH20" s="884"/>
      <c r="II20" s="884"/>
      <c r="IJ20" s="884"/>
      <c r="IK20" s="884"/>
      <c r="IL20" s="884"/>
      <c r="IM20" s="884"/>
      <c r="IN20" s="884"/>
      <c r="IO20" s="884"/>
      <c r="IP20" s="884"/>
      <c r="IQ20" s="884"/>
      <c r="IR20" s="884"/>
      <c r="IS20" s="884"/>
      <c r="IT20" s="884"/>
      <c r="IU20" s="884"/>
      <c r="IV20" s="884"/>
      <c r="IW20" s="884"/>
      <c r="IX20" s="884"/>
      <c r="IY20" s="884"/>
      <c r="IZ20" s="884"/>
      <c r="JA20" s="884"/>
      <c r="JB20" s="884"/>
      <c r="JC20" s="884"/>
      <c r="JD20" s="884"/>
    </row>
    <row r="21" spans="1:264" ht="14.25" hidden="1" customHeight="1">
      <c r="A21" s="1186">
        <f t="shared" si="141"/>
        <v>15</v>
      </c>
      <c r="B21" s="824" t="s">
        <v>149</v>
      </c>
      <c r="C21" s="855">
        <f t="shared" si="130"/>
        <v>15</v>
      </c>
      <c r="D21" s="856" t="s">
        <v>474</v>
      </c>
      <c r="E21" s="857" t="str">
        <f t="shared" si="23"/>
        <v>2nd Floor</v>
      </c>
      <c r="F21" s="1185"/>
      <c r="G21" s="764" t="s">
        <v>169</v>
      </c>
      <c r="H21" s="764" t="s">
        <v>533</v>
      </c>
      <c r="I21" s="764" t="s">
        <v>476</v>
      </c>
      <c r="J21" s="831">
        <v>22</v>
      </c>
      <c r="K21" s="1142"/>
      <c r="L21" s="764" t="s">
        <v>500</v>
      </c>
      <c r="M21" s="764" t="s">
        <v>117</v>
      </c>
      <c r="N21" s="856">
        <f t="shared" si="24"/>
        <v>100909.09090909091</v>
      </c>
      <c r="O21" s="1138">
        <f t="shared" si="136"/>
        <v>2220000</v>
      </c>
      <c r="P21" s="1138">
        <f t="shared" si="142"/>
        <v>22400</v>
      </c>
      <c r="Q21" s="1138">
        <f t="shared" si="8"/>
        <v>50000</v>
      </c>
      <c r="R21" s="1138"/>
      <c r="S21" s="1138"/>
      <c r="T21" s="1138"/>
      <c r="U21" s="1138"/>
      <c r="V21" s="858">
        <f>J21*$V$5</f>
        <v>55000</v>
      </c>
      <c r="W21" s="858"/>
      <c r="X21" s="1138"/>
      <c r="Y21" s="1138"/>
      <c r="Z21" s="1138">
        <f t="shared" si="137"/>
        <v>75000</v>
      </c>
      <c r="AA21" s="1138">
        <f t="shared" si="138"/>
        <v>202400</v>
      </c>
      <c r="AB21" s="1138">
        <f t="shared" si="28"/>
        <v>2422400</v>
      </c>
      <c r="AC21" s="1138">
        <f t="shared" si="29"/>
        <v>60560</v>
      </c>
      <c r="AD21" s="1138">
        <f t="shared" si="30"/>
        <v>2482960</v>
      </c>
      <c r="AE21" s="1138">
        <f t="shared" si="31"/>
        <v>62074</v>
      </c>
      <c r="AF21" s="1138">
        <f t="shared" si="32"/>
        <v>2545034</v>
      </c>
      <c r="AG21" s="1138">
        <f t="shared" si="33"/>
        <v>63625.850000000006</v>
      </c>
      <c r="AH21" s="1138">
        <f t="shared" si="34"/>
        <v>2608659.85</v>
      </c>
      <c r="AI21" s="1138">
        <f t="shared" si="144"/>
        <v>130432.99250000001</v>
      </c>
      <c r="AJ21" s="1138">
        <f t="shared" si="35"/>
        <v>2739092.8425000003</v>
      </c>
      <c r="AK21" s="1138">
        <f t="shared" si="36"/>
        <v>27390.928425000002</v>
      </c>
      <c r="AL21" s="1138">
        <f t="shared" si="37"/>
        <v>27537.409960060559</v>
      </c>
      <c r="AM21" s="1138"/>
      <c r="AN21" s="1138"/>
      <c r="AO21" s="1138">
        <f t="shared" si="38"/>
        <v>2794021.1808850607</v>
      </c>
      <c r="AP21" s="1138">
        <f t="shared" si="39"/>
        <v>377192.85941948323</v>
      </c>
      <c r="AQ21" s="1248">
        <f t="shared" si="40"/>
        <v>3171214.0403045439</v>
      </c>
      <c r="AR21" s="1248">
        <f>AQ21-AT21</f>
        <v>3171214.0403045439</v>
      </c>
      <c r="AS21" s="1248"/>
      <c r="AT21" s="1248">
        <f>AS21*J21</f>
        <v>0</v>
      </c>
      <c r="AU21" s="1248">
        <f t="shared" si="42"/>
        <v>0</v>
      </c>
      <c r="AV21" s="1140">
        <f t="shared" si="43"/>
        <v>0</v>
      </c>
      <c r="AW21" s="1140">
        <f t="shared" si="44"/>
        <v>3171214.0403045439</v>
      </c>
      <c r="AX21" s="1139">
        <f t="shared" si="45"/>
        <v>39640.1755038068</v>
      </c>
      <c r="AY21" s="831" t="s">
        <v>478</v>
      </c>
      <c r="AZ21" s="831">
        <f t="shared" si="46"/>
        <v>3210854.2158083506</v>
      </c>
      <c r="BA21" s="831">
        <f t="shared" si="47"/>
        <v>120407.03309281314</v>
      </c>
      <c r="BB21" s="831"/>
      <c r="BC21" s="831">
        <f t="shared" si="11"/>
        <v>33600</v>
      </c>
      <c r="BD21" s="831"/>
      <c r="BE21" s="831">
        <f t="shared" si="48"/>
        <v>3364861.2489011637</v>
      </c>
      <c r="BF21" s="831"/>
      <c r="BG21" s="831">
        <f t="shared" si="49"/>
        <v>3364861.2489011637</v>
      </c>
      <c r="BH21" s="831"/>
      <c r="BI21" s="831">
        <f t="shared" si="50"/>
        <v>3364861.2489011637</v>
      </c>
      <c r="BJ21" s="831"/>
      <c r="BK21" s="831">
        <f t="shared" si="51"/>
        <v>3364861.2489011637</v>
      </c>
      <c r="BL21" s="831"/>
      <c r="BM21" s="831">
        <f t="shared" si="52"/>
        <v>3364861.2489011637</v>
      </c>
      <c r="BN21" s="831"/>
      <c r="BO21" s="831">
        <f t="shared" si="53"/>
        <v>3364861.2489011637</v>
      </c>
      <c r="BP21" s="831"/>
      <c r="BQ21" s="831">
        <f t="shared" si="54"/>
        <v>3364861.2489011637</v>
      </c>
      <c r="BR21" s="831"/>
      <c r="BS21" s="831">
        <f t="shared" si="55"/>
        <v>3364861.2489011637</v>
      </c>
      <c r="BT21" s="831"/>
      <c r="BU21" s="831">
        <f t="shared" si="56"/>
        <v>3364861.2489011637</v>
      </c>
      <c r="BV21" s="831"/>
      <c r="BW21" s="831">
        <f t="shared" si="57"/>
        <v>56400</v>
      </c>
      <c r="BX21" s="831">
        <f t="shared" si="58"/>
        <v>3421261.2489011637</v>
      </c>
      <c r="BY21" s="831"/>
      <c r="BZ21" s="831">
        <f t="shared" si="59"/>
        <v>3421261.2489011637</v>
      </c>
      <c r="CA21" s="1260">
        <f t="shared" si="60"/>
        <v>3421261.2489011637</v>
      </c>
      <c r="CB21" s="1260">
        <f t="shared" si="61"/>
        <v>3421261.2489011637</v>
      </c>
      <c r="CC21" s="1260"/>
      <c r="CD21" s="1260">
        <f t="shared" si="62"/>
        <v>0</v>
      </c>
      <c r="CE21" s="1260">
        <f t="shared" si="63"/>
        <v>0</v>
      </c>
      <c r="CF21" s="1260">
        <f t="shared" si="64"/>
        <v>0</v>
      </c>
      <c r="CG21" s="1266">
        <f t="shared" si="65"/>
        <v>3421261.2489011637</v>
      </c>
      <c r="CH21" s="1141">
        <f t="shared" si="66"/>
        <v>3421261.2489011637</v>
      </c>
      <c r="CI21" s="1142">
        <f t="shared" si="67"/>
        <v>0</v>
      </c>
      <c r="CJ21" s="1141">
        <f t="shared" si="68"/>
        <v>350679.27801236924</v>
      </c>
      <c r="CK21" s="1141">
        <f t="shared" si="69"/>
        <v>119744.14371154075</v>
      </c>
      <c r="CL21" s="1143">
        <f t="shared" si="139"/>
        <v>3891684.6706250738</v>
      </c>
      <c r="CM21" s="1144">
        <f t="shared" si="71"/>
        <v>0.125</v>
      </c>
      <c r="CN21" s="1141">
        <f t="shared" si="72"/>
        <v>486460.58382813423</v>
      </c>
      <c r="CO21" s="1141">
        <f t="shared" si="73"/>
        <v>30000</v>
      </c>
      <c r="CP21" s="1141">
        <f t="shared" si="74"/>
        <v>456460.58382813423</v>
      </c>
      <c r="CQ21" s="1145">
        <f t="shared" si="75"/>
        <v>18</v>
      </c>
      <c r="CR21" s="1141">
        <f t="shared" si="76"/>
        <v>25358.921323785235</v>
      </c>
      <c r="CS21" s="1144">
        <f t="shared" si="77"/>
        <v>0.875</v>
      </c>
      <c r="CT21" s="1141">
        <f t="shared" si="78"/>
        <v>3405224.0867969394</v>
      </c>
      <c r="CU21" s="1146">
        <f t="shared" si="12"/>
        <v>26400.666100374212</v>
      </c>
      <c r="CV21" s="1146">
        <f t="shared" si="13"/>
        <v>30607.116778007276</v>
      </c>
      <c r="CW21" s="1146">
        <f t="shared" si="14"/>
        <v>39537.539011662055</v>
      </c>
      <c r="CX21" s="1146">
        <f t="shared" si="15"/>
        <v>67427.518217046629</v>
      </c>
      <c r="CY21" s="1146">
        <f t="shared" si="79"/>
        <v>276617.17612392135</v>
      </c>
      <c r="CZ21" s="1146">
        <f t="shared" si="80"/>
        <v>109456.06911260787</v>
      </c>
      <c r="DA21" s="1146">
        <f t="shared" si="81"/>
        <v>79058.568472429484</v>
      </c>
      <c r="DB21" s="1146">
        <f t="shared" si="82"/>
        <v>60167.210276030237</v>
      </c>
      <c r="DC21" s="1146"/>
      <c r="DD21" s="1146"/>
      <c r="DE21" s="1146"/>
      <c r="DF21" s="1146"/>
      <c r="DG21" s="1146"/>
      <c r="DH21" s="1146"/>
      <c r="DI21" s="1146"/>
      <c r="DJ21" s="1146"/>
      <c r="DK21" s="1146"/>
      <c r="DL21" s="1146"/>
      <c r="DM21" s="1146"/>
      <c r="DN21" s="1146"/>
      <c r="DO21" s="1146"/>
      <c r="DP21" s="1146"/>
      <c r="DQ21" s="1146"/>
      <c r="DR21" s="1146"/>
      <c r="DS21" s="1146"/>
      <c r="DT21" s="1146"/>
      <c r="DU21" s="1146"/>
      <c r="DV21" s="1146"/>
      <c r="DW21" s="1146"/>
      <c r="DX21" s="1146"/>
      <c r="DY21" s="1146"/>
      <c r="DZ21" s="1146"/>
      <c r="EA21" s="1147">
        <f t="shared" si="83"/>
        <v>0</v>
      </c>
      <c r="EB21" s="1148">
        <f t="shared" si="84"/>
        <v>0</v>
      </c>
      <c r="EC21" s="1190">
        <f t="shared" si="132"/>
        <v>45839</v>
      </c>
      <c r="ED21" s="1031">
        <f t="shared" si="16"/>
        <v>20</v>
      </c>
      <c r="EE21" s="1191"/>
      <c r="EF21" s="1032">
        <f t="shared" si="17"/>
        <v>45904</v>
      </c>
      <c r="EG21" s="1029">
        <f t="shared" si="85"/>
        <v>22</v>
      </c>
      <c r="EH21" s="859" t="s">
        <v>490</v>
      </c>
      <c r="EI21" s="859" t="s">
        <v>480</v>
      </c>
      <c r="EJ21" s="860">
        <f t="shared" si="18"/>
        <v>0</v>
      </c>
      <c r="EK21" s="860">
        <f t="shared" si="19"/>
        <v>0</v>
      </c>
      <c r="EL21" s="861">
        <f t="shared" si="20"/>
        <v>0</v>
      </c>
      <c r="EM21" s="1197"/>
      <c r="EN21" s="860"/>
      <c r="EO21" s="860"/>
      <c r="EP21" s="860">
        <f t="shared" si="21"/>
        <v>0</v>
      </c>
      <c r="EQ21" s="1197"/>
      <c r="ER21" s="1200"/>
      <c r="ES21" s="1197"/>
      <c r="ET21" s="1194" t="s">
        <v>169</v>
      </c>
      <c r="EU21" s="1197" t="b">
        <f t="shared" si="22"/>
        <v>1</v>
      </c>
      <c r="EV21" s="1201" t="s">
        <v>534</v>
      </c>
      <c r="EW21" s="1202" t="s">
        <v>482</v>
      </c>
      <c r="EX21" s="1197"/>
      <c r="EY21" s="1128" t="s">
        <v>483</v>
      </c>
      <c r="EZ21" s="1128" t="s">
        <v>484</v>
      </c>
      <c r="FA21" s="1169">
        <f t="shared" si="86"/>
        <v>0</v>
      </c>
      <c r="FI21" s="1309" t="s">
        <v>149</v>
      </c>
      <c r="FJ21" s="1159" t="s">
        <v>149</v>
      </c>
      <c r="FK21" s="1160" t="b">
        <f t="shared" si="87"/>
        <v>1</v>
      </c>
      <c r="FL21" s="1131"/>
      <c r="FM21" s="1161"/>
      <c r="FO21" s="1060"/>
      <c r="FP21" s="1181">
        <f t="shared" si="145"/>
        <v>27</v>
      </c>
      <c r="FQ21" s="1176">
        <f t="shared" ref="FQ21" si="151">EDATE(FR21,FP21)</f>
        <v>46235</v>
      </c>
      <c r="FR21" s="1177">
        <v>45413</v>
      </c>
      <c r="FU21" s="1295"/>
      <c r="FV21" s="1295"/>
      <c r="FW21" s="1023">
        <v>0.15</v>
      </c>
      <c r="FX21" s="1162">
        <v>14637.845763601757</v>
      </c>
      <c r="FY21" s="1163">
        <v>15095.278443714313</v>
      </c>
      <c r="GA21" s="1164">
        <f t="shared" si="89"/>
        <v>3891684.6706250738</v>
      </c>
      <c r="GB21" s="1165">
        <f t="shared" si="90"/>
        <v>0.15</v>
      </c>
      <c r="GC21" s="1154">
        <f t="shared" si="91"/>
        <v>583752.70059376105</v>
      </c>
      <c r="GD21" s="1164">
        <f t="shared" si="92"/>
        <v>30000</v>
      </c>
      <c r="GE21" s="1154">
        <f t="shared" si="93"/>
        <v>553752.70059376105</v>
      </c>
      <c r="GF21" s="1060">
        <f t="shared" si="94"/>
        <v>35</v>
      </c>
      <c r="GG21" s="1166">
        <f t="shared" si="95"/>
        <v>15821.505731250316</v>
      </c>
      <c r="GI21" s="1164">
        <f t="shared" si="96"/>
        <v>3891684.6706250738</v>
      </c>
      <c r="GJ21" s="1154">
        <f t="shared" si="97"/>
        <v>389168.46706250741</v>
      </c>
      <c r="GK21" s="1154">
        <f t="shared" si="98"/>
        <v>97292.116765626852</v>
      </c>
      <c r="GL21" s="1166">
        <v>15000</v>
      </c>
      <c r="GM21" s="1154">
        <f t="shared" si="99"/>
        <v>374168.46706250741</v>
      </c>
      <c r="GN21" s="1060">
        <f t="shared" si="100"/>
        <v>35</v>
      </c>
      <c r="GO21" s="1154">
        <f t="shared" si="101"/>
        <v>10690.527630357354</v>
      </c>
      <c r="GS21" s="1010">
        <f t="shared" si="102"/>
        <v>3891684.6706250738</v>
      </c>
      <c r="GT21" s="1011">
        <f t="shared" si="103"/>
        <v>0.125</v>
      </c>
      <c r="GU21" s="1010">
        <f t="shared" si="104"/>
        <v>486460.58382813423</v>
      </c>
      <c r="GV21" s="1010">
        <f t="shared" si="105"/>
        <v>30000</v>
      </c>
      <c r="GW21" s="1010">
        <f t="shared" si="106"/>
        <v>456460.58382813423</v>
      </c>
      <c r="GX21" s="1010">
        <f t="shared" si="107"/>
        <v>18</v>
      </c>
      <c r="GY21" s="1010">
        <f t="shared" si="108"/>
        <v>25358.921323785235</v>
      </c>
      <c r="GZ21" s="1011">
        <f t="shared" si="109"/>
        <v>0.875</v>
      </c>
      <c r="HA21" s="1010">
        <f t="shared" si="110"/>
        <v>3405224.0867969394</v>
      </c>
      <c r="HB21" s="1010">
        <f t="shared" si="111"/>
        <v>26400.666100374212</v>
      </c>
      <c r="HC21" s="1010">
        <f t="shared" si="112"/>
        <v>30607.116778007276</v>
      </c>
      <c r="HD21" s="1010">
        <f t="shared" si="113"/>
        <v>39537.539011662055</v>
      </c>
      <c r="HE21" s="1010">
        <f t="shared" si="114"/>
        <v>67427.518217046629</v>
      </c>
      <c r="HG21" s="1010">
        <f t="shared" si="115"/>
        <v>3891684.6706250738</v>
      </c>
      <c r="HH21" s="1011">
        <f t="shared" si="116"/>
        <v>0.125</v>
      </c>
      <c r="HI21" s="1010">
        <f t="shared" si="117"/>
        <v>486460.58382813423</v>
      </c>
      <c r="HJ21" s="1010">
        <f t="shared" si="118"/>
        <v>30000</v>
      </c>
      <c r="HK21" s="1010">
        <f t="shared" si="119"/>
        <v>456460.58382813423</v>
      </c>
      <c r="HL21" s="1012">
        <f t="shared" si="120"/>
        <v>33</v>
      </c>
      <c r="HM21" s="1167">
        <f t="shared" si="121"/>
        <v>13832.138903882855</v>
      </c>
      <c r="HN21" s="1168">
        <f t="shared" si="122"/>
        <v>0.875</v>
      </c>
      <c r="HO21" s="1167">
        <f t="shared" si="123"/>
        <v>3405224.0867969394</v>
      </c>
      <c r="HP21" s="1146">
        <f t="shared" si="124"/>
        <v>26400.666100374212</v>
      </c>
      <c r="HQ21" s="1146">
        <f t="shared" si="125"/>
        <v>30607.116778007276</v>
      </c>
      <c r="HR21" s="1146">
        <f t="shared" si="126"/>
        <v>39537.539011662055</v>
      </c>
      <c r="HS21" s="1146">
        <f t="shared" si="127"/>
        <v>67427.518217046629</v>
      </c>
      <c r="HU21" s="1167">
        <f t="shared" si="128"/>
        <v>-11526.78241990238</v>
      </c>
      <c r="HX21" s="1154"/>
      <c r="HY21" s="1154"/>
      <c r="IB21" s="1154"/>
      <c r="IC21" s="1154"/>
      <c r="ID21" s="1154"/>
      <c r="IE21" s="1154"/>
      <c r="IG21" s="1060"/>
    </row>
    <row r="22" spans="1:264" ht="14.25" hidden="1" customHeight="1">
      <c r="A22" s="1186">
        <f t="shared" si="141"/>
        <v>16</v>
      </c>
      <c r="B22" s="824" t="s">
        <v>149</v>
      </c>
      <c r="C22" s="855">
        <v>1</v>
      </c>
      <c r="D22" s="856" t="s">
        <v>495</v>
      </c>
      <c r="E22" s="857" t="str">
        <f t="shared" si="23"/>
        <v>3rd Floor</v>
      </c>
      <c r="F22" s="1185"/>
      <c r="G22" s="764" t="s">
        <v>175</v>
      </c>
      <c r="H22" s="764" t="s">
        <v>475</v>
      </c>
      <c r="I22" s="764" t="s">
        <v>476</v>
      </c>
      <c r="J22" s="1139">
        <v>22</v>
      </c>
      <c r="K22" s="1142"/>
      <c r="L22" s="764" t="s">
        <v>344</v>
      </c>
      <c r="M22" s="764" t="s">
        <v>477</v>
      </c>
      <c r="N22" s="856">
        <f t="shared" si="24"/>
        <v>100909.09090909091</v>
      </c>
      <c r="O22" s="1138">
        <f t="shared" si="136"/>
        <v>2220000</v>
      </c>
      <c r="P22" s="1138">
        <f t="shared" si="142"/>
        <v>22400</v>
      </c>
      <c r="Q22" s="1138">
        <f t="shared" si="8"/>
        <v>50000</v>
      </c>
      <c r="R22" s="1138"/>
      <c r="S22" s="1138"/>
      <c r="T22" s="1138"/>
      <c r="U22" s="1138"/>
      <c r="V22" s="1138"/>
      <c r="W22" s="858">
        <f>J22*$W$5</f>
        <v>22000</v>
      </c>
      <c r="X22" s="1138"/>
      <c r="Y22" s="1138"/>
      <c r="Z22" s="1138">
        <f t="shared" si="137"/>
        <v>75000</v>
      </c>
      <c r="AA22" s="1138">
        <f t="shared" si="138"/>
        <v>169400</v>
      </c>
      <c r="AB22" s="1138">
        <f t="shared" si="28"/>
        <v>2389400</v>
      </c>
      <c r="AC22" s="1138">
        <f t="shared" si="29"/>
        <v>59735</v>
      </c>
      <c r="AD22" s="1138">
        <f t="shared" si="30"/>
        <v>2449135</v>
      </c>
      <c r="AE22" s="1138">
        <f t="shared" si="31"/>
        <v>61228.375</v>
      </c>
      <c r="AF22" s="1138">
        <f t="shared" si="32"/>
        <v>2510363.375</v>
      </c>
      <c r="AG22" s="1138">
        <f t="shared" si="33"/>
        <v>62759.084375000006</v>
      </c>
      <c r="AH22" s="1138">
        <f t="shared" si="34"/>
        <v>2573122.4593750001</v>
      </c>
      <c r="AI22" s="1138">
        <f t="shared" si="144"/>
        <v>128656.12296875002</v>
      </c>
      <c r="AJ22" s="1138">
        <f t="shared" si="35"/>
        <v>2701778.5823437502</v>
      </c>
      <c r="AK22" s="1138">
        <f t="shared" si="36"/>
        <v>27017.785823437502</v>
      </c>
      <c r="AL22" s="1138">
        <f t="shared" si="37"/>
        <v>27537.409960060559</v>
      </c>
      <c r="AM22" s="1138"/>
      <c r="AN22" s="1138"/>
      <c r="AO22" s="1138">
        <f t="shared" si="38"/>
        <v>2756333.7781272479</v>
      </c>
      <c r="AP22" s="1138">
        <f t="shared" si="39"/>
        <v>372105.06004717847</v>
      </c>
      <c r="AQ22" s="1248">
        <f t="shared" si="40"/>
        <v>3128438.8381744265</v>
      </c>
      <c r="AR22" s="1248">
        <f t="shared" ref="AR22:AR27" si="152">AQ22</f>
        <v>3128438.8381744265</v>
      </c>
      <c r="AS22" s="1248"/>
      <c r="AT22" s="1248"/>
      <c r="AU22" s="1248">
        <f t="shared" si="42"/>
        <v>0</v>
      </c>
      <c r="AV22" s="1140">
        <f t="shared" si="43"/>
        <v>0</v>
      </c>
      <c r="AW22" s="1140">
        <f t="shared" si="44"/>
        <v>3128438.8381744265</v>
      </c>
      <c r="AX22" s="1139">
        <f t="shared" si="45"/>
        <v>39105.485477180329</v>
      </c>
      <c r="AY22" s="831" t="s">
        <v>478</v>
      </c>
      <c r="AZ22" s="831">
        <f t="shared" si="46"/>
        <v>3167544.3236516067</v>
      </c>
      <c r="BA22" s="831">
        <f t="shared" si="47"/>
        <v>118782.91213693525</v>
      </c>
      <c r="BB22" s="831"/>
      <c r="BC22" s="831">
        <f t="shared" si="11"/>
        <v>33600</v>
      </c>
      <c r="BD22" s="831"/>
      <c r="BE22" s="831">
        <f t="shared" si="48"/>
        <v>3319927.2357885418</v>
      </c>
      <c r="BF22" s="831"/>
      <c r="BG22" s="831">
        <f t="shared" si="49"/>
        <v>3319927.2357885418</v>
      </c>
      <c r="BH22" s="831"/>
      <c r="BI22" s="831">
        <f t="shared" si="50"/>
        <v>3319927.2357885418</v>
      </c>
      <c r="BJ22" s="831"/>
      <c r="BK22" s="831">
        <f t="shared" si="51"/>
        <v>3319927.2357885418</v>
      </c>
      <c r="BL22" s="831"/>
      <c r="BM22" s="831">
        <f t="shared" si="52"/>
        <v>3319927.2357885418</v>
      </c>
      <c r="BN22" s="831"/>
      <c r="BO22" s="831">
        <f t="shared" si="53"/>
        <v>3319927.2357885418</v>
      </c>
      <c r="BP22" s="831"/>
      <c r="BQ22" s="831">
        <f t="shared" si="54"/>
        <v>3319927.2357885418</v>
      </c>
      <c r="BR22" s="831"/>
      <c r="BS22" s="831">
        <f t="shared" si="55"/>
        <v>3319927.2357885418</v>
      </c>
      <c r="BT22" s="831"/>
      <c r="BU22" s="831">
        <f t="shared" si="56"/>
        <v>3319927.2357885418</v>
      </c>
      <c r="BV22" s="831"/>
      <c r="BW22" s="831">
        <f t="shared" si="57"/>
        <v>56400</v>
      </c>
      <c r="BX22" s="831">
        <f t="shared" si="58"/>
        <v>3376327.2357885418</v>
      </c>
      <c r="BY22" s="831"/>
      <c r="BZ22" s="831">
        <f t="shared" si="59"/>
        <v>3376327.2357885418</v>
      </c>
      <c r="CA22" s="1260">
        <f t="shared" si="60"/>
        <v>3376327.2357885418</v>
      </c>
      <c r="CB22" s="1260">
        <f t="shared" si="61"/>
        <v>3376327.2357885418</v>
      </c>
      <c r="CC22" s="1260"/>
      <c r="CD22" s="1260">
        <f t="shared" si="62"/>
        <v>0</v>
      </c>
      <c r="CE22" s="1260">
        <f t="shared" si="63"/>
        <v>0</v>
      </c>
      <c r="CF22" s="1260">
        <f t="shared" si="64"/>
        <v>0</v>
      </c>
      <c r="CG22" s="1266">
        <f t="shared" si="65"/>
        <v>3376327.2357885418</v>
      </c>
      <c r="CH22" s="1141">
        <f t="shared" si="66"/>
        <v>3376327.2357885418</v>
      </c>
      <c r="CI22" s="1142">
        <f t="shared" si="67"/>
        <v>0</v>
      </c>
      <c r="CJ22" s="1141">
        <f t="shared" si="68"/>
        <v>346073.54166832555</v>
      </c>
      <c r="CK22" s="1141">
        <f t="shared" si="69"/>
        <v>118171.45325259898</v>
      </c>
      <c r="CL22" s="1143">
        <f t="shared" si="139"/>
        <v>3840572.2307094666</v>
      </c>
      <c r="CM22" s="1144">
        <f t="shared" si="71"/>
        <v>0.125</v>
      </c>
      <c r="CN22" s="1141">
        <f t="shared" si="72"/>
        <v>480071.52883868333</v>
      </c>
      <c r="CO22" s="1141">
        <f t="shared" si="73"/>
        <v>30000</v>
      </c>
      <c r="CP22" s="1141">
        <f t="shared" si="74"/>
        <v>450071.52883868333</v>
      </c>
      <c r="CQ22" s="1145">
        <f t="shared" si="75"/>
        <v>13</v>
      </c>
      <c r="CR22" s="1141">
        <f t="shared" si="76"/>
        <v>34620.886833744873</v>
      </c>
      <c r="CS22" s="1144">
        <f t="shared" si="77"/>
        <v>0.875</v>
      </c>
      <c r="CT22" s="1141">
        <f t="shared" si="78"/>
        <v>3360500.7018707832</v>
      </c>
      <c r="CU22" s="1146">
        <f t="shared" si="12"/>
        <v>26053.926173068994</v>
      </c>
      <c r="CV22" s="1146">
        <f t="shared" si="13"/>
        <v>30205.130350608837</v>
      </c>
      <c r="CW22" s="1146">
        <f t="shared" si="14"/>
        <v>39018.262590733539</v>
      </c>
      <c r="CX22" s="1146">
        <f t="shared" si="15"/>
        <v>66541.941592727337</v>
      </c>
      <c r="CY22" s="1146">
        <f t="shared" si="79"/>
        <v>272984.15341245179</v>
      </c>
      <c r="CZ22" s="1146">
        <f t="shared" si="80"/>
        <v>108018.49972314907</v>
      </c>
      <c r="DA22" s="1146">
        <f t="shared" si="81"/>
        <v>78020.232462998407</v>
      </c>
      <c r="DB22" s="1146">
        <f t="shared" si="82"/>
        <v>59376.988770332202</v>
      </c>
      <c r="DC22" s="1146"/>
      <c r="DD22" s="1146"/>
      <c r="DE22" s="1146"/>
      <c r="DF22" s="1146"/>
      <c r="DG22" s="1146"/>
      <c r="DH22" s="1146"/>
      <c r="DI22" s="1146"/>
      <c r="DJ22" s="1146"/>
      <c r="DK22" s="1146"/>
      <c r="DL22" s="1146"/>
      <c r="DM22" s="1146"/>
      <c r="DN22" s="1146"/>
      <c r="DO22" s="1146"/>
      <c r="DP22" s="1146"/>
      <c r="DQ22" s="1146"/>
      <c r="DR22" s="1146"/>
      <c r="DS22" s="1146"/>
      <c r="DT22" s="1146"/>
      <c r="DU22" s="1146"/>
      <c r="DV22" s="1146"/>
      <c r="DW22" s="1146"/>
      <c r="DX22" s="1146"/>
      <c r="DY22" s="1146"/>
      <c r="DZ22" s="1146"/>
      <c r="EA22" s="1147">
        <f t="shared" si="83"/>
        <v>0</v>
      </c>
      <c r="EB22" s="1148">
        <f t="shared" si="84"/>
        <v>0</v>
      </c>
      <c r="EC22" s="1190">
        <f t="shared" si="132"/>
        <v>45839</v>
      </c>
      <c r="ED22" s="1031">
        <f t="shared" si="16"/>
        <v>20</v>
      </c>
      <c r="EE22" s="1191"/>
      <c r="EF22" s="1032">
        <f t="shared" si="17"/>
        <v>45904</v>
      </c>
      <c r="EG22" s="1029">
        <f t="shared" si="85"/>
        <v>22</v>
      </c>
      <c r="EH22" s="859" t="s">
        <v>490</v>
      </c>
      <c r="EI22" s="859" t="s">
        <v>480</v>
      </c>
      <c r="EJ22" s="860">
        <f t="shared" si="18"/>
        <v>0</v>
      </c>
      <c r="EK22" s="860">
        <f t="shared" si="19"/>
        <v>0</v>
      </c>
      <c r="EL22" s="861">
        <f t="shared" si="20"/>
        <v>0</v>
      </c>
      <c r="EM22" s="1197"/>
      <c r="EN22" s="860"/>
      <c r="EO22" s="860"/>
      <c r="EP22" s="860">
        <f t="shared" si="21"/>
        <v>0</v>
      </c>
      <c r="EQ22" s="1197"/>
      <c r="ER22" s="1200"/>
      <c r="ES22" s="1197"/>
      <c r="ET22" s="1194" t="s">
        <v>175</v>
      </c>
      <c r="EU22" s="1197" t="b">
        <f t="shared" si="22"/>
        <v>1</v>
      </c>
      <c r="EV22" s="1201" t="s">
        <v>535</v>
      </c>
      <c r="EW22" s="1202" t="s">
        <v>482</v>
      </c>
      <c r="EX22" s="1197"/>
      <c r="EY22" s="1128" t="s">
        <v>483</v>
      </c>
      <c r="EZ22" s="1128" t="s">
        <v>484</v>
      </c>
      <c r="FA22" s="1169">
        <f t="shared" si="86"/>
        <v>0</v>
      </c>
      <c r="FI22" s="1309" t="s">
        <v>149</v>
      </c>
      <c r="FJ22" s="1159" t="s">
        <v>149</v>
      </c>
      <c r="FK22" s="1160" t="b">
        <f t="shared" si="87"/>
        <v>1</v>
      </c>
      <c r="FL22" s="1131"/>
      <c r="FM22" s="1161"/>
      <c r="FO22" s="1060"/>
      <c r="FP22" s="1181">
        <f t="shared" si="145"/>
        <v>26</v>
      </c>
      <c r="FQ22" s="1176">
        <f t="shared" ref="FQ22" si="153">EDATE(FR22,FP22)</f>
        <v>46235</v>
      </c>
      <c r="FR22" s="1177">
        <v>45444</v>
      </c>
      <c r="FU22" s="1295"/>
      <c r="FV22" s="1295"/>
      <c r="FW22" s="1023">
        <v>0.15</v>
      </c>
      <c r="FX22" s="1162">
        <v>14136.810431904947</v>
      </c>
      <c r="FY22" s="1163">
        <v>14578.585757901978</v>
      </c>
      <c r="GA22" s="1164">
        <f t="shared" si="89"/>
        <v>3840572.2307094666</v>
      </c>
      <c r="GB22" s="1165">
        <f t="shared" si="90"/>
        <v>0.15</v>
      </c>
      <c r="GC22" s="1154">
        <f t="shared" si="91"/>
        <v>576085.83460642002</v>
      </c>
      <c r="GD22" s="1164">
        <f t="shared" si="92"/>
        <v>30000</v>
      </c>
      <c r="GE22" s="1154">
        <f t="shared" si="93"/>
        <v>546085.83460642002</v>
      </c>
      <c r="GF22" s="1060">
        <f t="shared" si="94"/>
        <v>35</v>
      </c>
      <c r="GG22" s="1166">
        <f t="shared" si="95"/>
        <v>15602.452417326285</v>
      </c>
      <c r="GI22" s="1164">
        <f t="shared" si="96"/>
        <v>3840572.2307094666</v>
      </c>
      <c r="GJ22" s="1154">
        <f t="shared" si="97"/>
        <v>384057.2230709467</v>
      </c>
      <c r="GK22" s="1154">
        <f t="shared" si="98"/>
        <v>96014.305767736674</v>
      </c>
      <c r="GL22" s="1166">
        <v>15000</v>
      </c>
      <c r="GM22" s="1154">
        <f t="shared" si="99"/>
        <v>369057.2230709467</v>
      </c>
      <c r="GN22" s="1060">
        <f t="shared" si="100"/>
        <v>35</v>
      </c>
      <c r="GO22" s="1154">
        <f t="shared" si="101"/>
        <v>10544.492087741333</v>
      </c>
      <c r="GS22" s="1010">
        <f t="shared" si="102"/>
        <v>3840572.2307094666</v>
      </c>
      <c r="GT22" s="1011">
        <f t="shared" si="103"/>
        <v>0.125</v>
      </c>
      <c r="GU22" s="1010">
        <f t="shared" si="104"/>
        <v>480071.52883868333</v>
      </c>
      <c r="GV22" s="1010">
        <f t="shared" si="105"/>
        <v>30000</v>
      </c>
      <c r="GW22" s="1010">
        <f t="shared" si="106"/>
        <v>450071.52883868333</v>
      </c>
      <c r="GX22" s="1010">
        <f t="shared" si="107"/>
        <v>13</v>
      </c>
      <c r="GY22" s="1010">
        <f t="shared" si="108"/>
        <v>34620.886833744873</v>
      </c>
      <c r="GZ22" s="1011">
        <f t="shared" si="109"/>
        <v>0.875</v>
      </c>
      <c r="HA22" s="1010">
        <f t="shared" si="110"/>
        <v>3360500.7018707832</v>
      </c>
      <c r="HB22" s="1010">
        <f t="shared" si="111"/>
        <v>26053.926173068994</v>
      </c>
      <c r="HC22" s="1010">
        <f t="shared" si="112"/>
        <v>30205.130350608837</v>
      </c>
      <c r="HD22" s="1010">
        <f t="shared" si="113"/>
        <v>39018.262590733539</v>
      </c>
      <c r="HE22" s="1010">
        <f t="shared" si="114"/>
        <v>66541.941592727337</v>
      </c>
      <c r="HG22" s="1010">
        <f t="shared" si="115"/>
        <v>3840572.2307094666</v>
      </c>
      <c r="HH22" s="1011">
        <f t="shared" si="116"/>
        <v>0.125</v>
      </c>
      <c r="HI22" s="1010">
        <f t="shared" si="117"/>
        <v>480071.52883868333</v>
      </c>
      <c r="HJ22" s="1010">
        <f t="shared" si="118"/>
        <v>30000</v>
      </c>
      <c r="HK22" s="1010">
        <f t="shared" si="119"/>
        <v>450071.52883868333</v>
      </c>
      <c r="HL22" s="1012">
        <f t="shared" si="120"/>
        <v>33</v>
      </c>
      <c r="HM22" s="1167">
        <f t="shared" si="121"/>
        <v>13638.531176929799</v>
      </c>
      <c r="HN22" s="1168">
        <f t="shared" si="122"/>
        <v>0.875</v>
      </c>
      <c r="HO22" s="1167">
        <f t="shared" si="123"/>
        <v>3360500.7018707832</v>
      </c>
      <c r="HP22" s="1146">
        <f t="shared" si="124"/>
        <v>26053.926173068994</v>
      </c>
      <c r="HQ22" s="1146">
        <f t="shared" si="125"/>
        <v>30205.130350608837</v>
      </c>
      <c r="HR22" s="1146">
        <f t="shared" si="126"/>
        <v>39018.262590733539</v>
      </c>
      <c r="HS22" s="1146">
        <f t="shared" si="127"/>
        <v>66541.941592727337</v>
      </c>
      <c r="HU22" s="1167">
        <f t="shared" si="128"/>
        <v>-20982.355656815074</v>
      </c>
      <c r="HX22" s="1154"/>
      <c r="HY22" s="1154"/>
      <c r="IB22" s="1154"/>
      <c r="IC22" s="1154"/>
      <c r="ID22" s="1154"/>
      <c r="IE22" s="1154"/>
      <c r="IG22" s="1060"/>
    </row>
    <row r="23" spans="1:264" ht="14.25" hidden="1" customHeight="1">
      <c r="A23" s="1186">
        <f t="shared" si="141"/>
        <v>17</v>
      </c>
      <c r="B23" s="824" t="s">
        <v>149</v>
      </c>
      <c r="C23" s="855">
        <f>C22+1</f>
        <v>2</v>
      </c>
      <c r="D23" s="856" t="s">
        <v>495</v>
      </c>
      <c r="E23" s="857" t="str">
        <f t="shared" si="23"/>
        <v>3rd Floor</v>
      </c>
      <c r="F23" s="1185"/>
      <c r="G23" s="764" t="s">
        <v>176</v>
      </c>
      <c r="H23" s="764" t="s">
        <v>489</v>
      </c>
      <c r="I23" s="764" t="s">
        <v>476</v>
      </c>
      <c r="J23" s="1139">
        <v>22</v>
      </c>
      <c r="K23" s="1142"/>
      <c r="L23" s="764" t="s">
        <v>344</v>
      </c>
      <c r="M23" s="764" t="s">
        <v>93</v>
      </c>
      <c r="N23" s="856">
        <f t="shared" si="24"/>
        <v>100909.09090909091</v>
      </c>
      <c r="O23" s="1138">
        <f t="shared" si="136"/>
        <v>2220000</v>
      </c>
      <c r="P23" s="1138">
        <f t="shared" si="142"/>
        <v>22400</v>
      </c>
      <c r="Q23" s="1138">
        <f t="shared" si="8"/>
        <v>50000</v>
      </c>
      <c r="R23" s="1138"/>
      <c r="S23" s="1138"/>
      <c r="T23" s="1138"/>
      <c r="U23" s="1138"/>
      <c r="V23" s="1138"/>
      <c r="W23" s="858"/>
      <c r="X23" s="1138"/>
      <c r="Y23" s="1138"/>
      <c r="Z23" s="1138">
        <f t="shared" si="137"/>
        <v>75000</v>
      </c>
      <c r="AA23" s="1138">
        <f t="shared" si="138"/>
        <v>147400</v>
      </c>
      <c r="AB23" s="1138">
        <f t="shared" si="28"/>
        <v>2367400</v>
      </c>
      <c r="AC23" s="1138">
        <f t="shared" si="29"/>
        <v>59185</v>
      </c>
      <c r="AD23" s="1138">
        <f t="shared" si="30"/>
        <v>2426585</v>
      </c>
      <c r="AE23" s="1138">
        <f t="shared" si="31"/>
        <v>60664.625</v>
      </c>
      <c r="AF23" s="1138">
        <f t="shared" si="32"/>
        <v>2487249.625</v>
      </c>
      <c r="AG23" s="1138">
        <f t="shared" si="33"/>
        <v>62181.240625000006</v>
      </c>
      <c r="AH23" s="1138">
        <f t="shared" si="34"/>
        <v>2549430.8656250001</v>
      </c>
      <c r="AI23" s="1138">
        <f t="shared" si="144"/>
        <v>127471.54328125001</v>
      </c>
      <c r="AJ23" s="1138">
        <f t="shared" si="35"/>
        <v>2676902.4089062503</v>
      </c>
      <c r="AK23" s="1138">
        <f t="shared" si="36"/>
        <v>26769.024089062503</v>
      </c>
      <c r="AL23" s="1138">
        <f t="shared" si="37"/>
        <v>27537.409960060559</v>
      </c>
      <c r="AM23" s="1138"/>
      <c r="AN23" s="1138"/>
      <c r="AO23" s="1138">
        <f t="shared" si="38"/>
        <v>2731208.8429553732</v>
      </c>
      <c r="AP23" s="1138">
        <f t="shared" si="39"/>
        <v>368713.19379897544</v>
      </c>
      <c r="AQ23" s="1248">
        <f t="shared" si="40"/>
        <v>3099922.0367543488</v>
      </c>
      <c r="AR23" s="1248">
        <f t="shared" si="152"/>
        <v>3099922.0367543488</v>
      </c>
      <c r="AS23" s="1248"/>
      <c r="AT23" s="1248"/>
      <c r="AU23" s="1248">
        <f t="shared" si="42"/>
        <v>0</v>
      </c>
      <c r="AV23" s="1140">
        <f t="shared" si="43"/>
        <v>0</v>
      </c>
      <c r="AW23" s="1140">
        <f t="shared" si="44"/>
        <v>3099922.0367543488</v>
      </c>
      <c r="AX23" s="1139">
        <f t="shared" si="45"/>
        <v>38749.025459429358</v>
      </c>
      <c r="AY23" s="831" t="s">
        <v>478</v>
      </c>
      <c r="AZ23" s="831">
        <f t="shared" si="46"/>
        <v>3138671.062213778</v>
      </c>
      <c r="BA23" s="831">
        <f t="shared" si="47"/>
        <v>117700.16483301668</v>
      </c>
      <c r="BB23" s="831"/>
      <c r="BC23" s="831">
        <f t="shared" si="11"/>
        <v>33600</v>
      </c>
      <c r="BD23" s="831"/>
      <c r="BE23" s="831">
        <f t="shared" si="48"/>
        <v>3289971.2270467947</v>
      </c>
      <c r="BF23" s="831"/>
      <c r="BG23" s="831">
        <f t="shared" si="49"/>
        <v>3289971.2270467947</v>
      </c>
      <c r="BH23" s="831"/>
      <c r="BI23" s="831">
        <f t="shared" si="50"/>
        <v>3289971.2270467947</v>
      </c>
      <c r="BJ23" s="831"/>
      <c r="BK23" s="831">
        <f t="shared" si="51"/>
        <v>3289971.2270467947</v>
      </c>
      <c r="BL23" s="831"/>
      <c r="BM23" s="831">
        <f t="shared" si="52"/>
        <v>3289971.2270467947</v>
      </c>
      <c r="BN23" s="831"/>
      <c r="BO23" s="831">
        <f t="shared" si="53"/>
        <v>3289971.2270467947</v>
      </c>
      <c r="BP23" s="831"/>
      <c r="BQ23" s="831">
        <f t="shared" si="54"/>
        <v>3289971.2270467947</v>
      </c>
      <c r="BR23" s="831"/>
      <c r="BS23" s="831">
        <f t="shared" si="55"/>
        <v>3289971.2270467947</v>
      </c>
      <c r="BT23" s="831"/>
      <c r="BU23" s="831">
        <f t="shared" si="56"/>
        <v>3289971.2270467947</v>
      </c>
      <c r="BV23" s="831"/>
      <c r="BW23" s="831">
        <f t="shared" si="57"/>
        <v>56400</v>
      </c>
      <c r="BX23" s="831">
        <f t="shared" si="58"/>
        <v>3346371.2270467947</v>
      </c>
      <c r="BY23" s="831"/>
      <c r="BZ23" s="831">
        <f t="shared" si="59"/>
        <v>3346371.2270467947</v>
      </c>
      <c r="CA23" s="1260">
        <f t="shared" si="60"/>
        <v>3346371.2270467947</v>
      </c>
      <c r="CB23" s="1260">
        <f t="shared" si="61"/>
        <v>3346371.2270467947</v>
      </c>
      <c r="CC23" s="1260"/>
      <c r="CD23" s="1260">
        <f t="shared" si="62"/>
        <v>0</v>
      </c>
      <c r="CE23" s="1260">
        <f t="shared" si="63"/>
        <v>0</v>
      </c>
      <c r="CF23" s="1260">
        <f t="shared" si="64"/>
        <v>0</v>
      </c>
      <c r="CG23" s="1266">
        <f t="shared" si="65"/>
        <v>3346371.2270467947</v>
      </c>
      <c r="CH23" s="1141">
        <f t="shared" si="66"/>
        <v>3346371.2270467947</v>
      </c>
      <c r="CI23" s="1142">
        <f t="shared" si="67"/>
        <v>0</v>
      </c>
      <c r="CJ23" s="1141">
        <f t="shared" si="68"/>
        <v>343003.05077229644</v>
      </c>
      <c r="CK23" s="1141">
        <f t="shared" si="69"/>
        <v>117122.99294663782</v>
      </c>
      <c r="CL23" s="1143">
        <f t="shared" si="139"/>
        <v>3806497.2707657288</v>
      </c>
      <c r="CM23" s="1144">
        <f t="shared" si="71"/>
        <v>0.125</v>
      </c>
      <c r="CN23" s="1141">
        <f t="shared" si="72"/>
        <v>475812.1588457161</v>
      </c>
      <c r="CO23" s="1141">
        <f t="shared" si="73"/>
        <v>30000</v>
      </c>
      <c r="CP23" s="1141">
        <f t="shared" si="74"/>
        <v>445812.1588457161</v>
      </c>
      <c r="CQ23" s="1145">
        <f t="shared" si="75"/>
        <v>13</v>
      </c>
      <c r="CR23" s="1141">
        <f t="shared" si="76"/>
        <v>34293.242988132006</v>
      </c>
      <c r="CS23" s="1144">
        <f t="shared" si="77"/>
        <v>0.875</v>
      </c>
      <c r="CT23" s="1141">
        <f t="shared" si="78"/>
        <v>3330685.1119200126</v>
      </c>
      <c r="CU23" s="1146">
        <f t="shared" si="12"/>
        <v>25822.76622153218</v>
      </c>
      <c r="CV23" s="1146">
        <f t="shared" si="13"/>
        <v>29937.139399009873</v>
      </c>
      <c r="CW23" s="1146">
        <f t="shared" si="14"/>
        <v>38672.078310114535</v>
      </c>
      <c r="CX23" s="1146">
        <f t="shared" si="15"/>
        <v>65951.557176514485</v>
      </c>
      <c r="CY23" s="1146">
        <f t="shared" si="79"/>
        <v>270562.13827147207</v>
      </c>
      <c r="CZ23" s="1146">
        <f t="shared" si="80"/>
        <v>107060.12013017652</v>
      </c>
      <c r="DA23" s="1146">
        <f t="shared" si="81"/>
        <v>77328.008456711017</v>
      </c>
      <c r="DB23" s="1146">
        <f t="shared" si="82"/>
        <v>58850.174433200184</v>
      </c>
      <c r="DC23" s="1146"/>
      <c r="DD23" s="1146"/>
      <c r="DE23" s="1146"/>
      <c r="DF23" s="1146"/>
      <c r="DG23" s="1146"/>
      <c r="DH23" s="1146"/>
      <c r="DI23" s="1146"/>
      <c r="DJ23" s="1146"/>
      <c r="DK23" s="1146"/>
      <c r="DL23" s="1146"/>
      <c r="DM23" s="1146"/>
      <c r="DN23" s="1146"/>
      <c r="DO23" s="1146"/>
      <c r="DP23" s="1146"/>
      <c r="DQ23" s="1146"/>
      <c r="DR23" s="1146"/>
      <c r="DS23" s="1146"/>
      <c r="DT23" s="1146"/>
      <c r="DU23" s="1146"/>
      <c r="DV23" s="1146"/>
      <c r="DW23" s="1146"/>
      <c r="DX23" s="1146"/>
      <c r="DY23" s="1146"/>
      <c r="DZ23" s="1146"/>
      <c r="EA23" s="1147">
        <f t="shared" si="83"/>
        <v>0</v>
      </c>
      <c r="EB23" s="1148">
        <f t="shared" si="84"/>
        <v>0</v>
      </c>
      <c r="EC23" s="1190">
        <f t="shared" si="132"/>
        <v>45839</v>
      </c>
      <c r="ED23" s="1031">
        <f t="shared" si="16"/>
        <v>20</v>
      </c>
      <c r="EE23" s="1191"/>
      <c r="EF23" s="1032">
        <f t="shared" si="17"/>
        <v>45904</v>
      </c>
      <c r="EG23" s="1029">
        <f t="shared" si="85"/>
        <v>22</v>
      </c>
      <c r="EH23" s="859" t="s">
        <v>490</v>
      </c>
      <c r="EI23" s="859" t="s">
        <v>480</v>
      </c>
      <c r="EJ23" s="860">
        <f t="shared" si="18"/>
        <v>0</v>
      </c>
      <c r="EK23" s="860">
        <f t="shared" si="19"/>
        <v>0</v>
      </c>
      <c r="EL23" s="861">
        <f t="shared" si="20"/>
        <v>0</v>
      </c>
      <c r="EM23" s="1197"/>
      <c r="EN23" s="860"/>
      <c r="EO23" s="860"/>
      <c r="EP23" s="860">
        <f t="shared" si="21"/>
        <v>0</v>
      </c>
      <c r="EQ23" s="1197"/>
      <c r="ER23" s="1200"/>
      <c r="ES23" s="1197"/>
      <c r="ET23" s="1194" t="s">
        <v>176</v>
      </c>
      <c r="EU23" s="1197" t="b">
        <f t="shared" si="22"/>
        <v>1</v>
      </c>
      <c r="EV23" s="1201" t="s">
        <v>536</v>
      </c>
      <c r="EW23" s="1202" t="s">
        <v>482</v>
      </c>
      <c r="EX23" s="1197"/>
      <c r="EY23" s="1128" t="s">
        <v>483</v>
      </c>
      <c r="EZ23" s="1128" t="s">
        <v>484</v>
      </c>
      <c r="FA23" s="1169">
        <f t="shared" si="86"/>
        <v>0</v>
      </c>
      <c r="FI23" s="1309" t="s">
        <v>149</v>
      </c>
      <c r="FJ23" s="1159" t="s">
        <v>149</v>
      </c>
      <c r="FK23" s="1160" t="b">
        <f t="shared" si="87"/>
        <v>1</v>
      </c>
      <c r="FL23" s="1131"/>
      <c r="FM23" s="1161"/>
      <c r="FO23" s="888"/>
      <c r="FP23" s="1181">
        <f t="shared" si="145"/>
        <v>25</v>
      </c>
      <c r="FQ23" s="1176">
        <f t="shared" ref="FQ23" si="154">EDATE(FR23,FP23)</f>
        <v>46235</v>
      </c>
      <c r="FR23" s="1177">
        <v>45474</v>
      </c>
      <c r="FU23" s="1295"/>
      <c r="FV23" s="1295"/>
      <c r="FW23" s="1023">
        <v>0.125</v>
      </c>
      <c r="FX23" s="1162">
        <v>11584.736844257748</v>
      </c>
      <c r="FY23" s="1163">
        <v>11946.759870640803</v>
      </c>
      <c r="GA23" s="1164">
        <f t="shared" si="89"/>
        <v>3806497.2707657288</v>
      </c>
      <c r="GB23" s="1165">
        <f t="shared" si="90"/>
        <v>0.15</v>
      </c>
      <c r="GC23" s="1154">
        <f t="shared" si="91"/>
        <v>570974.59061485925</v>
      </c>
      <c r="GD23" s="1164">
        <f t="shared" si="92"/>
        <v>30000</v>
      </c>
      <c r="GE23" s="1154">
        <f t="shared" si="93"/>
        <v>540974.59061485925</v>
      </c>
      <c r="GF23" s="1060">
        <f t="shared" si="94"/>
        <v>35</v>
      </c>
      <c r="GG23" s="1166">
        <f t="shared" si="95"/>
        <v>15456.416874710265</v>
      </c>
      <c r="GI23" s="1164">
        <f t="shared" si="96"/>
        <v>3806497.2707657288</v>
      </c>
      <c r="GJ23" s="1154">
        <f t="shared" si="97"/>
        <v>380649.72707657289</v>
      </c>
      <c r="GK23" s="1154">
        <f t="shared" si="98"/>
        <v>95162.431769143222</v>
      </c>
      <c r="GL23" s="1166">
        <v>15000</v>
      </c>
      <c r="GM23" s="1154">
        <f t="shared" si="99"/>
        <v>365649.72707657289</v>
      </c>
      <c r="GN23" s="1060">
        <f t="shared" si="100"/>
        <v>35</v>
      </c>
      <c r="GO23" s="1154">
        <f t="shared" si="101"/>
        <v>10447.135059330654</v>
      </c>
      <c r="GS23" s="1010">
        <f t="shared" si="102"/>
        <v>3806497.2707657288</v>
      </c>
      <c r="GT23" s="1011">
        <f t="shared" si="103"/>
        <v>0.125</v>
      </c>
      <c r="GU23" s="1010">
        <f t="shared" si="104"/>
        <v>475812.1588457161</v>
      </c>
      <c r="GV23" s="1010">
        <f t="shared" si="105"/>
        <v>30000</v>
      </c>
      <c r="GW23" s="1010">
        <f t="shared" si="106"/>
        <v>445812.1588457161</v>
      </c>
      <c r="GX23" s="1010">
        <f t="shared" si="107"/>
        <v>13</v>
      </c>
      <c r="GY23" s="1010">
        <f t="shared" si="108"/>
        <v>34293.242988132006</v>
      </c>
      <c r="GZ23" s="1011">
        <f t="shared" si="109"/>
        <v>0.875</v>
      </c>
      <c r="HA23" s="1010">
        <f t="shared" si="110"/>
        <v>3330685.1119200126</v>
      </c>
      <c r="HB23" s="1010">
        <f t="shared" si="111"/>
        <v>25822.76622153218</v>
      </c>
      <c r="HC23" s="1010">
        <f t="shared" si="112"/>
        <v>29937.139399009873</v>
      </c>
      <c r="HD23" s="1010">
        <f t="shared" si="113"/>
        <v>38672.078310114535</v>
      </c>
      <c r="HE23" s="1010">
        <f t="shared" si="114"/>
        <v>65951.557176514485</v>
      </c>
      <c r="HG23" s="1010">
        <f t="shared" si="115"/>
        <v>3806497.2707657288</v>
      </c>
      <c r="HH23" s="1011">
        <f t="shared" si="116"/>
        <v>0.125</v>
      </c>
      <c r="HI23" s="1010">
        <f t="shared" si="117"/>
        <v>475812.1588457161</v>
      </c>
      <c r="HJ23" s="1010">
        <f t="shared" si="118"/>
        <v>30000</v>
      </c>
      <c r="HK23" s="1010">
        <f t="shared" si="119"/>
        <v>445812.1588457161</v>
      </c>
      <c r="HL23" s="1012">
        <f t="shared" si="120"/>
        <v>33</v>
      </c>
      <c r="HM23" s="1167">
        <f t="shared" si="121"/>
        <v>13509.459358961094</v>
      </c>
      <c r="HN23" s="1168">
        <f t="shared" si="122"/>
        <v>0.875</v>
      </c>
      <c r="HO23" s="1167">
        <f t="shared" si="123"/>
        <v>3330685.1119200126</v>
      </c>
      <c r="HP23" s="1146">
        <f t="shared" si="124"/>
        <v>25822.76622153218</v>
      </c>
      <c r="HQ23" s="1146">
        <f t="shared" si="125"/>
        <v>29937.139399009873</v>
      </c>
      <c r="HR23" s="1146">
        <f t="shared" si="126"/>
        <v>38672.078310114535</v>
      </c>
      <c r="HS23" s="1146">
        <f t="shared" si="127"/>
        <v>65951.557176514485</v>
      </c>
      <c r="HU23" s="1167">
        <f t="shared" si="128"/>
        <v>-20783.78362917091</v>
      </c>
      <c r="HX23" s="1154"/>
      <c r="HY23" s="1154"/>
      <c r="IB23" s="1154"/>
      <c r="IC23" s="1154"/>
      <c r="ID23" s="1154"/>
      <c r="IE23" s="1154"/>
      <c r="IG23" s="1060"/>
    </row>
    <row r="24" spans="1:264" ht="14.25" hidden="1" customHeight="1">
      <c r="A24" s="1186">
        <f t="shared" si="141"/>
        <v>18</v>
      </c>
      <c r="B24" s="824" t="s">
        <v>149</v>
      </c>
      <c r="C24" s="855">
        <f t="shared" ref="C24:C39" si="155">C23+1</f>
        <v>3</v>
      </c>
      <c r="D24" s="856" t="s">
        <v>495</v>
      </c>
      <c r="E24" s="857" t="str">
        <f t="shared" si="23"/>
        <v>3rd Floor</v>
      </c>
      <c r="F24" s="1185"/>
      <c r="G24" s="764" t="s">
        <v>177</v>
      </c>
      <c r="H24" s="764" t="s">
        <v>493</v>
      </c>
      <c r="I24" s="764" t="s">
        <v>476</v>
      </c>
      <c r="J24" s="1139">
        <v>22</v>
      </c>
      <c r="K24" s="1142"/>
      <c r="L24" s="764" t="s">
        <v>344</v>
      </c>
      <c r="M24" s="764" t="s">
        <v>477</v>
      </c>
      <c r="N24" s="856">
        <f t="shared" si="24"/>
        <v>100909.09090909091</v>
      </c>
      <c r="O24" s="1138">
        <f t="shared" si="136"/>
        <v>2220000</v>
      </c>
      <c r="P24" s="1138">
        <f t="shared" si="142"/>
        <v>22400</v>
      </c>
      <c r="Q24" s="1138">
        <f t="shared" si="8"/>
        <v>50000</v>
      </c>
      <c r="R24" s="1138"/>
      <c r="S24" s="1138"/>
      <c r="T24" s="1138"/>
      <c r="U24" s="1138"/>
      <c r="V24" s="1138"/>
      <c r="W24" s="858">
        <f t="shared" ref="W24:W27" si="156">J24*$W$5</f>
        <v>22000</v>
      </c>
      <c r="X24" s="1138"/>
      <c r="Y24" s="1138"/>
      <c r="Z24" s="1138">
        <f t="shared" si="137"/>
        <v>75000</v>
      </c>
      <c r="AA24" s="1138">
        <f t="shared" si="138"/>
        <v>169400</v>
      </c>
      <c r="AB24" s="1138">
        <f t="shared" si="28"/>
        <v>2389400</v>
      </c>
      <c r="AC24" s="1138">
        <f t="shared" si="29"/>
        <v>59735</v>
      </c>
      <c r="AD24" s="1138">
        <f t="shared" si="30"/>
        <v>2449135</v>
      </c>
      <c r="AE24" s="1138">
        <f t="shared" si="31"/>
        <v>61228.375</v>
      </c>
      <c r="AF24" s="1138">
        <f t="shared" si="32"/>
        <v>2510363.375</v>
      </c>
      <c r="AG24" s="1138">
        <f t="shared" si="33"/>
        <v>62759.084375000006</v>
      </c>
      <c r="AH24" s="1138">
        <f t="shared" si="34"/>
        <v>2573122.4593750001</v>
      </c>
      <c r="AI24" s="1138">
        <f t="shared" si="144"/>
        <v>128656.12296875002</v>
      </c>
      <c r="AJ24" s="1138">
        <f t="shared" si="35"/>
        <v>2701778.5823437502</v>
      </c>
      <c r="AK24" s="1138">
        <f t="shared" si="36"/>
        <v>27017.785823437502</v>
      </c>
      <c r="AL24" s="1138">
        <f t="shared" si="37"/>
        <v>27537.409960060559</v>
      </c>
      <c r="AM24" s="1138"/>
      <c r="AN24" s="1138"/>
      <c r="AO24" s="1138">
        <f t="shared" si="38"/>
        <v>2756333.7781272479</v>
      </c>
      <c r="AP24" s="1138">
        <f t="shared" si="39"/>
        <v>372105.06004717847</v>
      </c>
      <c r="AQ24" s="1248">
        <f t="shared" si="40"/>
        <v>3128438.8381744265</v>
      </c>
      <c r="AR24" s="1248">
        <f t="shared" si="152"/>
        <v>3128438.8381744265</v>
      </c>
      <c r="AS24" s="1248"/>
      <c r="AT24" s="1248"/>
      <c r="AU24" s="1248">
        <f t="shared" si="42"/>
        <v>0</v>
      </c>
      <c r="AV24" s="1140">
        <f t="shared" si="43"/>
        <v>0</v>
      </c>
      <c r="AW24" s="1140">
        <f t="shared" si="44"/>
        <v>3128438.8381744265</v>
      </c>
      <c r="AX24" s="1139">
        <f t="shared" si="45"/>
        <v>39105.485477180329</v>
      </c>
      <c r="AY24" s="831" t="s">
        <v>478</v>
      </c>
      <c r="AZ24" s="831">
        <f t="shared" si="46"/>
        <v>3167544.3236516067</v>
      </c>
      <c r="BA24" s="831">
        <f t="shared" si="47"/>
        <v>118782.91213693525</v>
      </c>
      <c r="BB24" s="831"/>
      <c r="BC24" s="831">
        <f t="shared" si="11"/>
        <v>33600</v>
      </c>
      <c r="BD24" s="831"/>
      <c r="BE24" s="831">
        <f t="shared" si="48"/>
        <v>3319927.2357885418</v>
      </c>
      <c r="BF24" s="831"/>
      <c r="BG24" s="831">
        <f t="shared" si="49"/>
        <v>3319927.2357885418</v>
      </c>
      <c r="BH24" s="831"/>
      <c r="BI24" s="831">
        <f t="shared" si="50"/>
        <v>3319927.2357885418</v>
      </c>
      <c r="BJ24" s="831"/>
      <c r="BK24" s="831">
        <f t="shared" si="51"/>
        <v>3319927.2357885418</v>
      </c>
      <c r="BL24" s="831"/>
      <c r="BM24" s="831">
        <f t="shared" si="52"/>
        <v>3319927.2357885418</v>
      </c>
      <c r="BN24" s="831"/>
      <c r="BO24" s="831">
        <f t="shared" si="53"/>
        <v>3319927.2357885418</v>
      </c>
      <c r="BP24" s="831"/>
      <c r="BQ24" s="831">
        <f t="shared" si="54"/>
        <v>3319927.2357885418</v>
      </c>
      <c r="BR24" s="831"/>
      <c r="BS24" s="831">
        <f t="shared" si="55"/>
        <v>3319927.2357885418</v>
      </c>
      <c r="BT24" s="831"/>
      <c r="BU24" s="831">
        <f t="shared" si="56"/>
        <v>3319927.2357885418</v>
      </c>
      <c r="BV24" s="831"/>
      <c r="BW24" s="831">
        <f t="shared" si="57"/>
        <v>56400</v>
      </c>
      <c r="BX24" s="831">
        <f t="shared" si="58"/>
        <v>3376327.2357885418</v>
      </c>
      <c r="BY24" s="831"/>
      <c r="BZ24" s="831">
        <f t="shared" si="59"/>
        <v>3376327.2357885418</v>
      </c>
      <c r="CA24" s="1260">
        <f t="shared" si="60"/>
        <v>3376327.2357885418</v>
      </c>
      <c r="CB24" s="1260">
        <f t="shared" si="61"/>
        <v>3376327.2357885418</v>
      </c>
      <c r="CC24" s="1260"/>
      <c r="CD24" s="1260">
        <f t="shared" si="62"/>
        <v>0</v>
      </c>
      <c r="CE24" s="1260">
        <f t="shared" si="63"/>
        <v>0</v>
      </c>
      <c r="CF24" s="1260">
        <f t="shared" si="64"/>
        <v>0</v>
      </c>
      <c r="CG24" s="1266">
        <f t="shared" si="65"/>
        <v>3376327.2357885418</v>
      </c>
      <c r="CH24" s="1141">
        <f t="shared" si="66"/>
        <v>3376327.2357885418</v>
      </c>
      <c r="CI24" s="1142">
        <f t="shared" si="67"/>
        <v>0</v>
      </c>
      <c r="CJ24" s="1141">
        <f t="shared" si="68"/>
        <v>346073.54166832555</v>
      </c>
      <c r="CK24" s="1141">
        <f t="shared" si="69"/>
        <v>118171.45325259898</v>
      </c>
      <c r="CL24" s="1143">
        <f t="shared" si="139"/>
        <v>3840572.2307094666</v>
      </c>
      <c r="CM24" s="1144">
        <f t="shared" si="71"/>
        <v>0.125</v>
      </c>
      <c r="CN24" s="1141">
        <f>CL24*CM24</f>
        <v>480071.52883868333</v>
      </c>
      <c r="CO24" s="1141">
        <f t="shared" si="73"/>
        <v>30000</v>
      </c>
      <c r="CP24" s="1141">
        <f t="shared" si="74"/>
        <v>450071.52883868333</v>
      </c>
      <c r="CQ24" s="1145">
        <f t="shared" si="75"/>
        <v>13</v>
      </c>
      <c r="CR24" s="1141">
        <f t="shared" si="76"/>
        <v>34620.886833744873</v>
      </c>
      <c r="CS24" s="1144">
        <f t="shared" si="77"/>
        <v>0.875</v>
      </c>
      <c r="CT24" s="1141">
        <f t="shared" si="78"/>
        <v>3360500.7018707832</v>
      </c>
      <c r="CU24" s="1146">
        <f t="shared" si="12"/>
        <v>26053.926173068994</v>
      </c>
      <c r="CV24" s="1146">
        <f t="shared" si="13"/>
        <v>30205.130350608837</v>
      </c>
      <c r="CW24" s="1146">
        <f t="shared" si="14"/>
        <v>39018.262590733539</v>
      </c>
      <c r="CX24" s="1146">
        <f t="shared" si="15"/>
        <v>66541.941592727337</v>
      </c>
      <c r="CY24" s="1146">
        <f t="shared" si="79"/>
        <v>272984.15341245179</v>
      </c>
      <c r="CZ24" s="1146">
        <f t="shared" si="80"/>
        <v>108018.49972314907</v>
      </c>
      <c r="DA24" s="1146">
        <f t="shared" si="81"/>
        <v>78020.232462998407</v>
      </c>
      <c r="DB24" s="1146">
        <f t="shared" si="82"/>
        <v>59376.988770332202</v>
      </c>
      <c r="DC24" s="1146"/>
      <c r="DD24" s="1146"/>
      <c r="DE24" s="1146"/>
      <c r="DF24" s="1146"/>
      <c r="DG24" s="1146"/>
      <c r="DH24" s="1146"/>
      <c r="DI24" s="1146"/>
      <c r="DJ24" s="1146"/>
      <c r="DK24" s="1146"/>
      <c r="DL24" s="1146"/>
      <c r="DM24" s="1146"/>
      <c r="DN24" s="1146"/>
      <c r="DO24" s="1146"/>
      <c r="DP24" s="1146"/>
      <c r="DQ24" s="1146"/>
      <c r="DR24" s="1146"/>
      <c r="DS24" s="1146"/>
      <c r="DT24" s="1146"/>
      <c r="DU24" s="1146"/>
      <c r="DV24" s="1146"/>
      <c r="DW24" s="1146"/>
      <c r="DX24" s="1146"/>
      <c r="DY24" s="1146"/>
      <c r="DZ24" s="1146"/>
      <c r="EA24" s="1147">
        <f t="shared" si="83"/>
        <v>0</v>
      </c>
      <c r="EB24" s="1148">
        <f t="shared" si="84"/>
        <v>0</v>
      </c>
      <c r="EC24" s="1190">
        <f t="shared" si="132"/>
        <v>45839</v>
      </c>
      <c r="ED24" s="1031">
        <f t="shared" si="16"/>
        <v>20</v>
      </c>
      <c r="EE24" s="1191"/>
      <c r="EF24" s="1032">
        <f t="shared" si="17"/>
        <v>45904</v>
      </c>
      <c r="EG24" s="1029">
        <f t="shared" si="85"/>
        <v>22</v>
      </c>
      <c r="EH24" s="859" t="s">
        <v>490</v>
      </c>
      <c r="EI24" s="859" t="s">
        <v>480</v>
      </c>
      <c r="EJ24" s="860">
        <f t="shared" si="18"/>
        <v>0</v>
      </c>
      <c r="EK24" s="860">
        <f t="shared" si="19"/>
        <v>0</v>
      </c>
      <c r="EL24" s="861">
        <f t="shared" si="20"/>
        <v>0</v>
      </c>
      <c r="EM24" s="1197"/>
      <c r="EN24" s="860"/>
      <c r="EO24" s="860"/>
      <c r="EP24" s="860">
        <f t="shared" si="21"/>
        <v>0</v>
      </c>
      <c r="EQ24" s="1197"/>
      <c r="ER24" s="1200"/>
      <c r="ES24" s="1197"/>
      <c r="ET24" s="1194" t="s">
        <v>177</v>
      </c>
      <c r="EU24" s="1197" t="b">
        <f t="shared" si="22"/>
        <v>1</v>
      </c>
      <c r="EV24" s="1201" t="s">
        <v>537</v>
      </c>
      <c r="EW24" s="1202" t="s">
        <v>482</v>
      </c>
      <c r="EX24" s="1197"/>
      <c r="EY24" s="1128" t="s">
        <v>483</v>
      </c>
      <c r="EZ24" s="1128" t="s">
        <v>484</v>
      </c>
      <c r="FA24" s="1169">
        <f t="shared" si="86"/>
        <v>0</v>
      </c>
      <c r="FB24" s="210" t="s">
        <v>160</v>
      </c>
      <c r="FC24" s="1187"/>
      <c r="FI24" s="1309" t="s">
        <v>149</v>
      </c>
      <c r="FJ24" s="1159" t="s">
        <v>149</v>
      </c>
      <c r="FK24" s="1160" t="b">
        <f t="shared" si="87"/>
        <v>1</v>
      </c>
      <c r="FL24" s="1131"/>
      <c r="FM24" s="1161"/>
      <c r="FO24" s="888"/>
      <c r="FP24" s="1181">
        <f t="shared" si="145"/>
        <v>24</v>
      </c>
      <c r="FQ24" s="1176">
        <f t="shared" ref="FQ24" si="157">EDATE(FR24,FP24)</f>
        <v>46235</v>
      </c>
      <c r="FR24" s="1177">
        <v>45505</v>
      </c>
      <c r="FU24" s="1295"/>
      <c r="FV24" s="1295"/>
      <c r="FW24" s="1023">
        <v>0.125</v>
      </c>
      <c r="FX24" s="1162">
        <v>11704.917784163215</v>
      </c>
      <c r="FY24" s="1163">
        <v>12070.696464918316</v>
      </c>
      <c r="GA24" s="1164">
        <f t="shared" si="89"/>
        <v>3840572.2307094666</v>
      </c>
      <c r="GB24" s="1165">
        <f>FW24</f>
        <v>0.125</v>
      </c>
      <c r="GC24" s="1154">
        <f t="shared" si="91"/>
        <v>480071.52883868333</v>
      </c>
      <c r="GD24" s="1164">
        <f t="shared" si="92"/>
        <v>30000</v>
      </c>
      <c r="GE24" s="1154">
        <f t="shared" si="93"/>
        <v>450071.52883868333</v>
      </c>
      <c r="GF24" s="1060">
        <f t="shared" si="94"/>
        <v>35</v>
      </c>
      <c r="GG24" s="1166">
        <f t="shared" si="95"/>
        <v>12859.186538248096</v>
      </c>
      <c r="GI24" s="1164">
        <f t="shared" si="96"/>
        <v>3840572.2307094666</v>
      </c>
      <c r="GJ24" s="1154">
        <f t="shared" si="97"/>
        <v>384057.2230709467</v>
      </c>
      <c r="GK24" s="1154">
        <f t="shared" si="98"/>
        <v>96014.305767736674</v>
      </c>
      <c r="GL24" s="1166">
        <v>15000</v>
      </c>
      <c r="GM24" s="1154">
        <f t="shared" si="99"/>
        <v>369057.2230709467</v>
      </c>
      <c r="GN24" s="1060">
        <f t="shared" si="100"/>
        <v>35</v>
      </c>
      <c r="GO24" s="1154">
        <f t="shared" si="101"/>
        <v>10544.492087741333</v>
      </c>
      <c r="GS24" s="1010">
        <f t="shared" si="102"/>
        <v>3840572.2307094666</v>
      </c>
      <c r="GT24" s="1011">
        <f t="shared" si="103"/>
        <v>0.125</v>
      </c>
      <c r="GU24" s="1010">
        <f t="shared" si="104"/>
        <v>480071.52883868333</v>
      </c>
      <c r="GV24" s="1010">
        <f t="shared" si="105"/>
        <v>30000</v>
      </c>
      <c r="GW24" s="1010">
        <f t="shared" si="106"/>
        <v>450071.52883868333</v>
      </c>
      <c r="GX24" s="1010">
        <f t="shared" si="107"/>
        <v>13</v>
      </c>
      <c r="GY24" s="1010">
        <f t="shared" si="108"/>
        <v>34620.886833744873</v>
      </c>
      <c r="GZ24" s="1011">
        <f t="shared" si="109"/>
        <v>0.875</v>
      </c>
      <c r="HA24" s="1010">
        <f t="shared" si="110"/>
        <v>3360500.7018707832</v>
      </c>
      <c r="HB24" s="1010">
        <f t="shared" si="111"/>
        <v>26053.926173068994</v>
      </c>
      <c r="HC24" s="1010">
        <f t="shared" si="112"/>
        <v>30205.130350608837</v>
      </c>
      <c r="HD24" s="1010">
        <f t="shared" si="113"/>
        <v>39018.262590733539</v>
      </c>
      <c r="HE24" s="1010">
        <f t="shared" si="114"/>
        <v>66541.941592727337</v>
      </c>
      <c r="HG24" s="1010">
        <f t="shared" si="115"/>
        <v>3840572.2307094666</v>
      </c>
      <c r="HH24" s="1011">
        <f t="shared" si="116"/>
        <v>0.125</v>
      </c>
      <c r="HI24" s="1010">
        <f t="shared" si="117"/>
        <v>480071.52883868333</v>
      </c>
      <c r="HJ24" s="1010">
        <f t="shared" si="118"/>
        <v>30000</v>
      </c>
      <c r="HK24" s="1010">
        <f t="shared" si="119"/>
        <v>450071.52883868333</v>
      </c>
      <c r="HL24" s="1012">
        <f t="shared" si="120"/>
        <v>33</v>
      </c>
      <c r="HM24" s="1167">
        <f t="shared" si="121"/>
        <v>13638.531176929799</v>
      </c>
      <c r="HN24" s="1168">
        <f t="shared" si="122"/>
        <v>0.875</v>
      </c>
      <c r="HO24" s="1167">
        <f t="shared" si="123"/>
        <v>3360500.7018707832</v>
      </c>
      <c r="HP24" s="1146">
        <f t="shared" si="124"/>
        <v>26053.926173068994</v>
      </c>
      <c r="HQ24" s="1146">
        <f t="shared" si="125"/>
        <v>30205.130350608837</v>
      </c>
      <c r="HR24" s="1146">
        <f t="shared" si="126"/>
        <v>39018.262590733539</v>
      </c>
      <c r="HS24" s="1146">
        <f t="shared" si="127"/>
        <v>66541.941592727337</v>
      </c>
      <c r="HU24" s="1167">
        <f t="shared" si="128"/>
        <v>-20982.355656815074</v>
      </c>
      <c r="HX24" s="1154"/>
      <c r="HY24" s="1154"/>
      <c r="IB24" s="1154"/>
      <c r="IC24" s="1154"/>
      <c r="ID24" s="1154"/>
      <c r="IE24" s="1154"/>
      <c r="IG24" s="1060"/>
    </row>
    <row r="25" spans="1:264" ht="14.25" hidden="1" customHeight="1">
      <c r="A25" s="1186">
        <f t="shared" si="141"/>
        <v>19</v>
      </c>
      <c r="B25" s="824"/>
      <c r="C25" s="855">
        <f t="shared" si="155"/>
        <v>4</v>
      </c>
      <c r="D25" s="856" t="s">
        <v>495</v>
      </c>
      <c r="E25" s="857" t="str">
        <f t="shared" si="23"/>
        <v>3rd Floor</v>
      </c>
      <c r="F25" s="1185"/>
      <c r="G25" s="764" t="s">
        <v>178</v>
      </c>
      <c r="H25" s="764" t="s">
        <v>496</v>
      </c>
      <c r="I25" s="764" t="s">
        <v>476</v>
      </c>
      <c r="J25" s="1139">
        <v>22</v>
      </c>
      <c r="K25" s="1142"/>
      <c r="L25" s="764" t="s">
        <v>344</v>
      </c>
      <c r="M25" s="764" t="s">
        <v>477</v>
      </c>
      <c r="N25" s="856">
        <f t="shared" si="24"/>
        <v>100909.09090909091</v>
      </c>
      <c r="O25" s="1138">
        <f t="shared" si="136"/>
        <v>2220000</v>
      </c>
      <c r="P25" s="1138">
        <f t="shared" si="142"/>
        <v>22400</v>
      </c>
      <c r="Q25" s="1138">
        <f t="shared" si="8"/>
        <v>50000</v>
      </c>
      <c r="R25" s="1138"/>
      <c r="S25" s="1138"/>
      <c r="T25" s="1138"/>
      <c r="U25" s="1138"/>
      <c r="V25" s="1138"/>
      <c r="W25" s="858">
        <f t="shared" si="156"/>
        <v>22000</v>
      </c>
      <c r="X25" s="1138"/>
      <c r="Y25" s="1138"/>
      <c r="Z25" s="1138">
        <f t="shared" si="137"/>
        <v>75000</v>
      </c>
      <c r="AA25" s="1138">
        <f t="shared" si="138"/>
        <v>169400</v>
      </c>
      <c r="AB25" s="1138">
        <f t="shared" si="28"/>
        <v>2389400</v>
      </c>
      <c r="AC25" s="1138">
        <f t="shared" si="29"/>
        <v>59735</v>
      </c>
      <c r="AD25" s="1138">
        <f t="shared" si="30"/>
        <v>2449135</v>
      </c>
      <c r="AE25" s="1138">
        <f t="shared" si="31"/>
        <v>61228.375</v>
      </c>
      <c r="AF25" s="1138">
        <f t="shared" si="32"/>
        <v>2510363.375</v>
      </c>
      <c r="AG25" s="1138">
        <f t="shared" si="33"/>
        <v>62759.084375000006</v>
      </c>
      <c r="AH25" s="1138">
        <f t="shared" si="34"/>
        <v>2573122.4593750001</v>
      </c>
      <c r="AI25" s="1138">
        <f t="shared" si="144"/>
        <v>128656.12296875002</v>
      </c>
      <c r="AJ25" s="1138">
        <f t="shared" si="35"/>
        <v>2701778.5823437502</v>
      </c>
      <c r="AK25" s="1138">
        <f t="shared" si="36"/>
        <v>27017.785823437502</v>
      </c>
      <c r="AL25" s="1138">
        <f t="shared" si="37"/>
        <v>27537.409960060559</v>
      </c>
      <c r="AM25" s="1138"/>
      <c r="AN25" s="1138"/>
      <c r="AO25" s="1138">
        <f t="shared" si="38"/>
        <v>2756333.7781272479</v>
      </c>
      <c r="AP25" s="1138">
        <f t="shared" si="39"/>
        <v>372105.06004717847</v>
      </c>
      <c r="AQ25" s="1248">
        <f t="shared" si="40"/>
        <v>3128438.8381744265</v>
      </c>
      <c r="AR25" s="1248">
        <f t="shared" si="152"/>
        <v>3128438.8381744265</v>
      </c>
      <c r="AS25" s="1248"/>
      <c r="AT25" s="1248"/>
      <c r="AU25" s="1248">
        <f t="shared" si="42"/>
        <v>0</v>
      </c>
      <c r="AV25" s="1140">
        <f t="shared" si="43"/>
        <v>0</v>
      </c>
      <c r="AW25" s="1140">
        <f t="shared" si="44"/>
        <v>3128438.8381744265</v>
      </c>
      <c r="AX25" s="1139">
        <f t="shared" si="45"/>
        <v>39105.485477180329</v>
      </c>
      <c r="AY25" s="831" t="s">
        <v>478</v>
      </c>
      <c r="AZ25" s="831">
        <f t="shared" si="46"/>
        <v>3167544.3236516067</v>
      </c>
      <c r="BA25" s="831">
        <f t="shared" si="47"/>
        <v>118782.91213693525</v>
      </c>
      <c r="BB25" s="831"/>
      <c r="BC25" s="831">
        <f t="shared" si="11"/>
        <v>33600</v>
      </c>
      <c r="BD25" s="831"/>
      <c r="BE25" s="831">
        <f t="shared" si="48"/>
        <v>3319927.2357885418</v>
      </c>
      <c r="BF25" s="831"/>
      <c r="BG25" s="831">
        <f t="shared" si="49"/>
        <v>3319927.2357885418</v>
      </c>
      <c r="BH25" s="831"/>
      <c r="BI25" s="831">
        <f t="shared" si="50"/>
        <v>3319927.2357885418</v>
      </c>
      <c r="BJ25" s="831"/>
      <c r="BK25" s="831">
        <f t="shared" si="51"/>
        <v>3319927.2357885418</v>
      </c>
      <c r="BL25" s="831"/>
      <c r="BM25" s="831">
        <f t="shared" si="52"/>
        <v>3319927.2357885418</v>
      </c>
      <c r="BN25" s="831"/>
      <c r="BO25" s="831">
        <f t="shared" si="53"/>
        <v>3319927.2357885418</v>
      </c>
      <c r="BP25" s="831"/>
      <c r="BQ25" s="831">
        <f t="shared" si="54"/>
        <v>3319927.2357885418</v>
      </c>
      <c r="BR25" s="831"/>
      <c r="BS25" s="831">
        <f t="shared" si="55"/>
        <v>3319927.2357885418</v>
      </c>
      <c r="BT25" s="831"/>
      <c r="BU25" s="831">
        <f t="shared" si="56"/>
        <v>3319927.2357885418</v>
      </c>
      <c r="BV25" s="831"/>
      <c r="BW25" s="831">
        <f t="shared" si="57"/>
        <v>56400</v>
      </c>
      <c r="BX25" s="831">
        <f t="shared" si="58"/>
        <v>3376327.2357885418</v>
      </c>
      <c r="BY25" s="831"/>
      <c r="BZ25" s="831">
        <f t="shared" si="59"/>
        <v>3376327.2357885418</v>
      </c>
      <c r="CA25" s="1260">
        <f t="shared" si="60"/>
        <v>3376327.2357885418</v>
      </c>
      <c r="CB25" s="1260">
        <f t="shared" si="61"/>
        <v>3376327.2357885418</v>
      </c>
      <c r="CC25" s="1260"/>
      <c r="CD25" s="1260">
        <f t="shared" si="62"/>
        <v>0</v>
      </c>
      <c r="CE25" s="1260">
        <f t="shared" si="63"/>
        <v>0</v>
      </c>
      <c r="CF25" s="1260">
        <f t="shared" si="64"/>
        <v>0</v>
      </c>
      <c r="CG25" s="1266">
        <f t="shared" si="65"/>
        <v>3376327.2357885418</v>
      </c>
      <c r="CH25" s="1141">
        <f t="shared" si="66"/>
        <v>3376327.2357885418</v>
      </c>
      <c r="CI25" s="1142">
        <f t="shared" si="67"/>
        <v>0</v>
      </c>
      <c r="CJ25" s="1141">
        <f t="shared" si="68"/>
        <v>346073.54166832555</v>
      </c>
      <c r="CK25" s="1141">
        <f t="shared" si="69"/>
        <v>118171.45325259898</v>
      </c>
      <c r="CL25" s="1143">
        <f t="shared" si="139"/>
        <v>3840572.2307094666</v>
      </c>
      <c r="CM25" s="1144">
        <f t="shared" si="71"/>
        <v>0.125</v>
      </c>
      <c r="CN25" s="1141">
        <f t="shared" si="72"/>
        <v>480071.52883868333</v>
      </c>
      <c r="CO25" s="1141">
        <f t="shared" si="73"/>
        <v>30000</v>
      </c>
      <c r="CP25" s="1141">
        <f t="shared" si="74"/>
        <v>450071.52883868333</v>
      </c>
      <c r="CQ25" s="1145">
        <f t="shared" si="75"/>
        <v>13</v>
      </c>
      <c r="CR25" s="1141">
        <f t="shared" si="76"/>
        <v>34620.886833744873</v>
      </c>
      <c r="CS25" s="1144">
        <f t="shared" si="77"/>
        <v>0.875</v>
      </c>
      <c r="CT25" s="1141">
        <f t="shared" si="78"/>
        <v>3360500.7018707832</v>
      </c>
      <c r="CU25" s="1146">
        <f t="shared" si="12"/>
        <v>26053.926173068994</v>
      </c>
      <c r="CV25" s="1146">
        <f t="shared" si="13"/>
        <v>30205.130350608837</v>
      </c>
      <c r="CW25" s="1146">
        <f t="shared" si="14"/>
        <v>39018.262590733539</v>
      </c>
      <c r="CX25" s="1146">
        <f t="shared" si="15"/>
        <v>66541.941592727337</v>
      </c>
      <c r="CY25" s="1146">
        <f t="shared" si="79"/>
        <v>272984.15341245179</v>
      </c>
      <c r="CZ25" s="1146">
        <f t="shared" si="80"/>
        <v>108018.49972314907</v>
      </c>
      <c r="DA25" s="1146">
        <f t="shared" si="81"/>
        <v>78020.232462998407</v>
      </c>
      <c r="DB25" s="1146">
        <f t="shared" si="82"/>
        <v>59376.988770332202</v>
      </c>
      <c r="DC25" s="1146"/>
      <c r="DD25" s="1146"/>
      <c r="DE25" s="1146"/>
      <c r="DF25" s="1146"/>
      <c r="DG25" s="1146"/>
      <c r="DH25" s="1146"/>
      <c r="DI25" s="1146"/>
      <c r="DJ25" s="1146"/>
      <c r="DK25" s="1146"/>
      <c r="DL25" s="1146"/>
      <c r="DM25" s="1146"/>
      <c r="DN25" s="1146"/>
      <c r="DO25" s="1146"/>
      <c r="DP25" s="1146"/>
      <c r="DQ25" s="1146"/>
      <c r="DR25" s="1146"/>
      <c r="DS25" s="1146"/>
      <c r="DT25" s="1146"/>
      <c r="DU25" s="1146"/>
      <c r="DV25" s="1146"/>
      <c r="DW25" s="1146"/>
      <c r="DX25" s="1146"/>
      <c r="DY25" s="1146"/>
      <c r="DZ25" s="1146"/>
      <c r="EA25" s="1147">
        <f t="shared" si="83"/>
        <v>0</v>
      </c>
      <c r="EB25" s="1148">
        <f t="shared" si="84"/>
        <v>0</v>
      </c>
      <c r="EC25" s="1190">
        <f t="shared" si="132"/>
        <v>45839</v>
      </c>
      <c r="ED25" s="1031">
        <f t="shared" si="16"/>
        <v>20</v>
      </c>
      <c r="EE25" s="1191"/>
      <c r="EF25" s="1032">
        <f t="shared" si="17"/>
        <v>45904</v>
      </c>
      <c r="EG25" s="1029">
        <f t="shared" si="85"/>
        <v>22</v>
      </c>
      <c r="EH25" s="859" t="s">
        <v>490</v>
      </c>
      <c r="EI25" s="859" t="s">
        <v>480</v>
      </c>
      <c r="EJ25" s="860">
        <f t="shared" si="18"/>
        <v>0</v>
      </c>
      <c r="EK25" s="860">
        <f t="shared" si="19"/>
        <v>0</v>
      </c>
      <c r="EL25" s="861">
        <f t="shared" si="20"/>
        <v>0</v>
      </c>
      <c r="EM25" s="1197"/>
      <c r="EN25" s="860"/>
      <c r="EO25" s="860"/>
      <c r="EP25" s="860">
        <f t="shared" si="21"/>
        <v>0</v>
      </c>
      <c r="EQ25" s="1197"/>
      <c r="ER25" s="1200"/>
      <c r="ES25" s="1197"/>
      <c r="ET25" s="1194" t="s">
        <v>178</v>
      </c>
      <c r="EU25" s="1197" t="b">
        <f t="shared" si="22"/>
        <v>1</v>
      </c>
      <c r="EV25" s="1197"/>
      <c r="EW25" s="1197"/>
      <c r="EX25" s="1197"/>
      <c r="EY25" s="1128" t="s">
        <v>483</v>
      </c>
      <c r="EZ25" s="1128" t="s">
        <v>484</v>
      </c>
      <c r="FA25" s="1169">
        <f t="shared" si="86"/>
        <v>0</v>
      </c>
      <c r="FB25" s="1204">
        <f>FD9</f>
        <v>0</v>
      </c>
      <c r="FC25" s="1187">
        <f>FC9</f>
        <v>0</v>
      </c>
      <c r="FI25" s="1309" t="s">
        <v>149</v>
      </c>
      <c r="FJ25" s="1159" t="s">
        <v>149</v>
      </c>
      <c r="FK25" s="1160" t="b">
        <f t="shared" si="87"/>
        <v>1</v>
      </c>
      <c r="FL25" s="1131"/>
      <c r="FM25" s="1161"/>
      <c r="FO25" s="888"/>
      <c r="FP25" s="1181">
        <f t="shared" si="145"/>
        <v>23</v>
      </c>
      <c r="FQ25" s="1176">
        <f t="shared" ref="FQ25" si="158">EDATE(FR25,FP25)</f>
        <v>46235</v>
      </c>
      <c r="FR25" s="1177">
        <v>45536</v>
      </c>
      <c r="FU25" s="1295"/>
      <c r="FV25" s="1295"/>
      <c r="FW25" s="1023">
        <v>0.125</v>
      </c>
      <c r="FX25" s="1162">
        <v>11704.917784163215</v>
      </c>
      <c r="FY25" s="1163">
        <v>12070.696464918316</v>
      </c>
      <c r="GA25" s="1164">
        <f t="shared" si="89"/>
        <v>3840572.2307094666</v>
      </c>
      <c r="GB25" s="1165">
        <f t="shared" ref="GB25:GB27" si="159">FW25</f>
        <v>0.125</v>
      </c>
      <c r="GC25" s="1154">
        <f t="shared" si="91"/>
        <v>480071.52883868333</v>
      </c>
      <c r="GD25" s="1164">
        <f t="shared" si="92"/>
        <v>30000</v>
      </c>
      <c r="GE25" s="1154">
        <f t="shared" si="93"/>
        <v>450071.52883868333</v>
      </c>
      <c r="GF25" s="1060">
        <f t="shared" si="94"/>
        <v>35</v>
      </c>
      <c r="GG25" s="1166">
        <f t="shared" si="95"/>
        <v>12859.186538248096</v>
      </c>
      <c r="GI25" s="1164">
        <f t="shared" si="96"/>
        <v>3840572.2307094666</v>
      </c>
      <c r="GJ25" s="1154">
        <f t="shared" si="97"/>
        <v>384057.2230709467</v>
      </c>
      <c r="GK25" s="1154">
        <f t="shared" si="98"/>
        <v>96014.305767736674</v>
      </c>
      <c r="GL25" s="1166">
        <v>15000</v>
      </c>
      <c r="GM25" s="1154">
        <f t="shared" si="99"/>
        <v>369057.2230709467</v>
      </c>
      <c r="GN25" s="1060">
        <f t="shared" si="100"/>
        <v>35</v>
      </c>
      <c r="GO25" s="1154">
        <f t="shared" si="101"/>
        <v>10544.492087741333</v>
      </c>
      <c r="GS25" s="1010">
        <f t="shared" si="102"/>
        <v>3840572.2307094666</v>
      </c>
      <c r="GT25" s="1011">
        <f t="shared" si="103"/>
        <v>0.125</v>
      </c>
      <c r="GU25" s="1010">
        <f t="shared" si="104"/>
        <v>480071.52883868333</v>
      </c>
      <c r="GV25" s="1010">
        <f t="shared" si="105"/>
        <v>30000</v>
      </c>
      <c r="GW25" s="1010">
        <f t="shared" si="106"/>
        <v>450071.52883868333</v>
      </c>
      <c r="GX25" s="1010">
        <f t="shared" si="107"/>
        <v>13</v>
      </c>
      <c r="GY25" s="1010">
        <f t="shared" si="108"/>
        <v>34620.886833744873</v>
      </c>
      <c r="GZ25" s="1011">
        <f t="shared" si="109"/>
        <v>0.875</v>
      </c>
      <c r="HA25" s="1010">
        <f t="shared" si="110"/>
        <v>3360500.7018707832</v>
      </c>
      <c r="HB25" s="1010">
        <f t="shared" si="111"/>
        <v>26053.926173068994</v>
      </c>
      <c r="HC25" s="1010">
        <f t="shared" si="112"/>
        <v>30205.130350608837</v>
      </c>
      <c r="HD25" s="1010">
        <f t="shared" si="113"/>
        <v>39018.262590733539</v>
      </c>
      <c r="HE25" s="1010">
        <f t="shared" si="114"/>
        <v>66541.941592727337</v>
      </c>
      <c r="HG25" s="1010">
        <f t="shared" si="115"/>
        <v>3840572.2307094666</v>
      </c>
      <c r="HH25" s="1011">
        <f t="shared" si="116"/>
        <v>0.125</v>
      </c>
      <c r="HI25" s="1010">
        <f t="shared" si="117"/>
        <v>480071.52883868333</v>
      </c>
      <c r="HJ25" s="1010">
        <f t="shared" si="118"/>
        <v>30000</v>
      </c>
      <c r="HK25" s="1010">
        <f t="shared" si="119"/>
        <v>450071.52883868333</v>
      </c>
      <c r="HL25" s="1012">
        <f t="shared" si="120"/>
        <v>33</v>
      </c>
      <c r="HM25" s="1167">
        <f t="shared" si="121"/>
        <v>13638.531176929799</v>
      </c>
      <c r="HN25" s="1168">
        <f t="shared" si="122"/>
        <v>0.875</v>
      </c>
      <c r="HO25" s="1167">
        <f t="shared" si="123"/>
        <v>3360500.7018707832</v>
      </c>
      <c r="HP25" s="1146">
        <f t="shared" si="124"/>
        <v>26053.926173068994</v>
      </c>
      <c r="HQ25" s="1146">
        <f t="shared" si="125"/>
        <v>30205.130350608837</v>
      </c>
      <c r="HR25" s="1146">
        <f t="shared" si="126"/>
        <v>39018.262590733539</v>
      </c>
      <c r="HS25" s="1146">
        <f t="shared" si="127"/>
        <v>66541.941592727337</v>
      </c>
      <c r="HU25" s="1167">
        <f t="shared" si="128"/>
        <v>-20982.355656815074</v>
      </c>
      <c r="HX25" s="1154"/>
      <c r="HY25" s="1154"/>
      <c r="IB25" s="1154"/>
      <c r="IC25" s="1154"/>
      <c r="ID25" s="1154"/>
      <c r="IE25" s="1154"/>
      <c r="IG25" s="1060"/>
    </row>
    <row r="26" spans="1:264" ht="14.25" customHeight="1">
      <c r="A26" s="1186">
        <f t="shared" si="141"/>
        <v>20</v>
      </c>
      <c r="B26" s="824"/>
      <c r="C26" s="855">
        <f t="shared" si="155"/>
        <v>5</v>
      </c>
      <c r="D26" s="856" t="s">
        <v>495</v>
      </c>
      <c r="E26" s="857" t="str">
        <f t="shared" si="23"/>
        <v>3rd Floor</v>
      </c>
      <c r="F26" s="1185"/>
      <c r="G26" s="764" t="s">
        <v>179</v>
      </c>
      <c r="H26" s="764" t="s">
        <v>499</v>
      </c>
      <c r="I26" s="764" t="s">
        <v>476</v>
      </c>
      <c r="J26" s="1139">
        <v>22</v>
      </c>
      <c r="K26" s="1142"/>
      <c r="L26" s="764" t="s">
        <v>344</v>
      </c>
      <c r="M26" s="764" t="s">
        <v>477</v>
      </c>
      <c r="N26" s="856">
        <f t="shared" si="24"/>
        <v>100909.09090909091</v>
      </c>
      <c r="O26" s="1138">
        <f t="shared" si="136"/>
        <v>2220000</v>
      </c>
      <c r="P26" s="1138">
        <f t="shared" si="142"/>
        <v>22400</v>
      </c>
      <c r="Q26" s="1138">
        <f t="shared" si="8"/>
        <v>50000</v>
      </c>
      <c r="R26" s="1138"/>
      <c r="S26" s="1138"/>
      <c r="T26" s="1138"/>
      <c r="U26" s="1138"/>
      <c r="V26" s="858"/>
      <c r="W26" s="858">
        <f t="shared" si="156"/>
        <v>22000</v>
      </c>
      <c r="X26" s="1138"/>
      <c r="Y26" s="1138"/>
      <c r="Z26" s="1138">
        <f t="shared" si="137"/>
        <v>75000</v>
      </c>
      <c r="AA26" s="1138">
        <f t="shared" si="138"/>
        <v>169400</v>
      </c>
      <c r="AB26" s="1138">
        <f t="shared" si="28"/>
        <v>2389400</v>
      </c>
      <c r="AC26" s="1138">
        <f t="shared" si="29"/>
        <v>59735</v>
      </c>
      <c r="AD26" s="1138">
        <f t="shared" si="30"/>
        <v>2449135</v>
      </c>
      <c r="AE26" s="1138">
        <f t="shared" si="31"/>
        <v>61228.375</v>
      </c>
      <c r="AF26" s="1138">
        <f t="shared" si="32"/>
        <v>2510363.375</v>
      </c>
      <c r="AG26" s="1138">
        <f t="shared" si="33"/>
        <v>62759.084375000006</v>
      </c>
      <c r="AH26" s="1138">
        <f t="shared" si="34"/>
        <v>2573122.4593750001</v>
      </c>
      <c r="AI26" s="1138">
        <f t="shared" si="144"/>
        <v>128656.12296875002</v>
      </c>
      <c r="AJ26" s="1138">
        <f t="shared" si="35"/>
        <v>2701778.5823437502</v>
      </c>
      <c r="AK26" s="1138">
        <f t="shared" si="36"/>
        <v>27017.785823437502</v>
      </c>
      <c r="AL26" s="1138">
        <f t="shared" si="37"/>
        <v>27537.409960060559</v>
      </c>
      <c r="AM26" s="1138"/>
      <c r="AN26" s="1138"/>
      <c r="AO26" s="1138">
        <f t="shared" si="38"/>
        <v>2756333.7781272479</v>
      </c>
      <c r="AP26" s="1138">
        <f t="shared" si="39"/>
        <v>372105.06004717847</v>
      </c>
      <c r="AQ26" s="1248">
        <f t="shared" si="40"/>
        <v>3128438.8381744265</v>
      </c>
      <c r="AR26" s="1248">
        <f t="shared" si="152"/>
        <v>3128438.8381744265</v>
      </c>
      <c r="AS26" s="1248"/>
      <c r="AT26" s="1248"/>
      <c r="AU26" s="1248">
        <f t="shared" si="42"/>
        <v>0</v>
      </c>
      <c r="AV26" s="1140">
        <f t="shared" si="43"/>
        <v>0</v>
      </c>
      <c r="AW26" s="1140">
        <f t="shared" si="44"/>
        <v>3128438.8381744265</v>
      </c>
      <c r="AX26" s="1139">
        <f t="shared" si="45"/>
        <v>39105.485477180329</v>
      </c>
      <c r="AY26" s="831" t="s">
        <v>478</v>
      </c>
      <c r="AZ26" s="831">
        <f t="shared" si="46"/>
        <v>3167544.3236516067</v>
      </c>
      <c r="BA26" s="831">
        <f t="shared" si="47"/>
        <v>118782.91213693525</v>
      </c>
      <c r="BB26" s="831"/>
      <c r="BC26" s="831">
        <f t="shared" si="11"/>
        <v>33600</v>
      </c>
      <c r="BD26" s="831">
        <v>8990.8965517241377</v>
      </c>
      <c r="BE26" s="831">
        <f t="shared" si="48"/>
        <v>3328918.1323402659</v>
      </c>
      <c r="BF26" s="831">
        <v>42723.767172413798</v>
      </c>
      <c r="BG26" s="831">
        <f t="shared" si="49"/>
        <v>3371641.8995126798</v>
      </c>
      <c r="BH26" s="831"/>
      <c r="BI26" s="831">
        <f t="shared" si="50"/>
        <v>3371641.8995126798</v>
      </c>
      <c r="BJ26" s="831"/>
      <c r="BK26" s="831">
        <f t="shared" si="51"/>
        <v>3371641.8995126798</v>
      </c>
      <c r="BL26" s="831"/>
      <c r="BM26" s="831">
        <f t="shared" si="52"/>
        <v>3371641.8995126798</v>
      </c>
      <c r="BN26" s="831"/>
      <c r="BO26" s="831">
        <f t="shared" si="53"/>
        <v>3371641.8995126798</v>
      </c>
      <c r="BP26" s="831">
        <f>$BP$5/37</f>
        <v>5065.3710270270276</v>
      </c>
      <c r="BQ26" s="831">
        <f t="shared" si="54"/>
        <v>3376707.270539707</v>
      </c>
      <c r="BR26" s="831">
        <f>$BR$5/42</f>
        <v>3544.6104</v>
      </c>
      <c r="BS26" s="831">
        <f t="shared" si="55"/>
        <v>3380251.8809397072</v>
      </c>
      <c r="BT26" s="831">
        <f>$BT$5/41</f>
        <v>1609.3168000000001</v>
      </c>
      <c r="BU26" s="831">
        <f t="shared" si="56"/>
        <v>3381861.1977397073</v>
      </c>
      <c r="BV26" s="831">
        <f>$BV$5/43</f>
        <v>1163.3400930232558</v>
      </c>
      <c r="BW26" s="831">
        <f t="shared" si="57"/>
        <v>56400</v>
      </c>
      <c r="BX26" s="831">
        <f t="shared" si="58"/>
        <v>3439424.5378327304</v>
      </c>
      <c r="BY26" s="831">
        <f>$BY$5/44</f>
        <v>30549.183723443901</v>
      </c>
      <c r="BZ26" s="831">
        <f t="shared" si="59"/>
        <v>3469973.7215561746</v>
      </c>
      <c r="CA26" s="1260">
        <f t="shared" si="60"/>
        <v>3469973.7215561746</v>
      </c>
      <c r="CB26" s="1260">
        <f t="shared" si="61"/>
        <v>3469973.7215561746</v>
      </c>
      <c r="CC26" s="1260"/>
      <c r="CD26" s="1260">
        <f t="shared" si="62"/>
        <v>0</v>
      </c>
      <c r="CE26" s="1260">
        <f t="shared" si="63"/>
        <v>0</v>
      </c>
      <c r="CF26" s="1260">
        <f t="shared" si="64"/>
        <v>0</v>
      </c>
      <c r="CG26" s="1266">
        <f t="shared" si="65"/>
        <v>3469973.7215561746</v>
      </c>
      <c r="CH26" s="1141">
        <f t="shared" si="66"/>
        <v>3469973.7215561746</v>
      </c>
      <c r="CI26" s="1142">
        <f t="shared" si="67"/>
        <v>0</v>
      </c>
      <c r="CJ26" s="1141">
        <f t="shared" si="68"/>
        <v>355672.30645950785</v>
      </c>
      <c r="CK26" s="1141">
        <f t="shared" si="69"/>
        <v>121449.08025446613</v>
      </c>
      <c r="CL26" s="1143">
        <f t="shared" si="139"/>
        <v>3947095.1082701487</v>
      </c>
      <c r="CM26" s="1144">
        <f t="shared" si="71"/>
        <v>0.125</v>
      </c>
      <c r="CN26" s="1141">
        <f t="shared" si="72"/>
        <v>493386.88853376859</v>
      </c>
      <c r="CO26" s="1141">
        <f t="shared" si="73"/>
        <v>30000</v>
      </c>
      <c r="CP26" s="1141">
        <f t="shared" si="74"/>
        <v>463386.88853376859</v>
      </c>
      <c r="CQ26" s="1145">
        <f t="shared" si="75"/>
        <v>13</v>
      </c>
      <c r="CR26" s="1141">
        <f t="shared" si="76"/>
        <v>35645.145271828354</v>
      </c>
      <c r="CS26" s="1144">
        <f t="shared" si="77"/>
        <v>0.875</v>
      </c>
      <c r="CT26" s="1141">
        <f t="shared" si="78"/>
        <v>3453708.21973638</v>
      </c>
      <c r="CU26" s="1146">
        <f t="shared" si="12"/>
        <v>26776.563066997736</v>
      </c>
      <c r="CV26" s="1146">
        <f t="shared" si="13"/>
        <v>31042.905871744646</v>
      </c>
      <c r="CW26" s="1146">
        <f t="shared" si="14"/>
        <v>40100.480905845259</v>
      </c>
      <c r="CX26" s="1146">
        <f t="shared" si="15"/>
        <v>68387.562159437191</v>
      </c>
      <c r="CY26" s="1146">
        <f t="shared" si="79"/>
        <v>280555.69635010132</v>
      </c>
      <c r="CZ26" s="1146">
        <f t="shared" si="80"/>
        <v>111014.52238047376</v>
      </c>
      <c r="DA26" s="1146">
        <f t="shared" si="81"/>
        <v>80184.217195132107</v>
      </c>
      <c r="DB26" s="1146">
        <f t="shared" si="82"/>
        <v>61023.880776197613</v>
      </c>
      <c r="DC26" s="1146"/>
      <c r="DD26" s="1146"/>
      <c r="DE26" s="1146"/>
      <c r="DF26" s="1146"/>
      <c r="DG26" s="1146"/>
      <c r="DH26" s="1146"/>
      <c r="DI26" s="1146"/>
      <c r="DJ26" s="1146"/>
      <c r="DK26" s="1146"/>
      <c r="DL26" s="1146"/>
      <c r="DM26" s="1146"/>
      <c r="DN26" s="1146"/>
      <c r="DO26" s="1146"/>
      <c r="DP26" s="1146"/>
      <c r="DQ26" s="1146"/>
      <c r="DR26" s="1146"/>
      <c r="DS26" s="1146"/>
      <c r="DT26" s="1146"/>
      <c r="DU26" s="1146"/>
      <c r="DV26" s="1146"/>
      <c r="DW26" s="1146"/>
      <c r="DX26" s="1146"/>
      <c r="DY26" s="1146"/>
      <c r="DZ26" s="1146"/>
      <c r="EA26" s="1147">
        <f t="shared" si="83"/>
        <v>0</v>
      </c>
      <c r="EB26" s="1148">
        <f t="shared" si="84"/>
        <v>0</v>
      </c>
      <c r="EC26" s="1190">
        <f t="shared" si="132"/>
        <v>45839</v>
      </c>
      <c r="ED26" s="1031">
        <f t="shared" si="16"/>
        <v>20</v>
      </c>
      <c r="EE26" s="1191"/>
      <c r="EF26" s="1032">
        <f t="shared" si="17"/>
        <v>45904</v>
      </c>
      <c r="EG26" s="1029">
        <f t="shared" si="85"/>
        <v>22</v>
      </c>
      <c r="EH26" s="859" t="s">
        <v>490</v>
      </c>
      <c r="EI26" s="859" t="s">
        <v>480</v>
      </c>
      <c r="EJ26" s="860">
        <f t="shared" si="18"/>
        <v>0</v>
      </c>
      <c r="EK26" s="860">
        <f t="shared" si="19"/>
        <v>0</v>
      </c>
      <c r="EL26" s="861">
        <f t="shared" si="20"/>
        <v>0</v>
      </c>
      <c r="EM26" s="1197"/>
      <c r="EN26" s="860"/>
      <c r="EO26" s="860"/>
      <c r="EP26" s="860">
        <f t="shared" si="21"/>
        <v>0</v>
      </c>
      <c r="EQ26" s="1197"/>
      <c r="ER26" s="1200"/>
      <c r="ES26" s="1197"/>
      <c r="ET26" s="1194" t="s">
        <v>179</v>
      </c>
      <c r="EU26" s="1197" t="b">
        <f t="shared" si="22"/>
        <v>1</v>
      </c>
      <c r="EV26" s="1197"/>
      <c r="EW26" s="1197"/>
      <c r="EX26" s="1197"/>
      <c r="EY26" s="1128" t="s">
        <v>483</v>
      </c>
      <c r="EZ26" s="1128" t="s">
        <v>484</v>
      </c>
      <c r="FA26" s="1169">
        <f t="shared" si="86"/>
        <v>0</v>
      </c>
      <c r="FB26" s="1204">
        <f>FD10</f>
        <v>0</v>
      </c>
      <c r="FC26" s="1187">
        <f>FC10</f>
        <v>0</v>
      </c>
      <c r="FI26" s="1309" t="s">
        <v>96</v>
      </c>
      <c r="FJ26" s="1159" t="s">
        <v>96</v>
      </c>
      <c r="FK26" s="1160" t="b">
        <f t="shared" si="87"/>
        <v>1</v>
      </c>
      <c r="FL26" s="1131"/>
      <c r="FM26" s="1161"/>
      <c r="FO26" s="888"/>
      <c r="FP26" s="1181">
        <f t="shared" si="145"/>
        <v>22</v>
      </c>
      <c r="FQ26" s="1176">
        <f t="shared" ref="FQ26:FQ27" si="160">EDATE(FR26,FP26)</f>
        <v>46235</v>
      </c>
      <c r="FR26" s="1177">
        <v>45566</v>
      </c>
      <c r="FU26" s="1295"/>
      <c r="FV26" s="1295"/>
      <c r="FW26" s="1023">
        <v>0.125</v>
      </c>
      <c r="FX26" s="1162">
        <v>11704.917784163215</v>
      </c>
      <c r="FY26" s="1163">
        <v>12070.696464918316</v>
      </c>
      <c r="GA26" s="1164">
        <f t="shared" si="89"/>
        <v>3947095.1082701487</v>
      </c>
      <c r="GB26" s="1165">
        <f t="shared" si="159"/>
        <v>0.125</v>
      </c>
      <c r="GC26" s="1154">
        <f t="shared" si="91"/>
        <v>493386.88853376859</v>
      </c>
      <c r="GD26" s="1164">
        <f t="shared" si="92"/>
        <v>30000</v>
      </c>
      <c r="GE26" s="1154">
        <f t="shared" si="93"/>
        <v>463386.88853376859</v>
      </c>
      <c r="GF26" s="1060">
        <f t="shared" si="94"/>
        <v>35</v>
      </c>
      <c r="GG26" s="1166">
        <f t="shared" si="95"/>
        <v>13239.625386679103</v>
      </c>
      <c r="GI26" s="1164">
        <f t="shared" si="96"/>
        <v>3947095.1082701487</v>
      </c>
      <c r="GJ26" s="1154">
        <f t="shared" si="97"/>
        <v>394709.51082701492</v>
      </c>
      <c r="GK26" s="1154">
        <f t="shared" si="98"/>
        <v>98677.37770675373</v>
      </c>
      <c r="GL26" s="1166">
        <v>15000</v>
      </c>
      <c r="GM26" s="1154">
        <f t="shared" si="99"/>
        <v>379709.51082701492</v>
      </c>
      <c r="GN26" s="1060">
        <f t="shared" si="100"/>
        <v>35</v>
      </c>
      <c r="GO26" s="1154">
        <f t="shared" si="101"/>
        <v>10848.84316648614</v>
      </c>
      <c r="GS26" s="1010">
        <f t="shared" si="102"/>
        <v>3947095.1082701487</v>
      </c>
      <c r="GT26" s="1011">
        <f t="shared" si="103"/>
        <v>0.125</v>
      </c>
      <c r="GU26" s="1010">
        <f t="shared" si="104"/>
        <v>493386.88853376859</v>
      </c>
      <c r="GV26" s="1010">
        <f t="shared" si="105"/>
        <v>30000</v>
      </c>
      <c r="GW26" s="1010">
        <f t="shared" si="106"/>
        <v>463386.88853376859</v>
      </c>
      <c r="GX26" s="1010">
        <f t="shared" si="107"/>
        <v>13</v>
      </c>
      <c r="GY26" s="1010">
        <f t="shared" si="108"/>
        <v>35645.145271828354</v>
      </c>
      <c r="GZ26" s="1011">
        <f t="shared" si="109"/>
        <v>0.875</v>
      </c>
      <c r="HA26" s="1010">
        <f t="shared" si="110"/>
        <v>3453708.21973638</v>
      </c>
      <c r="HB26" s="1010">
        <f t="shared" si="111"/>
        <v>26776.563066997736</v>
      </c>
      <c r="HC26" s="1010">
        <f t="shared" si="112"/>
        <v>31042.905871744646</v>
      </c>
      <c r="HD26" s="1010">
        <f t="shared" si="113"/>
        <v>40100.480905845259</v>
      </c>
      <c r="HE26" s="1010">
        <f t="shared" si="114"/>
        <v>68387.562159437191</v>
      </c>
      <c r="HG26" s="1010">
        <f t="shared" si="115"/>
        <v>3947095.1082701487</v>
      </c>
      <c r="HH26" s="1011">
        <f t="shared" si="116"/>
        <v>0.125</v>
      </c>
      <c r="HI26" s="1010">
        <f t="shared" si="117"/>
        <v>493386.88853376859</v>
      </c>
      <c r="HJ26" s="1010">
        <f t="shared" si="118"/>
        <v>30000</v>
      </c>
      <c r="HK26" s="1010">
        <f t="shared" si="119"/>
        <v>463386.88853376859</v>
      </c>
      <c r="HL26" s="1012">
        <f t="shared" si="120"/>
        <v>33</v>
      </c>
      <c r="HM26" s="1167">
        <f t="shared" si="121"/>
        <v>14042.026925265714</v>
      </c>
      <c r="HN26" s="1168">
        <f t="shared" si="122"/>
        <v>0.875</v>
      </c>
      <c r="HO26" s="1167">
        <f t="shared" si="123"/>
        <v>3453708.21973638</v>
      </c>
      <c r="HP26" s="1146">
        <f t="shared" si="124"/>
        <v>26776.563066997736</v>
      </c>
      <c r="HQ26" s="1146">
        <f t="shared" si="125"/>
        <v>31042.905871744646</v>
      </c>
      <c r="HR26" s="1146">
        <f t="shared" si="126"/>
        <v>40100.480905845259</v>
      </c>
      <c r="HS26" s="1146">
        <f t="shared" si="127"/>
        <v>68387.562159437191</v>
      </c>
      <c r="HU26" s="1167">
        <f t="shared" si="128"/>
        <v>-21603.118346562638</v>
      </c>
      <c r="HX26" s="1154"/>
      <c r="HY26" s="1154"/>
      <c r="IB26" s="1154"/>
      <c r="IC26" s="1154"/>
      <c r="ID26" s="1154"/>
      <c r="IE26" s="1154"/>
      <c r="IG26" s="1060"/>
    </row>
    <row r="27" spans="1:264" ht="14.25" hidden="1" customHeight="1">
      <c r="A27" s="1186">
        <f t="shared" si="141"/>
        <v>21</v>
      </c>
      <c r="B27" s="824"/>
      <c r="C27" s="855">
        <f t="shared" si="155"/>
        <v>6</v>
      </c>
      <c r="D27" s="856" t="s">
        <v>495</v>
      </c>
      <c r="E27" s="857" t="str">
        <f t="shared" si="23"/>
        <v>3rd Floor</v>
      </c>
      <c r="F27" s="1185"/>
      <c r="G27" s="764" t="s">
        <v>180</v>
      </c>
      <c r="H27" s="764" t="s">
        <v>503</v>
      </c>
      <c r="I27" s="764" t="s">
        <v>476</v>
      </c>
      <c r="J27" s="1139">
        <v>22</v>
      </c>
      <c r="K27" s="1142"/>
      <c r="L27" s="764" t="s">
        <v>344</v>
      </c>
      <c r="M27" s="764" t="s">
        <v>477</v>
      </c>
      <c r="N27" s="856">
        <f t="shared" si="24"/>
        <v>100909.09090909091</v>
      </c>
      <c r="O27" s="1138">
        <f t="shared" si="136"/>
        <v>2220000</v>
      </c>
      <c r="P27" s="1138">
        <f t="shared" si="142"/>
        <v>22400</v>
      </c>
      <c r="Q27" s="1138">
        <f t="shared" si="8"/>
        <v>50000</v>
      </c>
      <c r="R27" s="1138"/>
      <c r="S27" s="1138"/>
      <c r="T27" s="1138"/>
      <c r="U27" s="1138"/>
      <c r="V27" s="1138"/>
      <c r="W27" s="858">
        <f t="shared" si="156"/>
        <v>22000</v>
      </c>
      <c r="X27" s="1138"/>
      <c r="Y27" s="1138"/>
      <c r="Z27" s="1138">
        <f t="shared" si="137"/>
        <v>75000</v>
      </c>
      <c r="AA27" s="1138">
        <f t="shared" si="138"/>
        <v>169400</v>
      </c>
      <c r="AB27" s="1138">
        <f t="shared" si="28"/>
        <v>2389400</v>
      </c>
      <c r="AC27" s="1138">
        <f t="shared" si="29"/>
        <v>59735</v>
      </c>
      <c r="AD27" s="1138">
        <f t="shared" si="30"/>
        <v>2449135</v>
      </c>
      <c r="AE27" s="1138">
        <f t="shared" si="31"/>
        <v>61228.375</v>
      </c>
      <c r="AF27" s="1138">
        <f t="shared" si="32"/>
        <v>2510363.375</v>
      </c>
      <c r="AG27" s="1138">
        <f t="shared" si="33"/>
        <v>62759.084375000006</v>
      </c>
      <c r="AH27" s="1138">
        <f t="shared" si="34"/>
        <v>2573122.4593750001</v>
      </c>
      <c r="AI27" s="1138">
        <f t="shared" si="144"/>
        <v>128656.12296875002</v>
      </c>
      <c r="AJ27" s="1138">
        <f t="shared" si="35"/>
        <v>2701778.5823437502</v>
      </c>
      <c r="AK27" s="1138">
        <f t="shared" si="36"/>
        <v>27017.785823437502</v>
      </c>
      <c r="AL27" s="1138">
        <f t="shared" si="37"/>
        <v>27537.409960060559</v>
      </c>
      <c r="AM27" s="1138"/>
      <c r="AN27" s="1138"/>
      <c r="AO27" s="1138">
        <f t="shared" si="38"/>
        <v>2756333.7781272479</v>
      </c>
      <c r="AP27" s="1138">
        <f t="shared" si="39"/>
        <v>372105.06004717847</v>
      </c>
      <c r="AQ27" s="1248">
        <f t="shared" si="40"/>
        <v>3128438.8381744265</v>
      </c>
      <c r="AR27" s="1248">
        <f t="shared" si="152"/>
        <v>3128438.8381744265</v>
      </c>
      <c r="AS27" s="1248"/>
      <c r="AT27" s="1248"/>
      <c r="AU27" s="1248">
        <f t="shared" si="42"/>
        <v>0</v>
      </c>
      <c r="AV27" s="1140">
        <f t="shared" si="43"/>
        <v>0</v>
      </c>
      <c r="AW27" s="1140">
        <f t="shared" si="44"/>
        <v>3128438.8381744265</v>
      </c>
      <c r="AX27" s="1139">
        <f t="shared" si="45"/>
        <v>39105.485477180329</v>
      </c>
      <c r="AY27" s="831" t="s">
        <v>478</v>
      </c>
      <c r="AZ27" s="831">
        <f t="shared" si="46"/>
        <v>3167544.3236516067</v>
      </c>
      <c r="BA27" s="831">
        <f t="shared" si="47"/>
        <v>118782.91213693525</v>
      </c>
      <c r="BB27" s="831"/>
      <c r="BC27" s="831">
        <f t="shared" si="11"/>
        <v>33600</v>
      </c>
      <c r="BD27" s="831"/>
      <c r="BE27" s="831">
        <f t="shared" si="48"/>
        <v>3319927.2357885418</v>
      </c>
      <c r="BF27" s="831"/>
      <c r="BG27" s="831">
        <f t="shared" si="49"/>
        <v>3319927.2357885418</v>
      </c>
      <c r="BH27" s="831"/>
      <c r="BI27" s="831">
        <f t="shared" si="50"/>
        <v>3319927.2357885418</v>
      </c>
      <c r="BJ27" s="831"/>
      <c r="BK27" s="831">
        <f t="shared" si="51"/>
        <v>3319927.2357885418</v>
      </c>
      <c r="BL27" s="831"/>
      <c r="BM27" s="831">
        <f t="shared" si="52"/>
        <v>3319927.2357885418</v>
      </c>
      <c r="BN27" s="831"/>
      <c r="BO27" s="831">
        <f t="shared" si="53"/>
        <v>3319927.2357885418</v>
      </c>
      <c r="BP27" s="831"/>
      <c r="BQ27" s="831">
        <f t="shared" si="54"/>
        <v>3319927.2357885418</v>
      </c>
      <c r="BR27" s="831"/>
      <c r="BS27" s="831">
        <f t="shared" si="55"/>
        <v>3319927.2357885418</v>
      </c>
      <c r="BT27" s="831"/>
      <c r="BU27" s="831">
        <f t="shared" si="56"/>
        <v>3319927.2357885418</v>
      </c>
      <c r="BV27" s="831"/>
      <c r="BW27" s="831">
        <f t="shared" si="57"/>
        <v>56400</v>
      </c>
      <c r="BX27" s="831">
        <f t="shared" si="58"/>
        <v>3376327.2357885418</v>
      </c>
      <c r="BY27" s="831"/>
      <c r="BZ27" s="831">
        <f t="shared" si="59"/>
        <v>3376327.2357885418</v>
      </c>
      <c r="CA27" s="1260">
        <f t="shared" si="60"/>
        <v>3376327.2357885418</v>
      </c>
      <c r="CB27" s="1260">
        <f t="shared" si="61"/>
        <v>3376327.2357885418</v>
      </c>
      <c r="CC27" s="1260"/>
      <c r="CD27" s="1260">
        <f t="shared" si="62"/>
        <v>0</v>
      </c>
      <c r="CE27" s="1260">
        <f t="shared" si="63"/>
        <v>0</v>
      </c>
      <c r="CF27" s="1260">
        <f t="shared" si="64"/>
        <v>0</v>
      </c>
      <c r="CG27" s="1266">
        <f t="shared" si="65"/>
        <v>3376327.2357885418</v>
      </c>
      <c r="CH27" s="1141">
        <f t="shared" si="66"/>
        <v>3376327.2357885418</v>
      </c>
      <c r="CI27" s="1142">
        <f t="shared" si="67"/>
        <v>0</v>
      </c>
      <c r="CJ27" s="1141">
        <f t="shared" si="68"/>
        <v>346073.54166832555</v>
      </c>
      <c r="CK27" s="1141">
        <f t="shared" si="69"/>
        <v>118171.45325259898</v>
      </c>
      <c r="CL27" s="1143">
        <f t="shared" si="139"/>
        <v>3840572.2307094666</v>
      </c>
      <c r="CM27" s="1144">
        <f t="shared" si="71"/>
        <v>0.125</v>
      </c>
      <c r="CN27" s="1141">
        <f t="shared" si="72"/>
        <v>480071.52883868333</v>
      </c>
      <c r="CO27" s="1141">
        <f t="shared" si="73"/>
        <v>30000</v>
      </c>
      <c r="CP27" s="1141">
        <f t="shared" si="74"/>
        <v>450071.52883868333</v>
      </c>
      <c r="CQ27" s="1145">
        <f t="shared" si="75"/>
        <v>13</v>
      </c>
      <c r="CR27" s="1141">
        <f t="shared" si="76"/>
        <v>34620.886833744873</v>
      </c>
      <c r="CS27" s="1144">
        <f t="shared" si="77"/>
        <v>0.875</v>
      </c>
      <c r="CT27" s="1141">
        <f t="shared" si="78"/>
        <v>3360500.7018707832</v>
      </c>
      <c r="CU27" s="1146">
        <f t="shared" si="12"/>
        <v>26053.926173068994</v>
      </c>
      <c r="CV27" s="1146">
        <f t="shared" si="13"/>
        <v>30205.130350608837</v>
      </c>
      <c r="CW27" s="1146">
        <f t="shared" si="14"/>
        <v>39018.262590733539</v>
      </c>
      <c r="CX27" s="1146">
        <f t="shared" si="15"/>
        <v>66541.941592727337</v>
      </c>
      <c r="CY27" s="1146">
        <f t="shared" si="79"/>
        <v>272984.15341245179</v>
      </c>
      <c r="CZ27" s="1146">
        <f t="shared" si="80"/>
        <v>108018.49972314907</v>
      </c>
      <c r="DA27" s="1146">
        <f t="shared" si="81"/>
        <v>78020.232462998407</v>
      </c>
      <c r="DB27" s="1146">
        <f t="shared" si="82"/>
        <v>59376.988770332202</v>
      </c>
      <c r="DC27" s="1146"/>
      <c r="DD27" s="1146"/>
      <c r="DE27" s="1146"/>
      <c r="DF27" s="1146"/>
      <c r="DG27" s="1146"/>
      <c r="DH27" s="1146"/>
      <c r="DI27" s="1146"/>
      <c r="DJ27" s="1146"/>
      <c r="DK27" s="1146"/>
      <c r="DL27" s="1146"/>
      <c r="DM27" s="1146"/>
      <c r="DN27" s="1146"/>
      <c r="DO27" s="1146"/>
      <c r="DP27" s="1146"/>
      <c r="DQ27" s="1146"/>
      <c r="DR27" s="1146"/>
      <c r="DS27" s="1146"/>
      <c r="DT27" s="1146"/>
      <c r="DU27" s="1146"/>
      <c r="DV27" s="1146"/>
      <c r="DW27" s="1146"/>
      <c r="DX27" s="1146"/>
      <c r="DY27" s="1146"/>
      <c r="DZ27" s="1146"/>
      <c r="EA27" s="1147">
        <f t="shared" si="83"/>
        <v>0</v>
      </c>
      <c r="EB27" s="1148">
        <f t="shared" si="84"/>
        <v>0</v>
      </c>
      <c r="EC27" s="1190">
        <f t="shared" si="132"/>
        <v>45839</v>
      </c>
      <c r="ED27" s="1031">
        <f t="shared" si="16"/>
        <v>20</v>
      </c>
      <c r="EE27" s="1191"/>
      <c r="EF27" s="1032">
        <f t="shared" si="17"/>
        <v>45904</v>
      </c>
      <c r="EG27" s="1029">
        <f t="shared" si="85"/>
        <v>22</v>
      </c>
      <c r="EH27" s="859" t="s">
        <v>490</v>
      </c>
      <c r="EI27" s="859" t="s">
        <v>480</v>
      </c>
      <c r="EJ27" s="860">
        <f t="shared" si="18"/>
        <v>0</v>
      </c>
      <c r="EK27" s="860">
        <f t="shared" si="19"/>
        <v>0</v>
      </c>
      <c r="EL27" s="861">
        <f t="shared" si="20"/>
        <v>0</v>
      </c>
      <c r="EM27" s="1197"/>
      <c r="EN27" s="860"/>
      <c r="EO27" s="860"/>
      <c r="EP27" s="860">
        <f t="shared" si="21"/>
        <v>0</v>
      </c>
      <c r="EQ27" s="1197"/>
      <c r="ER27" s="1200"/>
      <c r="ES27" s="1197"/>
      <c r="ET27" s="1194" t="s">
        <v>180</v>
      </c>
      <c r="EU27" s="1197" t="b">
        <f t="shared" si="22"/>
        <v>1</v>
      </c>
      <c r="EV27" s="1197"/>
      <c r="EW27" s="1197"/>
      <c r="EX27" s="1197"/>
      <c r="EY27" s="1128" t="s">
        <v>483</v>
      </c>
      <c r="EZ27" s="1128" t="s">
        <v>484</v>
      </c>
      <c r="FA27" s="1169">
        <f t="shared" si="86"/>
        <v>0</v>
      </c>
      <c r="FB27" s="1204">
        <f>FD11</f>
        <v>0</v>
      </c>
      <c r="FC27" s="1187">
        <f>FC11</f>
        <v>0</v>
      </c>
      <c r="FI27" s="1309" t="s">
        <v>149</v>
      </c>
      <c r="FJ27" s="1159" t="s">
        <v>149</v>
      </c>
      <c r="FK27" s="1160" t="b">
        <f t="shared" si="87"/>
        <v>1</v>
      </c>
      <c r="FL27" s="1131"/>
      <c r="FM27" s="1161"/>
      <c r="FO27" s="888"/>
      <c r="FP27" s="1181">
        <v>20</v>
      </c>
      <c r="FQ27" s="1176">
        <f t="shared" si="160"/>
        <v>46204</v>
      </c>
      <c r="FR27" s="1177">
        <v>45597</v>
      </c>
      <c r="FS27" s="884" t="s">
        <v>538</v>
      </c>
      <c r="FU27" s="1295"/>
      <c r="FV27" s="1295"/>
      <c r="FW27" s="1023">
        <v>0.125</v>
      </c>
      <c r="FX27" s="1162">
        <v>11704.917784163215</v>
      </c>
      <c r="FY27" s="1163">
        <v>12070.696464918316</v>
      </c>
      <c r="GA27" s="1164">
        <f t="shared" si="89"/>
        <v>3840572.2307094666</v>
      </c>
      <c r="GB27" s="1165">
        <f t="shared" si="159"/>
        <v>0.125</v>
      </c>
      <c r="GC27" s="1154">
        <f t="shared" si="91"/>
        <v>480071.52883868333</v>
      </c>
      <c r="GD27" s="1164">
        <f t="shared" si="92"/>
        <v>30000</v>
      </c>
      <c r="GE27" s="1154">
        <f t="shared" si="93"/>
        <v>450071.52883868333</v>
      </c>
      <c r="GF27" s="1060">
        <f t="shared" si="94"/>
        <v>35</v>
      </c>
      <c r="GG27" s="1166">
        <f t="shared" si="95"/>
        <v>12859.186538248096</v>
      </c>
      <c r="GI27" s="1164">
        <f t="shared" si="96"/>
        <v>3840572.2307094666</v>
      </c>
      <c r="GJ27" s="1154">
        <f t="shared" si="97"/>
        <v>384057.2230709467</v>
      </c>
      <c r="GK27" s="1154">
        <f t="shared" si="98"/>
        <v>96014.305767736674</v>
      </c>
      <c r="GL27" s="1166">
        <v>15000</v>
      </c>
      <c r="GM27" s="1154">
        <f t="shared" si="99"/>
        <v>369057.2230709467</v>
      </c>
      <c r="GN27" s="1060">
        <f t="shared" si="100"/>
        <v>35</v>
      </c>
      <c r="GO27" s="1154">
        <f t="shared" si="101"/>
        <v>10544.492087741333</v>
      </c>
      <c r="GS27" s="1010">
        <f t="shared" si="102"/>
        <v>3840572.2307094666</v>
      </c>
      <c r="GT27" s="1011">
        <f t="shared" si="103"/>
        <v>0.125</v>
      </c>
      <c r="GU27" s="1010">
        <f t="shared" si="104"/>
        <v>480071.52883868333</v>
      </c>
      <c r="GV27" s="1010">
        <f t="shared" si="105"/>
        <v>30000</v>
      </c>
      <c r="GW27" s="1010">
        <f t="shared" si="106"/>
        <v>450071.52883868333</v>
      </c>
      <c r="GX27" s="1010">
        <f t="shared" si="107"/>
        <v>13</v>
      </c>
      <c r="GY27" s="1010">
        <f t="shared" si="108"/>
        <v>34620.886833744873</v>
      </c>
      <c r="GZ27" s="1011">
        <f t="shared" si="109"/>
        <v>0.875</v>
      </c>
      <c r="HA27" s="1010">
        <f t="shared" si="110"/>
        <v>3360500.7018707832</v>
      </c>
      <c r="HB27" s="1010">
        <f t="shared" si="111"/>
        <v>26053.926173068994</v>
      </c>
      <c r="HC27" s="1010">
        <f t="shared" si="112"/>
        <v>30205.130350608837</v>
      </c>
      <c r="HD27" s="1010">
        <f t="shared" si="113"/>
        <v>39018.262590733539</v>
      </c>
      <c r="HE27" s="1010">
        <f t="shared" si="114"/>
        <v>66541.941592727337</v>
      </c>
      <c r="HG27" s="1010">
        <f t="shared" si="115"/>
        <v>3840572.2307094666</v>
      </c>
      <c r="HH27" s="1011">
        <f t="shared" si="116"/>
        <v>0.125</v>
      </c>
      <c r="HI27" s="1010">
        <f t="shared" si="117"/>
        <v>480071.52883868333</v>
      </c>
      <c r="HJ27" s="1010">
        <f t="shared" si="118"/>
        <v>30000</v>
      </c>
      <c r="HK27" s="1010">
        <f t="shared" si="119"/>
        <v>450071.52883868333</v>
      </c>
      <c r="HL27" s="1012">
        <f t="shared" si="120"/>
        <v>33</v>
      </c>
      <c r="HM27" s="1167">
        <f t="shared" si="121"/>
        <v>13638.531176929799</v>
      </c>
      <c r="HN27" s="1168">
        <f t="shared" si="122"/>
        <v>0.875</v>
      </c>
      <c r="HO27" s="1167">
        <f t="shared" si="123"/>
        <v>3360500.7018707832</v>
      </c>
      <c r="HP27" s="1146">
        <f t="shared" si="124"/>
        <v>26053.926173068994</v>
      </c>
      <c r="HQ27" s="1146">
        <f t="shared" si="125"/>
        <v>30205.130350608837</v>
      </c>
      <c r="HR27" s="1146">
        <f t="shared" si="126"/>
        <v>39018.262590733539</v>
      </c>
      <c r="HS27" s="1146">
        <f t="shared" si="127"/>
        <v>66541.941592727337</v>
      </c>
      <c r="HU27" s="1167">
        <f t="shared" si="128"/>
        <v>-20982.355656815074</v>
      </c>
      <c r="HX27" s="1154"/>
      <c r="HY27" s="1154"/>
      <c r="IB27" s="1154"/>
      <c r="IC27" s="1154"/>
      <c r="ID27" s="1154"/>
      <c r="IE27" s="1154"/>
      <c r="IG27" s="1060"/>
    </row>
    <row r="28" spans="1:264" ht="14.25" hidden="1" customHeight="1">
      <c r="A28" s="1186">
        <f t="shared" si="141"/>
        <v>22</v>
      </c>
      <c r="B28" s="824" t="s">
        <v>149</v>
      </c>
      <c r="C28" s="855">
        <f t="shared" si="155"/>
        <v>7</v>
      </c>
      <c r="D28" s="856" t="s">
        <v>495</v>
      </c>
      <c r="E28" s="857" t="str">
        <f t="shared" si="23"/>
        <v>3rd Floor</v>
      </c>
      <c r="F28" s="1185"/>
      <c r="G28" s="764" t="s">
        <v>181</v>
      </c>
      <c r="H28" s="764" t="s">
        <v>506</v>
      </c>
      <c r="I28" s="764" t="s">
        <v>476</v>
      </c>
      <c r="J28" s="831">
        <v>22</v>
      </c>
      <c r="K28" s="1142"/>
      <c r="L28" s="764" t="s">
        <v>344</v>
      </c>
      <c r="M28" s="764" t="s">
        <v>117</v>
      </c>
      <c r="N28" s="856">
        <f t="shared" si="24"/>
        <v>100909.09090909091</v>
      </c>
      <c r="O28" s="1138">
        <f t="shared" si="136"/>
        <v>2220000</v>
      </c>
      <c r="P28" s="1138">
        <f t="shared" si="142"/>
        <v>22400</v>
      </c>
      <c r="Q28" s="1138">
        <f t="shared" si="8"/>
        <v>50000</v>
      </c>
      <c r="R28" s="1138"/>
      <c r="S28" s="1138"/>
      <c r="T28" s="1138"/>
      <c r="U28" s="1138"/>
      <c r="V28" s="858">
        <f t="shared" ref="V28:V29" si="161">J28*$V$5</f>
        <v>55000</v>
      </c>
      <c r="W28" s="1138"/>
      <c r="X28" s="1138"/>
      <c r="Y28" s="1138"/>
      <c r="Z28" s="1138">
        <f t="shared" si="137"/>
        <v>75000</v>
      </c>
      <c r="AA28" s="1138">
        <f t="shared" si="138"/>
        <v>202400</v>
      </c>
      <c r="AB28" s="1138">
        <f t="shared" si="28"/>
        <v>2422400</v>
      </c>
      <c r="AC28" s="1138">
        <f t="shared" si="29"/>
        <v>60560</v>
      </c>
      <c r="AD28" s="1138">
        <f t="shared" si="30"/>
        <v>2482960</v>
      </c>
      <c r="AE28" s="1138">
        <f t="shared" si="31"/>
        <v>62074</v>
      </c>
      <c r="AF28" s="1138">
        <f t="shared" si="32"/>
        <v>2545034</v>
      </c>
      <c r="AG28" s="1138">
        <f t="shared" si="33"/>
        <v>63625.850000000006</v>
      </c>
      <c r="AH28" s="1138">
        <f t="shared" si="34"/>
        <v>2608659.85</v>
      </c>
      <c r="AI28" s="1138">
        <f t="shared" si="144"/>
        <v>130432.99250000001</v>
      </c>
      <c r="AJ28" s="1138">
        <f t="shared" si="35"/>
        <v>2739092.8425000003</v>
      </c>
      <c r="AK28" s="1138">
        <f t="shared" si="36"/>
        <v>27390.928425000002</v>
      </c>
      <c r="AL28" s="1138">
        <f t="shared" si="37"/>
        <v>27537.409960060559</v>
      </c>
      <c r="AM28" s="1138"/>
      <c r="AN28" s="1138"/>
      <c r="AO28" s="1138">
        <f t="shared" si="38"/>
        <v>2794021.1808850607</v>
      </c>
      <c r="AP28" s="1138">
        <f t="shared" si="39"/>
        <v>377192.85941948323</v>
      </c>
      <c r="AQ28" s="1248">
        <f t="shared" si="40"/>
        <v>3171214.0403045439</v>
      </c>
      <c r="AR28" s="1248">
        <f t="shared" ref="AR28:AR29" si="162">AQ28-AT28</f>
        <v>3171214.0403045439</v>
      </c>
      <c r="AS28" s="1248"/>
      <c r="AT28" s="1248">
        <f t="shared" ref="AT28:AT29" si="163">AS28*J28</f>
        <v>0</v>
      </c>
      <c r="AU28" s="1248">
        <f t="shared" si="42"/>
        <v>0</v>
      </c>
      <c r="AV28" s="1140">
        <f t="shared" si="43"/>
        <v>0</v>
      </c>
      <c r="AW28" s="1140">
        <f t="shared" si="44"/>
        <v>3171214.0403045439</v>
      </c>
      <c r="AX28" s="1139">
        <f t="shared" si="45"/>
        <v>39640.1755038068</v>
      </c>
      <c r="AY28" s="831" t="s">
        <v>478</v>
      </c>
      <c r="AZ28" s="831">
        <f t="shared" si="46"/>
        <v>3210854.2158083506</v>
      </c>
      <c r="BA28" s="831">
        <f t="shared" si="47"/>
        <v>120407.03309281314</v>
      </c>
      <c r="BB28" s="831"/>
      <c r="BC28" s="831">
        <f t="shared" si="11"/>
        <v>33600</v>
      </c>
      <c r="BD28" s="831"/>
      <c r="BE28" s="831">
        <f t="shared" si="48"/>
        <v>3364861.2489011637</v>
      </c>
      <c r="BF28" s="831"/>
      <c r="BG28" s="831">
        <f t="shared" si="49"/>
        <v>3364861.2489011637</v>
      </c>
      <c r="BH28" s="831"/>
      <c r="BI28" s="831">
        <f t="shared" si="50"/>
        <v>3364861.2489011637</v>
      </c>
      <c r="BJ28" s="831"/>
      <c r="BK28" s="831">
        <f t="shared" si="51"/>
        <v>3364861.2489011637</v>
      </c>
      <c r="BL28" s="831"/>
      <c r="BM28" s="831">
        <f t="shared" si="52"/>
        <v>3364861.2489011637</v>
      </c>
      <c r="BN28" s="831"/>
      <c r="BO28" s="831">
        <f t="shared" si="53"/>
        <v>3364861.2489011637</v>
      </c>
      <c r="BP28" s="831"/>
      <c r="BQ28" s="831">
        <f t="shared" si="54"/>
        <v>3364861.2489011637</v>
      </c>
      <c r="BR28" s="831"/>
      <c r="BS28" s="831">
        <f t="shared" si="55"/>
        <v>3364861.2489011637</v>
      </c>
      <c r="BT28" s="831"/>
      <c r="BU28" s="831">
        <f t="shared" si="56"/>
        <v>3364861.2489011637</v>
      </c>
      <c r="BV28" s="831"/>
      <c r="BW28" s="831">
        <f t="shared" si="57"/>
        <v>56400</v>
      </c>
      <c r="BX28" s="831">
        <f t="shared" si="58"/>
        <v>3421261.2489011637</v>
      </c>
      <c r="BY28" s="831"/>
      <c r="BZ28" s="831">
        <f t="shared" si="59"/>
        <v>3421261.2489011637</v>
      </c>
      <c r="CA28" s="1260">
        <f t="shared" si="60"/>
        <v>3421261.2489011637</v>
      </c>
      <c r="CB28" s="1260">
        <f t="shared" si="61"/>
        <v>3421261.2489011637</v>
      </c>
      <c r="CC28" s="1260"/>
      <c r="CD28" s="1260">
        <f t="shared" si="62"/>
        <v>0</v>
      </c>
      <c r="CE28" s="1260">
        <f t="shared" si="63"/>
        <v>0</v>
      </c>
      <c r="CF28" s="1260">
        <f t="shared" si="64"/>
        <v>0</v>
      </c>
      <c r="CG28" s="1266">
        <f t="shared" si="65"/>
        <v>3421261.2489011637</v>
      </c>
      <c r="CH28" s="1141">
        <f t="shared" si="66"/>
        <v>3421261.2489011637</v>
      </c>
      <c r="CI28" s="1142">
        <f t="shared" si="67"/>
        <v>0</v>
      </c>
      <c r="CJ28" s="1141">
        <f t="shared" si="68"/>
        <v>350679.27801236924</v>
      </c>
      <c r="CK28" s="1141">
        <f t="shared" si="69"/>
        <v>119744.14371154075</v>
      </c>
      <c r="CL28" s="1143">
        <f t="shared" si="139"/>
        <v>3891684.6706250738</v>
      </c>
      <c r="CM28" s="1144">
        <f t="shared" si="71"/>
        <v>0.125</v>
      </c>
      <c r="CN28" s="1141">
        <f t="shared" si="72"/>
        <v>486460.58382813423</v>
      </c>
      <c r="CO28" s="1141">
        <f t="shared" si="73"/>
        <v>30000</v>
      </c>
      <c r="CP28" s="1141">
        <f t="shared" si="74"/>
        <v>456460.58382813423</v>
      </c>
      <c r="CQ28" s="1145">
        <f t="shared" si="75"/>
        <v>13</v>
      </c>
      <c r="CR28" s="1141">
        <f t="shared" si="76"/>
        <v>35112.352602164174</v>
      </c>
      <c r="CS28" s="1144">
        <f t="shared" si="77"/>
        <v>0.875</v>
      </c>
      <c r="CT28" s="1141">
        <f t="shared" si="78"/>
        <v>3405224.0867969394</v>
      </c>
      <c r="CU28" s="1146">
        <f t="shared" si="12"/>
        <v>26400.666100374212</v>
      </c>
      <c r="CV28" s="1146">
        <f t="shared" si="13"/>
        <v>30607.116778007276</v>
      </c>
      <c r="CW28" s="1146">
        <f t="shared" si="14"/>
        <v>39537.539011662055</v>
      </c>
      <c r="CX28" s="1146">
        <f t="shared" si="15"/>
        <v>67427.518217046629</v>
      </c>
      <c r="CY28" s="1146">
        <f t="shared" si="79"/>
        <v>276617.17612392135</v>
      </c>
      <c r="CZ28" s="1146">
        <f t="shared" si="80"/>
        <v>109456.06911260787</v>
      </c>
      <c r="DA28" s="1146">
        <f t="shared" si="81"/>
        <v>79058.568472429484</v>
      </c>
      <c r="DB28" s="1146">
        <f t="shared" si="82"/>
        <v>60167.210276030237</v>
      </c>
      <c r="DC28" s="1146"/>
      <c r="DD28" s="1146"/>
      <c r="DE28" s="1146"/>
      <c r="DF28" s="1146"/>
      <c r="DG28" s="1146"/>
      <c r="DH28" s="1146"/>
      <c r="DI28" s="1146"/>
      <c r="DJ28" s="1146"/>
      <c r="DK28" s="1146"/>
      <c r="DL28" s="1146"/>
      <c r="DM28" s="1146"/>
      <c r="DN28" s="1146"/>
      <c r="DO28" s="1146"/>
      <c r="DP28" s="1146"/>
      <c r="DQ28" s="1146"/>
      <c r="DR28" s="1146"/>
      <c r="DS28" s="1146"/>
      <c r="DT28" s="1146"/>
      <c r="DU28" s="1146"/>
      <c r="DV28" s="1146"/>
      <c r="DW28" s="1146"/>
      <c r="DX28" s="1146"/>
      <c r="DY28" s="1146"/>
      <c r="DZ28" s="1146"/>
      <c r="EA28" s="1147">
        <f t="shared" si="83"/>
        <v>0</v>
      </c>
      <c r="EB28" s="1148">
        <f t="shared" si="84"/>
        <v>0</v>
      </c>
      <c r="EC28" s="1190">
        <f t="shared" si="132"/>
        <v>45839</v>
      </c>
      <c r="ED28" s="1031">
        <f t="shared" si="16"/>
        <v>20</v>
      </c>
      <c r="EE28" s="1191"/>
      <c r="EF28" s="1032">
        <f t="shared" si="17"/>
        <v>45904</v>
      </c>
      <c r="EG28" s="1029">
        <f t="shared" si="85"/>
        <v>22</v>
      </c>
      <c r="EH28" s="859" t="s">
        <v>490</v>
      </c>
      <c r="EI28" s="859" t="s">
        <v>480</v>
      </c>
      <c r="EJ28" s="860">
        <f t="shared" si="18"/>
        <v>0</v>
      </c>
      <c r="EK28" s="860">
        <f t="shared" si="19"/>
        <v>0</v>
      </c>
      <c r="EL28" s="861">
        <f t="shared" si="20"/>
        <v>0</v>
      </c>
      <c r="EM28" s="1197"/>
      <c r="EN28" s="860"/>
      <c r="EO28" s="860"/>
      <c r="EP28" s="860">
        <f t="shared" si="21"/>
        <v>0</v>
      </c>
      <c r="EQ28" s="1197"/>
      <c r="ER28" s="1200"/>
      <c r="ES28" s="1197"/>
      <c r="ET28" s="1194" t="s">
        <v>181</v>
      </c>
      <c r="EU28" s="1197" t="b">
        <f t="shared" si="22"/>
        <v>1</v>
      </c>
      <c r="EV28" s="1201" t="s">
        <v>539</v>
      </c>
      <c r="EW28" s="1202" t="s">
        <v>482</v>
      </c>
      <c r="EX28" s="1197"/>
      <c r="EY28" s="1128" t="s">
        <v>483</v>
      </c>
      <c r="EZ28" s="1128" t="s">
        <v>484</v>
      </c>
      <c r="FA28" s="1169">
        <f t="shared" si="86"/>
        <v>0</v>
      </c>
      <c r="FB28" s="1205">
        <f>SUM(FB25:FB27)</f>
        <v>0</v>
      </c>
      <c r="FC28" s="1187"/>
      <c r="FI28" s="1309" t="s">
        <v>149</v>
      </c>
      <c r="FJ28" s="1159" t="s">
        <v>149</v>
      </c>
      <c r="FK28" s="1160" t="b">
        <f t="shared" si="87"/>
        <v>1</v>
      </c>
      <c r="FL28" s="1131"/>
      <c r="FM28" s="1161"/>
      <c r="FO28" s="1060"/>
      <c r="FP28" s="1181">
        <f>FP27-1</f>
        <v>19</v>
      </c>
      <c r="FQ28" s="1176">
        <f t="shared" ref="FQ28" si="164">EDATE(FR28,FP28)</f>
        <v>46204</v>
      </c>
      <c r="FR28" s="1177">
        <v>45627</v>
      </c>
      <c r="FU28" s="1295"/>
      <c r="FV28" s="1295"/>
      <c r="FW28" s="1023">
        <v>0.15</v>
      </c>
      <c r="FX28" s="1162">
        <v>14637.845763601757</v>
      </c>
      <c r="FY28" s="1163">
        <v>15095.278443714313</v>
      </c>
      <c r="GA28" s="1164">
        <f t="shared" si="89"/>
        <v>3891684.6706250738</v>
      </c>
      <c r="GB28" s="1165">
        <f t="shared" si="90"/>
        <v>0.15</v>
      </c>
      <c r="GC28" s="1154">
        <f t="shared" si="91"/>
        <v>583752.70059376105</v>
      </c>
      <c r="GD28" s="1164">
        <f t="shared" si="92"/>
        <v>30000</v>
      </c>
      <c r="GE28" s="1154">
        <f t="shared" si="93"/>
        <v>553752.70059376105</v>
      </c>
      <c r="GF28" s="1060">
        <f t="shared" si="94"/>
        <v>35</v>
      </c>
      <c r="GG28" s="1166">
        <f t="shared" si="95"/>
        <v>15821.505731250316</v>
      </c>
      <c r="GI28" s="1164">
        <f t="shared" si="96"/>
        <v>3891684.6706250738</v>
      </c>
      <c r="GJ28" s="1154">
        <f t="shared" si="97"/>
        <v>389168.46706250741</v>
      </c>
      <c r="GK28" s="1154">
        <f t="shared" si="98"/>
        <v>97292.116765626852</v>
      </c>
      <c r="GL28" s="1166">
        <v>15000</v>
      </c>
      <c r="GM28" s="1154">
        <f t="shared" si="99"/>
        <v>374168.46706250741</v>
      </c>
      <c r="GN28" s="1060">
        <f t="shared" si="100"/>
        <v>35</v>
      </c>
      <c r="GO28" s="1154">
        <f t="shared" si="101"/>
        <v>10690.527630357354</v>
      </c>
      <c r="GS28" s="1010">
        <f t="shared" si="102"/>
        <v>3891684.6706250738</v>
      </c>
      <c r="GT28" s="1011">
        <f t="shared" si="103"/>
        <v>0.125</v>
      </c>
      <c r="GU28" s="1010">
        <f t="shared" si="104"/>
        <v>486460.58382813423</v>
      </c>
      <c r="GV28" s="1010">
        <f t="shared" si="105"/>
        <v>30000</v>
      </c>
      <c r="GW28" s="1010">
        <f t="shared" si="106"/>
        <v>456460.58382813423</v>
      </c>
      <c r="GX28" s="1010">
        <f t="shared" si="107"/>
        <v>13</v>
      </c>
      <c r="GY28" s="1010">
        <f t="shared" si="108"/>
        <v>35112.352602164174</v>
      </c>
      <c r="GZ28" s="1011">
        <f t="shared" si="109"/>
        <v>0.875</v>
      </c>
      <c r="HA28" s="1010">
        <f t="shared" si="110"/>
        <v>3405224.0867969394</v>
      </c>
      <c r="HB28" s="1010">
        <f t="shared" si="111"/>
        <v>26400.666100374212</v>
      </c>
      <c r="HC28" s="1010">
        <f t="shared" si="112"/>
        <v>30607.116778007276</v>
      </c>
      <c r="HD28" s="1010">
        <f t="shared" si="113"/>
        <v>39537.539011662055</v>
      </c>
      <c r="HE28" s="1010">
        <f t="shared" si="114"/>
        <v>67427.518217046629</v>
      </c>
      <c r="HG28" s="1010">
        <f t="shared" si="115"/>
        <v>3891684.6706250738</v>
      </c>
      <c r="HH28" s="1011">
        <f t="shared" si="116"/>
        <v>0.125</v>
      </c>
      <c r="HI28" s="1010">
        <f t="shared" si="117"/>
        <v>486460.58382813423</v>
      </c>
      <c r="HJ28" s="1010">
        <f t="shared" si="118"/>
        <v>30000</v>
      </c>
      <c r="HK28" s="1010">
        <f t="shared" si="119"/>
        <v>456460.58382813423</v>
      </c>
      <c r="HL28" s="1012">
        <f t="shared" si="120"/>
        <v>33</v>
      </c>
      <c r="HM28" s="1167">
        <f t="shared" si="121"/>
        <v>13832.138903882855</v>
      </c>
      <c r="HN28" s="1168">
        <f t="shared" si="122"/>
        <v>0.875</v>
      </c>
      <c r="HO28" s="1167">
        <f t="shared" si="123"/>
        <v>3405224.0867969394</v>
      </c>
      <c r="HP28" s="1146">
        <f t="shared" si="124"/>
        <v>26400.666100374212</v>
      </c>
      <c r="HQ28" s="1146">
        <f t="shared" si="125"/>
        <v>30607.116778007276</v>
      </c>
      <c r="HR28" s="1146">
        <f t="shared" si="126"/>
        <v>39537.539011662055</v>
      </c>
      <c r="HS28" s="1146">
        <f t="shared" si="127"/>
        <v>67427.518217046629</v>
      </c>
      <c r="HU28" s="1167">
        <f t="shared" si="128"/>
        <v>-21280.213698281317</v>
      </c>
      <c r="HX28" s="1154"/>
      <c r="HY28" s="1154"/>
      <c r="IB28" s="1154"/>
      <c r="IC28" s="1154"/>
      <c r="ID28" s="1154"/>
      <c r="IE28" s="1154"/>
      <c r="IG28" s="1060"/>
    </row>
    <row r="29" spans="1:264" ht="14.25" hidden="1" customHeight="1">
      <c r="A29" s="1186">
        <f t="shared" si="141"/>
        <v>23</v>
      </c>
      <c r="B29" s="824" t="s">
        <v>149</v>
      </c>
      <c r="C29" s="855">
        <f t="shared" si="155"/>
        <v>8</v>
      </c>
      <c r="D29" s="856" t="s">
        <v>495</v>
      </c>
      <c r="E29" s="857" t="str">
        <f t="shared" si="23"/>
        <v>3rd Floor</v>
      </c>
      <c r="F29" s="1185"/>
      <c r="G29" s="764" t="s">
        <v>182</v>
      </c>
      <c r="H29" s="764" t="s">
        <v>508</v>
      </c>
      <c r="I29" s="764" t="s">
        <v>476</v>
      </c>
      <c r="J29" s="831">
        <v>22</v>
      </c>
      <c r="K29" s="1142"/>
      <c r="L29" s="764" t="s">
        <v>500</v>
      </c>
      <c r="M29" s="764" t="s">
        <v>117</v>
      </c>
      <c r="N29" s="856">
        <f t="shared" si="24"/>
        <v>100909.09090909091</v>
      </c>
      <c r="O29" s="1138">
        <f t="shared" si="136"/>
        <v>2220000</v>
      </c>
      <c r="P29" s="1138">
        <f t="shared" si="142"/>
        <v>22400</v>
      </c>
      <c r="Q29" s="1138">
        <f t="shared" si="8"/>
        <v>50000</v>
      </c>
      <c r="R29" s="1138"/>
      <c r="S29" s="1138"/>
      <c r="T29" s="1138"/>
      <c r="U29" s="1138"/>
      <c r="V29" s="858">
        <f t="shared" si="161"/>
        <v>55000</v>
      </c>
      <c r="W29" s="1138"/>
      <c r="X29" s="1138"/>
      <c r="Y29" s="1138"/>
      <c r="Z29" s="1138">
        <f t="shared" si="137"/>
        <v>75000</v>
      </c>
      <c r="AA29" s="1138">
        <f t="shared" si="138"/>
        <v>202400</v>
      </c>
      <c r="AB29" s="1138">
        <f t="shared" si="28"/>
        <v>2422400</v>
      </c>
      <c r="AC29" s="1138">
        <f t="shared" si="29"/>
        <v>60560</v>
      </c>
      <c r="AD29" s="1138">
        <f t="shared" si="30"/>
        <v>2482960</v>
      </c>
      <c r="AE29" s="1138">
        <f t="shared" si="31"/>
        <v>62074</v>
      </c>
      <c r="AF29" s="1138">
        <f t="shared" si="32"/>
        <v>2545034</v>
      </c>
      <c r="AG29" s="1138">
        <f t="shared" si="33"/>
        <v>63625.850000000006</v>
      </c>
      <c r="AH29" s="1138">
        <f t="shared" si="34"/>
        <v>2608659.85</v>
      </c>
      <c r="AI29" s="1138">
        <f t="shared" si="144"/>
        <v>130432.99250000001</v>
      </c>
      <c r="AJ29" s="1138">
        <f t="shared" si="35"/>
        <v>2739092.8425000003</v>
      </c>
      <c r="AK29" s="1138">
        <f t="shared" si="36"/>
        <v>27390.928425000002</v>
      </c>
      <c r="AL29" s="1138">
        <f t="shared" si="37"/>
        <v>27537.409960060559</v>
      </c>
      <c r="AM29" s="1138"/>
      <c r="AN29" s="1138"/>
      <c r="AO29" s="1138">
        <f t="shared" si="38"/>
        <v>2794021.1808850607</v>
      </c>
      <c r="AP29" s="1138">
        <f t="shared" si="39"/>
        <v>377192.85941948323</v>
      </c>
      <c r="AQ29" s="1248">
        <f t="shared" si="40"/>
        <v>3171214.0403045439</v>
      </c>
      <c r="AR29" s="1248">
        <f t="shared" si="162"/>
        <v>3171214.0403045439</v>
      </c>
      <c r="AS29" s="1248"/>
      <c r="AT29" s="1248">
        <f t="shared" si="163"/>
        <v>0</v>
      </c>
      <c r="AU29" s="1248">
        <f t="shared" si="42"/>
        <v>0</v>
      </c>
      <c r="AV29" s="1140">
        <f t="shared" si="43"/>
        <v>0</v>
      </c>
      <c r="AW29" s="1140">
        <f t="shared" si="44"/>
        <v>3171214.0403045439</v>
      </c>
      <c r="AX29" s="1139">
        <f t="shared" si="45"/>
        <v>39640.1755038068</v>
      </c>
      <c r="AY29" s="831" t="s">
        <v>478</v>
      </c>
      <c r="AZ29" s="831">
        <f t="shared" si="46"/>
        <v>3210854.2158083506</v>
      </c>
      <c r="BA29" s="831">
        <f t="shared" si="47"/>
        <v>120407.03309281314</v>
      </c>
      <c r="BB29" s="831"/>
      <c r="BC29" s="831">
        <f t="shared" si="11"/>
        <v>33600</v>
      </c>
      <c r="BD29" s="831"/>
      <c r="BE29" s="831">
        <f t="shared" si="48"/>
        <v>3364861.2489011637</v>
      </c>
      <c r="BF29" s="831"/>
      <c r="BG29" s="831">
        <f t="shared" si="49"/>
        <v>3364861.2489011637</v>
      </c>
      <c r="BH29" s="831"/>
      <c r="BI29" s="831">
        <f t="shared" si="50"/>
        <v>3364861.2489011637</v>
      </c>
      <c r="BJ29" s="831"/>
      <c r="BK29" s="831">
        <f t="shared" si="51"/>
        <v>3364861.2489011637</v>
      </c>
      <c r="BL29" s="831"/>
      <c r="BM29" s="831">
        <f t="shared" si="52"/>
        <v>3364861.2489011637</v>
      </c>
      <c r="BN29" s="831"/>
      <c r="BO29" s="831">
        <f t="shared" si="53"/>
        <v>3364861.2489011637</v>
      </c>
      <c r="BP29" s="831"/>
      <c r="BQ29" s="831">
        <f t="shared" si="54"/>
        <v>3364861.2489011637</v>
      </c>
      <c r="BR29" s="831"/>
      <c r="BS29" s="831">
        <f t="shared" si="55"/>
        <v>3364861.2489011637</v>
      </c>
      <c r="BT29" s="831"/>
      <c r="BU29" s="831">
        <f t="shared" si="56"/>
        <v>3364861.2489011637</v>
      </c>
      <c r="BV29" s="831"/>
      <c r="BW29" s="831">
        <f t="shared" si="57"/>
        <v>56400</v>
      </c>
      <c r="BX29" s="831">
        <f t="shared" si="58"/>
        <v>3421261.2489011637</v>
      </c>
      <c r="BY29" s="831"/>
      <c r="BZ29" s="831">
        <f t="shared" si="59"/>
        <v>3421261.2489011637</v>
      </c>
      <c r="CA29" s="1260">
        <f t="shared" si="60"/>
        <v>3421261.2489011637</v>
      </c>
      <c r="CB29" s="1260">
        <f t="shared" si="61"/>
        <v>3421261.2489011637</v>
      </c>
      <c r="CC29" s="1260"/>
      <c r="CD29" s="1260">
        <f t="shared" si="62"/>
        <v>0</v>
      </c>
      <c r="CE29" s="1260">
        <f t="shared" si="63"/>
        <v>0</v>
      </c>
      <c r="CF29" s="1260">
        <f t="shared" si="64"/>
        <v>0</v>
      </c>
      <c r="CG29" s="1266">
        <f t="shared" si="65"/>
        <v>3421261.2489011637</v>
      </c>
      <c r="CH29" s="1141">
        <f t="shared" si="66"/>
        <v>3421261.2489011637</v>
      </c>
      <c r="CI29" s="1142">
        <f t="shared" si="67"/>
        <v>0</v>
      </c>
      <c r="CJ29" s="1141">
        <f t="shared" si="68"/>
        <v>350679.27801236924</v>
      </c>
      <c r="CK29" s="1141">
        <f t="shared" si="69"/>
        <v>119744.14371154075</v>
      </c>
      <c r="CL29" s="1143">
        <f t="shared" si="139"/>
        <v>3891684.6706250738</v>
      </c>
      <c r="CM29" s="1144">
        <f t="shared" si="71"/>
        <v>0.125</v>
      </c>
      <c r="CN29" s="1141">
        <f t="shared" si="72"/>
        <v>486460.58382813423</v>
      </c>
      <c r="CO29" s="1141">
        <f t="shared" si="73"/>
        <v>30000</v>
      </c>
      <c r="CP29" s="1141">
        <f t="shared" si="74"/>
        <v>456460.58382813423</v>
      </c>
      <c r="CQ29" s="1145">
        <f t="shared" si="75"/>
        <v>13</v>
      </c>
      <c r="CR29" s="1141">
        <f t="shared" si="76"/>
        <v>35112.352602164174</v>
      </c>
      <c r="CS29" s="1144">
        <f t="shared" si="77"/>
        <v>0.875</v>
      </c>
      <c r="CT29" s="1141">
        <f t="shared" si="78"/>
        <v>3405224.0867969394</v>
      </c>
      <c r="CU29" s="1146">
        <f t="shared" si="12"/>
        <v>26400.666100374212</v>
      </c>
      <c r="CV29" s="1146">
        <f t="shared" si="13"/>
        <v>30607.116778007276</v>
      </c>
      <c r="CW29" s="1146">
        <f t="shared" si="14"/>
        <v>39537.539011662055</v>
      </c>
      <c r="CX29" s="1146">
        <f t="shared" si="15"/>
        <v>67427.518217046629</v>
      </c>
      <c r="CY29" s="1146">
        <f t="shared" si="79"/>
        <v>276617.17612392135</v>
      </c>
      <c r="CZ29" s="1146">
        <f t="shared" si="80"/>
        <v>109456.06911260787</v>
      </c>
      <c r="DA29" s="1146">
        <f t="shared" si="81"/>
        <v>79058.568472429484</v>
      </c>
      <c r="DB29" s="1146">
        <f t="shared" si="82"/>
        <v>60167.210276030237</v>
      </c>
      <c r="DC29" s="1146"/>
      <c r="DD29" s="1146"/>
      <c r="DE29" s="1146"/>
      <c r="DF29" s="1146"/>
      <c r="DG29" s="1146"/>
      <c r="DH29" s="1146"/>
      <c r="DI29" s="1146"/>
      <c r="DJ29" s="1146"/>
      <c r="DK29" s="1146"/>
      <c r="DL29" s="1146"/>
      <c r="DM29" s="1146"/>
      <c r="DN29" s="1146"/>
      <c r="DO29" s="1146"/>
      <c r="DP29" s="1146"/>
      <c r="DQ29" s="1146"/>
      <c r="DR29" s="1146"/>
      <c r="DS29" s="1146"/>
      <c r="DT29" s="1146"/>
      <c r="DU29" s="1146"/>
      <c r="DV29" s="1146"/>
      <c r="DW29" s="1146"/>
      <c r="DX29" s="1146"/>
      <c r="DY29" s="1146"/>
      <c r="DZ29" s="1146"/>
      <c r="EA29" s="1147">
        <f t="shared" si="83"/>
        <v>0</v>
      </c>
      <c r="EB29" s="1148">
        <f t="shared" si="84"/>
        <v>0</v>
      </c>
      <c r="EC29" s="1190">
        <f t="shared" si="132"/>
        <v>45839</v>
      </c>
      <c r="ED29" s="1031">
        <f t="shared" si="16"/>
        <v>20</v>
      </c>
      <c r="EE29" s="1191"/>
      <c r="EF29" s="1032">
        <f t="shared" si="17"/>
        <v>45904</v>
      </c>
      <c r="EG29" s="1029">
        <f t="shared" si="85"/>
        <v>22</v>
      </c>
      <c r="EH29" s="859" t="s">
        <v>490</v>
      </c>
      <c r="EI29" s="859" t="s">
        <v>480</v>
      </c>
      <c r="EJ29" s="860">
        <f t="shared" si="18"/>
        <v>0</v>
      </c>
      <c r="EK29" s="860">
        <f t="shared" si="19"/>
        <v>0</v>
      </c>
      <c r="EL29" s="861">
        <f t="shared" si="20"/>
        <v>0</v>
      </c>
      <c r="EM29" s="1197"/>
      <c r="EN29" s="860"/>
      <c r="EO29" s="860"/>
      <c r="EP29" s="860">
        <f t="shared" si="21"/>
        <v>0</v>
      </c>
      <c r="EQ29" s="1197"/>
      <c r="ER29" s="1200"/>
      <c r="ES29" s="1197"/>
      <c r="ET29" s="1194" t="s">
        <v>182</v>
      </c>
      <c r="EU29" s="1197" t="b">
        <f t="shared" si="22"/>
        <v>1</v>
      </c>
      <c r="EV29" s="1201" t="s">
        <v>540</v>
      </c>
      <c r="EW29" s="1202" t="s">
        <v>482</v>
      </c>
      <c r="EX29" s="1197"/>
      <c r="EY29" s="1128" t="s">
        <v>483</v>
      </c>
      <c r="EZ29" s="1128" t="s">
        <v>484</v>
      </c>
      <c r="FA29" s="1169">
        <f t="shared" si="86"/>
        <v>0</v>
      </c>
      <c r="FB29" s="162"/>
      <c r="FC29" s="1187" t="s">
        <v>541</v>
      </c>
      <c r="FI29" s="1309" t="s">
        <v>149</v>
      </c>
      <c r="FJ29" s="1159" t="s">
        <v>149</v>
      </c>
      <c r="FK29" s="1160" t="b">
        <f t="shared" si="87"/>
        <v>1</v>
      </c>
      <c r="FL29" s="1131"/>
      <c r="FM29" s="1161"/>
      <c r="FO29" s="1060"/>
      <c r="FP29" s="1181">
        <f>FP28-1</f>
        <v>18</v>
      </c>
      <c r="FQ29" s="1176">
        <f t="shared" ref="FQ29" si="165">EDATE(FR29,FP29)</f>
        <v>46204</v>
      </c>
      <c r="FR29" s="1177">
        <v>45658</v>
      </c>
      <c r="FU29" s="1295"/>
      <c r="FV29" s="1295"/>
      <c r="FW29" s="1023">
        <v>0.15</v>
      </c>
      <c r="FX29" s="1162">
        <v>14637.845763601757</v>
      </c>
      <c r="FY29" s="1163">
        <v>15095.278443714313</v>
      </c>
      <c r="GA29" s="1164">
        <f t="shared" si="89"/>
        <v>3891684.6706250738</v>
      </c>
      <c r="GB29" s="1165">
        <f t="shared" si="90"/>
        <v>0.15</v>
      </c>
      <c r="GC29" s="1154">
        <f t="shared" si="91"/>
        <v>583752.70059376105</v>
      </c>
      <c r="GD29" s="1164">
        <f t="shared" si="92"/>
        <v>30000</v>
      </c>
      <c r="GE29" s="1154">
        <f t="shared" si="93"/>
        <v>553752.70059376105</v>
      </c>
      <c r="GF29" s="1060">
        <f t="shared" si="94"/>
        <v>35</v>
      </c>
      <c r="GG29" s="1166">
        <f t="shared" si="95"/>
        <v>15821.505731250316</v>
      </c>
      <c r="GI29" s="1164">
        <f t="shared" si="96"/>
        <v>3891684.6706250738</v>
      </c>
      <c r="GJ29" s="1154">
        <f t="shared" si="97"/>
        <v>389168.46706250741</v>
      </c>
      <c r="GK29" s="1154">
        <f t="shared" si="98"/>
        <v>97292.116765626852</v>
      </c>
      <c r="GL29" s="1166">
        <v>15000</v>
      </c>
      <c r="GM29" s="1154">
        <f t="shared" si="99"/>
        <v>374168.46706250741</v>
      </c>
      <c r="GN29" s="1060">
        <f t="shared" si="100"/>
        <v>35</v>
      </c>
      <c r="GO29" s="1154">
        <f t="shared" si="101"/>
        <v>10690.527630357354</v>
      </c>
      <c r="GS29" s="1010">
        <f t="shared" si="102"/>
        <v>3891684.6706250738</v>
      </c>
      <c r="GT29" s="1011">
        <f t="shared" si="103"/>
        <v>0.125</v>
      </c>
      <c r="GU29" s="1010">
        <f t="shared" si="104"/>
        <v>486460.58382813423</v>
      </c>
      <c r="GV29" s="1010">
        <f t="shared" si="105"/>
        <v>30000</v>
      </c>
      <c r="GW29" s="1010">
        <f t="shared" si="106"/>
        <v>456460.58382813423</v>
      </c>
      <c r="GX29" s="1010">
        <f t="shared" si="107"/>
        <v>13</v>
      </c>
      <c r="GY29" s="1010">
        <f t="shared" si="108"/>
        <v>35112.352602164174</v>
      </c>
      <c r="GZ29" s="1011">
        <f t="shared" si="109"/>
        <v>0.875</v>
      </c>
      <c r="HA29" s="1010">
        <f t="shared" si="110"/>
        <v>3405224.0867969394</v>
      </c>
      <c r="HB29" s="1010">
        <f t="shared" si="111"/>
        <v>26400.666100374212</v>
      </c>
      <c r="HC29" s="1010">
        <f t="shared" si="112"/>
        <v>30607.116778007276</v>
      </c>
      <c r="HD29" s="1010">
        <f t="shared" si="113"/>
        <v>39537.539011662055</v>
      </c>
      <c r="HE29" s="1010">
        <f t="shared" si="114"/>
        <v>67427.518217046629</v>
      </c>
      <c r="HG29" s="1010">
        <f t="shared" si="115"/>
        <v>3891684.6706250738</v>
      </c>
      <c r="HH29" s="1011">
        <f t="shared" si="116"/>
        <v>0.125</v>
      </c>
      <c r="HI29" s="1010">
        <f t="shared" si="117"/>
        <v>486460.58382813423</v>
      </c>
      <c r="HJ29" s="1010">
        <f t="shared" si="118"/>
        <v>30000</v>
      </c>
      <c r="HK29" s="1010">
        <f t="shared" si="119"/>
        <v>456460.58382813423</v>
      </c>
      <c r="HL29" s="1012">
        <f t="shared" si="120"/>
        <v>33</v>
      </c>
      <c r="HM29" s="1167">
        <f t="shared" si="121"/>
        <v>13832.138903882855</v>
      </c>
      <c r="HN29" s="1168">
        <f t="shared" si="122"/>
        <v>0.875</v>
      </c>
      <c r="HO29" s="1167">
        <f t="shared" si="123"/>
        <v>3405224.0867969394</v>
      </c>
      <c r="HP29" s="1146">
        <f t="shared" si="124"/>
        <v>26400.666100374212</v>
      </c>
      <c r="HQ29" s="1146">
        <f t="shared" si="125"/>
        <v>30607.116778007276</v>
      </c>
      <c r="HR29" s="1146">
        <f t="shared" si="126"/>
        <v>39537.539011662055</v>
      </c>
      <c r="HS29" s="1146">
        <f t="shared" si="127"/>
        <v>67427.518217046629</v>
      </c>
      <c r="HU29" s="1167">
        <f t="shared" si="128"/>
        <v>-21280.213698281317</v>
      </c>
      <c r="HX29" s="1154"/>
      <c r="HY29" s="1154"/>
      <c r="IB29" s="1154"/>
      <c r="IC29" s="1154"/>
      <c r="ID29" s="1154"/>
      <c r="IE29" s="1154"/>
      <c r="IG29" s="1060"/>
    </row>
    <row r="30" spans="1:264" ht="14.25" hidden="1" customHeight="1">
      <c r="A30" s="1186">
        <f t="shared" si="141"/>
        <v>24</v>
      </c>
      <c r="B30" s="824" t="s">
        <v>149</v>
      </c>
      <c r="C30" s="855">
        <f t="shared" si="155"/>
        <v>9</v>
      </c>
      <c r="D30" s="856" t="s">
        <v>495</v>
      </c>
      <c r="E30" s="857" t="str">
        <f t="shared" si="23"/>
        <v>3rd Floor</v>
      </c>
      <c r="F30" s="1185"/>
      <c r="G30" s="764" t="s">
        <v>183</v>
      </c>
      <c r="H30" s="764" t="s">
        <v>512</v>
      </c>
      <c r="I30" s="764" t="s">
        <v>476</v>
      </c>
      <c r="J30" s="1139">
        <v>22</v>
      </c>
      <c r="K30" s="1142"/>
      <c r="L30" s="764" t="s">
        <v>500</v>
      </c>
      <c r="M30" s="764" t="s">
        <v>93</v>
      </c>
      <c r="N30" s="856">
        <f t="shared" si="24"/>
        <v>100909.09090909091</v>
      </c>
      <c r="O30" s="1138">
        <f t="shared" si="136"/>
        <v>2220000</v>
      </c>
      <c r="P30" s="1138">
        <f t="shared" si="142"/>
        <v>22400</v>
      </c>
      <c r="Q30" s="1138">
        <f t="shared" si="8"/>
        <v>50000</v>
      </c>
      <c r="R30" s="1138"/>
      <c r="S30" s="1138"/>
      <c r="T30" s="1138"/>
      <c r="U30" s="1138"/>
      <c r="V30" s="858"/>
      <c r="W30" s="1138"/>
      <c r="X30" s="1138"/>
      <c r="Y30" s="1138"/>
      <c r="Z30" s="1138">
        <f t="shared" si="137"/>
        <v>75000</v>
      </c>
      <c r="AA30" s="1138">
        <f t="shared" si="138"/>
        <v>147400</v>
      </c>
      <c r="AB30" s="1138">
        <f t="shared" si="28"/>
        <v>2367400</v>
      </c>
      <c r="AC30" s="1138">
        <f t="shared" si="29"/>
        <v>59185</v>
      </c>
      <c r="AD30" s="1138">
        <f t="shared" si="30"/>
        <v>2426585</v>
      </c>
      <c r="AE30" s="1138">
        <f t="shared" si="31"/>
        <v>60664.625</v>
      </c>
      <c r="AF30" s="1138">
        <f t="shared" si="32"/>
        <v>2487249.625</v>
      </c>
      <c r="AG30" s="1138">
        <f t="shared" si="33"/>
        <v>62181.240625000006</v>
      </c>
      <c r="AH30" s="1138">
        <f t="shared" si="34"/>
        <v>2549430.8656250001</v>
      </c>
      <c r="AI30" s="1138">
        <f t="shared" si="144"/>
        <v>127471.54328125001</v>
      </c>
      <c r="AJ30" s="1138">
        <f t="shared" si="35"/>
        <v>2676902.4089062503</v>
      </c>
      <c r="AK30" s="1138">
        <f t="shared" si="36"/>
        <v>26769.024089062503</v>
      </c>
      <c r="AL30" s="1138">
        <f t="shared" si="37"/>
        <v>27537.409960060559</v>
      </c>
      <c r="AM30" s="1138"/>
      <c r="AN30" s="1138"/>
      <c r="AO30" s="1138">
        <f t="shared" si="38"/>
        <v>2731208.8429553732</v>
      </c>
      <c r="AP30" s="1138">
        <f t="shared" si="39"/>
        <v>368713.19379897544</v>
      </c>
      <c r="AQ30" s="1248">
        <f t="shared" si="40"/>
        <v>3099922.0367543488</v>
      </c>
      <c r="AR30" s="1248">
        <f t="shared" ref="AR30:AR38" si="166">AQ30</f>
        <v>3099922.0367543488</v>
      </c>
      <c r="AS30" s="1248"/>
      <c r="AT30" s="1248"/>
      <c r="AU30" s="1248">
        <f t="shared" si="42"/>
        <v>0</v>
      </c>
      <c r="AV30" s="1140">
        <f t="shared" si="43"/>
        <v>0</v>
      </c>
      <c r="AW30" s="1140">
        <f t="shared" si="44"/>
        <v>3099922.0367543488</v>
      </c>
      <c r="AX30" s="1139">
        <f t="shared" si="45"/>
        <v>38749.025459429358</v>
      </c>
      <c r="AY30" s="831" t="s">
        <v>478</v>
      </c>
      <c r="AZ30" s="831">
        <f t="shared" si="46"/>
        <v>3138671.062213778</v>
      </c>
      <c r="BA30" s="831">
        <f t="shared" si="47"/>
        <v>117700.16483301668</v>
      </c>
      <c r="BB30" s="831"/>
      <c r="BC30" s="831">
        <f t="shared" si="11"/>
        <v>33600</v>
      </c>
      <c r="BD30" s="831"/>
      <c r="BE30" s="831">
        <f t="shared" si="48"/>
        <v>3289971.2270467947</v>
      </c>
      <c r="BF30" s="831"/>
      <c r="BG30" s="831">
        <f t="shared" si="49"/>
        <v>3289971.2270467947</v>
      </c>
      <c r="BH30" s="831"/>
      <c r="BI30" s="831">
        <f t="shared" si="50"/>
        <v>3289971.2270467947</v>
      </c>
      <c r="BJ30" s="831"/>
      <c r="BK30" s="831">
        <f t="shared" si="51"/>
        <v>3289971.2270467947</v>
      </c>
      <c r="BL30" s="831"/>
      <c r="BM30" s="831">
        <f t="shared" si="52"/>
        <v>3289971.2270467947</v>
      </c>
      <c r="BN30" s="831"/>
      <c r="BO30" s="831">
        <f t="shared" si="53"/>
        <v>3289971.2270467947</v>
      </c>
      <c r="BP30" s="831"/>
      <c r="BQ30" s="831">
        <f t="shared" si="54"/>
        <v>3289971.2270467947</v>
      </c>
      <c r="BR30" s="831"/>
      <c r="BS30" s="831">
        <f t="shared" si="55"/>
        <v>3289971.2270467947</v>
      </c>
      <c r="BT30" s="831"/>
      <c r="BU30" s="831">
        <f t="shared" si="56"/>
        <v>3289971.2270467947</v>
      </c>
      <c r="BV30" s="831"/>
      <c r="BW30" s="831">
        <f t="shared" si="57"/>
        <v>56400</v>
      </c>
      <c r="BX30" s="831">
        <f t="shared" si="58"/>
        <v>3346371.2270467947</v>
      </c>
      <c r="BY30" s="831"/>
      <c r="BZ30" s="831">
        <f t="shared" si="59"/>
        <v>3346371.2270467947</v>
      </c>
      <c r="CA30" s="1260">
        <f t="shared" si="60"/>
        <v>3346371.2270467947</v>
      </c>
      <c r="CB30" s="1260">
        <f t="shared" si="61"/>
        <v>3346371.2270467947</v>
      </c>
      <c r="CC30" s="1260"/>
      <c r="CD30" s="1260">
        <f t="shared" si="62"/>
        <v>0</v>
      </c>
      <c r="CE30" s="1260">
        <f t="shared" si="63"/>
        <v>0</v>
      </c>
      <c r="CF30" s="1260">
        <f t="shared" si="64"/>
        <v>0</v>
      </c>
      <c r="CG30" s="1266">
        <f t="shared" si="65"/>
        <v>3346371.2270467947</v>
      </c>
      <c r="CH30" s="1141">
        <f t="shared" si="66"/>
        <v>3346371.2270467947</v>
      </c>
      <c r="CI30" s="1142">
        <f t="shared" si="67"/>
        <v>0</v>
      </c>
      <c r="CJ30" s="1141">
        <f t="shared" si="68"/>
        <v>343003.05077229644</v>
      </c>
      <c r="CK30" s="1141">
        <f t="shared" si="69"/>
        <v>117122.99294663782</v>
      </c>
      <c r="CL30" s="1143">
        <f t="shared" si="139"/>
        <v>3806497.2707657288</v>
      </c>
      <c r="CM30" s="1144">
        <f t="shared" si="71"/>
        <v>0.125</v>
      </c>
      <c r="CN30" s="1141">
        <f t="shared" si="72"/>
        <v>475812.1588457161</v>
      </c>
      <c r="CO30" s="1141">
        <f t="shared" si="73"/>
        <v>30000</v>
      </c>
      <c r="CP30" s="1141">
        <f t="shared" si="74"/>
        <v>445812.1588457161</v>
      </c>
      <c r="CQ30" s="1145">
        <f t="shared" si="75"/>
        <v>13</v>
      </c>
      <c r="CR30" s="1141">
        <f t="shared" si="76"/>
        <v>34293.242988132006</v>
      </c>
      <c r="CS30" s="1144">
        <f t="shared" si="77"/>
        <v>0.875</v>
      </c>
      <c r="CT30" s="1141">
        <f t="shared" si="78"/>
        <v>3330685.1119200126</v>
      </c>
      <c r="CU30" s="1146">
        <f t="shared" si="12"/>
        <v>25822.76622153218</v>
      </c>
      <c r="CV30" s="1146">
        <f t="shared" si="13"/>
        <v>29937.139399009873</v>
      </c>
      <c r="CW30" s="1146">
        <f t="shared" si="14"/>
        <v>38672.078310114535</v>
      </c>
      <c r="CX30" s="1146">
        <f t="shared" si="15"/>
        <v>65951.557176514485</v>
      </c>
      <c r="CY30" s="1146">
        <f t="shared" si="79"/>
        <v>270562.13827147207</v>
      </c>
      <c r="CZ30" s="1146">
        <f t="shared" si="80"/>
        <v>107060.12013017652</v>
      </c>
      <c r="DA30" s="1146">
        <f t="shared" si="81"/>
        <v>77328.008456711017</v>
      </c>
      <c r="DB30" s="1146">
        <f t="shared" si="82"/>
        <v>58850.174433200184</v>
      </c>
      <c r="DC30" s="1146"/>
      <c r="DD30" s="1146"/>
      <c r="DE30" s="1146"/>
      <c r="DF30" s="1146"/>
      <c r="DG30" s="1146"/>
      <c r="DH30" s="1146"/>
      <c r="DI30" s="1146"/>
      <c r="DJ30" s="1146"/>
      <c r="DK30" s="1146"/>
      <c r="DL30" s="1146"/>
      <c r="DM30" s="1146"/>
      <c r="DN30" s="1146"/>
      <c r="DO30" s="1146"/>
      <c r="DP30" s="1146"/>
      <c r="DQ30" s="1146"/>
      <c r="DR30" s="1146"/>
      <c r="DS30" s="1146"/>
      <c r="DT30" s="1146"/>
      <c r="DU30" s="1146"/>
      <c r="DV30" s="1146"/>
      <c r="DW30" s="1146"/>
      <c r="DX30" s="1146"/>
      <c r="DY30" s="1146"/>
      <c r="DZ30" s="1146"/>
      <c r="EA30" s="1147">
        <f t="shared" si="83"/>
        <v>0</v>
      </c>
      <c r="EB30" s="1148">
        <f t="shared" si="84"/>
        <v>0</v>
      </c>
      <c r="EC30" s="1190">
        <f t="shared" si="132"/>
        <v>45839</v>
      </c>
      <c r="ED30" s="1031">
        <f t="shared" si="16"/>
        <v>20</v>
      </c>
      <c r="EE30" s="1191"/>
      <c r="EF30" s="1032">
        <f t="shared" si="17"/>
        <v>45904</v>
      </c>
      <c r="EG30" s="1029">
        <f t="shared" si="85"/>
        <v>22</v>
      </c>
      <c r="EH30" s="859" t="s">
        <v>490</v>
      </c>
      <c r="EI30" s="859" t="s">
        <v>480</v>
      </c>
      <c r="EJ30" s="860">
        <f t="shared" si="18"/>
        <v>0</v>
      </c>
      <c r="EK30" s="860">
        <f t="shared" si="19"/>
        <v>0</v>
      </c>
      <c r="EL30" s="861">
        <f t="shared" si="20"/>
        <v>0</v>
      </c>
      <c r="EM30" s="1197"/>
      <c r="EN30" s="860"/>
      <c r="EO30" s="860"/>
      <c r="EP30" s="860">
        <f t="shared" si="21"/>
        <v>0</v>
      </c>
      <c r="EQ30" s="1197"/>
      <c r="ER30" s="1200"/>
      <c r="ES30" s="1197"/>
      <c r="ET30" s="1194" t="s">
        <v>183</v>
      </c>
      <c r="EU30" s="1197" t="b">
        <f t="shared" si="22"/>
        <v>1</v>
      </c>
      <c r="EV30" s="1201" t="s">
        <v>542</v>
      </c>
      <c r="EW30" s="1202" t="s">
        <v>482</v>
      </c>
      <c r="EX30" s="1197"/>
      <c r="EY30" s="1128" t="s">
        <v>483</v>
      </c>
      <c r="EZ30" s="1128" t="s">
        <v>484</v>
      </c>
      <c r="FA30" s="1169">
        <f t="shared" si="86"/>
        <v>0</v>
      </c>
      <c r="FI30" s="1309" t="s">
        <v>149</v>
      </c>
      <c r="FJ30" s="1159" t="s">
        <v>149</v>
      </c>
      <c r="FK30" s="1160" t="b">
        <f t="shared" si="87"/>
        <v>1</v>
      </c>
      <c r="FL30" s="1131"/>
      <c r="FM30" s="1161"/>
      <c r="FO30" s="1060"/>
      <c r="FP30" s="1181">
        <v>17</v>
      </c>
      <c r="FQ30" s="1176">
        <f t="shared" ref="FQ30" si="167">EDATE(FR30,FP30)</f>
        <v>46204</v>
      </c>
      <c r="FR30" s="1177">
        <v>45689</v>
      </c>
      <c r="FS30" s="1293" t="s">
        <v>543</v>
      </c>
      <c r="FT30" s="1293"/>
      <c r="FU30" s="1295"/>
      <c r="FV30" s="1295"/>
      <c r="FW30" s="1023">
        <v>0.15</v>
      </c>
      <c r="FX30" s="1162">
        <v>13992.593304018388</v>
      </c>
      <c r="FY30" s="1163">
        <v>14429.861844768962</v>
      </c>
      <c r="GA30" s="1164">
        <f t="shared" si="89"/>
        <v>3806497.2707657288</v>
      </c>
      <c r="GB30" s="1165">
        <f t="shared" si="90"/>
        <v>0.15</v>
      </c>
      <c r="GC30" s="1154">
        <f t="shared" si="91"/>
        <v>570974.59061485925</v>
      </c>
      <c r="GD30" s="1164">
        <f t="shared" si="92"/>
        <v>30000</v>
      </c>
      <c r="GE30" s="1154">
        <f t="shared" si="93"/>
        <v>540974.59061485925</v>
      </c>
      <c r="GF30" s="1060">
        <f t="shared" si="94"/>
        <v>35</v>
      </c>
      <c r="GG30" s="1166">
        <f t="shared" si="95"/>
        <v>15456.416874710265</v>
      </c>
      <c r="GI30" s="1164">
        <f t="shared" si="96"/>
        <v>3806497.2707657288</v>
      </c>
      <c r="GJ30" s="1154">
        <f t="shared" si="97"/>
        <v>380649.72707657289</v>
      </c>
      <c r="GK30" s="1154">
        <f t="shared" si="98"/>
        <v>95162.431769143222</v>
      </c>
      <c r="GL30" s="1166">
        <v>15000</v>
      </c>
      <c r="GM30" s="1154">
        <f t="shared" si="99"/>
        <v>365649.72707657289</v>
      </c>
      <c r="GN30" s="1060">
        <f t="shared" si="100"/>
        <v>35</v>
      </c>
      <c r="GO30" s="1154">
        <f t="shared" si="101"/>
        <v>10447.135059330654</v>
      </c>
      <c r="GS30" s="1010">
        <f t="shared" si="102"/>
        <v>3806497.2707657288</v>
      </c>
      <c r="GT30" s="1011">
        <f t="shared" si="103"/>
        <v>0.125</v>
      </c>
      <c r="GU30" s="1010">
        <f t="shared" si="104"/>
        <v>475812.1588457161</v>
      </c>
      <c r="GV30" s="1010">
        <f t="shared" si="105"/>
        <v>30000</v>
      </c>
      <c r="GW30" s="1010">
        <f t="shared" si="106"/>
        <v>445812.1588457161</v>
      </c>
      <c r="GX30" s="1010">
        <f t="shared" si="107"/>
        <v>13</v>
      </c>
      <c r="GY30" s="1010">
        <f t="shared" si="108"/>
        <v>34293.242988132006</v>
      </c>
      <c r="GZ30" s="1011">
        <f t="shared" si="109"/>
        <v>0.875</v>
      </c>
      <c r="HA30" s="1010">
        <f t="shared" si="110"/>
        <v>3330685.1119200126</v>
      </c>
      <c r="HB30" s="1010">
        <f t="shared" si="111"/>
        <v>25822.76622153218</v>
      </c>
      <c r="HC30" s="1010">
        <f t="shared" si="112"/>
        <v>29937.139399009873</v>
      </c>
      <c r="HD30" s="1010">
        <f t="shared" si="113"/>
        <v>38672.078310114535</v>
      </c>
      <c r="HE30" s="1010">
        <f t="shared" si="114"/>
        <v>65951.557176514485</v>
      </c>
      <c r="HG30" s="1010">
        <f t="shared" si="115"/>
        <v>3806497.2707657288</v>
      </c>
      <c r="HH30" s="1011">
        <f t="shared" si="116"/>
        <v>0.125</v>
      </c>
      <c r="HI30" s="1010">
        <f t="shared" si="117"/>
        <v>475812.1588457161</v>
      </c>
      <c r="HJ30" s="1010">
        <f t="shared" si="118"/>
        <v>30000</v>
      </c>
      <c r="HK30" s="1010">
        <f t="shared" si="119"/>
        <v>445812.1588457161</v>
      </c>
      <c r="HL30" s="1012">
        <f t="shared" si="120"/>
        <v>33</v>
      </c>
      <c r="HM30" s="1167">
        <f t="shared" si="121"/>
        <v>13509.459358961094</v>
      </c>
      <c r="HN30" s="1168">
        <f t="shared" si="122"/>
        <v>0.875</v>
      </c>
      <c r="HO30" s="1167">
        <f t="shared" si="123"/>
        <v>3330685.1119200126</v>
      </c>
      <c r="HP30" s="1146">
        <f t="shared" si="124"/>
        <v>25822.76622153218</v>
      </c>
      <c r="HQ30" s="1146">
        <f t="shared" si="125"/>
        <v>29937.139399009873</v>
      </c>
      <c r="HR30" s="1146">
        <f t="shared" si="126"/>
        <v>38672.078310114535</v>
      </c>
      <c r="HS30" s="1146">
        <f t="shared" si="127"/>
        <v>65951.557176514485</v>
      </c>
      <c r="HU30" s="1167">
        <f t="shared" si="128"/>
        <v>-20783.78362917091</v>
      </c>
      <c r="HX30" s="1154"/>
      <c r="HY30" s="1154"/>
      <c r="IB30" s="1154"/>
      <c r="IC30" s="1154"/>
      <c r="ID30" s="1154"/>
      <c r="IE30" s="1154"/>
      <c r="IG30" s="1060"/>
    </row>
    <row r="31" spans="1:264" ht="14.25" hidden="1" customHeight="1">
      <c r="A31" s="1186">
        <f t="shared" si="141"/>
        <v>25</v>
      </c>
      <c r="B31" s="824"/>
      <c r="C31" s="855">
        <f t="shared" si="155"/>
        <v>10</v>
      </c>
      <c r="D31" s="856" t="s">
        <v>495</v>
      </c>
      <c r="E31" s="857" t="str">
        <f t="shared" si="23"/>
        <v>3rd Floor</v>
      </c>
      <c r="F31" s="1185"/>
      <c r="G31" s="764" t="s">
        <v>184</v>
      </c>
      <c r="H31" s="764" t="s">
        <v>516</v>
      </c>
      <c r="I31" s="764" t="s">
        <v>476</v>
      </c>
      <c r="J31" s="1139">
        <v>22</v>
      </c>
      <c r="K31" s="1142"/>
      <c r="L31" s="764" t="s">
        <v>500</v>
      </c>
      <c r="M31" s="764" t="s">
        <v>93</v>
      </c>
      <c r="N31" s="856">
        <f t="shared" si="24"/>
        <v>100909.09090909091</v>
      </c>
      <c r="O31" s="1138">
        <f t="shared" si="136"/>
        <v>2220000</v>
      </c>
      <c r="P31" s="1138">
        <f t="shared" si="142"/>
        <v>22400</v>
      </c>
      <c r="Q31" s="1138">
        <f t="shared" si="8"/>
        <v>50000</v>
      </c>
      <c r="R31" s="1138"/>
      <c r="S31" s="1138"/>
      <c r="T31" s="1138"/>
      <c r="U31" s="1138"/>
      <c r="V31" s="1138"/>
      <c r="W31" s="858"/>
      <c r="X31" s="1138"/>
      <c r="Y31" s="1138"/>
      <c r="Z31" s="1138">
        <f t="shared" si="137"/>
        <v>75000</v>
      </c>
      <c r="AA31" s="1138">
        <f t="shared" si="138"/>
        <v>147400</v>
      </c>
      <c r="AB31" s="1138">
        <f t="shared" si="28"/>
        <v>2367400</v>
      </c>
      <c r="AC31" s="1138">
        <f t="shared" si="29"/>
        <v>59185</v>
      </c>
      <c r="AD31" s="1138">
        <f t="shared" si="30"/>
        <v>2426585</v>
      </c>
      <c r="AE31" s="1138">
        <f t="shared" si="31"/>
        <v>60664.625</v>
      </c>
      <c r="AF31" s="1138">
        <f t="shared" si="32"/>
        <v>2487249.625</v>
      </c>
      <c r="AG31" s="1138">
        <f t="shared" si="33"/>
        <v>62181.240625000006</v>
      </c>
      <c r="AH31" s="1138">
        <f t="shared" si="34"/>
        <v>2549430.8656250001</v>
      </c>
      <c r="AI31" s="1138">
        <f t="shared" si="144"/>
        <v>127471.54328125001</v>
      </c>
      <c r="AJ31" s="1138">
        <f t="shared" si="35"/>
        <v>2676902.4089062503</v>
      </c>
      <c r="AK31" s="1138">
        <f t="shared" si="36"/>
        <v>26769.024089062503</v>
      </c>
      <c r="AL31" s="1138">
        <f t="shared" si="37"/>
        <v>27537.409960060559</v>
      </c>
      <c r="AM31" s="1138"/>
      <c r="AN31" s="1138"/>
      <c r="AO31" s="1138">
        <f t="shared" si="38"/>
        <v>2731208.8429553732</v>
      </c>
      <c r="AP31" s="1138">
        <f t="shared" si="39"/>
        <v>368713.19379897544</v>
      </c>
      <c r="AQ31" s="1248">
        <f t="shared" si="40"/>
        <v>3099922.0367543488</v>
      </c>
      <c r="AR31" s="1248">
        <f t="shared" si="166"/>
        <v>3099922.0367543488</v>
      </c>
      <c r="AS31" s="1248"/>
      <c r="AT31" s="1248"/>
      <c r="AU31" s="1248">
        <f t="shared" si="42"/>
        <v>0</v>
      </c>
      <c r="AV31" s="1140">
        <f t="shared" si="43"/>
        <v>0</v>
      </c>
      <c r="AW31" s="1140">
        <f t="shared" si="44"/>
        <v>3099922.0367543488</v>
      </c>
      <c r="AX31" s="1139">
        <f t="shared" si="45"/>
        <v>38749.025459429358</v>
      </c>
      <c r="AY31" s="831" t="s">
        <v>478</v>
      </c>
      <c r="AZ31" s="831">
        <f t="shared" si="46"/>
        <v>3138671.062213778</v>
      </c>
      <c r="BA31" s="831">
        <f t="shared" si="47"/>
        <v>117700.16483301668</v>
      </c>
      <c r="BB31" s="831"/>
      <c r="BC31" s="831">
        <f t="shared" si="11"/>
        <v>33600</v>
      </c>
      <c r="BD31" s="831"/>
      <c r="BE31" s="831">
        <f t="shared" si="48"/>
        <v>3289971.2270467947</v>
      </c>
      <c r="BF31" s="831"/>
      <c r="BG31" s="831">
        <f t="shared" si="49"/>
        <v>3289971.2270467947</v>
      </c>
      <c r="BH31" s="831"/>
      <c r="BI31" s="831">
        <f t="shared" si="50"/>
        <v>3289971.2270467947</v>
      </c>
      <c r="BJ31" s="831"/>
      <c r="BK31" s="831">
        <f t="shared" si="51"/>
        <v>3289971.2270467947</v>
      </c>
      <c r="BL31" s="831"/>
      <c r="BM31" s="831">
        <f t="shared" si="52"/>
        <v>3289971.2270467947</v>
      </c>
      <c r="BN31" s="831"/>
      <c r="BO31" s="831">
        <f t="shared" si="53"/>
        <v>3289971.2270467947</v>
      </c>
      <c r="BP31" s="831"/>
      <c r="BQ31" s="831">
        <f t="shared" si="54"/>
        <v>3289971.2270467947</v>
      </c>
      <c r="BR31" s="831"/>
      <c r="BS31" s="831">
        <f t="shared" si="55"/>
        <v>3289971.2270467947</v>
      </c>
      <c r="BT31" s="831"/>
      <c r="BU31" s="831">
        <f t="shared" si="56"/>
        <v>3289971.2270467947</v>
      </c>
      <c r="BV31" s="831"/>
      <c r="BW31" s="831">
        <f t="shared" si="57"/>
        <v>56400</v>
      </c>
      <c r="BX31" s="831">
        <f t="shared" si="58"/>
        <v>3346371.2270467947</v>
      </c>
      <c r="BY31" s="831"/>
      <c r="BZ31" s="831">
        <f t="shared" si="59"/>
        <v>3346371.2270467947</v>
      </c>
      <c r="CA31" s="1260">
        <f t="shared" si="60"/>
        <v>3346371.2270467947</v>
      </c>
      <c r="CB31" s="1260">
        <f t="shared" si="61"/>
        <v>3346371.2270467947</v>
      </c>
      <c r="CC31" s="1260"/>
      <c r="CD31" s="1260">
        <f t="shared" si="62"/>
        <v>0</v>
      </c>
      <c r="CE31" s="1260">
        <f t="shared" si="63"/>
        <v>0</v>
      </c>
      <c r="CF31" s="1260">
        <f t="shared" si="64"/>
        <v>0</v>
      </c>
      <c r="CG31" s="1266">
        <f t="shared" si="65"/>
        <v>3346371.2270467947</v>
      </c>
      <c r="CH31" s="1141">
        <f t="shared" si="66"/>
        <v>3346371.2270467947</v>
      </c>
      <c r="CI31" s="1142">
        <f t="shared" si="67"/>
        <v>0</v>
      </c>
      <c r="CJ31" s="1141">
        <f t="shared" si="68"/>
        <v>343003.05077229644</v>
      </c>
      <c r="CK31" s="1141">
        <f t="shared" si="69"/>
        <v>117122.99294663782</v>
      </c>
      <c r="CL31" s="1143">
        <f t="shared" si="139"/>
        <v>3806497.2707657288</v>
      </c>
      <c r="CM31" s="1144">
        <f t="shared" si="71"/>
        <v>0.125</v>
      </c>
      <c r="CN31" s="1141">
        <f t="shared" si="72"/>
        <v>475812.1588457161</v>
      </c>
      <c r="CO31" s="1141">
        <f t="shared" si="73"/>
        <v>30000</v>
      </c>
      <c r="CP31" s="1141">
        <f t="shared" si="74"/>
        <v>445812.1588457161</v>
      </c>
      <c r="CQ31" s="1145">
        <f t="shared" si="75"/>
        <v>13</v>
      </c>
      <c r="CR31" s="1141">
        <f t="shared" si="76"/>
        <v>34293.242988132006</v>
      </c>
      <c r="CS31" s="1144">
        <f t="shared" si="77"/>
        <v>0.875</v>
      </c>
      <c r="CT31" s="1141">
        <f t="shared" si="78"/>
        <v>3330685.1119200126</v>
      </c>
      <c r="CU31" s="1146">
        <f t="shared" si="12"/>
        <v>25822.76622153218</v>
      </c>
      <c r="CV31" s="1146">
        <f t="shared" si="13"/>
        <v>29937.139399009873</v>
      </c>
      <c r="CW31" s="1146">
        <f t="shared" si="14"/>
        <v>38672.078310114535</v>
      </c>
      <c r="CX31" s="1146">
        <f t="shared" si="15"/>
        <v>65951.557176514485</v>
      </c>
      <c r="CY31" s="1146">
        <f t="shared" si="79"/>
        <v>270562.13827147207</v>
      </c>
      <c r="CZ31" s="1146">
        <f t="shared" si="80"/>
        <v>107060.12013017652</v>
      </c>
      <c r="DA31" s="1146">
        <f t="shared" si="81"/>
        <v>77328.008456711017</v>
      </c>
      <c r="DB31" s="1146">
        <f t="shared" si="82"/>
        <v>58850.174433200184</v>
      </c>
      <c r="DC31" s="1146"/>
      <c r="DD31" s="1146"/>
      <c r="DE31" s="1146"/>
      <c r="DF31" s="1146"/>
      <c r="DG31" s="1146"/>
      <c r="DH31" s="1146"/>
      <c r="DI31" s="1146"/>
      <c r="DJ31" s="1146"/>
      <c r="DK31" s="1146"/>
      <c r="DL31" s="1146"/>
      <c r="DM31" s="1146"/>
      <c r="DN31" s="1146"/>
      <c r="DO31" s="1146"/>
      <c r="DP31" s="1146"/>
      <c r="DQ31" s="1146"/>
      <c r="DR31" s="1146"/>
      <c r="DS31" s="1146"/>
      <c r="DT31" s="1146"/>
      <c r="DU31" s="1146"/>
      <c r="DV31" s="1146"/>
      <c r="DW31" s="1146"/>
      <c r="DX31" s="1146"/>
      <c r="DY31" s="1146"/>
      <c r="DZ31" s="1146"/>
      <c r="EA31" s="1147">
        <f t="shared" si="83"/>
        <v>0</v>
      </c>
      <c r="EB31" s="1148">
        <f t="shared" si="84"/>
        <v>0</v>
      </c>
      <c r="EC31" s="1190">
        <f t="shared" si="132"/>
        <v>45839</v>
      </c>
      <c r="ED31" s="1031">
        <f t="shared" si="16"/>
        <v>20</v>
      </c>
      <c r="EE31" s="1191"/>
      <c r="EF31" s="1032">
        <f t="shared" si="17"/>
        <v>45904</v>
      </c>
      <c r="EG31" s="1029">
        <f t="shared" si="85"/>
        <v>22</v>
      </c>
      <c r="EH31" s="859" t="s">
        <v>490</v>
      </c>
      <c r="EI31" s="859" t="s">
        <v>480</v>
      </c>
      <c r="EJ31" s="860">
        <f t="shared" si="18"/>
        <v>0</v>
      </c>
      <c r="EK31" s="860">
        <f t="shared" si="19"/>
        <v>0</v>
      </c>
      <c r="EL31" s="861">
        <f t="shared" si="20"/>
        <v>0</v>
      </c>
      <c r="EM31" s="1197"/>
      <c r="EN31" s="860"/>
      <c r="EO31" s="860"/>
      <c r="EP31" s="860">
        <f t="shared" si="21"/>
        <v>0</v>
      </c>
      <c r="EQ31" s="1197"/>
      <c r="ER31" s="1200"/>
      <c r="ES31" s="1197"/>
      <c r="ET31" s="1194" t="s">
        <v>184</v>
      </c>
      <c r="EU31" s="1197" t="b">
        <f t="shared" si="22"/>
        <v>1</v>
      </c>
      <c r="EV31" s="1197"/>
      <c r="EW31" s="1197"/>
      <c r="EX31" s="1197"/>
      <c r="EY31" s="1128" t="s">
        <v>483</v>
      </c>
      <c r="EZ31" s="1128" t="s">
        <v>484</v>
      </c>
      <c r="FA31" s="1169">
        <f t="shared" si="86"/>
        <v>0</v>
      </c>
      <c r="FI31" s="1309" t="s">
        <v>149</v>
      </c>
      <c r="FJ31" s="1159" t="s">
        <v>149</v>
      </c>
      <c r="FK31" s="1160" t="b">
        <f t="shared" si="87"/>
        <v>1</v>
      </c>
      <c r="FL31" s="1131"/>
      <c r="FM31" s="1161"/>
      <c r="FO31" s="1060"/>
      <c r="FP31" s="1181">
        <f>FP30-1</f>
        <v>16</v>
      </c>
      <c r="FQ31" s="1176">
        <f t="shared" ref="FQ31" si="168">EDATE(FR31,FP31)</f>
        <v>46204</v>
      </c>
      <c r="FR31" s="1177">
        <v>45717</v>
      </c>
      <c r="FU31" s="1295"/>
      <c r="FV31" s="1295"/>
      <c r="FW31" s="1023">
        <v>0.15</v>
      </c>
      <c r="FX31" s="1162">
        <v>13992.593304018388</v>
      </c>
      <c r="FY31" s="1163">
        <v>14429.861844768962</v>
      </c>
      <c r="GA31" s="1164">
        <f t="shared" si="89"/>
        <v>3806497.2707657288</v>
      </c>
      <c r="GB31" s="1165">
        <f t="shared" si="90"/>
        <v>0.15</v>
      </c>
      <c r="GC31" s="1154">
        <f t="shared" si="91"/>
        <v>570974.59061485925</v>
      </c>
      <c r="GD31" s="1164">
        <f t="shared" si="92"/>
        <v>30000</v>
      </c>
      <c r="GE31" s="1154">
        <f t="shared" si="93"/>
        <v>540974.59061485925</v>
      </c>
      <c r="GF31" s="1060">
        <f t="shared" si="94"/>
        <v>35</v>
      </c>
      <c r="GG31" s="1166">
        <f t="shared" si="95"/>
        <v>15456.416874710265</v>
      </c>
      <c r="GI31" s="1164">
        <f t="shared" si="96"/>
        <v>3806497.2707657288</v>
      </c>
      <c r="GJ31" s="1154">
        <f t="shared" si="97"/>
        <v>380649.72707657289</v>
      </c>
      <c r="GK31" s="1154">
        <f t="shared" si="98"/>
        <v>95162.431769143222</v>
      </c>
      <c r="GL31" s="1166">
        <v>15000</v>
      </c>
      <c r="GM31" s="1154">
        <f t="shared" si="99"/>
        <v>365649.72707657289</v>
      </c>
      <c r="GN31" s="1060">
        <f t="shared" si="100"/>
        <v>35</v>
      </c>
      <c r="GO31" s="1154">
        <f t="shared" si="101"/>
        <v>10447.135059330654</v>
      </c>
      <c r="GS31" s="1010">
        <f t="shared" si="102"/>
        <v>3806497.2707657288</v>
      </c>
      <c r="GT31" s="1011">
        <f t="shared" si="103"/>
        <v>0.125</v>
      </c>
      <c r="GU31" s="1010">
        <f t="shared" si="104"/>
        <v>475812.1588457161</v>
      </c>
      <c r="GV31" s="1010">
        <f t="shared" si="105"/>
        <v>30000</v>
      </c>
      <c r="GW31" s="1010">
        <f t="shared" si="106"/>
        <v>445812.1588457161</v>
      </c>
      <c r="GX31" s="1010">
        <f t="shared" si="107"/>
        <v>13</v>
      </c>
      <c r="GY31" s="1010">
        <f t="shared" si="108"/>
        <v>34293.242988132006</v>
      </c>
      <c r="GZ31" s="1011">
        <f t="shared" si="109"/>
        <v>0.875</v>
      </c>
      <c r="HA31" s="1010">
        <f t="shared" si="110"/>
        <v>3330685.1119200126</v>
      </c>
      <c r="HB31" s="1010">
        <f t="shared" si="111"/>
        <v>25822.76622153218</v>
      </c>
      <c r="HC31" s="1010">
        <f t="shared" si="112"/>
        <v>29937.139399009873</v>
      </c>
      <c r="HD31" s="1010">
        <f t="shared" si="113"/>
        <v>38672.078310114535</v>
      </c>
      <c r="HE31" s="1010">
        <f t="shared" si="114"/>
        <v>65951.557176514485</v>
      </c>
      <c r="HG31" s="1010">
        <f t="shared" si="115"/>
        <v>3806497.2707657288</v>
      </c>
      <c r="HH31" s="1011">
        <f t="shared" si="116"/>
        <v>0.125</v>
      </c>
      <c r="HI31" s="1010">
        <f t="shared" si="117"/>
        <v>475812.1588457161</v>
      </c>
      <c r="HJ31" s="1010">
        <f t="shared" si="118"/>
        <v>30000</v>
      </c>
      <c r="HK31" s="1010">
        <f t="shared" si="119"/>
        <v>445812.1588457161</v>
      </c>
      <c r="HL31" s="1012">
        <f t="shared" si="120"/>
        <v>33</v>
      </c>
      <c r="HM31" s="1167">
        <f t="shared" si="121"/>
        <v>13509.459358961094</v>
      </c>
      <c r="HN31" s="1168">
        <f t="shared" si="122"/>
        <v>0.875</v>
      </c>
      <c r="HO31" s="1167">
        <f t="shared" si="123"/>
        <v>3330685.1119200126</v>
      </c>
      <c r="HP31" s="1146">
        <f t="shared" si="124"/>
        <v>25822.76622153218</v>
      </c>
      <c r="HQ31" s="1146">
        <f t="shared" si="125"/>
        <v>29937.139399009873</v>
      </c>
      <c r="HR31" s="1146">
        <f t="shared" si="126"/>
        <v>38672.078310114535</v>
      </c>
      <c r="HS31" s="1146">
        <f t="shared" si="127"/>
        <v>65951.557176514485</v>
      </c>
      <c r="HU31" s="1167">
        <f t="shared" si="128"/>
        <v>-20783.78362917091</v>
      </c>
      <c r="HX31" s="1154"/>
      <c r="HY31" s="1154"/>
      <c r="IB31" s="1154"/>
      <c r="IC31" s="1154"/>
      <c r="ID31" s="1154"/>
      <c r="IE31" s="1154"/>
      <c r="IG31" s="1060"/>
    </row>
    <row r="32" spans="1:264" ht="14.25" hidden="1" customHeight="1">
      <c r="A32" s="1186">
        <f t="shared" si="141"/>
        <v>26</v>
      </c>
      <c r="B32" s="824" t="s">
        <v>149</v>
      </c>
      <c r="C32" s="855">
        <f t="shared" si="155"/>
        <v>11</v>
      </c>
      <c r="D32" s="856" t="s">
        <v>495</v>
      </c>
      <c r="E32" s="857" t="str">
        <f t="shared" si="23"/>
        <v>3rd Floor</v>
      </c>
      <c r="F32" s="1185"/>
      <c r="G32" s="764" t="s">
        <v>185</v>
      </c>
      <c r="H32" s="764" t="s">
        <v>517</v>
      </c>
      <c r="I32" s="764" t="s">
        <v>476</v>
      </c>
      <c r="J32" s="1139">
        <v>22</v>
      </c>
      <c r="K32" s="1142"/>
      <c r="L32" s="764" t="s">
        <v>500</v>
      </c>
      <c r="M32" s="764" t="s">
        <v>93</v>
      </c>
      <c r="N32" s="856">
        <f t="shared" si="24"/>
        <v>100909.09090909091</v>
      </c>
      <c r="O32" s="1138">
        <f t="shared" si="136"/>
        <v>2220000</v>
      </c>
      <c r="P32" s="1138">
        <f t="shared" si="142"/>
        <v>22400</v>
      </c>
      <c r="Q32" s="1138">
        <f t="shared" si="8"/>
        <v>50000</v>
      </c>
      <c r="R32" s="1138"/>
      <c r="S32" s="1138"/>
      <c r="T32" s="1138"/>
      <c r="U32" s="1138"/>
      <c r="V32" s="1138"/>
      <c r="W32" s="858"/>
      <c r="X32" s="1138"/>
      <c r="Y32" s="1138"/>
      <c r="Z32" s="1138">
        <f t="shared" si="137"/>
        <v>75000</v>
      </c>
      <c r="AA32" s="1138">
        <f t="shared" si="138"/>
        <v>147400</v>
      </c>
      <c r="AB32" s="1138">
        <f t="shared" si="28"/>
        <v>2367400</v>
      </c>
      <c r="AC32" s="1138">
        <f t="shared" si="29"/>
        <v>59185</v>
      </c>
      <c r="AD32" s="1138">
        <f t="shared" si="30"/>
        <v>2426585</v>
      </c>
      <c r="AE32" s="1138">
        <f t="shared" si="31"/>
        <v>60664.625</v>
      </c>
      <c r="AF32" s="1138">
        <f t="shared" si="32"/>
        <v>2487249.625</v>
      </c>
      <c r="AG32" s="1138">
        <f t="shared" si="33"/>
        <v>62181.240625000006</v>
      </c>
      <c r="AH32" s="1138">
        <f t="shared" si="34"/>
        <v>2549430.8656250001</v>
      </c>
      <c r="AI32" s="1138">
        <f t="shared" si="144"/>
        <v>127471.54328125001</v>
      </c>
      <c r="AJ32" s="1138">
        <f t="shared" si="35"/>
        <v>2676902.4089062503</v>
      </c>
      <c r="AK32" s="1138">
        <f t="shared" si="36"/>
        <v>26769.024089062503</v>
      </c>
      <c r="AL32" s="1138">
        <f t="shared" si="37"/>
        <v>27537.409960060559</v>
      </c>
      <c r="AM32" s="1138"/>
      <c r="AN32" s="1138"/>
      <c r="AO32" s="1138">
        <f t="shared" si="38"/>
        <v>2731208.8429553732</v>
      </c>
      <c r="AP32" s="1138">
        <f t="shared" si="39"/>
        <v>368713.19379897544</v>
      </c>
      <c r="AQ32" s="1248">
        <f t="shared" si="40"/>
        <v>3099922.0367543488</v>
      </c>
      <c r="AR32" s="1248">
        <f t="shared" si="166"/>
        <v>3099922.0367543488</v>
      </c>
      <c r="AS32" s="1248"/>
      <c r="AT32" s="1248"/>
      <c r="AU32" s="1248">
        <f t="shared" si="42"/>
        <v>0</v>
      </c>
      <c r="AV32" s="1140">
        <f t="shared" si="43"/>
        <v>0</v>
      </c>
      <c r="AW32" s="1140">
        <f t="shared" si="44"/>
        <v>3099922.0367543488</v>
      </c>
      <c r="AX32" s="1139">
        <f t="shared" si="45"/>
        <v>38749.025459429358</v>
      </c>
      <c r="AY32" s="831" t="s">
        <v>478</v>
      </c>
      <c r="AZ32" s="831">
        <f t="shared" si="46"/>
        <v>3138671.062213778</v>
      </c>
      <c r="BA32" s="831">
        <f t="shared" si="47"/>
        <v>117700.16483301668</v>
      </c>
      <c r="BB32" s="831"/>
      <c r="BC32" s="831">
        <f t="shared" si="11"/>
        <v>33600</v>
      </c>
      <c r="BD32" s="831"/>
      <c r="BE32" s="831">
        <f t="shared" si="48"/>
        <v>3289971.2270467947</v>
      </c>
      <c r="BF32" s="831"/>
      <c r="BG32" s="831">
        <f t="shared" si="49"/>
        <v>3289971.2270467947</v>
      </c>
      <c r="BH32" s="831"/>
      <c r="BI32" s="831">
        <f t="shared" si="50"/>
        <v>3289971.2270467947</v>
      </c>
      <c r="BJ32" s="831"/>
      <c r="BK32" s="831">
        <f t="shared" si="51"/>
        <v>3289971.2270467947</v>
      </c>
      <c r="BL32" s="831"/>
      <c r="BM32" s="831">
        <f t="shared" si="52"/>
        <v>3289971.2270467947</v>
      </c>
      <c r="BN32" s="831"/>
      <c r="BO32" s="831">
        <f t="shared" si="53"/>
        <v>3289971.2270467947</v>
      </c>
      <c r="BP32" s="831"/>
      <c r="BQ32" s="831">
        <f t="shared" si="54"/>
        <v>3289971.2270467947</v>
      </c>
      <c r="BR32" s="831"/>
      <c r="BS32" s="831">
        <f t="shared" si="55"/>
        <v>3289971.2270467947</v>
      </c>
      <c r="BT32" s="831"/>
      <c r="BU32" s="831">
        <f t="shared" si="56"/>
        <v>3289971.2270467947</v>
      </c>
      <c r="BV32" s="831"/>
      <c r="BW32" s="831">
        <f t="shared" si="57"/>
        <v>56400</v>
      </c>
      <c r="BX32" s="831">
        <f t="shared" si="58"/>
        <v>3346371.2270467947</v>
      </c>
      <c r="BY32" s="831"/>
      <c r="BZ32" s="831">
        <f t="shared" si="59"/>
        <v>3346371.2270467947</v>
      </c>
      <c r="CA32" s="1260">
        <f t="shared" si="60"/>
        <v>3346371.2270467947</v>
      </c>
      <c r="CB32" s="1260">
        <f t="shared" si="61"/>
        <v>3346371.2270467947</v>
      </c>
      <c r="CC32" s="1260"/>
      <c r="CD32" s="1260">
        <f t="shared" si="62"/>
        <v>0</v>
      </c>
      <c r="CE32" s="1260">
        <f t="shared" si="63"/>
        <v>0</v>
      </c>
      <c r="CF32" s="1260">
        <f t="shared" si="64"/>
        <v>0</v>
      </c>
      <c r="CG32" s="1266">
        <f t="shared" si="65"/>
        <v>3346371.2270467947</v>
      </c>
      <c r="CH32" s="1141">
        <f t="shared" si="66"/>
        <v>3346371.2270467947</v>
      </c>
      <c r="CI32" s="1142">
        <f t="shared" si="67"/>
        <v>0</v>
      </c>
      <c r="CJ32" s="1141">
        <f t="shared" si="68"/>
        <v>343003.05077229644</v>
      </c>
      <c r="CK32" s="1141">
        <f t="shared" si="69"/>
        <v>117122.99294663782</v>
      </c>
      <c r="CL32" s="1143">
        <f t="shared" si="139"/>
        <v>3806497.2707657288</v>
      </c>
      <c r="CM32" s="1144">
        <f t="shared" si="71"/>
        <v>0.125</v>
      </c>
      <c r="CN32" s="1141">
        <f t="shared" si="72"/>
        <v>475812.1588457161</v>
      </c>
      <c r="CO32" s="1141">
        <f t="shared" si="73"/>
        <v>30000</v>
      </c>
      <c r="CP32" s="1141">
        <f t="shared" si="74"/>
        <v>445812.1588457161</v>
      </c>
      <c r="CQ32" s="1145">
        <f t="shared" si="75"/>
        <v>13</v>
      </c>
      <c r="CR32" s="1141">
        <f t="shared" si="76"/>
        <v>34293.242988132006</v>
      </c>
      <c r="CS32" s="1144">
        <f t="shared" si="77"/>
        <v>0.875</v>
      </c>
      <c r="CT32" s="1141">
        <f t="shared" si="78"/>
        <v>3330685.1119200126</v>
      </c>
      <c r="CU32" s="1146">
        <f t="shared" si="12"/>
        <v>25822.76622153218</v>
      </c>
      <c r="CV32" s="1146">
        <f t="shared" si="13"/>
        <v>29937.139399009873</v>
      </c>
      <c r="CW32" s="1146">
        <f t="shared" si="14"/>
        <v>38672.078310114535</v>
      </c>
      <c r="CX32" s="1146">
        <f t="shared" si="15"/>
        <v>65951.557176514485</v>
      </c>
      <c r="CY32" s="1146">
        <f t="shared" si="79"/>
        <v>270562.13827147207</v>
      </c>
      <c r="CZ32" s="1146">
        <f t="shared" si="80"/>
        <v>107060.12013017652</v>
      </c>
      <c r="DA32" s="1146">
        <f t="shared" si="81"/>
        <v>77328.008456711017</v>
      </c>
      <c r="DB32" s="1146">
        <f t="shared" si="82"/>
        <v>58850.174433200184</v>
      </c>
      <c r="DC32" s="1146"/>
      <c r="DD32" s="1146"/>
      <c r="DE32" s="1146"/>
      <c r="DF32" s="1146"/>
      <c r="DG32" s="1146"/>
      <c r="DH32" s="1146"/>
      <c r="DI32" s="1146"/>
      <c r="DJ32" s="1146"/>
      <c r="DK32" s="1146"/>
      <c r="DL32" s="1146"/>
      <c r="DM32" s="1146"/>
      <c r="DN32" s="1146"/>
      <c r="DO32" s="1146"/>
      <c r="DP32" s="1146"/>
      <c r="DQ32" s="1146"/>
      <c r="DR32" s="1146"/>
      <c r="DS32" s="1146"/>
      <c r="DT32" s="1146"/>
      <c r="DU32" s="1146"/>
      <c r="DV32" s="1146"/>
      <c r="DW32" s="1146"/>
      <c r="DX32" s="1146"/>
      <c r="DY32" s="1146"/>
      <c r="DZ32" s="1146"/>
      <c r="EA32" s="1147">
        <f t="shared" si="83"/>
        <v>0</v>
      </c>
      <c r="EB32" s="1148">
        <f t="shared" si="84"/>
        <v>0</v>
      </c>
      <c r="EC32" s="1190">
        <f t="shared" si="132"/>
        <v>45839</v>
      </c>
      <c r="ED32" s="1031">
        <f t="shared" si="16"/>
        <v>20</v>
      </c>
      <c r="EE32" s="1191"/>
      <c r="EF32" s="1032">
        <f t="shared" si="17"/>
        <v>45904</v>
      </c>
      <c r="EG32" s="1029">
        <f t="shared" si="85"/>
        <v>22</v>
      </c>
      <c r="EH32" s="859" t="s">
        <v>490</v>
      </c>
      <c r="EI32" s="859" t="s">
        <v>480</v>
      </c>
      <c r="EJ32" s="860">
        <f t="shared" si="18"/>
        <v>0</v>
      </c>
      <c r="EK32" s="860">
        <f t="shared" si="19"/>
        <v>0</v>
      </c>
      <c r="EL32" s="861">
        <f t="shared" si="20"/>
        <v>0</v>
      </c>
      <c r="EM32" s="1197"/>
      <c r="EN32" s="860"/>
      <c r="EO32" s="860"/>
      <c r="EP32" s="860">
        <f t="shared" si="21"/>
        <v>0</v>
      </c>
      <c r="EQ32" s="1197"/>
      <c r="ER32" s="1200"/>
      <c r="ES32" s="1197"/>
      <c r="ET32" s="1194" t="s">
        <v>185</v>
      </c>
      <c r="EU32" s="1197" t="b">
        <f t="shared" si="22"/>
        <v>1</v>
      </c>
      <c r="EV32" s="1201" t="s">
        <v>544</v>
      </c>
      <c r="EW32" s="1202" t="s">
        <v>482</v>
      </c>
      <c r="EX32" s="1197"/>
      <c r="EY32" s="1128" t="s">
        <v>483</v>
      </c>
      <c r="EZ32" s="1128" t="s">
        <v>484</v>
      </c>
      <c r="FA32" s="1169">
        <f t="shared" si="86"/>
        <v>0</v>
      </c>
      <c r="FI32" s="1309" t="s">
        <v>149</v>
      </c>
      <c r="FJ32" s="1159" t="s">
        <v>149</v>
      </c>
      <c r="FK32" s="1160" t="b">
        <f t="shared" si="87"/>
        <v>1</v>
      </c>
      <c r="FL32" s="1131"/>
      <c r="FM32" s="1161"/>
      <c r="FO32" s="1060"/>
      <c r="FP32" s="1181">
        <f>FP31-1</f>
        <v>15</v>
      </c>
      <c r="FQ32" s="1176">
        <f t="shared" ref="FQ32" si="169">EDATE(FR32,FP32)</f>
        <v>46204</v>
      </c>
      <c r="FR32" s="1177">
        <v>45748</v>
      </c>
      <c r="FS32" s="884" t="s">
        <v>545</v>
      </c>
      <c r="FU32" s="1295"/>
      <c r="FV32" s="1295"/>
      <c r="FW32" s="1023">
        <v>0.15</v>
      </c>
      <c r="FX32" s="1162">
        <v>13992.593304018388</v>
      </c>
      <c r="FY32" s="1163">
        <v>14429.861844768962</v>
      </c>
      <c r="GA32" s="1164">
        <f t="shared" si="89"/>
        <v>3806497.2707657288</v>
      </c>
      <c r="GB32" s="1165">
        <f t="shared" si="90"/>
        <v>0.15</v>
      </c>
      <c r="GC32" s="1154">
        <f t="shared" si="91"/>
        <v>570974.59061485925</v>
      </c>
      <c r="GD32" s="1164">
        <f t="shared" si="92"/>
        <v>30000</v>
      </c>
      <c r="GE32" s="1154">
        <f t="shared" si="93"/>
        <v>540974.59061485925</v>
      </c>
      <c r="GF32" s="1060">
        <f t="shared" si="94"/>
        <v>35</v>
      </c>
      <c r="GG32" s="1166">
        <f t="shared" si="95"/>
        <v>15456.416874710265</v>
      </c>
      <c r="GI32" s="1164">
        <f t="shared" si="96"/>
        <v>3806497.2707657288</v>
      </c>
      <c r="GJ32" s="1154">
        <f t="shared" si="97"/>
        <v>380649.72707657289</v>
      </c>
      <c r="GK32" s="1154">
        <f t="shared" si="98"/>
        <v>95162.431769143222</v>
      </c>
      <c r="GL32" s="1166">
        <v>15000</v>
      </c>
      <c r="GM32" s="1154">
        <f t="shared" si="99"/>
        <v>365649.72707657289</v>
      </c>
      <c r="GN32" s="1060">
        <f t="shared" si="100"/>
        <v>35</v>
      </c>
      <c r="GO32" s="1154">
        <f t="shared" si="101"/>
        <v>10447.135059330654</v>
      </c>
      <c r="GS32" s="1010">
        <f t="shared" si="102"/>
        <v>3806497.2707657288</v>
      </c>
      <c r="GT32" s="1011">
        <f t="shared" si="103"/>
        <v>0.125</v>
      </c>
      <c r="GU32" s="1010">
        <f t="shared" si="104"/>
        <v>475812.1588457161</v>
      </c>
      <c r="GV32" s="1010">
        <f t="shared" si="105"/>
        <v>30000</v>
      </c>
      <c r="GW32" s="1010">
        <f t="shared" si="106"/>
        <v>445812.1588457161</v>
      </c>
      <c r="GX32" s="1010">
        <f t="shared" si="107"/>
        <v>13</v>
      </c>
      <c r="GY32" s="1010">
        <f t="shared" si="108"/>
        <v>34293.242988132006</v>
      </c>
      <c r="GZ32" s="1011">
        <f t="shared" si="109"/>
        <v>0.875</v>
      </c>
      <c r="HA32" s="1010">
        <f t="shared" si="110"/>
        <v>3330685.1119200126</v>
      </c>
      <c r="HB32" s="1010">
        <f t="shared" si="111"/>
        <v>25822.76622153218</v>
      </c>
      <c r="HC32" s="1010">
        <f t="shared" si="112"/>
        <v>29937.139399009873</v>
      </c>
      <c r="HD32" s="1010">
        <f t="shared" si="113"/>
        <v>38672.078310114535</v>
      </c>
      <c r="HE32" s="1010">
        <f t="shared" si="114"/>
        <v>65951.557176514485</v>
      </c>
      <c r="HG32" s="1010">
        <f t="shared" si="115"/>
        <v>3806497.2707657288</v>
      </c>
      <c r="HH32" s="1011">
        <f t="shared" si="116"/>
        <v>0.125</v>
      </c>
      <c r="HI32" s="1010">
        <f t="shared" si="117"/>
        <v>475812.1588457161</v>
      </c>
      <c r="HJ32" s="1010">
        <f t="shared" si="118"/>
        <v>30000</v>
      </c>
      <c r="HK32" s="1010">
        <f t="shared" si="119"/>
        <v>445812.1588457161</v>
      </c>
      <c r="HL32" s="1012">
        <f t="shared" si="120"/>
        <v>33</v>
      </c>
      <c r="HM32" s="1167">
        <f t="shared" si="121"/>
        <v>13509.459358961094</v>
      </c>
      <c r="HN32" s="1168">
        <f t="shared" si="122"/>
        <v>0.875</v>
      </c>
      <c r="HO32" s="1167">
        <f t="shared" si="123"/>
        <v>3330685.1119200126</v>
      </c>
      <c r="HP32" s="1146">
        <f t="shared" si="124"/>
        <v>25822.76622153218</v>
      </c>
      <c r="HQ32" s="1146">
        <f t="shared" si="125"/>
        <v>29937.139399009873</v>
      </c>
      <c r="HR32" s="1146">
        <f t="shared" si="126"/>
        <v>38672.078310114535</v>
      </c>
      <c r="HS32" s="1146">
        <f t="shared" si="127"/>
        <v>65951.557176514485</v>
      </c>
      <c r="HU32" s="1167">
        <f t="shared" si="128"/>
        <v>-20783.78362917091</v>
      </c>
      <c r="HX32" s="1154"/>
      <c r="HY32" s="1154"/>
      <c r="IB32" s="1154"/>
      <c r="IC32" s="1154"/>
      <c r="ID32" s="1154"/>
      <c r="IE32" s="1154"/>
      <c r="IG32" s="1060"/>
    </row>
    <row r="33" spans="1:241" ht="14.25" hidden="1" customHeight="1">
      <c r="A33" s="1186">
        <f t="shared" si="141"/>
        <v>27</v>
      </c>
      <c r="B33" s="824"/>
      <c r="C33" s="855">
        <f t="shared" si="155"/>
        <v>12</v>
      </c>
      <c r="D33" s="856" t="s">
        <v>495</v>
      </c>
      <c r="E33" s="857" t="str">
        <f t="shared" si="23"/>
        <v>3rd Floor</v>
      </c>
      <c r="F33" s="1185"/>
      <c r="G33" s="764" t="s">
        <v>186</v>
      </c>
      <c r="H33" s="764" t="s">
        <v>520</v>
      </c>
      <c r="I33" s="764" t="s">
        <v>476</v>
      </c>
      <c r="J33" s="1139">
        <v>22</v>
      </c>
      <c r="K33" s="1142"/>
      <c r="L33" s="764" t="s">
        <v>500</v>
      </c>
      <c r="M33" s="764" t="s">
        <v>93</v>
      </c>
      <c r="N33" s="856">
        <f t="shared" si="24"/>
        <v>100909.09090909091</v>
      </c>
      <c r="O33" s="1138">
        <f t="shared" si="136"/>
        <v>2220000</v>
      </c>
      <c r="P33" s="1138">
        <f t="shared" si="142"/>
        <v>22400</v>
      </c>
      <c r="Q33" s="1138">
        <f t="shared" si="8"/>
        <v>50000</v>
      </c>
      <c r="R33" s="1138"/>
      <c r="S33" s="1138"/>
      <c r="T33" s="1138"/>
      <c r="U33" s="1138"/>
      <c r="V33" s="1138"/>
      <c r="W33" s="858"/>
      <c r="X33" s="1138"/>
      <c r="Y33" s="1138"/>
      <c r="Z33" s="1138">
        <f t="shared" si="137"/>
        <v>75000</v>
      </c>
      <c r="AA33" s="1138">
        <f t="shared" si="138"/>
        <v>147400</v>
      </c>
      <c r="AB33" s="1138">
        <f t="shared" si="28"/>
        <v>2367400</v>
      </c>
      <c r="AC33" s="1138">
        <f t="shared" si="29"/>
        <v>59185</v>
      </c>
      <c r="AD33" s="1138">
        <f t="shared" si="30"/>
        <v>2426585</v>
      </c>
      <c r="AE33" s="1138">
        <f t="shared" si="31"/>
        <v>60664.625</v>
      </c>
      <c r="AF33" s="1138">
        <f t="shared" si="32"/>
        <v>2487249.625</v>
      </c>
      <c r="AG33" s="1138">
        <f t="shared" si="33"/>
        <v>62181.240625000006</v>
      </c>
      <c r="AH33" s="1138">
        <f t="shared" si="34"/>
        <v>2549430.8656250001</v>
      </c>
      <c r="AI33" s="1138">
        <f t="shared" si="144"/>
        <v>127471.54328125001</v>
      </c>
      <c r="AJ33" s="1138">
        <f t="shared" si="35"/>
        <v>2676902.4089062503</v>
      </c>
      <c r="AK33" s="1138">
        <f t="shared" si="36"/>
        <v>26769.024089062503</v>
      </c>
      <c r="AL33" s="1138">
        <f t="shared" si="37"/>
        <v>27537.409960060559</v>
      </c>
      <c r="AM33" s="1138"/>
      <c r="AN33" s="1138"/>
      <c r="AO33" s="1138">
        <f t="shared" si="38"/>
        <v>2731208.8429553732</v>
      </c>
      <c r="AP33" s="1138">
        <f t="shared" si="39"/>
        <v>368713.19379897544</v>
      </c>
      <c r="AQ33" s="1248">
        <f t="shared" si="40"/>
        <v>3099922.0367543488</v>
      </c>
      <c r="AR33" s="1248">
        <f t="shared" si="166"/>
        <v>3099922.0367543488</v>
      </c>
      <c r="AS33" s="1248"/>
      <c r="AT33" s="1248"/>
      <c r="AU33" s="1248">
        <f t="shared" si="42"/>
        <v>0</v>
      </c>
      <c r="AV33" s="1140">
        <f t="shared" si="43"/>
        <v>0</v>
      </c>
      <c r="AW33" s="1140">
        <f t="shared" si="44"/>
        <v>3099922.0367543488</v>
      </c>
      <c r="AX33" s="1139">
        <f t="shared" si="45"/>
        <v>38749.025459429358</v>
      </c>
      <c r="AY33" s="831" t="s">
        <v>478</v>
      </c>
      <c r="AZ33" s="831">
        <f t="shared" si="46"/>
        <v>3138671.062213778</v>
      </c>
      <c r="BA33" s="831">
        <f t="shared" si="47"/>
        <v>117700.16483301668</v>
      </c>
      <c r="BB33" s="831"/>
      <c r="BC33" s="831">
        <f t="shared" si="11"/>
        <v>33600</v>
      </c>
      <c r="BD33" s="831"/>
      <c r="BE33" s="831">
        <f t="shared" si="48"/>
        <v>3289971.2270467947</v>
      </c>
      <c r="BF33" s="831"/>
      <c r="BG33" s="831">
        <f t="shared" si="49"/>
        <v>3289971.2270467947</v>
      </c>
      <c r="BH33" s="831"/>
      <c r="BI33" s="831">
        <f t="shared" si="50"/>
        <v>3289971.2270467947</v>
      </c>
      <c r="BJ33" s="831"/>
      <c r="BK33" s="831">
        <f t="shared" si="51"/>
        <v>3289971.2270467947</v>
      </c>
      <c r="BL33" s="831"/>
      <c r="BM33" s="831">
        <f t="shared" si="52"/>
        <v>3289971.2270467947</v>
      </c>
      <c r="BN33" s="831"/>
      <c r="BO33" s="831">
        <f t="shared" si="53"/>
        <v>3289971.2270467947</v>
      </c>
      <c r="BP33" s="831"/>
      <c r="BQ33" s="831">
        <f t="shared" si="54"/>
        <v>3289971.2270467947</v>
      </c>
      <c r="BR33" s="831"/>
      <c r="BS33" s="831">
        <f t="shared" si="55"/>
        <v>3289971.2270467947</v>
      </c>
      <c r="BT33" s="831"/>
      <c r="BU33" s="831">
        <f t="shared" si="56"/>
        <v>3289971.2270467947</v>
      </c>
      <c r="BV33" s="831"/>
      <c r="BW33" s="831">
        <f t="shared" si="57"/>
        <v>56400</v>
      </c>
      <c r="BX33" s="831">
        <f t="shared" si="58"/>
        <v>3346371.2270467947</v>
      </c>
      <c r="BY33" s="831"/>
      <c r="BZ33" s="831">
        <f t="shared" si="59"/>
        <v>3346371.2270467947</v>
      </c>
      <c r="CA33" s="1260">
        <f t="shared" si="60"/>
        <v>3346371.2270467947</v>
      </c>
      <c r="CB33" s="1260">
        <f t="shared" si="61"/>
        <v>3346371.2270467947</v>
      </c>
      <c r="CC33" s="1260"/>
      <c r="CD33" s="1260">
        <f t="shared" si="62"/>
        <v>0</v>
      </c>
      <c r="CE33" s="1260">
        <f t="shared" si="63"/>
        <v>0</v>
      </c>
      <c r="CF33" s="1260">
        <f t="shared" si="64"/>
        <v>0</v>
      </c>
      <c r="CG33" s="1266">
        <f t="shared" si="65"/>
        <v>3346371.2270467947</v>
      </c>
      <c r="CH33" s="1141">
        <f t="shared" si="66"/>
        <v>3346371.2270467947</v>
      </c>
      <c r="CI33" s="1142">
        <f t="shared" si="67"/>
        <v>0</v>
      </c>
      <c r="CJ33" s="1141">
        <f t="shared" si="68"/>
        <v>343003.05077229644</v>
      </c>
      <c r="CK33" s="1141">
        <f t="shared" si="69"/>
        <v>117122.99294663782</v>
      </c>
      <c r="CL33" s="1143">
        <f t="shared" si="139"/>
        <v>3806497.2707657288</v>
      </c>
      <c r="CM33" s="1144">
        <f t="shared" si="71"/>
        <v>0.125</v>
      </c>
      <c r="CN33" s="1141">
        <f t="shared" si="72"/>
        <v>475812.1588457161</v>
      </c>
      <c r="CO33" s="1141">
        <f t="shared" si="73"/>
        <v>30000</v>
      </c>
      <c r="CP33" s="1141">
        <f t="shared" si="74"/>
        <v>445812.1588457161</v>
      </c>
      <c r="CQ33" s="1145">
        <f t="shared" si="75"/>
        <v>13</v>
      </c>
      <c r="CR33" s="1141">
        <f t="shared" si="76"/>
        <v>34293.242988132006</v>
      </c>
      <c r="CS33" s="1144">
        <f t="shared" si="77"/>
        <v>0.875</v>
      </c>
      <c r="CT33" s="1141">
        <f t="shared" si="78"/>
        <v>3330685.1119200126</v>
      </c>
      <c r="CU33" s="1146">
        <f t="shared" si="12"/>
        <v>25822.76622153218</v>
      </c>
      <c r="CV33" s="1146">
        <f t="shared" si="13"/>
        <v>29937.139399009873</v>
      </c>
      <c r="CW33" s="1146">
        <f t="shared" si="14"/>
        <v>38672.078310114535</v>
      </c>
      <c r="CX33" s="1146">
        <f t="shared" si="15"/>
        <v>65951.557176514485</v>
      </c>
      <c r="CY33" s="1146">
        <f t="shared" si="79"/>
        <v>270562.13827147207</v>
      </c>
      <c r="CZ33" s="1146">
        <f t="shared" si="80"/>
        <v>107060.12013017652</v>
      </c>
      <c r="DA33" s="1146">
        <f t="shared" si="81"/>
        <v>77328.008456711017</v>
      </c>
      <c r="DB33" s="1146">
        <f t="shared" si="82"/>
        <v>58850.174433200184</v>
      </c>
      <c r="DC33" s="1146"/>
      <c r="DD33" s="1146"/>
      <c r="DE33" s="1146"/>
      <c r="DF33" s="1146"/>
      <c r="DG33" s="1146"/>
      <c r="DH33" s="1146"/>
      <c r="DI33" s="1146"/>
      <c r="DJ33" s="1146"/>
      <c r="DK33" s="1146"/>
      <c r="DL33" s="1146"/>
      <c r="DM33" s="1146"/>
      <c r="DN33" s="1146"/>
      <c r="DO33" s="1146"/>
      <c r="DP33" s="1146"/>
      <c r="DQ33" s="1146"/>
      <c r="DR33" s="1146"/>
      <c r="DS33" s="1146"/>
      <c r="DT33" s="1146"/>
      <c r="DU33" s="1146"/>
      <c r="DV33" s="1146"/>
      <c r="DW33" s="1146"/>
      <c r="DX33" s="1146"/>
      <c r="DY33" s="1146"/>
      <c r="DZ33" s="1146"/>
      <c r="EA33" s="1147">
        <f t="shared" si="83"/>
        <v>0</v>
      </c>
      <c r="EB33" s="1148">
        <f t="shared" si="84"/>
        <v>0</v>
      </c>
      <c r="EC33" s="1190">
        <f t="shared" si="132"/>
        <v>45839</v>
      </c>
      <c r="ED33" s="1031">
        <f t="shared" si="16"/>
        <v>20</v>
      </c>
      <c r="EE33" s="1191"/>
      <c r="EF33" s="1032">
        <f t="shared" si="17"/>
        <v>45904</v>
      </c>
      <c r="EG33" s="1029">
        <f t="shared" si="85"/>
        <v>22</v>
      </c>
      <c r="EH33" s="859" t="s">
        <v>490</v>
      </c>
      <c r="EI33" s="859" t="s">
        <v>480</v>
      </c>
      <c r="EJ33" s="860">
        <f t="shared" si="18"/>
        <v>0</v>
      </c>
      <c r="EK33" s="860">
        <f t="shared" si="19"/>
        <v>0</v>
      </c>
      <c r="EL33" s="861">
        <f t="shared" si="20"/>
        <v>0</v>
      </c>
      <c r="EM33" s="1197"/>
      <c r="EN33" s="860"/>
      <c r="EO33" s="860"/>
      <c r="EP33" s="860">
        <f t="shared" si="21"/>
        <v>0</v>
      </c>
      <c r="EQ33" s="1197"/>
      <c r="ER33" s="1200"/>
      <c r="ES33" s="1197"/>
      <c r="ET33" s="1194" t="s">
        <v>186</v>
      </c>
      <c r="EU33" s="1197" t="b">
        <f t="shared" si="22"/>
        <v>1</v>
      </c>
      <c r="EV33" s="1197"/>
      <c r="EW33" s="1197"/>
      <c r="EX33" s="1197"/>
      <c r="EY33" s="1128" t="s">
        <v>483</v>
      </c>
      <c r="EZ33" s="1128" t="s">
        <v>484</v>
      </c>
      <c r="FA33" s="1169">
        <f t="shared" si="86"/>
        <v>0</v>
      </c>
      <c r="FI33" s="1309" t="s">
        <v>149</v>
      </c>
      <c r="FJ33" s="1159" t="s">
        <v>149</v>
      </c>
      <c r="FK33" s="1160" t="b">
        <f t="shared" si="87"/>
        <v>1</v>
      </c>
      <c r="FL33" s="1131"/>
      <c r="FM33" s="1161"/>
      <c r="FO33" s="888"/>
      <c r="FP33" s="1181">
        <v>18</v>
      </c>
      <c r="FQ33" s="1176">
        <f t="shared" ref="FQ33:FQ34" si="170">EDATE(FR33,FP33)</f>
        <v>46296</v>
      </c>
      <c r="FR33" s="1177">
        <v>45748</v>
      </c>
      <c r="FS33" s="884" t="s">
        <v>546</v>
      </c>
      <c r="FT33" s="1072"/>
      <c r="FU33" s="1295"/>
      <c r="FV33" s="1295"/>
      <c r="FW33" s="1023">
        <v>0.125</v>
      </c>
      <c r="FX33" s="1162">
        <v>11584.736844257748</v>
      </c>
      <c r="FY33" s="1163">
        <v>11946.759870640803</v>
      </c>
      <c r="GA33" s="1164">
        <f t="shared" si="89"/>
        <v>3806497.2707657288</v>
      </c>
      <c r="GB33" s="1165">
        <f t="shared" si="90"/>
        <v>0.15</v>
      </c>
      <c r="GC33" s="1154">
        <f t="shared" si="91"/>
        <v>570974.59061485925</v>
      </c>
      <c r="GD33" s="1164">
        <f t="shared" si="92"/>
        <v>30000</v>
      </c>
      <c r="GE33" s="1154">
        <f t="shared" si="93"/>
        <v>540974.59061485925</v>
      </c>
      <c r="GF33" s="1060">
        <f t="shared" si="94"/>
        <v>35</v>
      </c>
      <c r="GG33" s="1166">
        <f t="shared" si="95"/>
        <v>15456.416874710265</v>
      </c>
      <c r="GI33" s="1164">
        <f t="shared" si="96"/>
        <v>3806497.2707657288</v>
      </c>
      <c r="GJ33" s="1154">
        <f t="shared" si="97"/>
        <v>380649.72707657289</v>
      </c>
      <c r="GK33" s="1154">
        <f t="shared" si="98"/>
        <v>95162.431769143222</v>
      </c>
      <c r="GL33" s="1166">
        <v>15000</v>
      </c>
      <c r="GM33" s="1154">
        <f t="shared" si="99"/>
        <v>365649.72707657289</v>
      </c>
      <c r="GN33" s="1060">
        <f t="shared" si="100"/>
        <v>35</v>
      </c>
      <c r="GO33" s="1154">
        <f t="shared" si="101"/>
        <v>10447.135059330654</v>
      </c>
      <c r="GS33" s="1010">
        <f t="shared" si="102"/>
        <v>3806497.2707657288</v>
      </c>
      <c r="GT33" s="1011">
        <f t="shared" si="103"/>
        <v>0.125</v>
      </c>
      <c r="GU33" s="1010">
        <f t="shared" si="104"/>
        <v>475812.1588457161</v>
      </c>
      <c r="GV33" s="1010">
        <f t="shared" si="105"/>
        <v>30000</v>
      </c>
      <c r="GW33" s="1010">
        <f t="shared" si="106"/>
        <v>445812.1588457161</v>
      </c>
      <c r="GX33" s="1010">
        <f t="shared" si="107"/>
        <v>13</v>
      </c>
      <c r="GY33" s="1010">
        <f t="shared" si="108"/>
        <v>34293.242988132006</v>
      </c>
      <c r="GZ33" s="1011">
        <f t="shared" si="109"/>
        <v>0.875</v>
      </c>
      <c r="HA33" s="1010">
        <f t="shared" si="110"/>
        <v>3330685.1119200126</v>
      </c>
      <c r="HB33" s="1010">
        <f t="shared" si="111"/>
        <v>25822.76622153218</v>
      </c>
      <c r="HC33" s="1010">
        <f t="shared" si="112"/>
        <v>29937.139399009873</v>
      </c>
      <c r="HD33" s="1010">
        <f t="shared" si="113"/>
        <v>38672.078310114535</v>
      </c>
      <c r="HE33" s="1010">
        <f t="shared" si="114"/>
        <v>65951.557176514485</v>
      </c>
      <c r="HG33" s="1010">
        <f t="shared" si="115"/>
        <v>3806497.2707657288</v>
      </c>
      <c r="HH33" s="1011">
        <f t="shared" si="116"/>
        <v>0.125</v>
      </c>
      <c r="HI33" s="1010">
        <f t="shared" si="117"/>
        <v>475812.1588457161</v>
      </c>
      <c r="HJ33" s="1010">
        <f t="shared" si="118"/>
        <v>30000</v>
      </c>
      <c r="HK33" s="1010">
        <f t="shared" si="119"/>
        <v>445812.1588457161</v>
      </c>
      <c r="HL33" s="1012">
        <f t="shared" si="120"/>
        <v>33</v>
      </c>
      <c r="HM33" s="1167">
        <f t="shared" si="121"/>
        <v>13509.459358961094</v>
      </c>
      <c r="HN33" s="1168">
        <f t="shared" si="122"/>
        <v>0.875</v>
      </c>
      <c r="HO33" s="1167">
        <f t="shared" si="123"/>
        <v>3330685.1119200126</v>
      </c>
      <c r="HP33" s="1146">
        <f t="shared" si="124"/>
        <v>25822.76622153218</v>
      </c>
      <c r="HQ33" s="1146">
        <f t="shared" si="125"/>
        <v>29937.139399009873</v>
      </c>
      <c r="HR33" s="1146">
        <f t="shared" si="126"/>
        <v>38672.078310114535</v>
      </c>
      <c r="HS33" s="1146">
        <f t="shared" si="127"/>
        <v>65951.557176514485</v>
      </c>
      <c r="HU33" s="1167">
        <f t="shared" si="128"/>
        <v>-20783.78362917091</v>
      </c>
      <c r="HX33" s="1154"/>
      <c r="HY33" s="1154"/>
      <c r="IB33" s="1154"/>
      <c r="IC33" s="1154"/>
      <c r="ID33" s="1154"/>
      <c r="IE33" s="1154"/>
      <c r="IG33" s="1060"/>
    </row>
    <row r="34" spans="1:241" ht="14.25" hidden="1" customHeight="1">
      <c r="A34" s="1186">
        <f t="shared" si="141"/>
        <v>28</v>
      </c>
      <c r="B34" s="824" t="s">
        <v>149</v>
      </c>
      <c r="C34" s="855">
        <f t="shared" si="155"/>
        <v>13</v>
      </c>
      <c r="D34" s="856" t="s">
        <v>495</v>
      </c>
      <c r="E34" s="857" t="str">
        <f t="shared" si="23"/>
        <v>3rd Floor</v>
      </c>
      <c r="F34" s="1185"/>
      <c r="G34" s="764" t="s">
        <v>187</v>
      </c>
      <c r="H34" s="764" t="s">
        <v>525</v>
      </c>
      <c r="I34" s="764" t="s">
        <v>476</v>
      </c>
      <c r="J34" s="1139">
        <v>22</v>
      </c>
      <c r="K34" s="1142"/>
      <c r="L34" s="764" t="s">
        <v>500</v>
      </c>
      <c r="M34" s="764" t="s">
        <v>93</v>
      </c>
      <c r="N34" s="856">
        <f t="shared" si="24"/>
        <v>100909.09090909091</v>
      </c>
      <c r="O34" s="1138">
        <f t="shared" si="136"/>
        <v>2220000</v>
      </c>
      <c r="P34" s="1138">
        <f t="shared" si="142"/>
        <v>22400</v>
      </c>
      <c r="Q34" s="1138">
        <f t="shared" si="8"/>
        <v>50000</v>
      </c>
      <c r="R34" s="1138"/>
      <c r="S34" s="1138"/>
      <c r="T34" s="1138"/>
      <c r="U34" s="1138"/>
      <c r="V34" s="1138"/>
      <c r="W34" s="858"/>
      <c r="X34" s="1138"/>
      <c r="Y34" s="1138"/>
      <c r="Z34" s="1138">
        <f t="shared" si="137"/>
        <v>75000</v>
      </c>
      <c r="AA34" s="1138">
        <f t="shared" si="138"/>
        <v>147400</v>
      </c>
      <c r="AB34" s="1138">
        <f t="shared" si="28"/>
        <v>2367400</v>
      </c>
      <c r="AC34" s="1138">
        <f t="shared" si="29"/>
        <v>59185</v>
      </c>
      <c r="AD34" s="1138">
        <f t="shared" si="30"/>
        <v>2426585</v>
      </c>
      <c r="AE34" s="1138">
        <f t="shared" si="31"/>
        <v>60664.625</v>
      </c>
      <c r="AF34" s="1138">
        <f t="shared" si="32"/>
        <v>2487249.625</v>
      </c>
      <c r="AG34" s="1138">
        <f t="shared" si="33"/>
        <v>62181.240625000006</v>
      </c>
      <c r="AH34" s="1138">
        <f t="shared" si="34"/>
        <v>2549430.8656250001</v>
      </c>
      <c r="AI34" s="1138">
        <f t="shared" si="144"/>
        <v>127471.54328125001</v>
      </c>
      <c r="AJ34" s="1138">
        <f t="shared" si="35"/>
        <v>2676902.4089062503</v>
      </c>
      <c r="AK34" s="1138">
        <f t="shared" si="36"/>
        <v>26769.024089062503</v>
      </c>
      <c r="AL34" s="1138">
        <f t="shared" si="37"/>
        <v>27537.409960060559</v>
      </c>
      <c r="AM34" s="1138"/>
      <c r="AN34" s="1138"/>
      <c r="AO34" s="1138">
        <f t="shared" si="38"/>
        <v>2731208.8429553732</v>
      </c>
      <c r="AP34" s="1138">
        <f t="shared" si="39"/>
        <v>368713.19379897544</v>
      </c>
      <c r="AQ34" s="1248">
        <f t="shared" si="40"/>
        <v>3099922.0367543488</v>
      </c>
      <c r="AR34" s="1248">
        <f t="shared" si="166"/>
        <v>3099922.0367543488</v>
      </c>
      <c r="AS34" s="1248"/>
      <c r="AT34" s="1248"/>
      <c r="AU34" s="1248">
        <f t="shared" si="42"/>
        <v>0</v>
      </c>
      <c r="AV34" s="1140">
        <f t="shared" si="43"/>
        <v>0</v>
      </c>
      <c r="AW34" s="1140">
        <f t="shared" si="44"/>
        <v>3099922.0367543488</v>
      </c>
      <c r="AX34" s="1139">
        <f t="shared" si="45"/>
        <v>38749.025459429358</v>
      </c>
      <c r="AY34" s="831" t="s">
        <v>478</v>
      </c>
      <c r="AZ34" s="831">
        <f t="shared" si="46"/>
        <v>3138671.062213778</v>
      </c>
      <c r="BA34" s="831">
        <f t="shared" si="47"/>
        <v>117700.16483301668</v>
      </c>
      <c r="BB34" s="831"/>
      <c r="BC34" s="831">
        <f t="shared" si="11"/>
        <v>33600</v>
      </c>
      <c r="BD34" s="831"/>
      <c r="BE34" s="831">
        <f t="shared" si="48"/>
        <v>3289971.2270467947</v>
      </c>
      <c r="BF34" s="831"/>
      <c r="BG34" s="831">
        <f t="shared" si="49"/>
        <v>3289971.2270467947</v>
      </c>
      <c r="BH34" s="831"/>
      <c r="BI34" s="831">
        <f t="shared" si="50"/>
        <v>3289971.2270467947</v>
      </c>
      <c r="BJ34" s="831"/>
      <c r="BK34" s="831">
        <f t="shared" si="51"/>
        <v>3289971.2270467947</v>
      </c>
      <c r="BL34" s="831"/>
      <c r="BM34" s="831">
        <f t="shared" si="52"/>
        <v>3289971.2270467947</v>
      </c>
      <c r="BN34" s="831"/>
      <c r="BO34" s="831">
        <f t="shared" si="53"/>
        <v>3289971.2270467947</v>
      </c>
      <c r="BP34" s="831"/>
      <c r="BQ34" s="831">
        <f t="shared" si="54"/>
        <v>3289971.2270467947</v>
      </c>
      <c r="BR34" s="831"/>
      <c r="BS34" s="831">
        <f t="shared" si="55"/>
        <v>3289971.2270467947</v>
      </c>
      <c r="BT34" s="831"/>
      <c r="BU34" s="831">
        <f t="shared" si="56"/>
        <v>3289971.2270467947</v>
      </c>
      <c r="BV34" s="831"/>
      <c r="BW34" s="831">
        <f t="shared" si="57"/>
        <v>56400</v>
      </c>
      <c r="BX34" s="831">
        <f t="shared" si="58"/>
        <v>3346371.2270467947</v>
      </c>
      <c r="BY34" s="831"/>
      <c r="BZ34" s="831">
        <f t="shared" si="59"/>
        <v>3346371.2270467947</v>
      </c>
      <c r="CA34" s="1260">
        <f t="shared" si="60"/>
        <v>3346371.2270467947</v>
      </c>
      <c r="CB34" s="1260">
        <f t="shared" si="61"/>
        <v>3346371.2270467947</v>
      </c>
      <c r="CC34" s="1260"/>
      <c r="CD34" s="1260">
        <f t="shared" si="62"/>
        <v>0</v>
      </c>
      <c r="CE34" s="1260">
        <f t="shared" si="63"/>
        <v>0</v>
      </c>
      <c r="CF34" s="1260">
        <f t="shared" si="64"/>
        <v>0</v>
      </c>
      <c r="CG34" s="1266">
        <f t="shared" si="65"/>
        <v>3346371.2270467947</v>
      </c>
      <c r="CH34" s="1141">
        <f t="shared" si="66"/>
        <v>3346371.2270467947</v>
      </c>
      <c r="CI34" s="1142">
        <f t="shared" si="67"/>
        <v>0</v>
      </c>
      <c r="CJ34" s="1141">
        <f t="shared" si="68"/>
        <v>343003.05077229644</v>
      </c>
      <c r="CK34" s="1141">
        <f t="shared" si="69"/>
        <v>117122.99294663782</v>
      </c>
      <c r="CL34" s="1143">
        <f t="shared" si="139"/>
        <v>3806497.2707657288</v>
      </c>
      <c r="CM34" s="1144">
        <f t="shared" si="71"/>
        <v>0.125</v>
      </c>
      <c r="CN34" s="1141">
        <f t="shared" si="72"/>
        <v>475812.1588457161</v>
      </c>
      <c r="CO34" s="1141">
        <f t="shared" si="73"/>
        <v>30000</v>
      </c>
      <c r="CP34" s="1141">
        <f t="shared" si="74"/>
        <v>445812.1588457161</v>
      </c>
      <c r="CQ34" s="1145">
        <f t="shared" si="75"/>
        <v>13</v>
      </c>
      <c r="CR34" s="1141">
        <f t="shared" si="76"/>
        <v>34293.242988132006</v>
      </c>
      <c r="CS34" s="1144">
        <f t="shared" si="77"/>
        <v>0.875</v>
      </c>
      <c r="CT34" s="1141">
        <f t="shared" si="78"/>
        <v>3330685.1119200126</v>
      </c>
      <c r="CU34" s="1146">
        <f t="shared" si="12"/>
        <v>25822.76622153218</v>
      </c>
      <c r="CV34" s="1146">
        <f t="shared" si="13"/>
        <v>29937.139399009873</v>
      </c>
      <c r="CW34" s="1146">
        <f t="shared" si="14"/>
        <v>38672.078310114535</v>
      </c>
      <c r="CX34" s="1146">
        <f t="shared" si="15"/>
        <v>65951.557176514485</v>
      </c>
      <c r="CY34" s="1146">
        <f t="shared" si="79"/>
        <v>270562.13827147207</v>
      </c>
      <c r="CZ34" s="1146">
        <f t="shared" si="80"/>
        <v>107060.12013017652</v>
      </c>
      <c r="DA34" s="1146">
        <f t="shared" si="81"/>
        <v>77328.008456711017</v>
      </c>
      <c r="DB34" s="1146">
        <f t="shared" si="82"/>
        <v>58850.174433200184</v>
      </c>
      <c r="DC34" s="1146"/>
      <c r="DD34" s="1146"/>
      <c r="DE34" s="1146"/>
      <c r="DF34" s="1146"/>
      <c r="DG34" s="1146"/>
      <c r="DH34" s="1146"/>
      <c r="DI34" s="1146"/>
      <c r="DJ34" s="1146"/>
      <c r="DK34" s="1146"/>
      <c r="DL34" s="1146"/>
      <c r="DM34" s="1146"/>
      <c r="DN34" s="1146"/>
      <c r="DO34" s="1146"/>
      <c r="DP34" s="1146"/>
      <c r="DQ34" s="1146"/>
      <c r="DR34" s="1146"/>
      <c r="DS34" s="1146"/>
      <c r="DT34" s="1146"/>
      <c r="DU34" s="1146"/>
      <c r="DV34" s="1146"/>
      <c r="DW34" s="1146"/>
      <c r="DX34" s="1146"/>
      <c r="DY34" s="1146"/>
      <c r="DZ34" s="1146"/>
      <c r="EA34" s="1147">
        <f t="shared" si="83"/>
        <v>0</v>
      </c>
      <c r="EB34" s="1148">
        <f t="shared" si="84"/>
        <v>0</v>
      </c>
      <c r="EC34" s="1190">
        <f t="shared" si="132"/>
        <v>45839</v>
      </c>
      <c r="ED34" s="1031">
        <f t="shared" si="16"/>
        <v>20</v>
      </c>
      <c r="EE34" s="1191"/>
      <c r="EF34" s="1032">
        <f t="shared" si="17"/>
        <v>45904</v>
      </c>
      <c r="EG34" s="1029">
        <f t="shared" si="85"/>
        <v>22</v>
      </c>
      <c r="EH34" s="859" t="s">
        <v>490</v>
      </c>
      <c r="EI34" s="859" t="s">
        <v>480</v>
      </c>
      <c r="EJ34" s="860">
        <f t="shared" si="18"/>
        <v>0</v>
      </c>
      <c r="EK34" s="860">
        <f t="shared" si="19"/>
        <v>0</v>
      </c>
      <c r="EL34" s="861">
        <f t="shared" si="20"/>
        <v>0</v>
      </c>
      <c r="EM34" s="1197"/>
      <c r="EN34" s="860"/>
      <c r="EO34" s="860"/>
      <c r="EP34" s="860">
        <f t="shared" si="21"/>
        <v>0</v>
      </c>
      <c r="EQ34" s="1197"/>
      <c r="ER34" s="1200"/>
      <c r="ES34" s="1197"/>
      <c r="ET34" s="1194" t="s">
        <v>187</v>
      </c>
      <c r="EU34" s="1197" t="b">
        <f t="shared" si="22"/>
        <v>1</v>
      </c>
      <c r="EV34" s="1201" t="s">
        <v>547</v>
      </c>
      <c r="EW34" s="1202" t="s">
        <v>482</v>
      </c>
      <c r="EX34" s="1197"/>
      <c r="EY34" s="1128" t="s">
        <v>483</v>
      </c>
      <c r="EZ34" s="1128" t="s">
        <v>484</v>
      </c>
      <c r="FA34" s="1169">
        <f t="shared" si="86"/>
        <v>0</v>
      </c>
      <c r="FI34" s="1309" t="s">
        <v>149</v>
      </c>
      <c r="FJ34" s="1159" t="s">
        <v>149</v>
      </c>
      <c r="FK34" s="1160" t="b">
        <f t="shared" si="87"/>
        <v>1</v>
      </c>
      <c r="FL34" s="1131"/>
      <c r="FM34" s="1161"/>
      <c r="FO34" s="1060"/>
      <c r="FP34" s="1181">
        <v>17</v>
      </c>
      <c r="FQ34" s="1176">
        <f t="shared" si="170"/>
        <v>46296</v>
      </c>
      <c r="FR34" s="1177">
        <v>45778</v>
      </c>
      <c r="FT34" s="1072"/>
      <c r="FU34" s="1295"/>
      <c r="FV34" s="1295"/>
      <c r="FW34" s="1023">
        <v>0.15</v>
      </c>
      <c r="FX34" s="1162">
        <v>13992.593304018388</v>
      </c>
      <c r="FY34" s="1163">
        <v>14429.861844768962</v>
      </c>
      <c r="GA34" s="1164">
        <f t="shared" si="89"/>
        <v>3806497.2707657288</v>
      </c>
      <c r="GB34" s="1165">
        <f t="shared" si="90"/>
        <v>0.15</v>
      </c>
      <c r="GC34" s="1154">
        <f t="shared" si="91"/>
        <v>570974.59061485925</v>
      </c>
      <c r="GD34" s="1164">
        <f t="shared" si="92"/>
        <v>30000</v>
      </c>
      <c r="GE34" s="1154">
        <f t="shared" si="93"/>
        <v>540974.59061485925</v>
      </c>
      <c r="GF34" s="1060">
        <f t="shared" si="94"/>
        <v>35</v>
      </c>
      <c r="GG34" s="1166">
        <f t="shared" si="95"/>
        <v>15456.416874710265</v>
      </c>
      <c r="GI34" s="1164">
        <f t="shared" si="96"/>
        <v>3806497.2707657288</v>
      </c>
      <c r="GJ34" s="1154">
        <f t="shared" si="97"/>
        <v>380649.72707657289</v>
      </c>
      <c r="GK34" s="1154">
        <f t="shared" si="98"/>
        <v>95162.431769143222</v>
      </c>
      <c r="GL34" s="1166">
        <v>15000</v>
      </c>
      <c r="GM34" s="1154">
        <f t="shared" si="99"/>
        <v>365649.72707657289</v>
      </c>
      <c r="GN34" s="1060">
        <f t="shared" si="100"/>
        <v>35</v>
      </c>
      <c r="GO34" s="1154">
        <f t="shared" si="101"/>
        <v>10447.135059330654</v>
      </c>
      <c r="GS34" s="1010">
        <f t="shared" si="102"/>
        <v>3806497.2707657288</v>
      </c>
      <c r="GT34" s="1011">
        <f t="shared" si="103"/>
        <v>0.125</v>
      </c>
      <c r="GU34" s="1010">
        <f t="shared" si="104"/>
        <v>475812.1588457161</v>
      </c>
      <c r="GV34" s="1010">
        <f t="shared" si="105"/>
        <v>30000</v>
      </c>
      <c r="GW34" s="1010">
        <f t="shared" si="106"/>
        <v>445812.1588457161</v>
      </c>
      <c r="GX34" s="1010">
        <f t="shared" si="107"/>
        <v>13</v>
      </c>
      <c r="GY34" s="1010">
        <f t="shared" si="108"/>
        <v>34293.242988132006</v>
      </c>
      <c r="GZ34" s="1011">
        <f t="shared" si="109"/>
        <v>0.875</v>
      </c>
      <c r="HA34" s="1010">
        <f t="shared" si="110"/>
        <v>3330685.1119200126</v>
      </c>
      <c r="HB34" s="1010">
        <f t="shared" si="111"/>
        <v>25822.76622153218</v>
      </c>
      <c r="HC34" s="1010">
        <f t="shared" si="112"/>
        <v>29937.139399009873</v>
      </c>
      <c r="HD34" s="1010">
        <f t="shared" si="113"/>
        <v>38672.078310114535</v>
      </c>
      <c r="HE34" s="1010">
        <f t="shared" si="114"/>
        <v>65951.557176514485</v>
      </c>
      <c r="HG34" s="1010">
        <f t="shared" si="115"/>
        <v>3806497.2707657288</v>
      </c>
      <c r="HH34" s="1011">
        <f t="shared" si="116"/>
        <v>0.125</v>
      </c>
      <c r="HI34" s="1010">
        <f t="shared" si="117"/>
        <v>475812.1588457161</v>
      </c>
      <c r="HJ34" s="1010">
        <f t="shared" si="118"/>
        <v>30000</v>
      </c>
      <c r="HK34" s="1010">
        <f t="shared" si="119"/>
        <v>445812.1588457161</v>
      </c>
      <c r="HL34" s="1012">
        <f t="shared" si="120"/>
        <v>33</v>
      </c>
      <c r="HM34" s="1167">
        <f t="shared" si="121"/>
        <v>13509.459358961094</v>
      </c>
      <c r="HN34" s="1168">
        <f t="shared" si="122"/>
        <v>0.875</v>
      </c>
      <c r="HO34" s="1167">
        <f t="shared" si="123"/>
        <v>3330685.1119200126</v>
      </c>
      <c r="HP34" s="1146">
        <f t="shared" si="124"/>
        <v>25822.76622153218</v>
      </c>
      <c r="HQ34" s="1146">
        <f t="shared" si="125"/>
        <v>29937.139399009873</v>
      </c>
      <c r="HR34" s="1146">
        <f t="shared" si="126"/>
        <v>38672.078310114535</v>
      </c>
      <c r="HS34" s="1146">
        <f t="shared" si="127"/>
        <v>65951.557176514485</v>
      </c>
      <c r="HU34" s="1167">
        <f t="shared" si="128"/>
        <v>-20783.78362917091</v>
      </c>
      <c r="HX34" s="1154"/>
      <c r="HY34" s="1154"/>
      <c r="IB34" s="1154"/>
      <c r="IC34" s="1154"/>
      <c r="ID34" s="1154"/>
      <c r="IE34" s="1154"/>
      <c r="IG34" s="1060"/>
    </row>
    <row r="35" spans="1:241" ht="14.25" customHeight="1">
      <c r="A35" s="1186">
        <f t="shared" si="141"/>
        <v>29</v>
      </c>
      <c r="B35" s="824" t="s">
        <v>149</v>
      </c>
      <c r="C35" s="855">
        <f t="shared" si="155"/>
        <v>14</v>
      </c>
      <c r="D35" s="856" t="s">
        <v>495</v>
      </c>
      <c r="E35" s="857" t="str">
        <f t="shared" si="23"/>
        <v>3rd Floor</v>
      </c>
      <c r="F35" s="1185"/>
      <c r="G35" s="764" t="s">
        <v>188</v>
      </c>
      <c r="H35" s="764" t="s">
        <v>529</v>
      </c>
      <c r="I35" s="764" t="s">
        <v>476</v>
      </c>
      <c r="J35" s="1139">
        <v>22</v>
      </c>
      <c r="K35" s="1142"/>
      <c r="L35" s="764" t="s">
        <v>500</v>
      </c>
      <c r="M35" s="764" t="s">
        <v>93</v>
      </c>
      <c r="N35" s="856">
        <f t="shared" si="24"/>
        <v>100909.09090909091</v>
      </c>
      <c r="O35" s="1138">
        <f t="shared" si="136"/>
        <v>2220000</v>
      </c>
      <c r="P35" s="1138">
        <f t="shared" si="142"/>
        <v>22400</v>
      </c>
      <c r="Q35" s="1138">
        <f t="shared" si="8"/>
        <v>50000</v>
      </c>
      <c r="R35" s="1138"/>
      <c r="S35" s="1138"/>
      <c r="T35" s="1138"/>
      <c r="U35" s="1138"/>
      <c r="V35" s="1138"/>
      <c r="W35" s="1138"/>
      <c r="X35" s="1138"/>
      <c r="Y35" s="1138"/>
      <c r="Z35" s="1138">
        <f t="shared" si="137"/>
        <v>75000</v>
      </c>
      <c r="AA35" s="1138">
        <f t="shared" si="138"/>
        <v>147400</v>
      </c>
      <c r="AB35" s="1138">
        <f t="shared" si="28"/>
        <v>2367400</v>
      </c>
      <c r="AC35" s="1138">
        <f t="shared" si="29"/>
        <v>59185</v>
      </c>
      <c r="AD35" s="1138">
        <f t="shared" si="30"/>
        <v>2426585</v>
      </c>
      <c r="AE35" s="1138">
        <f t="shared" si="31"/>
        <v>60664.625</v>
      </c>
      <c r="AF35" s="1138">
        <f t="shared" si="32"/>
        <v>2487249.625</v>
      </c>
      <c r="AG35" s="1138">
        <f t="shared" si="33"/>
        <v>62181.240625000006</v>
      </c>
      <c r="AH35" s="1138">
        <f t="shared" si="34"/>
        <v>2549430.8656250001</v>
      </c>
      <c r="AI35" s="1138">
        <f t="shared" si="144"/>
        <v>127471.54328125001</v>
      </c>
      <c r="AJ35" s="1138">
        <f t="shared" si="35"/>
        <v>2676902.4089062503</v>
      </c>
      <c r="AK35" s="1138">
        <f t="shared" si="36"/>
        <v>26769.024089062503</v>
      </c>
      <c r="AL35" s="1138">
        <f t="shared" si="37"/>
        <v>27537.409960060559</v>
      </c>
      <c r="AM35" s="1138"/>
      <c r="AN35" s="1138"/>
      <c r="AO35" s="1138">
        <f t="shared" si="38"/>
        <v>2731208.8429553732</v>
      </c>
      <c r="AP35" s="1138">
        <f t="shared" si="39"/>
        <v>368713.19379897544</v>
      </c>
      <c r="AQ35" s="1248">
        <f t="shared" si="40"/>
        <v>3099922.0367543488</v>
      </c>
      <c r="AR35" s="1248">
        <f t="shared" si="166"/>
        <v>3099922.0367543488</v>
      </c>
      <c r="AS35" s="1248"/>
      <c r="AT35" s="1248"/>
      <c r="AU35" s="1248">
        <f t="shared" si="42"/>
        <v>0</v>
      </c>
      <c r="AV35" s="1140">
        <f t="shared" si="43"/>
        <v>0</v>
      </c>
      <c r="AW35" s="1140">
        <f t="shared" si="44"/>
        <v>3099922.0367543488</v>
      </c>
      <c r="AX35" s="1139">
        <f t="shared" si="45"/>
        <v>38749.025459429358</v>
      </c>
      <c r="AY35" s="831" t="s">
        <v>478</v>
      </c>
      <c r="AZ35" s="831">
        <f t="shared" si="46"/>
        <v>3138671.062213778</v>
      </c>
      <c r="BA35" s="831">
        <f t="shared" si="47"/>
        <v>117700.16483301668</v>
      </c>
      <c r="BB35" s="831"/>
      <c r="BC35" s="831">
        <f t="shared" si="11"/>
        <v>33600</v>
      </c>
      <c r="BD35" s="831">
        <v>8990.8965517241377</v>
      </c>
      <c r="BE35" s="831">
        <f t="shared" si="48"/>
        <v>3298962.1235985188</v>
      </c>
      <c r="BF35" s="831">
        <v>42723.767172413798</v>
      </c>
      <c r="BG35" s="831">
        <f t="shared" si="49"/>
        <v>3341685.8907709327</v>
      </c>
      <c r="BH35" s="831"/>
      <c r="BI35" s="831">
        <f t="shared" si="50"/>
        <v>3341685.8907709327</v>
      </c>
      <c r="BJ35" s="831"/>
      <c r="BK35" s="831">
        <f t="shared" si="51"/>
        <v>3341685.8907709327</v>
      </c>
      <c r="BL35" s="831"/>
      <c r="BM35" s="831">
        <f t="shared" si="52"/>
        <v>3341685.8907709327</v>
      </c>
      <c r="BN35" s="831"/>
      <c r="BO35" s="831">
        <f t="shared" si="53"/>
        <v>3341685.8907709327</v>
      </c>
      <c r="BP35" s="831">
        <f t="shared" ref="BP35:BP36" si="171">$BP$5/37</f>
        <v>5065.3710270270276</v>
      </c>
      <c r="BQ35" s="831">
        <f t="shared" si="54"/>
        <v>3346751.2617979599</v>
      </c>
      <c r="BR35" s="831">
        <f t="shared" ref="BR35:BR36" si="172">$BR$5/42</f>
        <v>3544.6104</v>
      </c>
      <c r="BS35" s="831">
        <f t="shared" si="55"/>
        <v>3350295.87219796</v>
      </c>
      <c r="BT35" s="831">
        <f t="shared" ref="BT35:BT36" si="173">$BT$5/41</f>
        <v>1609.3168000000001</v>
      </c>
      <c r="BU35" s="831">
        <f t="shared" si="56"/>
        <v>3351905.1889979602</v>
      </c>
      <c r="BV35" s="831">
        <f t="shared" ref="BV35:BV36" si="174">$BV$5/43</f>
        <v>1163.3400930232558</v>
      </c>
      <c r="BW35" s="831">
        <f t="shared" si="57"/>
        <v>56400</v>
      </c>
      <c r="BX35" s="831">
        <f t="shared" si="58"/>
        <v>3409468.5290909833</v>
      </c>
      <c r="BY35" s="831">
        <f t="shared" ref="BY35:BY36" si="175">$BY$5/44</f>
        <v>30549.183723443901</v>
      </c>
      <c r="BZ35" s="831">
        <f t="shared" si="59"/>
        <v>3440017.7128144274</v>
      </c>
      <c r="CA35" s="1260">
        <f t="shared" si="60"/>
        <v>3440017.7128144274</v>
      </c>
      <c r="CB35" s="1260">
        <f t="shared" si="61"/>
        <v>3440017.7128144274</v>
      </c>
      <c r="CC35" s="1260"/>
      <c r="CD35" s="1260">
        <f t="shared" si="62"/>
        <v>0</v>
      </c>
      <c r="CE35" s="1260">
        <f t="shared" si="63"/>
        <v>0</v>
      </c>
      <c r="CF35" s="1260">
        <f t="shared" si="64"/>
        <v>0</v>
      </c>
      <c r="CG35" s="1266">
        <f t="shared" si="65"/>
        <v>3440017.7128144274</v>
      </c>
      <c r="CH35" s="1141">
        <f t="shared" si="66"/>
        <v>3440017.7128144274</v>
      </c>
      <c r="CI35" s="1142">
        <f t="shared" si="67"/>
        <v>0</v>
      </c>
      <c r="CJ35" s="1141">
        <f t="shared" si="68"/>
        <v>352601.8155634788</v>
      </c>
      <c r="CK35" s="1141">
        <f t="shared" si="69"/>
        <v>120400.61994850497</v>
      </c>
      <c r="CL35" s="1143">
        <f t="shared" si="139"/>
        <v>3913020.1483264114</v>
      </c>
      <c r="CM35" s="1144">
        <f t="shared" si="71"/>
        <v>0.125</v>
      </c>
      <c r="CN35" s="1141">
        <f t="shared" si="72"/>
        <v>489127.51854080142</v>
      </c>
      <c r="CO35" s="1141">
        <f t="shared" si="73"/>
        <v>30000</v>
      </c>
      <c r="CP35" s="1141">
        <f t="shared" si="74"/>
        <v>459127.51854080142</v>
      </c>
      <c r="CQ35" s="1145">
        <f t="shared" si="75"/>
        <v>13</v>
      </c>
      <c r="CR35" s="1141">
        <f t="shared" si="76"/>
        <v>35317.501426215495</v>
      </c>
      <c r="CS35" s="1144">
        <f t="shared" si="77"/>
        <v>0.875</v>
      </c>
      <c r="CT35" s="1141">
        <f t="shared" si="78"/>
        <v>3423892.6297856099</v>
      </c>
      <c r="CU35" s="1146">
        <f t="shared" si="12"/>
        <v>26545.403115460929</v>
      </c>
      <c r="CV35" s="1146">
        <f t="shared" si="13"/>
        <v>30774.914920145686</v>
      </c>
      <c r="CW35" s="1146">
        <f t="shared" si="14"/>
        <v>39754.296625226256</v>
      </c>
      <c r="CX35" s="1146">
        <f t="shared" si="15"/>
        <v>67797.177743224354</v>
      </c>
      <c r="CY35" s="1146">
        <f t="shared" si="79"/>
        <v>278133.68120912166</v>
      </c>
      <c r="CZ35" s="1146">
        <f t="shared" si="80"/>
        <v>110056.14278750123</v>
      </c>
      <c r="DA35" s="1146">
        <f t="shared" si="81"/>
        <v>79491.993188844732</v>
      </c>
      <c r="DB35" s="1146">
        <f t="shared" si="82"/>
        <v>60497.066439065602</v>
      </c>
      <c r="DC35" s="1146"/>
      <c r="DD35" s="1146"/>
      <c r="DE35" s="1146"/>
      <c r="DF35" s="1146"/>
      <c r="DG35" s="1146"/>
      <c r="DH35" s="1146"/>
      <c r="DI35" s="1146"/>
      <c r="DJ35" s="1146"/>
      <c r="DK35" s="1146"/>
      <c r="DL35" s="1146"/>
      <c r="DM35" s="1146"/>
      <c r="DN35" s="1146"/>
      <c r="DO35" s="1146"/>
      <c r="DP35" s="1146"/>
      <c r="DQ35" s="1146"/>
      <c r="DR35" s="1146"/>
      <c r="DS35" s="1146"/>
      <c r="DT35" s="1146"/>
      <c r="DU35" s="1146"/>
      <c r="DV35" s="1146"/>
      <c r="DW35" s="1146"/>
      <c r="DX35" s="1146"/>
      <c r="DY35" s="1146"/>
      <c r="DZ35" s="1146"/>
      <c r="EA35" s="1147">
        <f t="shared" si="83"/>
        <v>0</v>
      </c>
      <c r="EB35" s="1148">
        <f t="shared" si="84"/>
        <v>0</v>
      </c>
      <c r="EC35" s="1190">
        <f t="shared" si="132"/>
        <v>45839</v>
      </c>
      <c r="ED35" s="1031">
        <f t="shared" si="16"/>
        <v>20</v>
      </c>
      <c r="EE35" s="1191"/>
      <c r="EF35" s="1032">
        <f t="shared" si="17"/>
        <v>45904</v>
      </c>
      <c r="EG35" s="1029">
        <f t="shared" si="85"/>
        <v>22</v>
      </c>
      <c r="EH35" s="859" t="s">
        <v>490</v>
      </c>
      <c r="EI35" s="859" t="s">
        <v>480</v>
      </c>
      <c r="EJ35" s="860">
        <f t="shared" si="18"/>
        <v>0</v>
      </c>
      <c r="EK35" s="860">
        <f t="shared" si="19"/>
        <v>0</v>
      </c>
      <c r="EL35" s="861">
        <f t="shared" si="20"/>
        <v>0</v>
      </c>
      <c r="EM35" s="1197"/>
      <c r="EN35" s="860"/>
      <c r="EO35" s="860"/>
      <c r="EP35" s="860">
        <f t="shared" si="21"/>
        <v>0</v>
      </c>
      <c r="EQ35" s="1197"/>
      <c r="ER35" s="1200"/>
      <c r="ES35" s="1197"/>
      <c r="ET35" s="1194" t="s">
        <v>188</v>
      </c>
      <c r="EU35" s="1197" t="b">
        <f t="shared" si="22"/>
        <v>1</v>
      </c>
      <c r="EV35" s="1201" t="s">
        <v>548</v>
      </c>
      <c r="EW35" s="1202" t="s">
        <v>482</v>
      </c>
      <c r="EX35" s="1197"/>
      <c r="EY35" s="1128" t="s">
        <v>483</v>
      </c>
      <c r="EZ35" s="1128" t="s">
        <v>484</v>
      </c>
      <c r="FA35" s="1169">
        <f t="shared" si="86"/>
        <v>0</v>
      </c>
      <c r="FI35" s="1309" t="s">
        <v>96</v>
      </c>
      <c r="FJ35" s="1159" t="s">
        <v>96</v>
      </c>
      <c r="FK35" s="1160" t="b">
        <f t="shared" si="87"/>
        <v>1</v>
      </c>
      <c r="FL35" s="1131"/>
      <c r="FM35" s="1161"/>
      <c r="FO35" s="1060"/>
      <c r="FP35" s="1181">
        <v>16</v>
      </c>
      <c r="FQ35" s="1176">
        <f t="shared" ref="FQ35" si="176">EDATE(FR35,FP35)</f>
        <v>46296</v>
      </c>
      <c r="FR35" s="1177">
        <v>45809</v>
      </c>
      <c r="FT35" s="1072"/>
      <c r="FU35" s="1295"/>
      <c r="FV35" s="1295"/>
      <c r="FW35" s="1023">
        <v>0.15</v>
      </c>
      <c r="FX35" s="1162">
        <v>13992.593304018388</v>
      </c>
      <c r="FY35" s="1163">
        <v>14429.861844768962</v>
      </c>
      <c r="GA35" s="1164">
        <f t="shared" si="89"/>
        <v>3913020.1483264114</v>
      </c>
      <c r="GB35" s="1165">
        <f t="shared" si="90"/>
        <v>0.15</v>
      </c>
      <c r="GC35" s="1154">
        <f t="shared" si="91"/>
        <v>586953.02224896173</v>
      </c>
      <c r="GD35" s="1164">
        <f t="shared" si="92"/>
        <v>30000</v>
      </c>
      <c r="GE35" s="1154">
        <f t="shared" si="93"/>
        <v>556953.02224896173</v>
      </c>
      <c r="GF35" s="1060">
        <f t="shared" si="94"/>
        <v>35</v>
      </c>
      <c r="GG35" s="1166">
        <f t="shared" si="95"/>
        <v>15912.943492827479</v>
      </c>
      <c r="GI35" s="1164">
        <f t="shared" si="96"/>
        <v>3913020.1483264114</v>
      </c>
      <c r="GJ35" s="1154">
        <f t="shared" si="97"/>
        <v>391302.01483264117</v>
      </c>
      <c r="GK35" s="1154">
        <f t="shared" si="98"/>
        <v>97825.503708160293</v>
      </c>
      <c r="GL35" s="1166">
        <v>15000</v>
      </c>
      <c r="GM35" s="1154">
        <f t="shared" si="99"/>
        <v>376302.01483264117</v>
      </c>
      <c r="GN35" s="1060">
        <f t="shared" si="100"/>
        <v>35</v>
      </c>
      <c r="GO35" s="1154">
        <f t="shared" si="101"/>
        <v>10751.486138075463</v>
      </c>
      <c r="GS35" s="1010">
        <f t="shared" si="102"/>
        <v>3913020.1483264114</v>
      </c>
      <c r="GT35" s="1011">
        <f t="shared" si="103"/>
        <v>0.125</v>
      </c>
      <c r="GU35" s="1010">
        <f t="shared" si="104"/>
        <v>489127.51854080142</v>
      </c>
      <c r="GV35" s="1010">
        <f t="shared" si="105"/>
        <v>30000</v>
      </c>
      <c r="GW35" s="1010">
        <f t="shared" si="106"/>
        <v>459127.51854080142</v>
      </c>
      <c r="GX35" s="1010">
        <f t="shared" si="107"/>
        <v>13</v>
      </c>
      <c r="GY35" s="1010">
        <f t="shared" si="108"/>
        <v>35317.501426215495</v>
      </c>
      <c r="GZ35" s="1011">
        <f t="shared" si="109"/>
        <v>0.875</v>
      </c>
      <c r="HA35" s="1010">
        <f t="shared" si="110"/>
        <v>3423892.6297856099</v>
      </c>
      <c r="HB35" s="1010">
        <f t="shared" si="111"/>
        <v>26545.403115460929</v>
      </c>
      <c r="HC35" s="1010">
        <f t="shared" si="112"/>
        <v>30774.914920145686</v>
      </c>
      <c r="HD35" s="1010">
        <f t="shared" si="113"/>
        <v>39754.296625226256</v>
      </c>
      <c r="HE35" s="1010">
        <f t="shared" si="114"/>
        <v>67797.177743224354</v>
      </c>
      <c r="HG35" s="1010">
        <f t="shared" si="115"/>
        <v>3913020.1483264114</v>
      </c>
      <c r="HH35" s="1011">
        <f t="shared" si="116"/>
        <v>0.125</v>
      </c>
      <c r="HI35" s="1010">
        <f t="shared" si="117"/>
        <v>489127.51854080142</v>
      </c>
      <c r="HJ35" s="1010">
        <f t="shared" si="118"/>
        <v>30000</v>
      </c>
      <c r="HK35" s="1010">
        <f t="shared" si="119"/>
        <v>459127.51854080142</v>
      </c>
      <c r="HL35" s="1012">
        <f t="shared" si="120"/>
        <v>33</v>
      </c>
      <c r="HM35" s="1167">
        <f t="shared" si="121"/>
        <v>13912.955107297013</v>
      </c>
      <c r="HN35" s="1168">
        <f t="shared" si="122"/>
        <v>0.875</v>
      </c>
      <c r="HO35" s="1167">
        <f t="shared" si="123"/>
        <v>3423892.6297856099</v>
      </c>
      <c r="HP35" s="1146">
        <f t="shared" si="124"/>
        <v>26545.403115460929</v>
      </c>
      <c r="HQ35" s="1146">
        <f t="shared" si="125"/>
        <v>30774.914920145686</v>
      </c>
      <c r="HR35" s="1146">
        <f t="shared" si="126"/>
        <v>39754.296625226256</v>
      </c>
      <c r="HS35" s="1146">
        <f t="shared" si="127"/>
        <v>67797.177743224354</v>
      </c>
      <c r="HU35" s="1167">
        <f t="shared" si="128"/>
        <v>-21404.546318918481</v>
      </c>
      <c r="HX35" s="1154"/>
      <c r="HY35" s="1154"/>
      <c r="IB35" s="1154"/>
      <c r="IC35" s="1154"/>
      <c r="ID35" s="1154"/>
      <c r="IE35" s="1154"/>
      <c r="IG35" s="1060"/>
    </row>
    <row r="36" spans="1:241" ht="14.25" customHeight="1">
      <c r="A36" s="1186">
        <f t="shared" si="141"/>
        <v>30</v>
      </c>
      <c r="B36" s="824" t="s">
        <v>149</v>
      </c>
      <c r="C36" s="855">
        <f t="shared" si="155"/>
        <v>15</v>
      </c>
      <c r="D36" s="856" t="s">
        <v>495</v>
      </c>
      <c r="E36" s="857" t="str">
        <f t="shared" si="23"/>
        <v>3rd Floor</v>
      </c>
      <c r="F36" s="1185"/>
      <c r="G36" s="764" t="s">
        <v>189</v>
      </c>
      <c r="H36" s="764" t="s">
        <v>533</v>
      </c>
      <c r="I36" s="764" t="s">
        <v>476</v>
      </c>
      <c r="J36" s="1139">
        <v>22</v>
      </c>
      <c r="K36" s="1142"/>
      <c r="L36" s="764" t="s">
        <v>500</v>
      </c>
      <c r="M36" s="764" t="s">
        <v>93</v>
      </c>
      <c r="N36" s="856">
        <f t="shared" si="24"/>
        <v>100909.09090909091</v>
      </c>
      <c r="O36" s="1138">
        <f t="shared" si="136"/>
        <v>2220000</v>
      </c>
      <c r="P36" s="1138">
        <f t="shared" si="142"/>
        <v>22400</v>
      </c>
      <c r="Q36" s="1138">
        <f t="shared" si="8"/>
        <v>50000</v>
      </c>
      <c r="R36" s="1138"/>
      <c r="S36" s="1138"/>
      <c r="T36" s="1138"/>
      <c r="U36" s="1138"/>
      <c r="V36" s="858"/>
      <c r="W36" s="858"/>
      <c r="X36" s="1138"/>
      <c r="Y36" s="1138"/>
      <c r="Z36" s="1138">
        <f t="shared" si="137"/>
        <v>75000</v>
      </c>
      <c r="AA36" s="1138">
        <f t="shared" si="138"/>
        <v>147400</v>
      </c>
      <c r="AB36" s="1138">
        <f t="shared" si="28"/>
        <v>2367400</v>
      </c>
      <c r="AC36" s="1138">
        <f t="shared" si="29"/>
        <v>59185</v>
      </c>
      <c r="AD36" s="1138">
        <f t="shared" si="30"/>
        <v>2426585</v>
      </c>
      <c r="AE36" s="1138">
        <f t="shared" si="31"/>
        <v>60664.625</v>
      </c>
      <c r="AF36" s="1138">
        <f t="shared" si="32"/>
        <v>2487249.625</v>
      </c>
      <c r="AG36" s="1138">
        <f t="shared" si="33"/>
        <v>62181.240625000006</v>
      </c>
      <c r="AH36" s="1138">
        <f t="shared" si="34"/>
        <v>2549430.8656250001</v>
      </c>
      <c r="AI36" s="1138">
        <f t="shared" si="144"/>
        <v>127471.54328125001</v>
      </c>
      <c r="AJ36" s="1138">
        <f t="shared" si="35"/>
        <v>2676902.4089062503</v>
      </c>
      <c r="AK36" s="1138">
        <f t="shared" si="36"/>
        <v>26769.024089062503</v>
      </c>
      <c r="AL36" s="1138">
        <f t="shared" si="37"/>
        <v>27537.409960060559</v>
      </c>
      <c r="AM36" s="1138"/>
      <c r="AN36" s="1138"/>
      <c r="AO36" s="1138">
        <f t="shared" si="38"/>
        <v>2731208.8429553732</v>
      </c>
      <c r="AP36" s="1138">
        <f t="shared" si="39"/>
        <v>368713.19379897544</v>
      </c>
      <c r="AQ36" s="1248">
        <f t="shared" si="40"/>
        <v>3099922.0367543488</v>
      </c>
      <c r="AR36" s="1248">
        <f t="shared" si="166"/>
        <v>3099922.0367543488</v>
      </c>
      <c r="AS36" s="1248"/>
      <c r="AT36" s="1248"/>
      <c r="AU36" s="1248">
        <f t="shared" si="42"/>
        <v>0</v>
      </c>
      <c r="AV36" s="1140">
        <f t="shared" si="43"/>
        <v>0</v>
      </c>
      <c r="AW36" s="1140">
        <f t="shared" si="44"/>
        <v>3099922.0367543488</v>
      </c>
      <c r="AX36" s="1139">
        <f t="shared" si="45"/>
        <v>38749.025459429358</v>
      </c>
      <c r="AY36" s="831" t="s">
        <v>478</v>
      </c>
      <c r="AZ36" s="831">
        <f t="shared" si="46"/>
        <v>3138671.062213778</v>
      </c>
      <c r="BA36" s="831">
        <f t="shared" si="47"/>
        <v>117700.16483301668</v>
      </c>
      <c r="BB36" s="831"/>
      <c r="BC36" s="831">
        <f t="shared" si="11"/>
        <v>33600</v>
      </c>
      <c r="BD36" s="831">
        <v>8990.8965517241377</v>
      </c>
      <c r="BE36" s="831">
        <f t="shared" si="48"/>
        <v>3298962.1235985188</v>
      </c>
      <c r="BF36" s="831">
        <v>42723.767172413798</v>
      </c>
      <c r="BG36" s="831">
        <f t="shared" si="49"/>
        <v>3341685.8907709327</v>
      </c>
      <c r="BH36" s="831"/>
      <c r="BI36" s="831">
        <f t="shared" si="50"/>
        <v>3341685.8907709327</v>
      </c>
      <c r="BJ36" s="831"/>
      <c r="BK36" s="831">
        <f t="shared" si="51"/>
        <v>3341685.8907709327</v>
      </c>
      <c r="BL36" s="831"/>
      <c r="BM36" s="831">
        <f t="shared" si="52"/>
        <v>3341685.8907709327</v>
      </c>
      <c r="BN36" s="831"/>
      <c r="BO36" s="831">
        <f t="shared" si="53"/>
        <v>3341685.8907709327</v>
      </c>
      <c r="BP36" s="831">
        <f t="shared" si="171"/>
        <v>5065.3710270270276</v>
      </c>
      <c r="BQ36" s="831">
        <f t="shared" si="54"/>
        <v>3346751.2617979599</v>
      </c>
      <c r="BR36" s="831">
        <f t="shared" si="172"/>
        <v>3544.6104</v>
      </c>
      <c r="BS36" s="831">
        <f t="shared" si="55"/>
        <v>3350295.87219796</v>
      </c>
      <c r="BT36" s="831">
        <f t="shared" si="173"/>
        <v>1609.3168000000001</v>
      </c>
      <c r="BU36" s="831">
        <f t="shared" si="56"/>
        <v>3351905.1889979602</v>
      </c>
      <c r="BV36" s="831">
        <f t="shared" si="174"/>
        <v>1163.3400930232558</v>
      </c>
      <c r="BW36" s="831">
        <f t="shared" si="57"/>
        <v>56400</v>
      </c>
      <c r="BX36" s="831">
        <f t="shared" si="58"/>
        <v>3409468.5290909833</v>
      </c>
      <c r="BY36" s="831">
        <f t="shared" si="175"/>
        <v>30549.183723443901</v>
      </c>
      <c r="BZ36" s="831">
        <f t="shared" si="59"/>
        <v>3440017.7128144274</v>
      </c>
      <c r="CA36" s="1260">
        <f t="shared" si="60"/>
        <v>3440017.7128144274</v>
      </c>
      <c r="CB36" s="1260">
        <f t="shared" si="61"/>
        <v>3440017.7128144274</v>
      </c>
      <c r="CC36" s="1260"/>
      <c r="CD36" s="1260">
        <f t="shared" si="62"/>
        <v>0</v>
      </c>
      <c r="CE36" s="1260">
        <f t="shared" si="63"/>
        <v>0</v>
      </c>
      <c r="CF36" s="1260">
        <f t="shared" si="64"/>
        <v>0</v>
      </c>
      <c r="CG36" s="1266">
        <f t="shared" si="65"/>
        <v>3440017.7128144274</v>
      </c>
      <c r="CH36" s="1141">
        <f t="shared" si="66"/>
        <v>3440017.7128144274</v>
      </c>
      <c r="CI36" s="1142">
        <f t="shared" si="67"/>
        <v>0</v>
      </c>
      <c r="CJ36" s="1141">
        <f t="shared" si="68"/>
        <v>352601.8155634788</v>
      </c>
      <c r="CK36" s="1141">
        <f t="shared" si="69"/>
        <v>120400.61994850497</v>
      </c>
      <c r="CL36" s="1143">
        <f t="shared" si="139"/>
        <v>3913020.1483264114</v>
      </c>
      <c r="CM36" s="1144">
        <f t="shared" si="71"/>
        <v>0.125</v>
      </c>
      <c r="CN36" s="1141">
        <f t="shared" si="72"/>
        <v>489127.51854080142</v>
      </c>
      <c r="CO36" s="1141">
        <f t="shared" si="73"/>
        <v>30000</v>
      </c>
      <c r="CP36" s="1141">
        <f t="shared" si="74"/>
        <v>459127.51854080142</v>
      </c>
      <c r="CQ36" s="1145">
        <f t="shared" si="75"/>
        <v>13</v>
      </c>
      <c r="CR36" s="1141">
        <f t="shared" si="76"/>
        <v>35317.501426215495</v>
      </c>
      <c r="CS36" s="1144">
        <f t="shared" si="77"/>
        <v>0.875</v>
      </c>
      <c r="CT36" s="1141">
        <f t="shared" si="78"/>
        <v>3423892.6297856099</v>
      </c>
      <c r="CU36" s="1146">
        <f t="shared" si="12"/>
        <v>26545.403115460929</v>
      </c>
      <c r="CV36" s="1146">
        <f t="shared" si="13"/>
        <v>30774.914920145686</v>
      </c>
      <c r="CW36" s="1146">
        <f t="shared" si="14"/>
        <v>39754.296625226256</v>
      </c>
      <c r="CX36" s="1146">
        <f t="shared" si="15"/>
        <v>67797.177743224354</v>
      </c>
      <c r="CY36" s="1146">
        <f t="shared" si="79"/>
        <v>278133.68120912166</v>
      </c>
      <c r="CZ36" s="1146">
        <f t="shared" si="80"/>
        <v>110056.14278750123</v>
      </c>
      <c r="DA36" s="1146">
        <f t="shared" si="81"/>
        <v>79491.993188844732</v>
      </c>
      <c r="DB36" s="1146">
        <f t="shared" si="82"/>
        <v>60497.066439065602</v>
      </c>
      <c r="DC36" s="1146"/>
      <c r="DD36" s="1146"/>
      <c r="DE36" s="1146"/>
      <c r="DF36" s="1146"/>
      <c r="DG36" s="1146"/>
      <c r="DH36" s="1146"/>
      <c r="DI36" s="1146"/>
      <c r="DJ36" s="1146"/>
      <c r="DK36" s="1146"/>
      <c r="DL36" s="1146"/>
      <c r="DM36" s="1146"/>
      <c r="DN36" s="1146"/>
      <c r="DO36" s="1146"/>
      <c r="DP36" s="1146"/>
      <c r="DQ36" s="1146"/>
      <c r="DR36" s="1146"/>
      <c r="DS36" s="1146"/>
      <c r="DT36" s="1146"/>
      <c r="DU36" s="1146"/>
      <c r="DV36" s="1146"/>
      <c r="DW36" s="1146"/>
      <c r="DX36" s="1146"/>
      <c r="DY36" s="1146"/>
      <c r="DZ36" s="1146"/>
      <c r="EA36" s="1147">
        <f t="shared" si="83"/>
        <v>0</v>
      </c>
      <c r="EB36" s="1148">
        <f t="shared" si="84"/>
        <v>0</v>
      </c>
      <c r="EC36" s="1190">
        <f t="shared" si="132"/>
        <v>45839</v>
      </c>
      <c r="ED36" s="1031">
        <f t="shared" si="16"/>
        <v>20</v>
      </c>
      <c r="EE36" s="1191"/>
      <c r="EF36" s="1032">
        <f t="shared" si="17"/>
        <v>45904</v>
      </c>
      <c r="EG36" s="1029">
        <f t="shared" si="85"/>
        <v>22</v>
      </c>
      <c r="EH36" s="859" t="s">
        <v>490</v>
      </c>
      <c r="EI36" s="859" t="s">
        <v>480</v>
      </c>
      <c r="EJ36" s="860">
        <f t="shared" si="18"/>
        <v>0</v>
      </c>
      <c r="EK36" s="860">
        <f t="shared" si="19"/>
        <v>0</v>
      </c>
      <c r="EL36" s="861">
        <f t="shared" si="20"/>
        <v>0</v>
      </c>
      <c r="EM36" s="1197"/>
      <c r="EN36" s="860"/>
      <c r="EO36" s="860"/>
      <c r="EP36" s="860">
        <f t="shared" si="21"/>
        <v>0</v>
      </c>
      <c r="EQ36" s="1197"/>
      <c r="ER36" s="1200"/>
      <c r="ES36" s="1197"/>
      <c r="ET36" s="1194" t="s">
        <v>189</v>
      </c>
      <c r="EU36" s="1197" t="b">
        <f t="shared" si="22"/>
        <v>1</v>
      </c>
      <c r="EV36" s="1201" t="s">
        <v>548</v>
      </c>
      <c r="EW36" s="1202" t="s">
        <v>482</v>
      </c>
      <c r="EX36" s="1197"/>
      <c r="EY36" s="1128" t="s">
        <v>483</v>
      </c>
      <c r="EZ36" s="1128" t="s">
        <v>484</v>
      </c>
      <c r="FA36" s="1169">
        <f t="shared" si="86"/>
        <v>0</v>
      </c>
      <c r="FI36" s="1309" t="s">
        <v>96</v>
      </c>
      <c r="FJ36" s="1159" t="s">
        <v>96</v>
      </c>
      <c r="FK36" s="1160" t="b">
        <f t="shared" si="87"/>
        <v>1</v>
      </c>
      <c r="FL36" s="1131"/>
      <c r="FM36" s="1161"/>
      <c r="FO36" s="1060"/>
      <c r="FP36" s="1181">
        <f>DATEDIF(FR36,FQ36,"m")</f>
        <v>19</v>
      </c>
      <c r="FQ36" s="1176">
        <f>DATE(2027,2,1)</f>
        <v>46419</v>
      </c>
      <c r="FR36" s="1177">
        <v>45839</v>
      </c>
      <c r="FS36" s="884" t="s">
        <v>549</v>
      </c>
      <c r="FT36" s="1072"/>
      <c r="FU36" s="1295"/>
      <c r="FV36" s="1295"/>
      <c r="FW36" s="1023">
        <v>0.15</v>
      </c>
      <c r="FX36" s="1162">
        <v>13992.593304018388</v>
      </c>
      <c r="FY36" s="1163">
        <v>14429.861844768962</v>
      </c>
      <c r="GA36" s="1164">
        <f t="shared" si="89"/>
        <v>3913020.1483264114</v>
      </c>
      <c r="GB36" s="1165">
        <f t="shared" si="90"/>
        <v>0.15</v>
      </c>
      <c r="GC36" s="1154">
        <f t="shared" si="91"/>
        <v>586953.02224896173</v>
      </c>
      <c r="GD36" s="1164">
        <f t="shared" si="92"/>
        <v>30000</v>
      </c>
      <c r="GE36" s="1154">
        <f t="shared" si="93"/>
        <v>556953.02224896173</v>
      </c>
      <c r="GF36" s="1060">
        <f t="shared" si="94"/>
        <v>35</v>
      </c>
      <c r="GG36" s="1166">
        <f t="shared" si="95"/>
        <v>15912.943492827479</v>
      </c>
      <c r="GI36" s="1164">
        <f t="shared" si="96"/>
        <v>3913020.1483264114</v>
      </c>
      <c r="GJ36" s="1154">
        <f t="shared" si="97"/>
        <v>391302.01483264117</v>
      </c>
      <c r="GK36" s="1154">
        <f t="shared" si="98"/>
        <v>97825.503708160293</v>
      </c>
      <c r="GL36" s="1166">
        <v>15000</v>
      </c>
      <c r="GM36" s="1154">
        <f t="shared" si="99"/>
        <v>376302.01483264117</v>
      </c>
      <c r="GN36" s="1060">
        <f t="shared" si="100"/>
        <v>35</v>
      </c>
      <c r="GO36" s="1154">
        <f t="shared" si="101"/>
        <v>10751.486138075463</v>
      </c>
      <c r="GS36" s="1010">
        <f t="shared" si="102"/>
        <v>3913020.1483264114</v>
      </c>
      <c r="GT36" s="1011">
        <f t="shared" si="103"/>
        <v>0.125</v>
      </c>
      <c r="GU36" s="1010">
        <f t="shared" si="104"/>
        <v>489127.51854080142</v>
      </c>
      <c r="GV36" s="1010">
        <f t="shared" si="105"/>
        <v>30000</v>
      </c>
      <c r="GW36" s="1010">
        <f t="shared" si="106"/>
        <v>459127.51854080142</v>
      </c>
      <c r="GX36" s="1010">
        <f t="shared" si="107"/>
        <v>13</v>
      </c>
      <c r="GY36" s="1010">
        <f t="shared" si="108"/>
        <v>35317.501426215495</v>
      </c>
      <c r="GZ36" s="1011">
        <f t="shared" si="109"/>
        <v>0.875</v>
      </c>
      <c r="HA36" s="1010">
        <f t="shared" si="110"/>
        <v>3423892.6297856099</v>
      </c>
      <c r="HB36" s="1010">
        <f t="shared" si="111"/>
        <v>26545.403115460929</v>
      </c>
      <c r="HC36" s="1010">
        <f t="shared" si="112"/>
        <v>30774.914920145686</v>
      </c>
      <c r="HD36" s="1010">
        <f t="shared" si="113"/>
        <v>39754.296625226256</v>
      </c>
      <c r="HE36" s="1010">
        <f t="shared" si="114"/>
        <v>67797.177743224354</v>
      </c>
      <c r="HG36" s="1010">
        <f t="shared" si="115"/>
        <v>3913020.1483264114</v>
      </c>
      <c r="HH36" s="1011">
        <f t="shared" si="116"/>
        <v>0.125</v>
      </c>
      <c r="HI36" s="1010">
        <f t="shared" si="117"/>
        <v>489127.51854080142</v>
      </c>
      <c r="HJ36" s="1010">
        <f t="shared" si="118"/>
        <v>30000</v>
      </c>
      <c r="HK36" s="1010">
        <f t="shared" si="119"/>
        <v>459127.51854080142</v>
      </c>
      <c r="HL36" s="1012">
        <f t="shared" si="120"/>
        <v>33</v>
      </c>
      <c r="HM36" s="1167">
        <f t="shared" si="121"/>
        <v>13912.955107297013</v>
      </c>
      <c r="HN36" s="1168">
        <f t="shared" si="122"/>
        <v>0.875</v>
      </c>
      <c r="HO36" s="1167">
        <f t="shared" si="123"/>
        <v>3423892.6297856099</v>
      </c>
      <c r="HP36" s="1146">
        <f t="shared" si="124"/>
        <v>26545.403115460929</v>
      </c>
      <c r="HQ36" s="1146">
        <f t="shared" si="125"/>
        <v>30774.914920145686</v>
      </c>
      <c r="HR36" s="1146">
        <f t="shared" si="126"/>
        <v>39754.296625226256</v>
      </c>
      <c r="HS36" s="1146">
        <f t="shared" si="127"/>
        <v>67797.177743224354</v>
      </c>
      <c r="HU36" s="1167">
        <f t="shared" si="128"/>
        <v>-21404.546318918481</v>
      </c>
      <c r="HX36" s="1154"/>
      <c r="HY36" s="1154"/>
      <c r="IB36" s="1154"/>
      <c r="IC36" s="1154"/>
      <c r="ID36" s="1154"/>
      <c r="IE36" s="1154"/>
      <c r="IG36" s="1060"/>
    </row>
    <row r="37" spans="1:241" ht="14.25" hidden="1" customHeight="1">
      <c r="A37" s="1186">
        <f t="shared" si="141"/>
        <v>31</v>
      </c>
      <c r="B37" s="824" t="s">
        <v>149</v>
      </c>
      <c r="C37" s="855">
        <f t="shared" si="155"/>
        <v>16</v>
      </c>
      <c r="D37" s="856" t="s">
        <v>495</v>
      </c>
      <c r="E37" s="857" t="str">
        <f t="shared" si="23"/>
        <v>3rd Floor</v>
      </c>
      <c r="F37" s="1185"/>
      <c r="G37" s="764" t="s">
        <v>190</v>
      </c>
      <c r="H37" s="764" t="s">
        <v>550</v>
      </c>
      <c r="I37" s="764" t="s">
        <v>476</v>
      </c>
      <c r="J37" s="1139">
        <v>22</v>
      </c>
      <c r="K37" s="1142"/>
      <c r="L37" s="764" t="s">
        <v>500</v>
      </c>
      <c r="M37" s="764" t="s">
        <v>93</v>
      </c>
      <c r="N37" s="856">
        <f t="shared" si="24"/>
        <v>100909.09090909091</v>
      </c>
      <c r="O37" s="1138">
        <f t="shared" si="136"/>
        <v>2220000</v>
      </c>
      <c r="P37" s="1138">
        <f t="shared" si="142"/>
        <v>22400</v>
      </c>
      <c r="Q37" s="1138">
        <f t="shared" si="8"/>
        <v>50000</v>
      </c>
      <c r="R37" s="1138"/>
      <c r="S37" s="1138"/>
      <c r="T37" s="1138"/>
      <c r="U37" s="1138"/>
      <c r="V37" s="858"/>
      <c r="W37" s="858"/>
      <c r="X37" s="1138"/>
      <c r="Y37" s="1138"/>
      <c r="Z37" s="1138">
        <f t="shared" si="137"/>
        <v>75000</v>
      </c>
      <c r="AA37" s="1138">
        <f t="shared" si="138"/>
        <v>147400</v>
      </c>
      <c r="AB37" s="1138">
        <f t="shared" si="28"/>
        <v>2367400</v>
      </c>
      <c r="AC37" s="1138">
        <f t="shared" si="29"/>
        <v>59185</v>
      </c>
      <c r="AD37" s="1138">
        <f t="shared" si="30"/>
        <v>2426585</v>
      </c>
      <c r="AE37" s="1138">
        <f t="shared" si="31"/>
        <v>60664.625</v>
      </c>
      <c r="AF37" s="1138">
        <f t="shared" si="32"/>
        <v>2487249.625</v>
      </c>
      <c r="AG37" s="1138">
        <f t="shared" si="33"/>
        <v>62181.240625000006</v>
      </c>
      <c r="AH37" s="1138">
        <f t="shared" si="34"/>
        <v>2549430.8656250001</v>
      </c>
      <c r="AI37" s="1138">
        <f t="shared" si="144"/>
        <v>127471.54328125001</v>
      </c>
      <c r="AJ37" s="1138">
        <f t="shared" si="35"/>
        <v>2676902.4089062503</v>
      </c>
      <c r="AK37" s="1138">
        <f t="shared" si="36"/>
        <v>26769.024089062503</v>
      </c>
      <c r="AL37" s="1138">
        <f t="shared" si="37"/>
        <v>27537.409960060559</v>
      </c>
      <c r="AM37" s="1138"/>
      <c r="AN37" s="1138"/>
      <c r="AO37" s="1138">
        <f t="shared" si="38"/>
        <v>2731208.8429553732</v>
      </c>
      <c r="AP37" s="1138">
        <f t="shared" si="39"/>
        <v>368713.19379897544</v>
      </c>
      <c r="AQ37" s="1248">
        <f t="shared" si="40"/>
        <v>3099922.0367543488</v>
      </c>
      <c r="AR37" s="1248">
        <f t="shared" si="166"/>
        <v>3099922.0367543488</v>
      </c>
      <c r="AS37" s="1248"/>
      <c r="AT37" s="1248"/>
      <c r="AU37" s="1248">
        <f t="shared" si="42"/>
        <v>0</v>
      </c>
      <c r="AV37" s="1140">
        <f t="shared" si="43"/>
        <v>0</v>
      </c>
      <c r="AW37" s="1140">
        <f t="shared" si="44"/>
        <v>3099922.0367543488</v>
      </c>
      <c r="AX37" s="1139">
        <f t="shared" si="45"/>
        <v>38749.025459429358</v>
      </c>
      <c r="AY37" s="831" t="s">
        <v>478</v>
      </c>
      <c r="AZ37" s="831">
        <f t="shared" si="46"/>
        <v>3138671.062213778</v>
      </c>
      <c r="BA37" s="831">
        <f t="shared" si="47"/>
        <v>117700.16483301668</v>
      </c>
      <c r="BB37" s="831"/>
      <c r="BC37" s="831">
        <f t="shared" si="11"/>
        <v>33600</v>
      </c>
      <c r="BD37" s="831"/>
      <c r="BE37" s="831">
        <f t="shared" si="48"/>
        <v>3289971.2270467947</v>
      </c>
      <c r="BF37" s="831"/>
      <c r="BG37" s="831">
        <f t="shared" si="49"/>
        <v>3289971.2270467947</v>
      </c>
      <c r="BH37" s="831"/>
      <c r="BI37" s="831">
        <f t="shared" si="50"/>
        <v>3289971.2270467947</v>
      </c>
      <c r="BJ37" s="831"/>
      <c r="BK37" s="831">
        <f t="shared" si="51"/>
        <v>3289971.2270467947</v>
      </c>
      <c r="BL37" s="831"/>
      <c r="BM37" s="831">
        <f t="shared" si="52"/>
        <v>3289971.2270467947</v>
      </c>
      <c r="BN37" s="831"/>
      <c r="BO37" s="831">
        <f t="shared" si="53"/>
        <v>3289971.2270467947</v>
      </c>
      <c r="BP37" s="831"/>
      <c r="BQ37" s="831">
        <f t="shared" si="54"/>
        <v>3289971.2270467947</v>
      </c>
      <c r="BR37" s="831"/>
      <c r="BS37" s="831">
        <f t="shared" si="55"/>
        <v>3289971.2270467947</v>
      </c>
      <c r="BT37" s="831"/>
      <c r="BU37" s="831">
        <f t="shared" si="56"/>
        <v>3289971.2270467947</v>
      </c>
      <c r="BV37" s="831"/>
      <c r="BW37" s="831">
        <f t="shared" si="57"/>
        <v>56400</v>
      </c>
      <c r="BX37" s="831">
        <f t="shared" si="58"/>
        <v>3346371.2270467947</v>
      </c>
      <c r="BY37" s="831"/>
      <c r="BZ37" s="831">
        <f t="shared" si="59"/>
        <v>3346371.2270467947</v>
      </c>
      <c r="CA37" s="1260">
        <f t="shared" si="60"/>
        <v>3346371.2270467947</v>
      </c>
      <c r="CB37" s="1260">
        <f t="shared" si="61"/>
        <v>3346371.2270467947</v>
      </c>
      <c r="CC37" s="1260"/>
      <c r="CD37" s="1260">
        <f t="shared" si="62"/>
        <v>0</v>
      </c>
      <c r="CE37" s="1260">
        <f t="shared" si="63"/>
        <v>0</v>
      </c>
      <c r="CF37" s="1260">
        <f t="shared" si="64"/>
        <v>0</v>
      </c>
      <c r="CG37" s="1266">
        <f t="shared" si="65"/>
        <v>3346371.2270467947</v>
      </c>
      <c r="CH37" s="1141">
        <f t="shared" si="66"/>
        <v>3346371.2270467947</v>
      </c>
      <c r="CI37" s="1142">
        <f t="shared" si="67"/>
        <v>0</v>
      </c>
      <c r="CJ37" s="1141">
        <f t="shared" si="68"/>
        <v>343003.05077229644</v>
      </c>
      <c r="CK37" s="1141">
        <f t="shared" si="69"/>
        <v>117122.99294663782</v>
      </c>
      <c r="CL37" s="1143">
        <f t="shared" si="139"/>
        <v>3806497.2707657288</v>
      </c>
      <c r="CM37" s="1144">
        <f t="shared" si="71"/>
        <v>0.125</v>
      </c>
      <c r="CN37" s="1141">
        <f t="shared" si="72"/>
        <v>475812.1588457161</v>
      </c>
      <c r="CO37" s="1141">
        <f t="shared" si="73"/>
        <v>30000</v>
      </c>
      <c r="CP37" s="1141">
        <f t="shared" si="74"/>
        <v>445812.1588457161</v>
      </c>
      <c r="CQ37" s="1145">
        <f t="shared" si="75"/>
        <v>13</v>
      </c>
      <c r="CR37" s="1141">
        <f t="shared" si="76"/>
        <v>34293.242988132006</v>
      </c>
      <c r="CS37" s="1144">
        <f t="shared" si="77"/>
        <v>0.875</v>
      </c>
      <c r="CT37" s="1141">
        <f t="shared" si="78"/>
        <v>3330685.1119200126</v>
      </c>
      <c r="CU37" s="1146">
        <f t="shared" si="12"/>
        <v>25822.76622153218</v>
      </c>
      <c r="CV37" s="1146">
        <f t="shared" si="13"/>
        <v>29937.139399009873</v>
      </c>
      <c r="CW37" s="1146">
        <f t="shared" si="14"/>
        <v>38672.078310114535</v>
      </c>
      <c r="CX37" s="1146">
        <f t="shared" si="15"/>
        <v>65951.557176514485</v>
      </c>
      <c r="CY37" s="1146">
        <f t="shared" si="79"/>
        <v>270562.13827147207</v>
      </c>
      <c r="CZ37" s="1146">
        <f t="shared" si="80"/>
        <v>107060.12013017652</v>
      </c>
      <c r="DA37" s="1146">
        <f t="shared" si="81"/>
        <v>77328.008456711017</v>
      </c>
      <c r="DB37" s="1146">
        <f t="shared" si="82"/>
        <v>58850.174433200184</v>
      </c>
      <c r="DC37" s="1146"/>
      <c r="DD37" s="1146"/>
      <c r="DE37" s="1146"/>
      <c r="DF37" s="1146"/>
      <c r="DG37" s="1146"/>
      <c r="DH37" s="1146"/>
      <c r="DI37" s="1146"/>
      <c r="DJ37" s="1146"/>
      <c r="DK37" s="1146"/>
      <c r="DL37" s="1146"/>
      <c r="DM37" s="1146"/>
      <c r="DN37" s="1146"/>
      <c r="DO37" s="1146"/>
      <c r="DP37" s="1146"/>
      <c r="DQ37" s="1146"/>
      <c r="DR37" s="1146"/>
      <c r="DS37" s="1146"/>
      <c r="DT37" s="1146"/>
      <c r="DU37" s="1146"/>
      <c r="DV37" s="1146"/>
      <c r="DW37" s="1146"/>
      <c r="DX37" s="1146"/>
      <c r="DY37" s="1146"/>
      <c r="DZ37" s="1146"/>
      <c r="EA37" s="1147">
        <f t="shared" si="83"/>
        <v>0</v>
      </c>
      <c r="EB37" s="1148">
        <f t="shared" si="84"/>
        <v>0</v>
      </c>
      <c r="EC37" s="1190">
        <f t="shared" si="132"/>
        <v>45839</v>
      </c>
      <c r="ED37" s="1031">
        <f t="shared" si="16"/>
        <v>20</v>
      </c>
      <c r="EE37" s="1191"/>
      <c r="EF37" s="1032">
        <f t="shared" si="17"/>
        <v>45904</v>
      </c>
      <c r="EG37" s="1029">
        <f t="shared" si="85"/>
        <v>22</v>
      </c>
      <c r="EH37" s="859" t="s">
        <v>490</v>
      </c>
      <c r="EI37" s="859" t="s">
        <v>480</v>
      </c>
      <c r="EJ37" s="860">
        <f t="shared" si="18"/>
        <v>0</v>
      </c>
      <c r="EK37" s="860">
        <f t="shared" si="19"/>
        <v>0</v>
      </c>
      <c r="EL37" s="861">
        <f t="shared" si="20"/>
        <v>0</v>
      </c>
      <c r="EM37" s="1197"/>
      <c r="EN37" s="860"/>
      <c r="EO37" s="860"/>
      <c r="EP37" s="860">
        <f t="shared" si="21"/>
        <v>0</v>
      </c>
      <c r="EQ37" s="1197"/>
      <c r="ER37" s="1200"/>
      <c r="ES37" s="1197"/>
      <c r="ET37" s="1194" t="s">
        <v>190</v>
      </c>
      <c r="EU37" s="1197" t="b">
        <f t="shared" si="22"/>
        <v>1</v>
      </c>
      <c r="EV37" s="1201" t="s">
        <v>551</v>
      </c>
      <c r="EW37" s="1202" t="s">
        <v>482</v>
      </c>
      <c r="EX37" s="1197"/>
      <c r="EY37" s="1128" t="s">
        <v>483</v>
      </c>
      <c r="EZ37" s="1128" t="s">
        <v>484</v>
      </c>
      <c r="FA37" s="1169">
        <f t="shared" si="86"/>
        <v>0</v>
      </c>
      <c r="FI37" s="1309" t="s">
        <v>149</v>
      </c>
      <c r="FJ37" s="1159" t="s">
        <v>149</v>
      </c>
      <c r="FK37" s="1160" t="b">
        <f t="shared" si="87"/>
        <v>1</v>
      </c>
      <c r="FL37" s="1131"/>
      <c r="FM37" s="1161"/>
      <c r="FO37" s="1206"/>
      <c r="FP37" s="1181">
        <f t="shared" ref="FP37:FP39" si="177">DATEDIF(FR37,FQ37,"m")</f>
        <v>18</v>
      </c>
      <c r="FQ37" s="1176">
        <f t="shared" ref="FQ37:FQ39" si="178">DATE(2027,2,1)</f>
        <v>46419</v>
      </c>
      <c r="FR37" s="1177">
        <v>45870</v>
      </c>
      <c r="FT37" s="1072"/>
      <c r="FU37" s="1295"/>
      <c r="FV37" s="1295"/>
      <c r="FW37" s="1023">
        <v>0.15</v>
      </c>
      <c r="FX37" s="1162">
        <v>13992.593304018388</v>
      </c>
      <c r="FY37" s="1163">
        <v>14429.861844768962</v>
      </c>
      <c r="GA37" s="1164">
        <f t="shared" si="89"/>
        <v>3806497.2707657288</v>
      </c>
      <c r="GB37" s="1165">
        <f t="shared" si="90"/>
        <v>0.15</v>
      </c>
      <c r="GC37" s="1154">
        <f t="shared" si="91"/>
        <v>570974.59061485925</v>
      </c>
      <c r="GD37" s="1164">
        <f t="shared" si="92"/>
        <v>30000</v>
      </c>
      <c r="GE37" s="1154">
        <f t="shared" si="93"/>
        <v>540974.59061485925</v>
      </c>
      <c r="GF37" s="1060">
        <f t="shared" si="94"/>
        <v>35</v>
      </c>
      <c r="GG37" s="1166">
        <f t="shared" si="95"/>
        <v>15456.416874710265</v>
      </c>
      <c r="GI37" s="1164">
        <f t="shared" si="96"/>
        <v>3806497.2707657288</v>
      </c>
      <c r="GJ37" s="1154">
        <f t="shared" si="97"/>
        <v>380649.72707657289</v>
      </c>
      <c r="GK37" s="1154">
        <f t="shared" si="98"/>
        <v>95162.431769143222</v>
      </c>
      <c r="GL37" s="1166">
        <v>15000</v>
      </c>
      <c r="GM37" s="1154">
        <f t="shared" si="99"/>
        <v>365649.72707657289</v>
      </c>
      <c r="GN37" s="1060">
        <f t="shared" si="100"/>
        <v>35</v>
      </c>
      <c r="GO37" s="1154">
        <f t="shared" si="101"/>
        <v>10447.135059330654</v>
      </c>
      <c r="GS37" s="1010">
        <f t="shared" si="102"/>
        <v>3806497.2707657288</v>
      </c>
      <c r="GT37" s="1011">
        <f t="shared" si="103"/>
        <v>0.125</v>
      </c>
      <c r="GU37" s="1010">
        <f t="shared" si="104"/>
        <v>475812.1588457161</v>
      </c>
      <c r="GV37" s="1010">
        <f t="shared" si="105"/>
        <v>30000</v>
      </c>
      <c r="GW37" s="1010">
        <f t="shared" si="106"/>
        <v>445812.1588457161</v>
      </c>
      <c r="GX37" s="1010">
        <f t="shared" si="107"/>
        <v>13</v>
      </c>
      <c r="GY37" s="1010">
        <f t="shared" si="108"/>
        <v>34293.242988132006</v>
      </c>
      <c r="GZ37" s="1011">
        <f t="shared" si="109"/>
        <v>0.875</v>
      </c>
      <c r="HA37" s="1010">
        <f t="shared" si="110"/>
        <v>3330685.1119200126</v>
      </c>
      <c r="HB37" s="1010">
        <f t="shared" si="111"/>
        <v>25822.76622153218</v>
      </c>
      <c r="HC37" s="1010">
        <f t="shared" si="112"/>
        <v>29937.139399009873</v>
      </c>
      <c r="HD37" s="1010">
        <f t="shared" si="113"/>
        <v>38672.078310114535</v>
      </c>
      <c r="HE37" s="1010">
        <f t="shared" si="114"/>
        <v>65951.557176514485</v>
      </c>
      <c r="HG37" s="1010">
        <f t="shared" si="115"/>
        <v>3806497.2707657288</v>
      </c>
      <c r="HH37" s="1011">
        <f t="shared" si="116"/>
        <v>0.125</v>
      </c>
      <c r="HI37" s="1010">
        <f t="shared" si="117"/>
        <v>475812.1588457161</v>
      </c>
      <c r="HJ37" s="1010">
        <f t="shared" si="118"/>
        <v>30000</v>
      </c>
      <c r="HK37" s="1010">
        <f t="shared" si="119"/>
        <v>445812.1588457161</v>
      </c>
      <c r="HL37" s="1012">
        <f t="shared" si="120"/>
        <v>33</v>
      </c>
      <c r="HM37" s="1167">
        <f t="shared" si="121"/>
        <v>13509.459358961094</v>
      </c>
      <c r="HN37" s="1168">
        <f t="shared" si="122"/>
        <v>0.875</v>
      </c>
      <c r="HO37" s="1167">
        <f t="shared" si="123"/>
        <v>3330685.1119200126</v>
      </c>
      <c r="HP37" s="1146">
        <f t="shared" si="124"/>
        <v>25822.76622153218</v>
      </c>
      <c r="HQ37" s="1146">
        <f t="shared" si="125"/>
        <v>29937.139399009873</v>
      </c>
      <c r="HR37" s="1146">
        <f t="shared" si="126"/>
        <v>38672.078310114535</v>
      </c>
      <c r="HS37" s="1146">
        <f t="shared" si="127"/>
        <v>65951.557176514485</v>
      </c>
      <c r="HU37" s="1167">
        <f t="shared" si="128"/>
        <v>-20783.78362917091</v>
      </c>
      <c r="HX37" s="1154"/>
      <c r="HY37" s="1154"/>
      <c r="IB37" s="1154"/>
      <c r="IC37" s="1154"/>
      <c r="ID37" s="1154"/>
      <c r="IE37" s="1154"/>
      <c r="IG37" s="1060"/>
    </row>
    <row r="38" spans="1:241" ht="14.25" hidden="1" customHeight="1">
      <c r="A38" s="1186">
        <f t="shared" si="141"/>
        <v>32</v>
      </c>
      <c r="B38" s="824" t="s">
        <v>149</v>
      </c>
      <c r="C38" s="855">
        <f t="shared" si="155"/>
        <v>17</v>
      </c>
      <c r="D38" s="856" t="s">
        <v>495</v>
      </c>
      <c r="E38" s="857" t="str">
        <f t="shared" si="23"/>
        <v>3rd Floor</v>
      </c>
      <c r="F38" s="1185"/>
      <c r="G38" s="764" t="s">
        <v>191</v>
      </c>
      <c r="H38" s="764" t="s">
        <v>552</v>
      </c>
      <c r="I38" s="764" t="s">
        <v>476</v>
      </c>
      <c r="J38" s="1139">
        <v>22</v>
      </c>
      <c r="K38" s="1142"/>
      <c r="L38" s="764" t="s">
        <v>500</v>
      </c>
      <c r="M38" s="764" t="s">
        <v>93</v>
      </c>
      <c r="N38" s="856">
        <f t="shared" si="24"/>
        <v>100909.09090909091</v>
      </c>
      <c r="O38" s="1138">
        <f t="shared" si="136"/>
        <v>2220000</v>
      </c>
      <c r="P38" s="1138">
        <f t="shared" si="142"/>
        <v>22400</v>
      </c>
      <c r="Q38" s="1138">
        <f t="shared" si="8"/>
        <v>50000</v>
      </c>
      <c r="R38" s="1138"/>
      <c r="S38" s="1138"/>
      <c r="T38" s="1138"/>
      <c r="U38" s="1138"/>
      <c r="V38" s="1138"/>
      <c r="W38" s="858"/>
      <c r="X38" s="1138"/>
      <c r="Y38" s="1138"/>
      <c r="Z38" s="1138">
        <f t="shared" si="137"/>
        <v>75000</v>
      </c>
      <c r="AA38" s="1138">
        <f t="shared" si="138"/>
        <v>147400</v>
      </c>
      <c r="AB38" s="1138">
        <f t="shared" si="28"/>
        <v>2367400</v>
      </c>
      <c r="AC38" s="1138">
        <f t="shared" si="29"/>
        <v>59185</v>
      </c>
      <c r="AD38" s="1138">
        <f t="shared" si="30"/>
        <v>2426585</v>
      </c>
      <c r="AE38" s="1138">
        <f t="shared" si="31"/>
        <v>60664.625</v>
      </c>
      <c r="AF38" s="1138">
        <f t="shared" si="32"/>
        <v>2487249.625</v>
      </c>
      <c r="AG38" s="1138">
        <f t="shared" si="33"/>
        <v>62181.240625000006</v>
      </c>
      <c r="AH38" s="1138">
        <f t="shared" si="34"/>
        <v>2549430.8656250001</v>
      </c>
      <c r="AI38" s="1138">
        <f t="shared" si="144"/>
        <v>127471.54328125001</v>
      </c>
      <c r="AJ38" s="1138">
        <f t="shared" si="35"/>
        <v>2676902.4089062503</v>
      </c>
      <c r="AK38" s="1138">
        <f t="shared" si="36"/>
        <v>26769.024089062503</v>
      </c>
      <c r="AL38" s="1138">
        <f t="shared" si="37"/>
        <v>27537.409960060559</v>
      </c>
      <c r="AM38" s="1138"/>
      <c r="AN38" s="1138"/>
      <c r="AO38" s="1138">
        <f t="shared" si="38"/>
        <v>2731208.8429553732</v>
      </c>
      <c r="AP38" s="1138">
        <f t="shared" si="39"/>
        <v>368713.19379897544</v>
      </c>
      <c r="AQ38" s="1248">
        <f t="shared" si="40"/>
        <v>3099922.0367543488</v>
      </c>
      <c r="AR38" s="1248">
        <f t="shared" si="166"/>
        <v>3099922.0367543488</v>
      </c>
      <c r="AS38" s="1248"/>
      <c r="AT38" s="1248"/>
      <c r="AU38" s="1248">
        <f t="shared" si="42"/>
        <v>0</v>
      </c>
      <c r="AV38" s="1140">
        <f t="shared" si="43"/>
        <v>0</v>
      </c>
      <c r="AW38" s="1140">
        <f t="shared" si="44"/>
        <v>3099922.0367543488</v>
      </c>
      <c r="AX38" s="1139">
        <f t="shared" si="45"/>
        <v>38749.025459429358</v>
      </c>
      <c r="AY38" s="831" t="s">
        <v>478</v>
      </c>
      <c r="AZ38" s="831">
        <f t="shared" si="46"/>
        <v>3138671.062213778</v>
      </c>
      <c r="BA38" s="831">
        <f t="shared" si="47"/>
        <v>117700.16483301668</v>
      </c>
      <c r="BB38" s="831"/>
      <c r="BC38" s="831">
        <f t="shared" si="11"/>
        <v>33600</v>
      </c>
      <c r="BD38" s="831"/>
      <c r="BE38" s="831">
        <f t="shared" si="48"/>
        <v>3289971.2270467947</v>
      </c>
      <c r="BF38" s="831"/>
      <c r="BG38" s="831">
        <f t="shared" si="49"/>
        <v>3289971.2270467947</v>
      </c>
      <c r="BH38" s="831"/>
      <c r="BI38" s="831">
        <f t="shared" si="50"/>
        <v>3289971.2270467947</v>
      </c>
      <c r="BJ38" s="831"/>
      <c r="BK38" s="831">
        <f t="shared" si="51"/>
        <v>3289971.2270467947</v>
      </c>
      <c r="BL38" s="831"/>
      <c r="BM38" s="831">
        <f t="shared" si="52"/>
        <v>3289971.2270467947</v>
      </c>
      <c r="BN38" s="831"/>
      <c r="BO38" s="831">
        <f t="shared" si="53"/>
        <v>3289971.2270467947</v>
      </c>
      <c r="BP38" s="831"/>
      <c r="BQ38" s="831">
        <f t="shared" si="54"/>
        <v>3289971.2270467947</v>
      </c>
      <c r="BR38" s="831"/>
      <c r="BS38" s="831">
        <f t="shared" si="55"/>
        <v>3289971.2270467947</v>
      </c>
      <c r="BT38" s="831"/>
      <c r="BU38" s="831">
        <f t="shared" si="56"/>
        <v>3289971.2270467947</v>
      </c>
      <c r="BV38" s="831"/>
      <c r="BW38" s="831">
        <f t="shared" si="57"/>
        <v>56400</v>
      </c>
      <c r="BX38" s="831">
        <f t="shared" si="58"/>
        <v>3346371.2270467947</v>
      </c>
      <c r="BY38" s="831"/>
      <c r="BZ38" s="831">
        <f t="shared" si="59"/>
        <v>3346371.2270467947</v>
      </c>
      <c r="CA38" s="1260">
        <f t="shared" si="60"/>
        <v>3346371.2270467947</v>
      </c>
      <c r="CB38" s="1260">
        <f t="shared" si="61"/>
        <v>3346371.2270467947</v>
      </c>
      <c r="CC38" s="1260"/>
      <c r="CD38" s="1260">
        <f t="shared" si="62"/>
        <v>0</v>
      </c>
      <c r="CE38" s="1260">
        <f t="shared" si="63"/>
        <v>0</v>
      </c>
      <c r="CF38" s="1260">
        <f t="shared" si="64"/>
        <v>0</v>
      </c>
      <c r="CG38" s="1266">
        <f t="shared" si="65"/>
        <v>3346371.2270467947</v>
      </c>
      <c r="CH38" s="1141">
        <f t="shared" si="66"/>
        <v>3346371.2270467947</v>
      </c>
      <c r="CI38" s="1142">
        <f t="shared" si="67"/>
        <v>0</v>
      </c>
      <c r="CJ38" s="1141">
        <f t="shared" si="68"/>
        <v>343003.05077229644</v>
      </c>
      <c r="CK38" s="1141">
        <f t="shared" si="69"/>
        <v>117122.99294663782</v>
      </c>
      <c r="CL38" s="1143">
        <f t="shared" si="139"/>
        <v>3806497.2707657288</v>
      </c>
      <c r="CM38" s="1144">
        <f t="shared" si="71"/>
        <v>0.125</v>
      </c>
      <c r="CN38" s="1141">
        <f t="shared" si="72"/>
        <v>475812.1588457161</v>
      </c>
      <c r="CO38" s="1141">
        <f t="shared" si="73"/>
        <v>30000</v>
      </c>
      <c r="CP38" s="1141">
        <f t="shared" si="74"/>
        <v>445812.1588457161</v>
      </c>
      <c r="CQ38" s="1145">
        <f t="shared" si="75"/>
        <v>13</v>
      </c>
      <c r="CR38" s="1141">
        <f t="shared" si="76"/>
        <v>34293.242988132006</v>
      </c>
      <c r="CS38" s="1144">
        <f t="shared" si="77"/>
        <v>0.875</v>
      </c>
      <c r="CT38" s="1141">
        <f t="shared" si="78"/>
        <v>3330685.1119200126</v>
      </c>
      <c r="CU38" s="1146">
        <f t="shared" si="12"/>
        <v>25822.76622153218</v>
      </c>
      <c r="CV38" s="1146">
        <f t="shared" si="13"/>
        <v>29937.139399009873</v>
      </c>
      <c r="CW38" s="1146">
        <f t="shared" si="14"/>
        <v>38672.078310114535</v>
      </c>
      <c r="CX38" s="1146">
        <f t="shared" si="15"/>
        <v>65951.557176514485</v>
      </c>
      <c r="CY38" s="1146">
        <f t="shared" si="79"/>
        <v>270562.13827147207</v>
      </c>
      <c r="CZ38" s="1146">
        <f t="shared" si="80"/>
        <v>107060.12013017652</v>
      </c>
      <c r="DA38" s="1146">
        <f t="shared" si="81"/>
        <v>77328.008456711017</v>
      </c>
      <c r="DB38" s="1146">
        <f t="shared" si="82"/>
        <v>58850.174433200184</v>
      </c>
      <c r="DC38" s="1146"/>
      <c r="DD38" s="1146"/>
      <c r="DE38" s="1146"/>
      <c r="DF38" s="1146"/>
      <c r="DG38" s="1146"/>
      <c r="DH38" s="1146"/>
      <c r="DI38" s="1146"/>
      <c r="DJ38" s="1146"/>
      <c r="DK38" s="1146"/>
      <c r="DL38" s="1146"/>
      <c r="DM38" s="1146"/>
      <c r="DN38" s="1146"/>
      <c r="DO38" s="1146"/>
      <c r="DP38" s="1146"/>
      <c r="DQ38" s="1146"/>
      <c r="DR38" s="1146"/>
      <c r="DS38" s="1146"/>
      <c r="DT38" s="1146"/>
      <c r="DU38" s="1146"/>
      <c r="DV38" s="1146"/>
      <c r="DW38" s="1146"/>
      <c r="DX38" s="1146"/>
      <c r="DY38" s="1146"/>
      <c r="DZ38" s="1146"/>
      <c r="EA38" s="1147">
        <f t="shared" si="83"/>
        <v>0</v>
      </c>
      <c r="EB38" s="1148">
        <f t="shared" si="84"/>
        <v>0</v>
      </c>
      <c r="EC38" s="1190">
        <f t="shared" si="132"/>
        <v>45839</v>
      </c>
      <c r="ED38" s="1031">
        <f t="shared" si="16"/>
        <v>20</v>
      </c>
      <c r="EE38" s="1191"/>
      <c r="EF38" s="1032">
        <f t="shared" si="17"/>
        <v>45904</v>
      </c>
      <c r="EG38" s="1029">
        <f t="shared" si="85"/>
        <v>22</v>
      </c>
      <c r="EH38" s="859" t="s">
        <v>490</v>
      </c>
      <c r="EI38" s="859" t="s">
        <v>480</v>
      </c>
      <c r="EJ38" s="860">
        <f t="shared" si="18"/>
        <v>0</v>
      </c>
      <c r="EK38" s="860">
        <f t="shared" si="19"/>
        <v>0</v>
      </c>
      <c r="EL38" s="861">
        <f t="shared" si="20"/>
        <v>0</v>
      </c>
      <c r="EM38" s="1197"/>
      <c r="EN38" s="860"/>
      <c r="EO38" s="860"/>
      <c r="EP38" s="860">
        <f t="shared" si="21"/>
        <v>0</v>
      </c>
      <c r="EQ38" s="1197"/>
      <c r="ER38" s="1200"/>
      <c r="ES38" s="1197"/>
      <c r="ET38" s="1194" t="s">
        <v>191</v>
      </c>
      <c r="EU38" s="1197" t="b">
        <f t="shared" si="22"/>
        <v>1</v>
      </c>
      <c r="EV38" s="1201" t="s">
        <v>553</v>
      </c>
      <c r="EW38" s="1202" t="s">
        <v>482</v>
      </c>
      <c r="EX38" s="1197"/>
      <c r="EY38" s="1128" t="s">
        <v>483</v>
      </c>
      <c r="EZ38" s="1128" t="s">
        <v>484</v>
      </c>
      <c r="FA38" s="1169">
        <f t="shared" si="86"/>
        <v>0</v>
      </c>
      <c r="FI38" s="1309" t="s">
        <v>149</v>
      </c>
      <c r="FJ38" s="1159" t="s">
        <v>149</v>
      </c>
      <c r="FK38" s="1160" t="b">
        <f t="shared" si="87"/>
        <v>1</v>
      </c>
      <c r="FL38" s="1131"/>
      <c r="FM38" s="1161"/>
      <c r="FO38" s="1060"/>
      <c r="FP38" s="1181">
        <f t="shared" si="177"/>
        <v>17</v>
      </c>
      <c r="FQ38" s="1176">
        <f t="shared" si="178"/>
        <v>46419</v>
      </c>
      <c r="FR38" s="1177">
        <v>45901</v>
      </c>
      <c r="FT38" s="1072"/>
      <c r="FU38" s="1295"/>
      <c r="FV38" s="1295"/>
      <c r="FW38" s="1023">
        <v>0.15</v>
      </c>
      <c r="FX38" s="1162">
        <v>13992.593304018388</v>
      </c>
      <c r="FY38" s="1163">
        <v>14429.861844768962</v>
      </c>
      <c r="GA38" s="1164">
        <f t="shared" si="89"/>
        <v>3806497.2707657288</v>
      </c>
      <c r="GB38" s="1165">
        <f t="shared" si="90"/>
        <v>0.15</v>
      </c>
      <c r="GC38" s="1154">
        <f t="shared" si="91"/>
        <v>570974.59061485925</v>
      </c>
      <c r="GD38" s="1164">
        <f t="shared" si="92"/>
        <v>30000</v>
      </c>
      <c r="GE38" s="1154">
        <f t="shared" si="93"/>
        <v>540974.59061485925</v>
      </c>
      <c r="GF38" s="1060">
        <f t="shared" si="94"/>
        <v>35</v>
      </c>
      <c r="GG38" s="1166">
        <f t="shared" si="95"/>
        <v>15456.416874710265</v>
      </c>
      <c r="GI38" s="1164">
        <f t="shared" si="96"/>
        <v>3806497.2707657288</v>
      </c>
      <c r="GJ38" s="1154">
        <f t="shared" si="97"/>
        <v>380649.72707657289</v>
      </c>
      <c r="GK38" s="1154">
        <f t="shared" si="98"/>
        <v>95162.431769143222</v>
      </c>
      <c r="GL38" s="1166">
        <v>15000</v>
      </c>
      <c r="GM38" s="1154">
        <f t="shared" si="99"/>
        <v>365649.72707657289</v>
      </c>
      <c r="GN38" s="1060">
        <f t="shared" si="100"/>
        <v>35</v>
      </c>
      <c r="GO38" s="1154">
        <f t="shared" si="101"/>
        <v>10447.135059330654</v>
      </c>
      <c r="GS38" s="1010">
        <f t="shared" si="102"/>
        <v>3806497.2707657288</v>
      </c>
      <c r="GT38" s="1011">
        <f t="shared" si="103"/>
        <v>0.125</v>
      </c>
      <c r="GU38" s="1010">
        <f t="shared" si="104"/>
        <v>475812.1588457161</v>
      </c>
      <c r="GV38" s="1010">
        <f t="shared" si="105"/>
        <v>30000</v>
      </c>
      <c r="GW38" s="1010">
        <f t="shared" si="106"/>
        <v>445812.1588457161</v>
      </c>
      <c r="GX38" s="1010">
        <f t="shared" si="107"/>
        <v>13</v>
      </c>
      <c r="GY38" s="1010">
        <f t="shared" si="108"/>
        <v>34293.242988132006</v>
      </c>
      <c r="GZ38" s="1011">
        <f t="shared" si="109"/>
        <v>0.875</v>
      </c>
      <c r="HA38" s="1010">
        <f t="shared" si="110"/>
        <v>3330685.1119200126</v>
      </c>
      <c r="HB38" s="1010">
        <f t="shared" si="111"/>
        <v>25822.76622153218</v>
      </c>
      <c r="HC38" s="1010">
        <f t="shared" si="112"/>
        <v>29937.139399009873</v>
      </c>
      <c r="HD38" s="1010">
        <f t="shared" si="113"/>
        <v>38672.078310114535</v>
      </c>
      <c r="HE38" s="1010">
        <f t="shared" si="114"/>
        <v>65951.557176514485</v>
      </c>
      <c r="HG38" s="1010">
        <f t="shared" si="115"/>
        <v>3806497.2707657288</v>
      </c>
      <c r="HH38" s="1011">
        <f t="shared" si="116"/>
        <v>0.125</v>
      </c>
      <c r="HI38" s="1010">
        <f t="shared" si="117"/>
        <v>475812.1588457161</v>
      </c>
      <c r="HJ38" s="1010">
        <f t="shared" si="118"/>
        <v>30000</v>
      </c>
      <c r="HK38" s="1010">
        <f t="shared" si="119"/>
        <v>445812.1588457161</v>
      </c>
      <c r="HL38" s="1012">
        <f t="shared" si="120"/>
        <v>33</v>
      </c>
      <c r="HM38" s="1167">
        <f t="shared" si="121"/>
        <v>13509.459358961094</v>
      </c>
      <c r="HN38" s="1168">
        <f t="shared" si="122"/>
        <v>0.875</v>
      </c>
      <c r="HO38" s="1167">
        <f t="shared" si="123"/>
        <v>3330685.1119200126</v>
      </c>
      <c r="HP38" s="1146">
        <f t="shared" si="124"/>
        <v>25822.76622153218</v>
      </c>
      <c r="HQ38" s="1146">
        <f t="shared" si="125"/>
        <v>29937.139399009873</v>
      </c>
      <c r="HR38" s="1146">
        <f t="shared" si="126"/>
        <v>38672.078310114535</v>
      </c>
      <c r="HS38" s="1146">
        <f t="shared" si="127"/>
        <v>65951.557176514485</v>
      </c>
      <c r="HU38" s="1167">
        <f t="shared" si="128"/>
        <v>-20783.78362917091</v>
      </c>
      <c r="HX38" s="1154"/>
      <c r="HY38" s="1154"/>
      <c r="IB38" s="1154"/>
      <c r="IC38" s="1154"/>
      <c r="ID38" s="1154"/>
      <c r="IE38" s="1154"/>
      <c r="IG38" s="1060"/>
    </row>
    <row r="39" spans="1:241" ht="14.25" hidden="1" customHeight="1">
      <c r="A39" s="1186">
        <f t="shared" si="141"/>
        <v>33</v>
      </c>
      <c r="B39" s="824" t="s">
        <v>149</v>
      </c>
      <c r="C39" s="855">
        <f t="shared" si="155"/>
        <v>18</v>
      </c>
      <c r="D39" s="856" t="s">
        <v>495</v>
      </c>
      <c r="E39" s="857" t="str">
        <f t="shared" si="23"/>
        <v>3rd Floor</v>
      </c>
      <c r="F39" s="1185"/>
      <c r="G39" s="764" t="s">
        <v>192</v>
      </c>
      <c r="H39" s="764" t="s">
        <v>552</v>
      </c>
      <c r="I39" s="764" t="s">
        <v>476</v>
      </c>
      <c r="J39" s="831">
        <v>22</v>
      </c>
      <c r="K39" s="1142"/>
      <c r="L39" s="764" t="s">
        <v>500</v>
      </c>
      <c r="M39" s="764" t="s">
        <v>117</v>
      </c>
      <c r="N39" s="856">
        <f t="shared" si="24"/>
        <v>100909.09090909091</v>
      </c>
      <c r="O39" s="1138">
        <f t="shared" si="136"/>
        <v>2220000</v>
      </c>
      <c r="P39" s="1138">
        <f t="shared" si="142"/>
        <v>22400</v>
      </c>
      <c r="Q39" s="1138">
        <f t="shared" si="8"/>
        <v>50000</v>
      </c>
      <c r="R39" s="1138"/>
      <c r="S39" s="1138"/>
      <c r="T39" s="1138"/>
      <c r="U39" s="1138"/>
      <c r="V39" s="858">
        <f>J39*$V$5</f>
        <v>55000</v>
      </c>
      <c r="W39" s="858"/>
      <c r="X39" s="1138"/>
      <c r="Y39" s="1138"/>
      <c r="Z39" s="1138">
        <f t="shared" si="137"/>
        <v>75000</v>
      </c>
      <c r="AA39" s="1138">
        <f t="shared" si="138"/>
        <v>202400</v>
      </c>
      <c r="AB39" s="1138">
        <f t="shared" si="28"/>
        <v>2422400</v>
      </c>
      <c r="AC39" s="1138">
        <f t="shared" si="29"/>
        <v>60560</v>
      </c>
      <c r="AD39" s="1138">
        <f t="shared" si="30"/>
        <v>2482960</v>
      </c>
      <c r="AE39" s="1138">
        <f t="shared" si="31"/>
        <v>62074</v>
      </c>
      <c r="AF39" s="1138">
        <f t="shared" si="32"/>
        <v>2545034</v>
      </c>
      <c r="AG39" s="1138">
        <f t="shared" si="33"/>
        <v>63625.850000000006</v>
      </c>
      <c r="AH39" s="1138">
        <f t="shared" si="34"/>
        <v>2608659.85</v>
      </c>
      <c r="AI39" s="1138">
        <f t="shared" si="144"/>
        <v>130432.99250000001</v>
      </c>
      <c r="AJ39" s="1138">
        <f t="shared" si="35"/>
        <v>2739092.8425000003</v>
      </c>
      <c r="AK39" s="1138">
        <f t="shared" si="36"/>
        <v>27390.928425000002</v>
      </c>
      <c r="AL39" s="1138">
        <f t="shared" si="37"/>
        <v>27537.409960060559</v>
      </c>
      <c r="AM39" s="1138"/>
      <c r="AN39" s="1138"/>
      <c r="AO39" s="1138">
        <f t="shared" si="38"/>
        <v>2794021.1808850607</v>
      </c>
      <c r="AP39" s="1138">
        <f t="shared" si="39"/>
        <v>377192.85941948323</v>
      </c>
      <c r="AQ39" s="1248">
        <f t="shared" si="40"/>
        <v>3171214.0403045439</v>
      </c>
      <c r="AR39" s="1248">
        <f>AQ39-AT39</f>
        <v>3171214.0403045439</v>
      </c>
      <c r="AS39" s="1248"/>
      <c r="AT39" s="1248">
        <f>AS39*J39</f>
        <v>0</v>
      </c>
      <c r="AU39" s="1248">
        <f t="shared" si="42"/>
        <v>0</v>
      </c>
      <c r="AV39" s="1140">
        <f t="shared" si="43"/>
        <v>0</v>
      </c>
      <c r="AW39" s="1140">
        <f t="shared" si="44"/>
        <v>3171214.0403045439</v>
      </c>
      <c r="AX39" s="1139">
        <f t="shared" si="45"/>
        <v>39640.1755038068</v>
      </c>
      <c r="AY39" s="831" t="s">
        <v>478</v>
      </c>
      <c r="AZ39" s="831">
        <f t="shared" si="46"/>
        <v>3210854.2158083506</v>
      </c>
      <c r="BA39" s="831">
        <f t="shared" si="47"/>
        <v>120407.03309281314</v>
      </c>
      <c r="BB39" s="831"/>
      <c r="BC39" s="831">
        <f t="shared" si="11"/>
        <v>33600</v>
      </c>
      <c r="BD39" s="831"/>
      <c r="BE39" s="831">
        <f t="shared" si="48"/>
        <v>3364861.2489011637</v>
      </c>
      <c r="BF39" s="831"/>
      <c r="BG39" s="831">
        <f t="shared" si="49"/>
        <v>3364861.2489011637</v>
      </c>
      <c r="BH39" s="831"/>
      <c r="BI39" s="831">
        <f t="shared" si="50"/>
        <v>3364861.2489011637</v>
      </c>
      <c r="BJ39" s="831"/>
      <c r="BK39" s="831">
        <f t="shared" si="51"/>
        <v>3364861.2489011637</v>
      </c>
      <c r="BL39" s="831"/>
      <c r="BM39" s="831">
        <f t="shared" si="52"/>
        <v>3364861.2489011637</v>
      </c>
      <c r="BN39" s="831"/>
      <c r="BO39" s="831">
        <f t="shared" si="53"/>
        <v>3364861.2489011637</v>
      </c>
      <c r="BP39" s="831"/>
      <c r="BQ39" s="831">
        <f t="shared" si="54"/>
        <v>3364861.2489011637</v>
      </c>
      <c r="BR39" s="831"/>
      <c r="BS39" s="831">
        <f t="shared" si="55"/>
        <v>3364861.2489011637</v>
      </c>
      <c r="BT39" s="831"/>
      <c r="BU39" s="831">
        <f t="shared" si="56"/>
        <v>3364861.2489011637</v>
      </c>
      <c r="BV39" s="831"/>
      <c r="BW39" s="831">
        <f t="shared" si="57"/>
        <v>56400</v>
      </c>
      <c r="BX39" s="831">
        <f t="shared" si="58"/>
        <v>3421261.2489011637</v>
      </c>
      <c r="BY39" s="831"/>
      <c r="BZ39" s="831">
        <f t="shared" si="59"/>
        <v>3421261.2489011637</v>
      </c>
      <c r="CA39" s="1260">
        <f t="shared" si="60"/>
        <v>3421261.2489011637</v>
      </c>
      <c r="CB39" s="1260">
        <f t="shared" si="61"/>
        <v>3421261.2489011637</v>
      </c>
      <c r="CC39" s="1260"/>
      <c r="CD39" s="1260">
        <f t="shared" si="62"/>
        <v>0</v>
      </c>
      <c r="CE39" s="1260">
        <f t="shared" si="63"/>
        <v>0</v>
      </c>
      <c r="CF39" s="1260">
        <f t="shared" si="64"/>
        <v>0</v>
      </c>
      <c r="CG39" s="1266">
        <f t="shared" si="65"/>
        <v>3421261.2489011637</v>
      </c>
      <c r="CH39" s="1141">
        <f t="shared" si="66"/>
        <v>3421261.2489011637</v>
      </c>
      <c r="CI39" s="1142">
        <f t="shared" si="67"/>
        <v>0</v>
      </c>
      <c r="CJ39" s="1141">
        <f t="shared" si="68"/>
        <v>350679.27801236924</v>
      </c>
      <c r="CK39" s="1141">
        <f t="shared" si="69"/>
        <v>119744.14371154075</v>
      </c>
      <c r="CL39" s="1143">
        <f t="shared" si="139"/>
        <v>3891684.6706250738</v>
      </c>
      <c r="CM39" s="1144">
        <f t="shared" si="71"/>
        <v>0.125</v>
      </c>
      <c r="CN39" s="1141">
        <f t="shared" si="72"/>
        <v>486460.58382813423</v>
      </c>
      <c r="CO39" s="1141">
        <f t="shared" si="73"/>
        <v>30000</v>
      </c>
      <c r="CP39" s="1141">
        <f t="shared" si="74"/>
        <v>456460.58382813423</v>
      </c>
      <c r="CQ39" s="1145">
        <f t="shared" si="75"/>
        <v>13</v>
      </c>
      <c r="CR39" s="1141">
        <f t="shared" si="76"/>
        <v>35112.352602164174</v>
      </c>
      <c r="CS39" s="1144">
        <f t="shared" si="77"/>
        <v>0.875</v>
      </c>
      <c r="CT39" s="1141">
        <f t="shared" si="78"/>
        <v>3405224.0867969394</v>
      </c>
      <c r="CU39" s="1146">
        <f t="shared" si="12"/>
        <v>26400.666100374212</v>
      </c>
      <c r="CV39" s="1146">
        <f t="shared" si="13"/>
        <v>30607.116778007276</v>
      </c>
      <c r="CW39" s="1146">
        <f t="shared" si="14"/>
        <v>39537.539011662055</v>
      </c>
      <c r="CX39" s="1146">
        <f t="shared" si="15"/>
        <v>67427.518217046629</v>
      </c>
      <c r="CY39" s="1146">
        <f t="shared" si="79"/>
        <v>276617.17612392135</v>
      </c>
      <c r="CZ39" s="1146">
        <f t="shared" si="80"/>
        <v>109456.06911260787</v>
      </c>
      <c r="DA39" s="1146">
        <f t="shared" si="81"/>
        <v>79058.568472429484</v>
      </c>
      <c r="DB39" s="1146">
        <f t="shared" si="82"/>
        <v>60167.210276030237</v>
      </c>
      <c r="DC39" s="1146"/>
      <c r="DD39" s="1146"/>
      <c r="DE39" s="1146"/>
      <c r="DF39" s="1146"/>
      <c r="DG39" s="1146"/>
      <c r="DH39" s="1146"/>
      <c r="DI39" s="1146"/>
      <c r="DJ39" s="1146"/>
      <c r="DK39" s="1146"/>
      <c r="DL39" s="1146"/>
      <c r="DM39" s="1146"/>
      <c r="DN39" s="1146"/>
      <c r="DO39" s="1146"/>
      <c r="DP39" s="1146"/>
      <c r="DQ39" s="1146"/>
      <c r="DR39" s="1146"/>
      <c r="DS39" s="1146"/>
      <c r="DT39" s="1146"/>
      <c r="DU39" s="1146"/>
      <c r="DV39" s="1146"/>
      <c r="DW39" s="1146"/>
      <c r="DX39" s="1146"/>
      <c r="DY39" s="1146"/>
      <c r="DZ39" s="1146"/>
      <c r="EA39" s="1147">
        <f t="shared" si="83"/>
        <v>0</v>
      </c>
      <c r="EB39" s="1148">
        <f t="shared" si="84"/>
        <v>0</v>
      </c>
      <c r="EC39" s="1190">
        <f t="shared" si="132"/>
        <v>45839</v>
      </c>
      <c r="ED39" s="1031">
        <f t="shared" si="16"/>
        <v>20</v>
      </c>
      <c r="EE39" s="1191"/>
      <c r="EF39" s="1032">
        <f t="shared" si="17"/>
        <v>45904</v>
      </c>
      <c r="EG39" s="1029">
        <f t="shared" si="85"/>
        <v>22</v>
      </c>
      <c r="EH39" s="859" t="s">
        <v>490</v>
      </c>
      <c r="EI39" s="859" t="s">
        <v>480</v>
      </c>
      <c r="EJ39" s="860">
        <f t="shared" si="18"/>
        <v>0</v>
      </c>
      <c r="EK39" s="860">
        <f t="shared" si="19"/>
        <v>0</v>
      </c>
      <c r="EL39" s="861">
        <f t="shared" si="20"/>
        <v>0</v>
      </c>
      <c r="EM39" s="1197"/>
      <c r="EN39" s="860"/>
      <c r="EO39" s="860"/>
      <c r="EP39" s="860">
        <f t="shared" si="21"/>
        <v>0</v>
      </c>
      <c r="EQ39" s="1197"/>
      <c r="ER39" s="1200"/>
      <c r="ES39" s="1197"/>
      <c r="ET39" s="1194" t="s">
        <v>192</v>
      </c>
      <c r="EU39" s="1197" t="b">
        <f t="shared" si="22"/>
        <v>1</v>
      </c>
      <c r="EV39" s="1201" t="s">
        <v>554</v>
      </c>
      <c r="EW39" s="1202" t="s">
        <v>482</v>
      </c>
      <c r="EX39" s="1197"/>
      <c r="EY39" s="1128" t="s">
        <v>483</v>
      </c>
      <c r="EZ39" s="1128" t="s">
        <v>484</v>
      </c>
      <c r="FA39" s="1169">
        <f t="shared" si="86"/>
        <v>0</v>
      </c>
      <c r="FI39" s="1309" t="s">
        <v>149</v>
      </c>
      <c r="FJ39" s="1159" t="s">
        <v>149</v>
      </c>
      <c r="FK39" s="1160" t="b">
        <f t="shared" si="87"/>
        <v>1</v>
      </c>
      <c r="FL39" s="1131"/>
      <c r="FM39" s="1161"/>
      <c r="FO39" s="1060"/>
      <c r="FP39" s="1181">
        <f t="shared" si="177"/>
        <v>16</v>
      </c>
      <c r="FQ39" s="1176">
        <f t="shared" si="178"/>
        <v>46419</v>
      </c>
      <c r="FR39" s="1177">
        <v>45931</v>
      </c>
      <c r="FT39" s="1072"/>
      <c r="FU39" s="1295"/>
      <c r="FV39" s="1295"/>
      <c r="FW39" s="1023">
        <v>0.15</v>
      </c>
      <c r="FX39" s="1162">
        <v>14637.845763601757</v>
      </c>
      <c r="FY39" s="1163">
        <v>15095.278443714313</v>
      </c>
      <c r="GA39" s="1164">
        <f t="shared" si="89"/>
        <v>3891684.6706250738</v>
      </c>
      <c r="GB39" s="1165">
        <f t="shared" si="90"/>
        <v>0.15</v>
      </c>
      <c r="GC39" s="1154">
        <f t="shared" si="91"/>
        <v>583752.70059376105</v>
      </c>
      <c r="GD39" s="1164">
        <f t="shared" si="92"/>
        <v>30000</v>
      </c>
      <c r="GE39" s="1154">
        <f t="shared" si="93"/>
        <v>553752.70059376105</v>
      </c>
      <c r="GF39" s="1060">
        <f t="shared" si="94"/>
        <v>35</v>
      </c>
      <c r="GG39" s="1166">
        <f t="shared" si="95"/>
        <v>15821.505731250316</v>
      </c>
      <c r="GI39" s="1164">
        <f t="shared" si="96"/>
        <v>3891684.6706250738</v>
      </c>
      <c r="GJ39" s="1154">
        <f t="shared" si="97"/>
        <v>389168.46706250741</v>
      </c>
      <c r="GK39" s="1154">
        <f t="shared" si="98"/>
        <v>97292.116765626852</v>
      </c>
      <c r="GL39" s="1166">
        <v>15000</v>
      </c>
      <c r="GM39" s="1154">
        <f t="shared" si="99"/>
        <v>374168.46706250741</v>
      </c>
      <c r="GN39" s="1060">
        <f t="shared" si="100"/>
        <v>35</v>
      </c>
      <c r="GO39" s="1154">
        <f t="shared" si="101"/>
        <v>10690.527630357354</v>
      </c>
      <c r="GS39" s="1010">
        <f t="shared" si="102"/>
        <v>3891684.6706250738</v>
      </c>
      <c r="GT39" s="1011">
        <f t="shared" si="103"/>
        <v>0.125</v>
      </c>
      <c r="GU39" s="1010">
        <f t="shared" si="104"/>
        <v>486460.58382813423</v>
      </c>
      <c r="GV39" s="1010">
        <f t="shared" si="105"/>
        <v>30000</v>
      </c>
      <c r="GW39" s="1010">
        <f t="shared" si="106"/>
        <v>456460.58382813423</v>
      </c>
      <c r="GX39" s="1010">
        <f t="shared" si="107"/>
        <v>13</v>
      </c>
      <c r="GY39" s="1010">
        <f t="shared" si="108"/>
        <v>35112.352602164174</v>
      </c>
      <c r="GZ39" s="1011">
        <f t="shared" si="109"/>
        <v>0.875</v>
      </c>
      <c r="HA39" s="1010">
        <f t="shared" si="110"/>
        <v>3405224.0867969394</v>
      </c>
      <c r="HB39" s="1010">
        <f t="shared" si="111"/>
        <v>26400.666100374212</v>
      </c>
      <c r="HC39" s="1010">
        <f t="shared" si="112"/>
        <v>30607.116778007276</v>
      </c>
      <c r="HD39" s="1010">
        <f t="shared" si="113"/>
        <v>39537.539011662055</v>
      </c>
      <c r="HE39" s="1010">
        <f t="shared" si="114"/>
        <v>67427.518217046629</v>
      </c>
      <c r="HG39" s="1010">
        <f t="shared" si="115"/>
        <v>3891684.6706250738</v>
      </c>
      <c r="HH39" s="1011">
        <f t="shared" si="116"/>
        <v>0.125</v>
      </c>
      <c r="HI39" s="1010">
        <f t="shared" si="117"/>
        <v>486460.58382813423</v>
      </c>
      <c r="HJ39" s="1010">
        <f t="shared" si="118"/>
        <v>30000</v>
      </c>
      <c r="HK39" s="1010">
        <f t="shared" si="119"/>
        <v>456460.58382813423</v>
      </c>
      <c r="HL39" s="1012">
        <f t="shared" si="120"/>
        <v>33</v>
      </c>
      <c r="HM39" s="1167">
        <f t="shared" si="121"/>
        <v>13832.138903882855</v>
      </c>
      <c r="HN39" s="1168">
        <f t="shared" si="122"/>
        <v>0.875</v>
      </c>
      <c r="HO39" s="1167">
        <f t="shared" si="123"/>
        <v>3405224.0867969394</v>
      </c>
      <c r="HP39" s="1146">
        <f t="shared" si="124"/>
        <v>26400.666100374212</v>
      </c>
      <c r="HQ39" s="1146">
        <f t="shared" si="125"/>
        <v>30607.116778007276</v>
      </c>
      <c r="HR39" s="1146">
        <f t="shared" si="126"/>
        <v>39537.539011662055</v>
      </c>
      <c r="HS39" s="1146">
        <f t="shared" si="127"/>
        <v>67427.518217046629</v>
      </c>
      <c r="HU39" s="1167">
        <f t="shared" si="128"/>
        <v>-21280.213698281317</v>
      </c>
      <c r="HX39" s="1154"/>
      <c r="HY39" s="1154"/>
      <c r="IB39" s="1154"/>
      <c r="IC39" s="1154"/>
      <c r="ID39" s="1154"/>
      <c r="IE39" s="1154"/>
      <c r="IG39" s="1060"/>
    </row>
    <row r="40" spans="1:241" ht="14.25" hidden="1" customHeight="1">
      <c r="A40" s="1186">
        <f t="shared" si="141"/>
        <v>34</v>
      </c>
      <c r="B40" s="824" t="s">
        <v>149</v>
      </c>
      <c r="C40" s="855">
        <v>1</v>
      </c>
      <c r="D40" s="856" t="s">
        <v>498</v>
      </c>
      <c r="E40" s="857" t="str">
        <f t="shared" si="23"/>
        <v>4th Floor</v>
      </c>
      <c r="F40" s="1185"/>
      <c r="G40" s="764" t="s">
        <v>194</v>
      </c>
      <c r="H40" s="764" t="s">
        <v>475</v>
      </c>
      <c r="I40" s="764" t="s">
        <v>476</v>
      </c>
      <c r="J40" s="1139">
        <v>22</v>
      </c>
      <c r="K40" s="1142"/>
      <c r="L40" s="764" t="s">
        <v>344</v>
      </c>
      <c r="M40" s="764" t="s">
        <v>477</v>
      </c>
      <c r="N40" s="856">
        <f t="shared" si="24"/>
        <v>100909.09090909091</v>
      </c>
      <c r="O40" s="1138">
        <f t="shared" si="136"/>
        <v>2220000</v>
      </c>
      <c r="P40" s="1138">
        <f t="shared" si="142"/>
        <v>22400</v>
      </c>
      <c r="Q40" s="1138">
        <f t="shared" si="8"/>
        <v>50000</v>
      </c>
      <c r="R40" s="1138"/>
      <c r="S40" s="1138"/>
      <c r="T40" s="1138"/>
      <c r="U40" s="1138"/>
      <c r="V40" s="1138"/>
      <c r="W40" s="858">
        <f>J40*$W$5</f>
        <v>22000</v>
      </c>
      <c r="X40" s="1138"/>
      <c r="Y40" s="1138"/>
      <c r="Z40" s="1138">
        <f t="shared" si="137"/>
        <v>75000</v>
      </c>
      <c r="AA40" s="1138">
        <f t="shared" si="138"/>
        <v>169400</v>
      </c>
      <c r="AB40" s="1138">
        <f t="shared" si="28"/>
        <v>2389400</v>
      </c>
      <c r="AC40" s="1138">
        <f t="shared" si="29"/>
        <v>59735</v>
      </c>
      <c r="AD40" s="1138">
        <f t="shared" si="30"/>
        <v>2449135</v>
      </c>
      <c r="AE40" s="1138">
        <f t="shared" si="31"/>
        <v>61228.375</v>
      </c>
      <c r="AF40" s="1138">
        <f t="shared" si="32"/>
        <v>2510363.375</v>
      </c>
      <c r="AG40" s="1138">
        <f t="shared" si="33"/>
        <v>62759.084375000006</v>
      </c>
      <c r="AH40" s="1138">
        <f t="shared" si="34"/>
        <v>2573122.4593750001</v>
      </c>
      <c r="AI40" s="1138">
        <f t="shared" si="144"/>
        <v>128656.12296875002</v>
      </c>
      <c r="AJ40" s="1138">
        <f t="shared" si="35"/>
        <v>2701778.5823437502</v>
      </c>
      <c r="AK40" s="1138">
        <f t="shared" si="36"/>
        <v>27017.785823437502</v>
      </c>
      <c r="AL40" s="1138">
        <f t="shared" si="37"/>
        <v>27537.409960060559</v>
      </c>
      <c r="AM40" s="1138"/>
      <c r="AN40" s="1138"/>
      <c r="AO40" s="1138">
        <f t="shared" si="38"/>
        <v>2756333.7781272479</v>
      </c>
      <c r="AP40" s="1138">
        <f t="shared" si="39"/>
        <v>372105.06004717847</v>
      </c>
      <c r="AQ40" s="1248">
        <f t="shared" si="40"/>
        <v>3128438.8381744265</v>
      </c>
      <c r="AR40" s="1248">
        <f t="shared" ref="AR40:AR45" si="179">AQ40</f>
        <v>3128438.8381744265</v>
      </c>
      <c r="AS40" s="1248"/>
      <c r="AT40" s="1248"/>
      <c r="AU40" s="1248">
        <f t="shared" si="42"/>
        <v>0</v>
      </c>
      <c r="AV40" s="1140">
        <f t="shared" si="43"/>
        <v>0</v>
      </c>
      <c r="AW40" s="1140">
        <f t="shared" si="44"/>
        <v>3128438.8381744265</v>
      </c>
      <c r="AX40" s="1139">
        <f t="shared" si="45"/>
        <v>39105.485477180329</v>
      </c>
      <c r="AY40" s="831" t="s">
        <v>478</v>
      </c>
      <c r="AZ40" s="831">
        <f t="shared" si="46"/>
        <v>3167544.3236516067</v>
      </c>
      <c r="BA40" s="831">
        <f t="shared" si="47"/>
        <v>118782.91213693525</v>
      </c>
      <c r="BB40" s="831"/>
      <c r="BC40" s="831">
        <f t="shared" si="11"/>
        <v>33600</v>
      </c>
      <c r="BD40" s="831"/>
      <c r="BE40" s="831">
        <f t="shared" si="48"/>
        <v>3319927.2357885418</v>
      </c>
      <c r="BF40" s="831"/>
      <c r="BG40" s="831">
        <f t="shared" si="49"/>
        <v>3319927.2357885418</v>
      </c>
      <c r="BH40" s="831"/>
      <c r="BI40" s="831">
        <f t="shared" si="50"/>
        <v>3319927.2357885418</v>
      </c>
      <c r="BJ40" s="831"/>
      <c r="BK40" s="831">
        <f t="shared" si="51"/>
        <v>3319927.2357885418</v>
      </c>
      <c r="BL40" s="831"/>
      <c r="BM40" s="831">
        <f t="shared" si="52"/>
        <v>3319927.2357885418</v>
      </c>
      <c r="BN40" s="831"/>
      <c r="BO40" s="831">
        <f t="shared" si="53"/>
        <v>3319927.2357885418</v>
      </c>
      <c r="BP40" s="831"/>
      <c r="BQ40" s="831">
        <f t="shared" si="54"/>
        <v>3319927.2357885418</v>
      </c>
      <c r="BR40" s="831"/>
      <c r="BS40" s="831">
        <f t="shared" si="55"/>
        <v>3319927.2357885418</v>
      </c>
      <c r="BT40" s="831"/>
      <c r="BU40" s="831">
        <f t="shared" si="56"/>
        <v>3319927.2357885418</v>
      </c>
      <c r="BV40" s="831"/>
      <c r="BW40" s="831">
        <f t="shared" si="57"/>
        <v>56400</v>
      </c>
      <c r="BX40" s="831">
        <f t="shared" si="58"/>
        <v>3376327.2357885418</v>
      </c>
      <c r="BY40" s="831"/>
      <c r="BZ40" s="831">
        <f t="shared" si="59"/>
        <v>3376327.2357885418</v>
      </c>
      <c r="CA40" s="1260">
        <f t="shared" si="60"/>
        <v>3376327.2357885418</v>
      </c>
      <c r="CB40" s="1260">
        <f t="shared" si="61"/>
        <v>3376327.2357885418</v>
      </c>
      <c r="CC40" s="1260"/>
      <c r="CD40" s="1260">
        <f t="shared" si="62"/>
        <v>0</v>
      </c>
      <c r="CE40" s="1260">
        <f t="shared" si="63"/>
        <v>0</v>
      </c>
      <c r="CF40" s="1260">
        <f t="shared" si="64"/>
        <v>0</v>
      </c>
      <c r="CG40" s="1266">
        <f t="shared" si="65"/>
        <v>3376327.2357885418</v>
      </c>
      <c r="CH40" s="1141">
        <f t="shared" si="66"/>
        <v>3376327.2357885418</v>
      </c>
      <c r="CI40" s="1142">
        <f t="shared" si="67"/>
        <v>0</v>
      </c>
      <c r="CJ40" s="1141">
        <f t="shared" si="68"/>
        <v>346073.54166832555</v>
      </c>
      <c r="CK40" s="1141">
        <f t="shared" si="69"/>
        <v>118171.45325259898</v>
      </c>
      <c r="CL40" s="1143">
        <f t="shared" si="139"/>
        <v>3840572.2307094666</v>
      </c>
      <c r="CM40" s="1144">
        <f t="shared" si="71"/>
        <v>0.125</v>
      </c>
      <c r="CN40" s="1141">
        <f t="shared" si="72"/>
        <v>480071.52883868333</v>
      </c>
      <c r="CO40" s="1141">
        <f t="shared" si="73"/>
        <v>30000</v>
      </c>
      <c r="CP40" s="1141">
        <f t="shared" si="74"/>
        <v>450071.52883868333</v>
      </c>
      <c r="CQ40" s="1145">
        <f t="shared" si="75"/>
        <v>13</v>
      </c>
      <c r="CR40" s="1141">
        <f t="shared" si="76"/>
        <v>34620.886833744873</v>
      </c>
      <c r="CS40" s="1144">
        <f t="shared" si="77"/>
        <v>0.875</v>
      </c>
      <c r="CT40" s="1141">
        <f t="shared" si="78"/>
        <v>3360500.7018707832</v>
      </c>
      <c r="CU40" s="1146">
        <f t="shared" si="12"/>
        <v>26053.926173068994</v>
      </c>
      <c r="CV40" s="1146">
        <f t="shared" si="13"/>
        <v>30205.130350608837</v>
      </c>
      <c r="CW40" s="1146">
        <f t="shared" si="14"/>
        <v>39018.262590733539</v>
      </c>
      <c r="CX40" s="1146">
        <f t="shared" si="15"/>
        <v>66541.941592727337</v>
      </c>
      <c r="CY40" s="1146">
        <f t="shared" si="79"/>
        <v>272984.15341245179</v>
      </c>
      <c r="CZ40" s="1146">
        <f t="shared" si="80"/>
        <v>108018.49972314907</v>
      </c>
      <c r="DA40" s="1146">
        <f t="shared" si="81"/>
        <v>78020.232462998407</v>
      </c>
      <c r="DB40" s="1146">
        <f t="shared" si="82"/>
        <v>59376.988770332202</v>
      </c>
      <c r="DC40" s="1146"/>
      <c r="DD40" s="1146"/>
      <c r="DE40" s="1146"/>
      <c r="DF40" s="1146"/>
      <c r="DG40" s="1146"/>
      <c r="DH40" s="1146"/>
      <c r="DI40" s="1146"/>
      <c r="DJ40" s="1146"/>
      <c r="DK40" s="1146"/>
      <c r="DL40" s="1146"/>
      <c r="DM40" s="1146"/>
      <c r="DN40" s="1146"/>
      <c r="DO40" s="1146"/>
      <c r="DP40" s="1146"/>
      <c r="DQ40" s="1146"/>
      <c r="DR40" s="1146"/>
      <c r="DS40" s="1146"/>
      <c r="DT40" s="1146"/>
      <c r="DU40" s="1146"/>
      <c r="DV40" s="1146"/>
      <c r="DW40" s="1146"/>
      <c r="DX40" s="1146"/>
      <c r="DY40" s="1146"/>
      <c r="DZ40" s="1146"/>
      <c r="EA40" s="1147">
        <f t="shared" si="83"/>
        <v>0</v>
      </c>
      <c r="EB40" s="1148">
        <f t="shared" si="84"/>
        <v>0</v>
      </c>
      <c r="EC40" s="1190">
        <f t="shared" si="132"/>
        <v>45839</v>
      </c>
      <c r="ED40" s="1031">
        <f t="shared" si="16"/>
        <v>20</v>
      </c>
      <c r="EE40" s="1191"/>
      <c r="EF40" s="1032">
        <f t="shared" si="17"/>
        <v>45904</v>
      </c>
      <c r="EG40" s="1029">
        <f t="shared" si="85"/>
        <v>22</v>
      </c>
      <c r="EH40" s="859" t="s">
        <v>490</v>
      </c>
      <c r="EI40" s="859" t="s">
        <v>480</v>
      </c>
      <c r="EJ40" s="860">
        <f t="shared" si="18"/>
        <v>0</v>
      </c>
      <c r="EK40" s="860">
        <f t="shared" si="19"/>
        <v>0</v>
      </c>
      <c r="EL40" s="861">
        <f t="shared" si="20"/>
        <v>0</v>
      </c>
      <c r="EM40" s="1197"/>
      <c r="EN40" s="860"/>
      <c r="EO40" s="860"/>
      <c r="EP40" s="860">
        <f t="shared" si="21"/>
        <v>0</v>
      </c>
      <c r="EQ40" s="1197"/>
      <c r="ER40" s="1200"/>
      <c r="ES40" s="1197"/>
      <c r="ET40" s="1194" t="s">
        <v>194</v>
      </c>
      <c r="EU40" s="1197" t="b">
        <f t="shared" si="22"/>
        <v>1</v>
      </c>
      <c r="EV40" s="1201" t="s">
        <v>555</v>
      </c>
      <c r="EW40" s="1202" t="s">
        <v>482</v>
      </c>
      <c r="EX40" s="1197"/>
      <c r="EY40" s="1128" t="s">
        <v>483</v>
      </c>
      <c r="EZ40" s="1128" t="s">
        <v>484</v>
      </c>
      <c r="FA40" s="1169">
        <f t="shared" si="86"/>
        <v>0</v>
      </c>
      <c r="FI40" s="1309" t="s">
        <v>149</v>
      </c>
      <c r="FJ40" s="1159" t="s">
        <v>149</v>
      </c>
      <c r="FK40" s="1160" t="b">
        <f t="shared" si="87"/>
        <v>1</v>
      </c>
      <c r="FL40" s="1131"/>
      <c r="FM40" s="1161"/>
      <c r="FO40" s="1060"/>
      <c r="FP40" s="1166"/>
      <c r="FQ40" s="1203"/>
      <c r="FT40" s="1072"/>
      <c r="FU40" s="1295"/>
      <c r="FV40" s="1295"/>
      <c r="FW40" s="1023">
        <v>0.15</v>
      </c>
      <c r="FX40" s="1162">
        <v>14136.810431904947</v>
      </c>
      <c r="FY40" s="1163">
        <v>14578.585757901978</v>
      </c>
      <c r="GA40" s="1164">
        <f t="shared" si="89"/>
        <v>3840572.2307094666</v>
      </c>
      <c r="GB40" s="1165">
        <f t="shared" si="90"/>
        <v>0.15</v>
      </c>
      <c r="GC40" s="1154">
        <f t="shared" si="91"/>
        <v>576085.83460642002</v>
      </c>
      <c r="GD40" s="1164">
        <f t="shared" si="92"/>
        <v>30000</v>
      </c>
      <c r="GE40" s="1154">
        <f t="shared" si="93"/>
        <v>546085.83460642002</v>
      </c>
      <c r="GF40" s="1060">
        <f t="shared" si="94"/>
        <v>35</v>
      </c>
      <c r="GG40" s="1166">
        <f t="shared" si="95"/>
        <v>15602.452417326285</v>
      </c>
      <c r="GI40" s="1164">
        <f t="shared" si="96"/>
        <v>3840572.2307094666</v>
      </c>
      <c r="GJ40" s="1154">
        <f t="shared" si="97"/>
        <v>384057.2230709467</v>
      </c>
      <c r="GK40" s="1154">
        <f t="shared" si="98"/>
        <v>96014.305767736674</v>
      </c>
      <c r="GL40" s="1166">
        <v>15000</v>
      </c>
      <c r="GM40" s="1154">
        <f t="shared" si="99"/>
        <v>369057.2230709467</v>
      </c>
      <c r="GN40" s="1060">
        <f t="shared" si="100"/>
        <v>35</v>
      </c>
      <c r="GO40" s="1154">
        <f t="shared" si="101"/>
        <v>10544.492087741333</v>
      </c>
      <c r="GS40" s="1010">
        <f t="shared" si="102"/>
        <v>3840572.2307094666</v>
      </c>
      <c r="GT40" s="1011">
        <f t="shared" si="103"/>
        <v>0.125</v>
      </c>
      <c r="GU40" s="1010">
        <f t="shared" si="104"/>
        <v>480071.52883868333</v>
      </c>
      <c r="GV40" s="1010">
        <f t="shared" si="105"/>
        <v>30000</v>
      </c>
      <c r="GW40" s="1010">
        <f t="shared" si="106"/>
        <v>450071.52883868333</v>
      </c>
      <c r="GX40" s="1010">
        <f t="shared" si="107"/>
        <v>13</v>
      </c>
      <c r="GY40" s="1010">
        <f t="shared" si="108"/>
        <v>34620.886833744873</v>
      </c>
      <c r="GZ40" s="1011">
        <f t="shared" si="109"/>
        <v>0.875</v>
      </c>
      <c r="HA40" s="1010">
        <f t="shared" si="110"/>
        <v>3360500.7018707832</v>
      </c>
      <c r="HB40" s="1010">
        <f t="shared" si="111"/>
        <v>26053.926173068994</v>
      </c>
      <c r="HC40" s="1010">
        <f t="shared" si="112"/>
        <v>30205.130350608837</v>
      </c>
      <c r="HD40" s="1010">
        <f t="shared" si="113"/>
        <v>39018.262590733539</v>
      </c>
      <c r="HE40" s="1010">
        <f t="shared" si="114"/>
        <v>66541.941592727337</v>
      </c>
      <c r="HG40" s="1010">
        <f t="shared" si="115"/>
        <v>3840572.2307094666</v>
      </c>
      <c r="HH40" s="1011">
        <f t="shared" si="116"/>
        <v>0.125</v>
      </c>
      <c r="HI40" s="1010">
        <f t="shared" si="117"/>
        <v>480071.52883868333</v>
      </c>
      <c r="HJ40" s="1010">
        <f t="shared" si="118"/>
        <v>30000</v>
      </c>
      <c r="HK40" s="1010">
        <f t="shared" si="119"/>
        <v>450071.52883868333</v>
      </c>
      <c r="HL40" s="1012">
        <f t="shared" si="120"/>
        <v>33</v>
      </c>
      <c r="HM40" s="1167">
        <f t="shared" si="121"/>
        <v>13638.531176929799</v>
      </c>
      <c r="HN40" s="1168">
        <f t="shared" si="122"/>
        <v>0.875</v>
      </c>
      <c r="HO40" s="1167">
        <f t="shared" si="123"/>
        <v>3360500.7018707832</v>
      </c>
      <c r="HP40" s="1146">
        <f t="shared" si="124"/>
        <v>26053.926173068994</v>
      </c>
      <c r="HQ40" s="1146">
        <f t="shared" si="125"/>
        <v>30205.130350608837</v>
      </c>
      <c r="HR40" s="1146">
        <f t="shared" si="126"/>
        <v>39018.262590733539</v>
      </c>
      <c r="HS40" s="1146">
        <f t="shared" si="127"/>
        <v>66541.941592727337</v>
      </c>
      <c r="HU40" s="1167">
        <f t="shared" si="128"/>
        <v>-20982.355656815074</v>
      </c>
      <c r="HX40" s="1154"/>
      <c r="HY40" s="1154"/>
      <c r="IB40" s="1154"/>
      <c r="IC40" s="1154"/>
      <c r="ID40" s="1154"/>
      <c r="IE40" s="1154"/>
      <c r="IG40" s="1060"/>
    </row>
    <row r="41" spans="1:241" ht="14.25" hidden="1" customHeight="1">
      <c r="A41" s="1186">
        <f t="shared" si="141"/>
        <v>35</v>
      </c>
      <c r="B41" s="824" t="s">
        <v>149</v>
      </c>
      <c r="C41" s="855">
        <f>C40+1</f>
        <v>2</v>
      </c>
      <c r="D41" s="856" t="s">
        <v>498</v>
      </c>
      <c r="E41" s="857" t="str">
        <f t="shared" si="23"/>
        <v>4th Floor</v>
      </c>
      <c r="F41" s="1185"/>
      <c r="G41" s="764" t="s">
        <v>195</v>
      </c>
      <c r="H41" s="764" t="s">
        <v>489</v>
      </c>
      <c r="I41" s="764" t="s">
        <v>476</v>
      </c>
      <c r="J41" s="1139">
        <v>22</v>
      </c>
      <c r="K41" s="1142"/>
      <c r="L41" s="764" t="s">
        <v>344</v>
      </c>
      <c r="M41" s="764" t="s">
        <v>93</v>
      </c>
      <c r="N41" s="856">
        <f t="shared" si="24"/>
        <v>100909.09090909091</v>
      </c>
      <c r="O41" s="1138">
        <f t="shared" si="136"/>
        <v>2220000</v>
      </c>
      <c r="P41" s="1138">
        <f t="shared" si="142"/>
        <v>22400</v>
      </c>
      <c r="Q41" s="1138">
        <f t="shared" si="8"/>
        <v>50000</v>
      </c>
      <c r="R41" s="1138"/>
      <c r="S41" s="1138"/>
      <c r="T41" s="1138"/>
      <c r="U41" s="1138"/>
      <c r="V41" s="1138"/>
      <c r="W41" s="858"/>
      <c r="X41" s="1138"/>
      <c r="Y41" s="1138"/>
      <c r="Z41" s="1138">
        <f t="shared" si="137"/>
        <v>75000</v>
      </c>
      <c r="AA41" s="1138">
        <f t="shared" si="138"/>
        <v>147400</v>
      </c>
      <c r="AB41" s="1138">
        <f t="shared" si="28"/>
        <v>2367400</v>
      </c>
      <c r="AC41" s="1138">
        <f t="shared" si="29"/>
        <v>59185</v>
      </c>
      <c r="AD41" s="1138">
        <f t="shared" si="30"/>
        <v>2426585</v>
      </c>
      <c r="AE41" s="1138">
        <f t="shared" si="31"/>
        <v>60664.625</v>
      </c>
      <c r="AF41" s="1138">
        <f t="shared" si="32"/>
        <v>2487249.625</v>
      </c>
      <c r="AG41" s="1138">
        <f t="shared" si="33"/>
        <v>62181.240625000006</v>
      </c>
      <c r="AH41" s="1138">
        <f t="shared" si="34"/>
        <v>2549430.8656250001</v>
      </c>
      <c r="AI41" s="1138">
        <f t="shared" si="144"/>
        <v>127471.54328125001</v>
      </c>
      <c r="AJ41" s="1138">
        <f t="shared" si="35"/>
        <v>2676902.4089062503</v>
      </c>
      <c r="AK41" s="1138">
        <f t="shared" si="36"/>
        <v>26769.024089062503</v>
      </c>
      <c r="AL41" s="1138">
        <f t="shared" si="37"/>
        <v>27537.409960060559</v>
      </c>
      <c r="AM41" s="1138"/>
      <c r="AN41" s="1138"/>
      <c r="AO41" s="1138">
        <f t="shared" si="38"/>
        <v>2731208.8429553732</v>
      </c>
      <c r="AP41" s="1138">
        <f t="shared" si="39"/>
        <v>368713.19379897544</v>
      </c>
      <c r="AQ41" s="1248">
        <f t="shared" si="40"/>
        <v>3099922.0367543488</v>
      </c>
      <c r="AR41" s="1248">
        <f t="shared" si="179"/>
        <v>3099922.0367543488</v>
      </c>
      <c r="AS41" s="1248"/>
      <c r="AT41" s="1248"/>
      <c r="AU41" s="1248">
        <f t="shared" si="42"/>
        <v>0</v>
      </c>
      <c r="AV41" s="1140">
        <f t="shared" si="43"/>
        <v>0</v>
      </c>
      <c r="AW41" s="1140">
        <f t="shared" si="44"/>
        <v>3099922.0367543488</v>
      </c>
      <c r="AX41" s="1139">
        <f t="shared" si="45"/>
        <v>38749.025459429358</v>
      </c>
      <c r="AY41" s="831" t="s">
        <v>478</v>
      </c>
      <c r="AZ41" s="831">
        <f t="shared" si="46"/>
        <v>3138671.062213778</v>
      </c>
      <c r="BA41" s="831">
        <f t="shared" si="47"/>
        <v>117700.16483301668</v>
      </c>
      <c r="BB41" s="831"/>
      <c r="BC41" s="831">
        <f t="shared" si="11"/>
        <v>33600</v>
      </c>
      <c r="BD41" s="831"/>
      <c r="BE41" s="831">
        <f t="shared" si="48"/>
        <v>3289971.2270467947</v>
      </c>
      <c r="BF41" s="831"/>
      <c r="BG41" s="831">
        <f t="shared" si="49"/>
        <v>3289971.2270467947</v>
      </c>
      <c r="BH41" s="831"/>
      <c r="BI41" s="831">
        <f t="shared" si="50"/>
        <v>3289971.2270467947</v>
      </c>
      <c r="BJ41" s="831"/>
      <c r="BK41" s="831">
        <f t="shared" si="51"/>
        <v>3289971.2270467947</v>
      </c>
      <c r="BL41" s="831"/>
      <c r="BM41" s="831">
        <f t="shared" si="52"/>
        <v>3289971.2270467947</v>
      </c>
      <c r="BN41" s="831"/>
      <c r="BO41" s="831">
        <f t="shared" si="53"/>
        <v>3289971.2270467947</v>
      </c>
      <c r="BP41" s="831"/>
      <c r="BQ41" s="831">
        <f t="shared" si="54"/>
        <v>3289971.2270467947</v>
      </c>
      <c r="BR41" s="831"/>
      <c r="BS41" s="831">
        <f t="shared" si="55"/>
        <v>3289971.2270467947</v>
      </c>
      <c r="BT41" s="831"/>
      <c r="BU41" s="831">
        <f t="shared" si="56"/>
        <v>3289971.2270467947</v>
      </c>
      <c r="BV41" s="831"/>
      <c r="BW41" s="831">
        <f t="shared" si="57"/>
        <v>56400</v>
      </c>
      <c r="BX41" s="831">
        <f t="shared" si="58"/>
        <v>3346371.2270467947</v>
      </c>
      <c r="BY41" s="831"/>
      <c r="BZ41" s="831">
        <f t="shared" si="59"/>
        <v>3346371.2270467947</v>
      </c>
      <c r="CA41" s="1260">
        <f t="shared" si="60"/>
        <v>3346371.2270467947</v>
      </c>
      <c r="CB41" s="1260">
        <f t="shared" si="61"/>
        <v>3346371.2270467947</v>
      </c>
      <c r="CC41" s="1260"/>
      <c r="CD41" s="1260">
        <f t="shared" si="62"/>
        <v>0</v>
      </c>
      <c r="CE41" s="1260">
        <f t="shared" si="63"/>
        <v>0</v>
      </c>
      <c r="CF41" s="1260">
        <f t="shared" si="64"/>
        <v>0</v>
      </c>
      <c r="CG41" s="1266">
        <f t="shared" si="65"/>
        <v>3346371.2270467947</v>
      </c>
      <c r="CH41" s="1141">
        <f t="shared" si="66"/>
        <v>3346371.2270467947</v>
      </c>
      <c r="CI41" s="1142">
        <f t="shared" si="67"/>
        <v>0</v>
      </c>
      <c r="CJ41" s="1141">
        <f t="shared" si="68"/>
        <v>343003.05077229644</v>
      </c>
      <c r="CK41" s="1141">
        <f t="shared" si="69"/>
        <v>117122.99294663782</v>
      </c>
      <c r="CL41" s="1143">
        <f t="shared" si="139"/>
        <v>3806497.2707657288</v>
      </c>
      <c r="CM41" s="1144">
        <f t="shared" si="71"/>
        <v>0.125</v>
      </c>
      <c r="CN41" s="1141">
        <f t="shared" si="72"/>
        <v>475812.1588457161</v>
      </c>
      <c r="CO41" s="1141">
        <f t="shared" si="73"/>
        <v>30000</v>
      </c>
      <c r="CP41" s="1141">
        <f t="shared" si="74"/>
        <v>445812.1588457161</v>
      </c>
      <c r="CQ41" s="1145">
        <f t="shared" si="75"/>
        <v>13</v>
      </c>
      <c r="CR41" s="1141">
        <f t="shared" si="76"/>
        <v>34293.242988132006</v>
      </c>
      <c r="CS41" s="1144">
        <f t="shared" si="77"/>
        <v>0.875</v>
      </c>
      <c r="CT41" s="1141">
        <f t="shared" si="78"/>
        <v>3330685.1119200126</v>
      </c>
      <c r="CU41" s="1146">
        <f t="shared" si="12"/>
        <v>25822.76622153218</v>
      </c>
      <c r="CV41" s="1146">
        <f t="shared" si="13"/>
        <v>29937.139399009873</v>
      </c>
      <c r="CW41" s="1146">
        <f t="shared" si="14"/>
        <v>38672.078310114535</v>
      </c>
      <c r="CX41" s="1146">
        <f t="shared" si="15"/>
        <v>65951.557176514485</v>
      </c>
      <c r="CY41" s="1146">
        <f t="shared" si="79"/>
        <v>270562.13827147207</v>
      </c>
      <c r="CZ41" s="1146">
        <f t="shared" si="80"/>
        <v>107060.12013017652</v>
      </c>
      <c r="DA41" s="1146">
        <f t="shared" si="81"/>
        <v>77328.008456711017</v>
      </c>
      <c r="DB41" s="1146">
        <f t="shared" si="82"/>
        <v>58850.174433200184</v>
      </c>
      <c r="DC41" s="1146"/>
      <c r="DD41" s="1146"/>
      <c r="DE41" s="1146"/>
      <c r="DF41" s="1146"/>
      <c r="DG41" s="1146"/>
      <c r="DH41" s="1146"/>
      <c r="DI41" s="1146"/>
      <c r="DJ41" s="1146"/>
      <c r="DK41" s="1146"/>
      <c r="DL41" s="1146"/>
      <c r="DM41" s="1146"/>
      <c r="DN41" s="1146"/>
      <c r="DO41" s="1146"/>
      <c r="DP41" s="1146"/>
      <c r="DQ41" s="1146"/>
      <c r="DR41" s="1146"/>
      <c r="DS41" s="1146"/>
      <c r="DT41" s="1146"/>
      <c r="DU41" s="1146"/>
      <c r="DV41" s="1146"/>
      <c r="DW41" s="1146"/>
      <c r="DX41" s="1146"/>
      <c r="DY41" s="1146"/>
      <c r="DZ41" s="1146"/>
      <c r="EA41" s="1147">
        <f t="shared" si="83"/>
        <v>0</v>
      </c>
      <c r="EB41" s="1148">
        <f t="shared" si="84"/>
        <v>0</v>
      </c>
      <c r="EC41" s="1190">
        <f t="shared" si="132"/>
        <v>45839</v>
      </c>
      <c r="ED41" s="1031">
        <f t="shared" si="16"/>
        <v>20</v>
      </c>
      <c r="EE41" s="1191"/>
      <c r="EF41" s="1032">
        <f t="shared" si="17"/>
        <v>45904</v>
      </c>
      <c r="EG41" s="1029">
        <f t="shared" si="85"/>
        <v>22</v>
      </c>
      <c r="EH41" s="859" t="s">
        <v>490</v>
      </c>
      <c r="EI41" s="859" t="s">
        <v>480</v>
      </c>
      <c r="EJ41" s="860">
        <f t="shared" si="18"/>
        <v>0</v>
      </c>
      <c r="EK41" s="860">
        <f t="shared" si="19"/>
        <v>0</v>
      </c>
      <c r="EL41" s="861">
        <f t="shared" si="20"/>
        <v>0</v>
      </c>
      <c r="EM41" s="1197"/>
      <c r="EN41" s="860"/>
      <c r="EO41" s="860"/>
      <c r="EP41" s="860">
        <f t="shared" si="21"/>
        <v>0</v>
      </c>
      <c r="EQ41" s="1197"/>
      <c r="ER41" s="1200"/>
      <c r="ES41" s="1197"/>
      <c r="ET41" s="1194" t="s">
        <v>195</v>
      </c>
      <c r="EU41" s="1197" t="b">
        <f t="shared" si="22"/>
        <v>1</v>
      </c>
      <c r="EV41" s="1201" t="s">
        <v>556</v>
      </c>
      <c r="EW41" s="1202" t="s">
        <v>482</v>
      </c>
      <c r="EX41" s="1197"/>
      <c r="EY41" s="1128" t="s">
        <v>483</v>
      </c>
      <c r="EZ41" s="1128" t="s">
        <v>484</v>
      </c>
      <c r="FA41" s="1169">
        <f t="shared" si="86"/>
        <v>0</v>
      </c>
      <c r="FI41" s="1309" t="s">
        <v>149</v>
      </c>
      <c r="FJ41" s="1159" t="s">
        <v>149</v>
      </c>
      <c r="FK41" s="1160" t="b">
        <f t="shared" si="87"/>
        <v>1</v>
      </c>
      <c r="FL41" s="1131"/>
      <c r="FM41" s="1161"/>
      <c r="FO41" s="1060"/>
      <c r="FP41" s="1166"/>
      <c r="FQ41" s="1203"/>
      <c r="FT41" s="1072"/>
      <c r="FU41" s="1295"/>
      <c r="FV41" s="1295"/>
      <c r="FW41" s="1023">
        <v>0.15</v>
      </c>
      <c r="FX41" s="1162">
        <v>13992.593304018388</v>
      </c>
      <c r="FY41" s="1163">
        <v>14429.861844768962</v>
      </c>
      <c r="GA41" s="1164">
        <f t="shared" si="89"/>
        <v>3806497.2707657288</v>
      </c>
      <c r="GB41" s="1165">
        <f t="shared" si="90"/>
        <v>0.15</v>
      </c>
      <c r="GC41" s="1154">
        <f t="shared" si="91"/>
        <v>570974.59061485925</v>
      </c>
      <c r="GD41" s="1164">
        <f t="shared" si="92"/>
        <v>30000</v>
      </c>
      <c r="GE41" s="1154">
        <f t="shared" si="93"/>
        <v>540974.59061485925</v>
      </c>
      <c r="GF41" s="1060">
        <f t="shared" si="94"/>
        <v>35</v>
      </c>
      <c r="GG41" s="1166">
        <f t="shared" si="95"/>
        <v>15456.416874710265</v>
      </c>
      <c r="GI41" s="1164">
        <f t="shared" si="96"/>
        <v>3806497.2707657288</v>
      </c>
      <c r="GJ41" s="1154">
        <f t="shared" si="97"/>
        <v>380649.72707657289</v>
      </c>
      <c r="GK41" s="1154">
        <f t="shared" si="98"/>
        <v>95162.431769143222</v>
      </c>
      <c r="GL41" s="1166">
        <v>15000</v>
      </c>
      <c r="GM41" s="1154">
        <f t="shared" si="99"/>
        <v>365649.72707657289</v>
      </c>
      <c r="GN41" s="1060">
        <f t="shared" si="100"/>
        <v>35</v>
      </c>
      <c r="GO41" s="1154">
        <f t="shared" si="101"/>
        <v>10447.135059330654</v>
      </c>
      <c r="GS41" s="1010">
        <f t="shared" si="102"/>
        <v>3806497.2707657288</v>
      </c>
      <c r="GT41" s="1011">
        <f t="shared" si="103"/>
        <v>0.125</v>
      </c>
      <c r="GU41" s="1010">
        <f t="shared" si="104"/>
        <v>475812.1588457161</v>
      </c>
      <c r="GV41" s="1010">
        <f t="shared" si="105"/>
        <v>30000</v>
      </c>
      <c r="GW41" s="1010">
        <f t="shared" si="106"/>
        <v>445812.1588457161</v>
      </c>
      <c r="GX41" s="1010">
        <f t="shared" si="107"/>
        <v>13</v>
      </c>
      <c r="GY41" s="1010">
        <f t="shared" si="108"/>
        <v>34293.242988132006</v>
      </c>
      <c r="GZ41" s="1011">
        <f t="shared" si="109"/>
        <v>0.875</v>
      </c>
      <c r="HA41" s="1010">
        <f t="shared" si="110"/>
        <v>3330685.1119200126</v>
      </c>
      <c r="HB41" s="1010">
        <f t="shared" si="111"/>
        <v>25822.76622153218</v>
      </c>
      <c r="HC41" s="1010">
        <f t="shared" si="112"/>
        <v>29937.139399009873</v>
      </c>
      <c r="HD41" s="1010">
        <f t="shared" si="113"/>
        <v>38672.078310114535</v>
      </c>
      <c r="HE41" s="1010">
        <f t="shared" si="114"/>
        <v>65951.557176514485</v>
      </c>
      <c r="HG41" s="1010">
        <f t="shared" si="115"/>
        <v>3806497.2707657288</v>
      </c>
      <c r="HH41" s="1011">
        <f t="shared" si="116"/>
        <v>0.125</v>
      </c>
      <c r="HI41" s="1010">
        <f t="shared" si="117"/>
        <v>475812.1588457161</v>
      </c>
      <c r="HJ41" s="1010">
        <f t="shared" si="118"/>
        <v>30000</v>
      </c>
      <c r="HK41" s="1010">
        <f t="shared" si="119"/>
        <v>445812.1588457161</v>
      </c>
      <c r="HL41" s="1012">
        <f t="shared" si="120"/>
        <v>33</v>
      </c>
      <c r="HM41" s="1167">
        <f t="shared" si="121"/>
        <v>13509.459358961094</v>
      </c>
      <c r="HN41" s="1168">
        <f t="shared" si="122"/>
        <v>0.875</v>
      </c>
      <c r="HO41" s="1167">
        <f t="shared" si="123"/>
        <v>3330685.1119200126</v>
      </c>
      <c r="HP41" s="1146">
        <f t="shared" si="124"/>
        <v>25822.76622153218</v>
      </c>
      <c r="HQ41" s="1146">
        <f t="shared" si="125"/>
        <v>29937.139399009873</v>
      </c>
      <c r="HR41" s="1146">
        <f t="shared" si="126"/>
        <v>38672.078310114535</v>
      </c>
      <c r="HS41" s="1146">
        <f t="shared" si="127"/>
        <v>65951.557176514485</v>
      </c>
      <c r="HU41" s="1167">
        <f t="shared" si="128"/>
        <v>-20783.78362917091</v>
      </c>
      <c r="HX41" s="1154"/>
      <c r="HY41" s="1154"/>
      <c r="IB41" s="1154"/>
      <c r="IC41" s="1154"/>
      <c r="ID41" s="1154"/>
      <c r="IE41" s="1154"/>
      <c r="IG41" s="1060"/>
    </row>
    <row r="42" spans="1:241" ht="14.25" customHeight="1">
      <c r="A42" s="1186">
        <f t="shared" si="141"/>
        <v>36</v>
      </c>
      <c r="B42" s="824" t="s">
        <v>149</v>
      </c>
      <c r="C42" s="855">
        <f t="shared" ref="C42:C57" si="180">C41+1</f>
        <v>3</v>
      </c>
      <c r="D42" s="856" t="s">
        <v>498</v>
      </c>
      <c r="E42" s="857" t="str">
        <f t="shared" si="23"/>
        <v>4th Floor</v>
      </c>
      <c r="F42" s="1185"/>
      <c r="G42" s="764" t="s">
        <v>196</v>
      </c>
      <c r="H42" s="764" t="s">
        <v>493</v>
      </c>
      <c r="I42" s="764" t="s">
        <v>476</v>
      </c>
      <c r="J42" s="1139">
        <v>22</v>
      </c>
      <c r="K42" s="1142"/>
      <c r="L42" s="764" t="s">
        <v>344</v>
      </c>
      <c r="M42" s="764" t="s">
        <v>477</v>
      </c>
      <c r="N42" s="856">
        <f t="shared" si="24"/>
        <v>100909.09090909091</v>
      </c>
      <c r="O42" s="1138">
        <f t="shared" si="136"/>
        <v>2220000</v>
      </c>
      <c r="P42" s="1138">
        <f t="shared" si="142"/>
        <v>22400</v>
      </c>
      <c r="Q42" s="1138">
        <f t="shared" si="8"/>
        <v>50000</v>
      </c>
      <c r="R42" s="1138"/>
      <c r="S42" s="1138"/>
      <c r="T42" s="1138"/>
      <c r="U42" s="1138"/>
      <c r="V42" s="1138"/>
      <c r="W42" s="858">
        <f t="shared" ref="W42:W45" si="181">J42*$W$5</f>
        <v>22000</v>
      </c>
      <c r="X42" s="1138"/>
      <c r="Y42" s="1138"/>
      <c r="Z42" s="1138">
        <f t="shared" si="137"/>
        <v>75000</v>
      </c>
      <c r="AA42" s="1138">
        <f t="shared" si="138"/>
        <v>169400</v>
      </c>
      <c r="AB42" s="1138">
        <f t="shared" si="28"/>
        <v>2389400</v>
      </c>
      <c r="AC42" s="1138">
        <f t="shared" si="29"/>
        <v>59735</v>
      </c>
      <c r="AD42" s="1138">
        <f t="shared" si="30"/>
        <v>2449135</v>
      </c>
      <c r="AE42" s="1138">
        <f t="shared" si="31"/>
        <v>61228.375</v>
      </c>
      <c r="AF42" s="1138">
        <f t="shared" si="32"/>
        <v>2510363.375</v>
      </c>
      <c r="AG42" s="1138">
        <f t="shared" si="33"/>
        <v>62759.084375000006</v>
      </c>
      <c r="AH42" s="1138">
        <f t="shared" si="34"/>
        <v>2573122.4593750001</v>
      </c>
      <c r="AI42" s="1138">
        <f t="shared" si="144"/>
        <v>128656.12296875002</v>
      </c>
      <c r="AJ42" s="1138">
        <f t="shared" si="35"/>
        <v>2701778.5823437502</v>
      </c>
      <c r="AK42" s="1138">
        <f t="shared" si="36"/>
        <v>27017.785823437502</v>
      </c>
      <c r="AL42" s="1138">
        <f t="shared" si="37"/>
        <v>27537.409960060559</v>
      </c>
      <c r="AM42" s="1138"/>
      <c r="AN42" s="1138"/>
      <c r="AO42" s="1138">
        <f t="shared" si="38"/>
        <v>2756333.7781272479</v>
      </c>
      <c r="AP42" s="1138">
        <f t="shared" si="39"/>
        <v>372105.06004717847</v>
      </c>
      <c r="AQ42" s="1248">
        <f t="shared" si="40"/>
        <v>3128438.8381744265</v>
      </c>
      <c r="AR42" s="1248">
        <f t="shared" si="179"/>
        <v>3128438.8381744265</v>
      </c>
      <c r="AS42" s="1248"/>
      <c r="AT42" s="1248"/>
      <c r="AU42" s="1248">
        <f t="shared" si="42"/>
        <v>0</v>
      </c>
      <c r="AV42" s="1140">
        <f t="shared" si="43"/>
        <v>0</v>
      </c>
      <c r="AW42" s="1140">
        <f t="shared" si="44"/>
        <v>3128438.8381744265</v>
      </c>
      <c r="AX42" s="1139">
        <f t="shared" si="45"/>
        <v>39105.485477180329</v>
      </c>
      <c r="AY42" s="831">
        <v>13444.671373913045</v>
      </c>
      <c r="AZ42" s="831">
        <f t="shared" si="46"/>
        <v>3180988.9950255197</v>
      </c>
      <c r="BA42" s="831">
        <f t="shared" si="47"/>
        <v>119287.08731345698</v>
      </c>
      <c r="BB42" s="831"/>
      <c r="BC42" s="831">
        <f>$BC$5*1.12</f>
        <v>33600</v>
      </c>
      <c r="BD42" s="831">
        <v>8990.8965517241377</v>
      </c>
      <c r="BE42" s="831">
        <f t="shared" si="48"/>
        <v>3342866.9788907007</v>
      </c>
      <c r="BF42" s="831">
        <v>42723.767172413798</v>
      </c>
      <c r="BG42" s="831">
        <f t="shared" si="49"/>
        <v>3385590.7460631146</v>
      </c>
      <c r="BH42" s="831"/>
      <c r="BI42" s="831">
        <f t="shared" si="50"/>
        <v>3385590.7460631146</v>
      </c>
      <c r="BJ42" s="831"/>
      <c r="BK42" s="831">
        <f t="shared" si="51"/>
        <v>3385590.7460631146</v>
      </c>
      <c r="BL42" s="831"/>
      <c r="BM42" s="831">
        <f t="shared" si="52"/>
        <v>3385590.7460631146</v>
      </c>
      <c r="BN42" s="831"/>
      <c r="BO42" s="831">
        <f t="shared" si="53"/>
        <v>3385590.7460631146</v>
      </c>
      <c r="BP42" s="831">
        <f t="shared" ref="BP42:BP43" si="182">$BP$5/37</f>
        <v>5065.3710270270276</v>
      </c>
      <c r="BQ42" s="831">
        <f t="shared" si="54"/>
        <v>3390656.1170901419</v>
      </c>
      <c r="BR42" s="831">
        <f t="shared" ref="BR42:BR43" si="183">$BR$5/42</f>
        <v>3544.6104</v>
      </c>
      <c r="BS42" s="831">
        <f t="shared" si="55"/>
        <v>3394200.727490142</v>
      </c>
      <c r="BT42" s="831">
        <f t="shared" ref="BT42:BT43" si="184">$BT$5/41</f>
        <v>1609.3168000000001</v>
      </c>
      <c r="BU42" s="831">
        <f t="shared" si="56"/>
        <v>3395810.0442901421</v>
      </c>
      <c r="BV42" s="831">
        <f t="shared" ref="BV42:BV43" si="185">$BV$5/43</f>
        <v>1163.3400930232558</v>
      </c>
      <c r="BW42" s="831">
        <f t="shared" si="57"/>
        <v>56400</v>
      </c>
      <c r="BX42" s="831">
        <f t="shared" si="58"/>
        <v>3453373.3843831653</v>
      </c>
      <c r="BY42" s="831">
        <f t="shared" ref="BY42:BY43" si="186">$BY$5/44</f>
        <v>30549.183723443901</v>
      </c>
      <c r="BZ42" s="831">
        <f t="shared" si="59"/>
        <v>3483922.5681066094</v>
      </c>
      <c r="CA42" s="1260">
        <f t="shared" si="60"/>
        <v>3483922.5681066094</v>
      </c>
      <c r="CB42" s="1260">
        <f t="shared" si="61"/>
        <v>3483922.5681066094</v>
      </c>
      <c r="CC42" s="1260"/>
      <c r="CD42" s="1260">
        <f t="shared" si="62"/>
        <v>0</v>
      </c>
      <c r="CE42" s="1260">
        <f t="shared" si="63"/>
        <v>0</v>
      </c>
      <c r="CF42" s="1260">
        <f t="shared" si="64"/>
        <v>0</v>
      </c>
      <c r="CG42" s="1266">
        <f t="shared" si="65"/>
        <v>3483922.5681066094</v>
      </c>
      <c r="CH42" s="1141">
        <f t="shared" si="66"/>
        <v>3483922.5681066094</v>
      </c>
      <c r="CI42" s="1142">
        <f t="shared" si="67"/>
        <v>0</v>
      </c>
      <c r="CJ42" s="1141">
        <f t="shared" si="68"/>
        <v>357102.06323092745</v>
      </c>
      <c r="CK42" s="1141">
        <f t="shared" si="69"/>
        <v>121937.28988373134</v>
      </c>
      <c r="CL42" s="1143">
        <f t="shared" si="139"/>
        <v>3962961.9212212684</v>
      </c>
      <c r="CM42" s="1144">
        <f t="shared" si="71"/>
        <v>0.125</v>
      </c>
      <c r="CN42" s="1141">
        <f t="shared" si="72"/>
        <v>495370.24015265855</v>
      </c>
      <c r="CO42" s="1141">
        <f t="shared" si="73"/>
        <v>30000</v>
      </c>
      <c r="CP42" s="1141">
        <f t="shared" si="74"/>
        <v>465370.24015265855</v>
      </c>
      <c r="CQ42" s="1145">
        <f t="shared" si="75"/>
        <v>13</v>
      </c>
      <c r="CR42" s="1141">
        <f t="shared" si="76"/>
        <v>35797.710780973735</v>
      </c>
      <c r="CS42" s="1144">
        <f t="shared" si="77"/>
        <v>0.875</v>
      </c>
      <c r="CT42" s="1141">
        <f t="shared" si="78"/>
        <v>3467591.6810686099</v>
      </c>
      <c r="CU42" s="1146">
        <f t="shared" si="12"/>
        <v>26884.201394933571</v>
      </c>
      <c r="CV42" s="1146">
        <f t="shared" si="13"/>
        <v>31167.694347171593</v>
      </c>
      <c r="CW42" s="1146">
        <f t="shared" si="14"/>
        <v>40261.679664002833</v>
      </c>
      <c r="CX42" s="1146">
        <f t="shared" si="15"/>
        <v>68662.471333703943</v>
      </c>
      <c r="CY42" s="1146">
        <f t="shared" si="79"/>
        <v>281683.49404289847</v>
      </c>
      <c r="CZ42" s="1146">
        <f t="shared" si="80"/>
        <v>111460.78643369563</v>
      </c>
      <c r="DA42" s="1146">
        <f t="shared" si="81"/>
        <v>80506.547400249634</v>
      </c>
      <c r="DB42" s="1146">
        <f t="shared" si="82"/>
        <v>61269.188901608279</v>
      </c>
      <c r="DC42" s="1146"/>
      <c r="DD42" s="1146"/>
      <c r="DE42" s="1146"/>
      <c r="DF42" s="1146"/>
      <c r="DG42" s="1146"/>
      <c r="DH42" s="1146"/>
      <c r="DI42" s="1146"/>
      <c r="DJ42" s="1146"/>
      <c r="DK42" s="1146"/>
      <c r="DL42" s="1146"/>
      <c r="DM42" s="1146"/>
      <c r="DN42" s="1146"/>
      <c r="DO42" s="1146"/>
      <c r="DP42" s="1146"/>
      <c r="DQ42" s="1146"/>
      <c r="DR42" s="1146"/>
      <c r="DS42" s="1146"/>
      <c r="DT42" s="1146"/>
      <c r="DU42" s="1146"/>
      <c r="DV42" s="1146"/>
      <c r="DW42" s="1146"/>
      <c r="DX42" s="1146"/>
      <c r="DY42" s="1146"/>
      <c r="DZ42" s="1146"/>
      <c r="EA42" s="1147">
        <f t="shared" si="83"/>
        <v>0</v>
      </c>
      <c r="EB42" s="1148">
        <f t="shared" si="84"/>
        <v>0</v>
      </c>
      <c r="EC42" s="1190">
        <f t="shared" si="132"/>
        <v>45839</v>
      </c>
      <c r="ED42" s="1031">
        <f t="shared" si="16"/>
        <v>20</v>
      </c>
      <c r="EE42" s="1191"/>
      <c r="EF42" s="1032">
        <f t="shared" si="17"/>
        <v>45904</v>
      </c>
      <c r="EG42" s="1029">
        <f t="shared" si="85"/>
        <v>22</v>
      </c>
      <c r="EH42" s="859" t="s">
        <v>490</v>
      </c>
      <c r="EI42" s="859" t="s">
        <v>480</v>
      </c>
      <c r="EJ42" s="860">
        <f t="shared" si="18"/>
        <v>0</v>
      </c>
      <c r="EK42" s="860">
        <f t="shared" si="19"/>
        <v>0</v>
      </c>
      <c r="EL42" s="861">
        <f t="shared" si="20"/>
        <v>0</v>
      </c>
      <c r="EM42" s="1197"/>
      <c r="EN42" s="860"/>
      <c r="EO42" s="860"/>
      <c r="EP42" s="860">
        <f t="shared" si="21"/>
        <v>0</v>
      </c>
      <c r="EQ42" s="1197"/>
      <c r="ER42" s="1200"/>
      <c r="ES42" s="1197"/>
      <c r="ET42" s="1194" t="s">
        <v>196</v>
      </c>
      <c r="EU42" s="1197" t="b">
        <f t="shared" si="22"/>
        <v>1</v>
      </c>
      <c r="EV42" s="1201" t="s">
        <v>557</v>
      </c>
      <c r="EW42" s="1202" t="s">
        <v>482</v>
      </c>
      <c r="EX42" s="1197"/>
      <c r="EY42" s="1128" t="s">
        <v>483</v>
      </c>
      <c r="EZ42" s="1128" t="s">
        <v>484</v>
      </c>
      <c r="FA42" s="1169">
        <f t="shared" si="86"/>
        <v>0</v>
      </c>
      <c r="FI42" s="1309" t="s">
        <v>96</v>
      </c>
      <c r="FJ42" s="1159" t="s">
        <v>96</v>
      </c>
      <c r="FK42" s="1160" t="b">
        <f t="shared" si="87"/>
        <v>1</v>
      </c>
      <c r="FL42" s="1131"/>
      <c r="FM42" s="1161"/>
      <c r="FO42" s="1060"/>
      <c r="FP42" s="1181">
        <f t="shared" ref="FP42:FP43" si="187">DATEDIF(FR42,FQ42,"m")</f>
        <v>18</v>
      </c>
      <c r="FQ42" s="1176">
        <f t="shared" ref="FQ42:FQ43" si="188">DATE(2027,2,1)</f>
        <v>46419</v>
      </c>
      <c r="FR42" s="1177">
        <f>EDATE(FR36,1)</f>
        <v>45870</v>
      </c>
      <c r="FT42" s="1072"/>
      <c r="FU42" s="1295"/>
      <c r="FV42" s="1295"/>
      <c r="FW42" s="1023">
        <v>0.15</v>
      </c>
      <c r="FX42" s="1162">
        <v>14136.810431904947</v>
      </c>
      <c r="FY42" s="1163">
        <v>14578.585757901978</v>
      </c>
      <c r="GA42" s="1164">
        <f t="shared" si="89"/>
        <v>3962961.9212212684</v>
      </c>
      <c r="GB42" s="1165">
        <f t="shared" si="90"/>
        <v>0.15</v>
      </c>
      <c r="GC42" s="1154">
        <f t="shared" si="91"/>
        <v>594444.28818319028</v>
      </c>
      <c r="GD42" s="1164">
        <f t="shared" si="92"/>
        <v>30000</v>
      </c>
      <c r="GE42" s="1154">
        <f t="shared" si="93"/>
        <v>564444.28818319028</v>
      </c>
      <c r="GF42" s="1060">
        <f t="shared" si="94"/>
        <v>35</v>
      </c>
      <c r="GG42" s="1166">
        <f t="shared" si="95"/>
        <v>16126.979662376865</v>
      </c>
      <c r="GI42" s="1164">
        <f t="shared" si="96"/>
        <v>3962961.9212212684</v>
      </c>
      <c r="GJ42" s="1154">
        <f t="shared" si="97"/>
        <v>396296.19212212687</v>
      </c>
      <c r="GK42" s="1154">
        <f t="shared" si="98"/>
        <v>99074.048030531718</v>
      </c>
      <c r="GL42" s="1166">
        <v>15000</v>
      </c>
      <c r="GM42" s="1154">
        <f t="shared" si="99"/>
        <v>381296.19212212687</v>
      </c>
      <c r="GN42" s="1060">
        <f t="shared" si="100"/>
        <v>35</v>
      </c>
      <c r="GO42" s="1154">
        <f t="shared" si="101"/>
        <v>10894.176917775054</v>
      </c>
      <c r="GS42" s="1010">
        <f t="shared" si="102"/>
        <v>3962961.9212212684</v>
      </c>
      <c r="GT42" s="1011">
        <f t="shared" si="103"/>
        <v>0.125</v>
      </c>
      <c r="GU42" s="1010">
        <f t="shared" si="104"/>
        <v>495370.24015265855</v>
      </c>
      <c r="GV42" s="1010">
        <f t="shared" si="105"/>
        <v>30000</v>
      </c>
      <c r="GW42" s="1010">
        <f t="shared" si="106"/>
        <v>465370.24015265855</v>
      </c>
      <c r="GX42" s="1010">
        <f t="shared" si="107"/>
        <v>13</v>
      </c>
      <c r="GY42" s="1010">
        <f t="shared" si="108"/>
        <v>35797.710780973735</v>
      </c>
      <c r="GZ42" s="1011">
        <f t="shared" si="109"/>
        <v>0.875</v>
      </c>
      <c r="HA42" s="1010">
        <f t="shared" si="110"/>
        <v>3467591.6810686099</v>
      </c>
      <c r="HB42" s="1010">
        <f t="shared" si="111"/>
        <v>26884.201394933571</v>
      </c>
      <c r="HC42" s="1010">
        <f t="shared" si="112"/>
        <v>31167.694347171593</v>
      </c>
      <c r="HD42" s="1010">
        <f t="shared" si="113"/>
        <v>40261.679664002833</v>
      </c>
      <c r="HE42" s="1010">
        <f t="shared" si="114"/>
        <v>68662.471333703943</v>
      </c>
      <c r="HG42" s="1010">
        <f t="shared" si="115"/>
        <v>3962961.9212212684</v>
      </c>
      <c r="HH42" s="1011">
        <f t="shared" si="116"/>
        <v>0.125</v>
      </c>
      <c r="HI42" s="1010">
        <f t="shared" si="117"/>
        <v>495370.24015265855</v>
      </c>
      <c r="HJ42" s="1010">
        <f t="shared" si="118"/>
        <v>30000</v>
      </c>
      <c r="HK42" s="1010">
        <f t="shared" si="119"/>
        <v>465370.24015265855</v>
      </c>
      <c r="HL42" s="1012">
        <f t="shared" si="120"/>
        <v>33</v>
      </c>
      <c r="HM42" s="1167">
        <f t="shared" si="121"/>
        <v>14102.128489474502</v>
      </c>
      <c r="HN42" s="1168">
        <f t="shared" si="122"/>
        <v>0.875</v>
      </c>
      <c r="HO42" s="1167">
        <f t="shared" si="123"/>
        <v>3467591.6810686099</v>
      </c>
      <c r="HP42" s="1146">
        <f t="shared" si="124"/>
        <v>26884.201394933571</v>
      </c>
      <c r="HQ42" s="1146">
        <f t="shared" si="125"/>
        <v>31167.694347171593</v>
      </c>
      <c r="HR42" s="1146">
        <f t="shared" si="126"/>
        <v>40261.679664002833</v>
      </c>
      <c r="HS42" s="1146">
        <f t="shared" si="127"/>
        <v>68662.471333703943</v>
      </c>
      <c r="HU42" s="1167">
        <f t="shared" si="128"/>
        <v>-21695.582291499231</v>
      </c>
      <c r="HX42" s="1154"/>
      <c r="HY42" s="1154"/>
      <c r="IB42" s="1154"/>
      <c r="IC42" s="1154"/>
      <c r="ID42" s="1154"/>
      <c r="IE42" s="1154"/>
      <c r="IG42" s="1060"/>
    </row>
    <row r="43" spans="1:241" ht="14.25" customHeight="1">
      <c r="A43" s="1186">
        <f t="shared" si="141"/>
        <v>37</v>
      </c>
      <c r="B43" s="824" t="s">
        <v>149</v>
      </c>
      <c r="C43" s="855">
        <f t="shared" si="180"/>
        <v>4</v>
      </c>
      <c r="D43" s="856" t="s">
        <v>498</v>
      </c>
      <c r="E43" s="857" t="str">
        <f t="shared" si="23"/>
        <v>4th Floor</v>
      </c>
      <c r="F43" s="1185"/>
      <c r="G43" s="764" t="s">
        <v>197</v>
      </c>
      <c r="H43" s="764" t="s">
        <v>496</v>
      </c>
      <c r="I43" s="764" t="s">
        <v>476</v>
      </c>
      <c r="J43" s="1139">
        <v>22</v>
      </c>
      <c r="K43" s="1142"/>
      <c r="L43" s="764" t="s">
        <v>344</v>
      </c>
      <c r="M43" s="764" t="s">
        <v>477</v>
      </c>
      <c r="N43" s="856">
        <f t="shared" si="24"/>
        <v>100909.09090909091</v>
      </c>
      <c r="O43" s="1138">
        <f t="shared" si="136"/>
        <v>2220000</v>
      </c>
      <c r="P43" s="1138">
        <f t="shared" si="142"/>
        <v>22400</v>
      </c>
      <c r="Q43" s="1138">
        <f t="shared" si="8"/>
        <v>50000</v>
      </c>
      <c r="R43" s="1138"/>
      <c r="S43" s="1138"/>
      <c r="T43" s="1138"/>
      <c r="U43" s="1138"/>
      <c r="V43" s="1138"/>
      <c r="W43" s="858">
        <f t="shared" si="181"/>
        <v>22000</v>
      </c>
      <c r="X43" s="1138"/>
      <c r="Y43" s="1138"/>
      <c r="Z43" s="1138">
        <f t="shared" si="137"/>
        <v>75000</v>
      </c>
      <c r="AA43" s="1138">
        <f t="shared" si="138"/>
        <v>169400</v>
      </c>
      <c r="AB43" s="1138">
        <f t="shared" si="28"/>
        <v>2389400</v>
      </c>
      <c r="AC43" s="1138">
        <f t="shared" si="29"/>
        <v>59735</v>
      </c>
      <c r="AD43" s="1138">
        <f t="shared" si="30"/>
        <v>2449135</v>
      </c>
      <c r="AE43" s="1138">
        <f t="shared" si="31"/>
        <v>61228.375</v>
      </c>
      <c r="AF43" s="1138">
        <f t="shared" si="32"/>
        <v>2510363.375</v>
      </c>
      <c r="AG43" s="1138">
        <f t="shared" si="33"/>
        <v>62759.084375000006</v>
      </c>
      <c r="AH43" s="1138">
        <f t="shared" si="34"/>
        <v>2573122.4593750001</v>
      </c>
      <c r="AI43" s="1138">
        <f t="shared" si="144"/>
        <v>128656.12296875002</v>
      </c>
      <c r="AJ43" s="1138">
        <f t="shared" si="35"/>
        <v>2701778.5823437502</v>
      </c>
      <c r="AK43" s="1138">
        <f t="shared" si="36"/>
        <v>27017.785823437502</v>
      </c>
      <c r="AL43" s="1138">
        <f t="shared" si="37"/>
        <v>27537.409960060559</v>
      </c>
      <c r="AM43" s="1138"/>
      <c r="AN43" s="1138"/>
      <c r="AO43" s="1138">
        <f t="shared" si="38"/>
        <v>2756333.7781272479</v>
      </c>
      <c r="AP43" s="1138">
        <f t="shared" si="39"/>
        <v>372105.06004717847</v>
      </c>
      <c r="AQ43" s="1248">
        <f t="shared" si="40"/>
        <v>3128438.8381744265</v>
      </c>
      <c r="AR43" s="1248">
        <f t="shared" si="179"/>
        <v>3128438.8381744265</v>
      </c>
      <c r="AS43" s="1248"/>
      <c r="AT43" s="1248"/>
      <c r="AU43" s="1248">
        <f t="shared" si="42"/>
        <v>0</v>
      </c>
      <c r="AV43" s="1140">
        <f t="shared" si="43"/>
        <v>0</v>
      </c>
      <c r="AW43" s="1140">
        <f t="shared" si="44"/>
        <v>3128438.8381744265</v>
      </c>
      <c r="AX43" s="1139">
        <f t="shared" si="45"/>
        <v>39105.485477180329</v>
      </c>
      <c r="AY43" s="831">
        <v>13444.671373913045</v>
      </c>
      <c r="AZ43" s="831">
        <f t="shared" si="46"/>
        <v>3180988.9950255197</v>
      </c>
      <c r="BA43" s="831">
        <f t="shared" si="47"/>
        <v>119287.08731345698</v>
      </c>
      <c r="BB43" s="831"/>
      <c r="BC43" s="831">
        <f t="shared" ref="BC43:BC106" si="189">$BC$5*1.12</f>
        <v>33600</v>
      </c>
      <c r="BD43" s="831">
        <v>8990.8965517241377</v>
      </c>
      <c r="BE43" s="831">
        <f t="shared" si="48"/>
        <v>3342866.9788907007</v>
      </c>
      <c r="BF43" s="831">
        <v>42723.767172413798</v>
      </c>
      <c r="BG43" s="831">
        <f t="shared" si="49"/>
        <v>3385590.7460631146</v>
      </c>
      <c r="BH43" s="831"/>
      <c r="BI43" s="831">
        <f t="shared" si="50"/>
        <v>3385590.7460631146</v>
      </c>
      <c r="BJ43" s="831"/>
      <c r="BK43" s="831">
        <f t="shared" si="51"/>
        <v>3385590.7460631146</v>
      </c>
      <c r="BL43" s="831"/>
      <c r="BM43" s="831">
        <f t="shared" si="52"/>
        <v>3385590.7460631146</v>
      </c>
      <c r="BN43" s="831"/>
      <c r="BO43" s="831">
        <f t="shared" si="53"/>
        <v>3385590.7460631146</v>
      </c>
      <c r="BP43" s="831">
        <f t="shared" si="182"/>
        <v>5065.3710270270276</v>
      </c>
      <c r="BQ43" s="831">
        <f t="shared" si="54"/>
        <v>3390656.1170901419</v>
      </c>
      <c r="BR43" s="831">
        <f t="shared" si="183"/>
        <v>3544.6104</v>
      </c>
      <c r="BS43" s="831">
        <f t="shared" si="55"/>
        <v>3394200.727490142</v>
      </c>
      <c r="BT43" s="831">
        <f t="shared" si="184"/>
        <v>1609.3168000000001</v>
      </c>
      <c r="BU43" s="831">
        <f t="shared" si="56"/>
        <v>3395810.0442901421</v>
      </c>
      <c r="BV43" s="831">
        <f t="shared" si="185"/>
        <v>1163.3400930232558</v>
      </c>
      <c r="BW43" s="831">
        <f t="shared" si="57"/>
        <v>56400</v>
      </c>
      <c r="BX43" s="831">
        <f t="shared" si="58"/>
        <v>3453373.3843831653</v>
      </c>
      <c r="BY43" s="831">
        <f t="shared" si="186"/>
        <v>30549.183723443901</v>
      </c>
      <c r="BZ43" s="831">
        <f t="shared" si="59"/>
        <v>3483922.5681066094</v>
      </c>
      <c r="CA43" s="1260">
        <f t="shared" si="60"/>
        <v>3483922.5681066094</v>
      </c>
      <c r="CB43" s="1260">
        <f t="shared" si="61"/>
        <v>3483922.5681066094</v>
      </c>
      <c r="CC43" s="1260"/>
      <c r="CD43" s="1260">
        <f t="shared" si="62"/>
        <v>0</v>
      </c>
      <c r="CE43" s="1260">
        <f t="shared" si="63"/>
        <v>0</v>
      </c>
      <c r="CF43" s="1260">
        <f t="shared" si="64"/>
        <v>0</v>
      </c>
      <c r="CG43" s="1266">
        <f t="shared" si="65"/>
        <v>3483922.5681066094</v>
      </c>
      <c r="CH43" s="1141">
        <f t="shared" si="66"/>
        <v>3483922.5681066094</v>
      </c>
      <c r="CI43" s="1142">
        <f t="shared" si="67"/>
        <v>0</v>
      </c>
      <c r="CJ43" s="1141">
        <f t="shared" si="68"/>
        <v>357102.06323092745</v>
      </c>
      <c r="CK43" s="1141">
        <f t="shared" si="69"/>
        <v>121937.28988373134</v>
      </c>
      <c r="CL43" s="1143">
        <f t="shared" si="139"/>
        <v>3962961.9212212684</v>
      </c>
      <c r="CM43" s="1144">
        <f t="shared" si="71"/>
        <v>0.125</v>
      </c>
      <c r="CN43" s="1141">
        <f t="shared" si="72"/>
        <v>495370.24015265855</v>
      </c>
      <c r="CO43" s="1141">
        <f t="shared" si="73"/>
        <v>30000</v>
      </c>
      <c r="CP43" s="1141">
        <f t="shared" si="74"/>
        <v>465370.24015265855</v>
      </c>
      <c r="CQ43" s="1145">
        <f t="shared" si="75"/>
        <v>13</v>
      </c>
      <c r="CR43" s="1141">
        <f t="shared" si="76"/>
        <v>35797.710780973735</v>
      </c>
      <c r="CS43" s="1144">
        <f t="shared" si="77"/>
        <v>0.875</v>
      </c>
      <c r="CT43" s="1141">
        <f t="shared" si="78"/>
        <v>3467591.6810686099</v>
      </c>
      <c r="CU43" s="1146">
        <f t="shared" si="12"/>
        <v>26884.201394933571</v>
      </c>
      <c r="CV43" s="1146">
        <f t="shared" si="13"/>
        <v>31167.694347171593</v>
      </c>
      <c r="CW43" s="1146">
        <f t="shared" si="14"/>
        <v>40261.679664002833</v>
      </c>
      <c r="CX43" s="1146">
        <f t="shared" si="15"/>
        <v>68662.471333703943</v>
      </c>
      <c r="CY43" s="1146">
        <f t="shared" si="79"/>
        <v>281683.49404289847</v>
      </c>
      <c r="CZ43" s="1146">
        <f t="shared" si="80"/>
        <v>111460.78643369563</v>
      </c>
      <c r="DA43" s="1146">
        <f t="shared" si="81"/>
        <v>80506.547400249634</v>
      </c>
      <c r="DB43" s="1146">
        <f t="shared" si="82"/>
        <v>61269.188901608279</v>
      </c>
      <c r="DC43" s="1146"/>
      <c r="DD43" s="1146"/>
      <c r="DE43" s="1146"/>
      <c r="DF43" s="1146"/>
      <c r="DG43" s="1146"/>
      <c r="DH43" s="1146"/>
      <c r="DI43" s="1146"/>
      <c r="DJ43" s="1146"/>
      <c r="DK43" s="1146"/>
      <c r="DL43" s="1146"/>
      <c r="DM43" s="1146"/>
      <c r="DN43" s="1146"/>
      <c r="DO43" s="1146"/>
      <c r="DP43" s="1146"/>
      <c r="DQ43" s="1146"/>
      <c r="DR43" s="1146"/>
      <c r="DS43" s="1146"/>
      <c r="DT43" s="1146"/>
      <c r="DU43" s="1146"/>
      <c r="DV43" s="1146"/>
      <c r="DW43" s="1146"/>
      <c r="DX43" s="1146"/>
      <c r="DY43" s="1146"/>
      <c r="DZ43" s="1146"/>
      <c r="EA43" s="1147">
        <f t="shared" si="83"/>
        <v>0</v>
      </c>
      <c r="EB43" s="1148">
        <f t="shared" si="84"/>
        <v>0</v>
      </c>
      <c r="EC43" s="1190">
        <f t="shared" si="132"/>
        <v>45839</v>
      </c>
      <c r="ED43" s="1031">
        <f t="shared" si="16"/>
        <v>20</v>
      </c>
      <c r="EE43" s="1191"/>
      <c r="EF43" s="1032">
        <f t="shared" si="17"/>
        <v>45904</v>
      </c>
      <c r="EG43" s="1029">
        <f t="shared" si="85"/>
        <v>22</v>
      </c>
      <c r="EH43" s="859" t="s">
        <v>490</v>
      </c>
      <c r="EI43" s="859" t="s">
        <v>480</v>
      </c>
      <c r="EJ43" s="860">
        <f t="shared" si="18"/>
        <v>0</v>
      </c>
      <c r="EK43" s="860">
        <f t="shared" si="19"/>
        <v>0</v>
      </c>
      <c r="EL43" s="861">
        <f t="shared" si="20"/>
        <v>0</v>
      </c>
      <c r="EM43" s="1197"/>
      <c r="EN43" s="860"/>
      <c r="EO43" s="860"/>
      <c r="EP43" s="860">
        <f t="shared" si="21"/>
        <v>0</v>
      </c>
      <c r="EQ43" s="1197"/>
      <c r="ER43" s="1200"/>
      <c r="ES43" s="1197"/>
      <c r="ET43" s="1194" t="s">
        <v>197</v>
      </c>
      <c r="EU43" s="1197" t="b">
        <f t="shared" si="22"/>
        <v>1</v>
      </c>
      <c r="EV43" s="1201" t="s">
        <v>558</v>
      </c>
      <c r="EW43" s="1202" t="s">
        <v>482</v>
      </c>
      <c r="EX43" s="1197"/>
      <c r="EY43" s="1128" t="s">
        <v>483</v>
      </c>
      <c r="EZ43" s="1128" t="s">
        <v>484</v>
      </c>
      <c r="FA43" s="1169">
        <f t="shared" si="86"/>
        <v>0</v>
      </c>
      <c r="FI43" s="1309" t="s">
        <v>96</v>
      </c>
      <c r="FJ43" s="1159" t="s">
        <v>96</v>
      </c>
      <c r="FK43" s="1160" t="b">
        <f t="shared" si="87"/>
        <v>1</v>
      </c>
      <c r="FL43" s="1131"/>
      <c r="FM43" s="1161"/>
      <c r="FO43" s="1060"/>
      <c r="FP43" s="1181">
        <f t="shared" si="187"/>
        <v>17</v>
      </c>
      <c r="FQ43" s="1176">
        <f t="shared" si="188"/>
        <v>46419</v>
      </c>
      <c r="FR43" s="1177">
        <f>EDATE(FR37,1)</f>
        <v>45901</v>
      </c>
      <c r="FT43" s="1072"/>
      <c r="FU43" s="1295"/>
      <c r="FV43" s="1295"/>
      <c r="FW43" s="1023">
        <v>0.15</v>
      </c>
      <c r="FX43" s="1162">
        <v>14136.810431904947</v>
      </c>
      <c r="FY43" s="1163">
        <v>14578.585757901978</v>
      </c>
      <c r="GA43" s="1164">
        <f t="shared" si="89"/>
        <v>3962961.9212212684</v>
      </c>
      <c r="GB43" s="1165">
        <f t="shared" si="90"/>
        <v>0.15</v>
      </c>
      <c r="GC43" s="1154">
        <f t="shared" si="91"/>
        <v>594444.28818319028</v>
      </c>
      <c r="GD43" s="1164">
        <f t="shared" si="92"/>
        <v>30000</v>
      </c>
      <c r="GE43" s="1154">
        <f t="shared" si="93"/>
        <v>564444.28818319028</v>
      </c>
      <c r="GF43" s="1060">
        <f t="shared" si="94"/>
        <v>35</v>
      </c>
      <c r="GG43" s="1166">
        <f t="shared" si="95"/>
        <v>16126.979662376865</v>
      </c>
      <c r="GI43" s="1164">
        <f t="shared" si="96"/>
        <v>3962961.9212212684</v>
      </c>
      <c r="GJ43" s="1154">
        <f t="shared" si="97"/>
        <v>396296.19212212687</v>
      </c>
      <c r="GK43" s="1154">
        <f t="shared" si="98"/>
        <v>99074.048030531718</v>
      </c>
      <c r="GL43" s="1166">
        <v>15000</v>
      </c>
      <c r="GM43" s="1154">
        <f t="shared" si="99"/>
        <v>381296.19212212687</v>
      </c>
      <c r="GN43" s="1060">
        <f t="shared" si="100"/>
        <v>35</v>
      </c>
      <c r="GO43" s="1154">
        <f t="shared" si="101"/>
        <v>10894.176917775054</v>
      </c>
      <c r="GS43" s="1010">
        <f t="shared" si="102"/>
        <v>3962961.9212212684</v>
      </c>
      <c r="GT43" s="1011">
        <f t="shared" si="103"/>
        <v>0.125</v>
      </c>
      <c r="GU43" s="1010">
        <f t="shared" si="104"/>
        <v>495370.24015265855</v>
      </c>
      <c r="GV43" s="1010">
        <f t="shared" si="105"/>
        <v>30000</v>
      </c>
      <c r="GW43" s="1010">
        <f t="shared" si="106"/>
        <v>465370.24015265855</v>
      </c>
      <c r="GX43" s="1010">
        <f t="shared" si="107"/>
        <v>13</v>
      </c>
      <c r="GY43" s="1010">
        <f t="shared" si="108"/>
        <v>35797.710780973735</v>
      </c>
      <c r="GZ43" s="1011">
        <f t="shared" si="109"/>
        <v>0.875</v>
      </c>
      <c r="HA43" s="1010">
        <f t="shared" si="110"/>
        <v>3467591.6810686099</v>
      </c>
      <c r="HB43" s="1010">
        <f t="shared" si="111"/>
        <v>26884.201394933571</v>
      </c>
      <c r="HC43" s="1010">
        <f t="shared" si="112"/>
        <v>31167.694347171593</v>
      </c>
      <c r="HD43" s="1010">
        <f t="shared" si="113"/>
        <v>40261.679664002833</v>
      </c>
      <c r="HE43" s="1010">
        <f t="shared" si="114"/>
        <v>68662.471333703943</v>
      </c>
      <c r="HG43" s="1010">
        <f t="shared" si="115"/>
        <v>3962961.9212212684</v>
      </c>
      <c r="HH43" s="1011">
        <f t="shared" si="116"/>
        <v>0.125</v>
      </c>
      <c r="HI43" s="1010">
        <f t="shared" si="117"/>
        <v>495370.24015265855</v>
      </c>
      <c r="HJ43" s="1010">
        <f t="shared" si="118"/>
        <v>30000</v>
      </c>
      <c r="HK43" s="1010">
        <f t="shared" si="119"/>
        <v>465370.24015265855</v>
      </c>
      <c r="HL43" s="1012">
        <f t="shared" si="120"/>
        <v>33</v>
      </c>
      <c r="HM43" s="1167">
        <f t="shared" si="121"/>
        <v>14102.128489474502</v>
      </c>
      <c r="HN43" s="1168">
        <f t="shared" si="122"/>
        <v>0.875</v>
      </c>
      <c r="HO43" s="1167">
        <f t="shared" si="123"/>
        <v>3467591.6810686099</v>
      </c>
      <c r="HP43" s="1146">
        <f t="shared" si="124"/>
        <v>26884.201394933571</v>
      </c>
      <c r="HQ43" s="1146">
        <f t="shared" si="125"/>
        <v>31167.694347171593</v>
      </c>
      <c r="HR43" s="1146">
        <f t="shared" si="126"/>
        <v>40261.679664002833</v>
      </c>
      <c r="HS43" s="1146">
        <f t="shared" si="127"/>
        <v>68662.471333703943</v>
      </c>
      <c r="HU43" s="1167">
        <f t="shared" si="128"/>
        <v>-21695.582291499231</v>
      </c>
      <c r="HX43" s="1154"/>
      <c r="HY43" s="1154"/>
      <c r="IB43" s="1154"/>
      <c r="IC43" s="1154"/>
      <c r="ID43" s="1154"/>
      <c r="IE43" s="1154"/>
      <c r="IG43" s="1060"/>
    </row>
    <row r="44" spans="1:241" ht="14.25" hidden="1" customHeight="1">
      <c r="A44" s="1186">
        <f t="shared" si="141"/>
        <v>38</v>
      </c>
      <c r="B44" s="824" t="s">
        <v>149</v>
      </c>
      <c r="C44" s="855">
        <f t="shared" si="180"/>
        <v>5</v>
      </c>
      <c r="D44" s="856" t="s">
        <v>498</v>
      </c>
      <c r="E44" s="857" t="str">
        <f t="shared" si="23"/>
        <v>4th Floor</v>
      </c>
      <c r="F44" s="1185"/>
      <c r="G44" s="764" t="s">
        <v>198</v>
      </c>
      <c r="H44" s="764" t="s">
        <v>499</v>
      </c>
      <c r="I44" s="764" t="s">
        <v>476</v>
      </c>
      <c r="J44" s="1139">
        <v>22</v>
      </c>
      <c r="K44" s="1142"/>
      <c r="L44" s="764" t="s">
        <v>344</v>
      </c>
      <c r="M44" s="764" t="s">
        <v>477</v>
      </c>
      <c r="N44" s="856">
        <f t="shared" si="24"/>
        <v>100909.09090909091</v>
      </c>
      <c r="O44" s="1138">
        <f t="shared" si="136"/>
        <v>2220000</v>
      </c>
      <c r="P44" s="1138">
        <f t="shared" si="142"/>
        <v>22400</v>
      </c>
      <c r="Q44" s="1138">
        <f t="shared" si="8"/>
        <v>50000</v>
      </c>
      <c r="R44" s="1138"/>
      <c r="S44" s="1138"/>
      <c r="T44" s="1138"/>
      <c r="U44" s="1138"/>
      <c r="V44" s="858"/>
      <c r="W44" s="858">
        <f t="shared" si="181"/>
        <v>22000</v>
      </c>
      <c r="X44" s="1138"/>
      <c r="Y44" s="1138"/>
      <c r="Z44" s="1138">
        <f t="shared" si="137"/>
        <v>75000</v>
      </c>
      <c r="AA44" s="1138">
        <f t="shared" si="138"/>
        <v>169400</v>
      </c>
      <c r="AB44" s="1138">
        <f t="shared" si="28"/>
        <v>2389400</v>
      </c>
      <c r="AC44" s="1138">
        <f t="shared" si="29"/>
        <v>59735</v>
      </c>
      <c r="AD44" s="1138">
        <f t="shared" si="30"/>
        <v>2449135</v>
      </c>
      <c r="AE44" s="1138">
        <f t="shared" si="31"/>
        <v>61228.375</v>
      </c>
      <c r="AF44" s="1138">
        <f t="shared" si="32"/>
        <v>2510363.375</v>
      </c>
      <c r="AG44" s="1138">
        <f t="shared" si="33"/>
        <v>62759.084375000006</v>
      </c>
      <c r="AH44" s="1138">
        <f t="shared" si="34"/>
        <v>2573122.4593750001</v>
      </c>
      <c r="AI44" s="1138">
        <f t="shared" si="144"/>
        <v>128656.12296875002</v>
      </c>
      <c r="AJ44" s="1138">
        <f t="shared" si="35"/>
        <v>2701778.5823437502</v>
      </c>
      <c r="AK44" s="1138">
        <f t="shared" si="36"/>
        <v>27017.785823437502</v>
      </c>
      <c r="AL44" s="1138">
        <f t="shared" si="37"/>
        <v>27537.409960060559</v>
      </c>
      <c r="AM44" s="1138"/>
      <c r="AN44" s="1138"/>
      <c r="AO44" s="1138">
        <f t="shared" si="38"/>
        <v>2756333.7781272479</v>
      </c>
      <c r="AP44" s="1138">
        <f t="shared" si="39"/>
        <v>372105.06004717847</v>
      </c>
      <c r="AQ44" s="1248">
        <f t="shared" si="40"/>
        <v>3128438.8381744265</v>
      </c>
      <c r="AR44" s="1248">
        <f t="shared" si="179"/>
        <v>3128438.8381744265</v>
      </c>
      <c r="AS44" s="1248"/>
      <c r="AT44" s="1248"/>
      <c r="AU44" s="1248">
        <f t="shared" si="42"/>
        <v>0</v>
      </c>
      <c r="AV44" s="1140">
        <f t="shared" si="43"/>
        <v>0</v>
      </c>
      <c r="AW44" s="1140">
        <f t="shared" si="44"/>
        <v>3128438.8381744265</v>
      </c>
      <c r="AX44" s="1139">
        <f t="shared" si="45"/>
        <v>39105.485477180329</v>
      </c>
      <c r="AY44" s="831" t="s">
        <v>478</v>
      </c>
      <c r="AZ44" s="831">
        <f t="shared" si="46"/>
        <v>3167544.3236516067</v>
      </c>
      <c r="BA44" s="831">
        <f t="shared" si="47"/>
        <v>118782.91213693525</v>
      </c>
      <c r="BB44" s="831"/>
      <c r="BC44" s="831">
        <f t="shared" si="189"/>
        <v>33600</v>
      </c>
      <c r="BD44" s="831"/>
      <c r="BE44" s="831">
        <f t="shared" si="48"/>
        <v>3319927.2357885418</v>
      </c>
      <c r="BF44" s="831"/>
      <c r="BG44" s="831">
        <f t="shared" si="49"/>
        <v>3319927.2357885418</v>
      </c>
      <c r="BH44" s="831"/>
      <c r="BI44" s="831">
        <f t="shared" si="50"/>
        <v>3319927.2357885418</v>
      </c>
      <c r="BJ44" s="831"/>
      <c r="BK44" s="831">
        <f t="shared" si="51"/>
        <v>3319927.2357885418</v>
      </c>
      <c r="BL44" s="831"/>
      <c r="BM44" s="831">
        <f t="shared" si="52"/>
        <v>3319927.2357885418</v>
      </c>
      <c r="BN44" s="831"/>
      <c r="BO44" s="831">
        <f t="shared" si="53"/>
        <v>3319927.2357885418</v>
      </c>
      <c r="BP44" s="831"/>
      <c r="BQ44" s="831">
        <f t="shared" si="54"/>
        <v>3319927.2357885418</v>
      </c>
      <c r="BR44" s="831"/>
      <c r="BS44" s="831">
        <f t="shared" si="55"/>
        <v>3319927.2357885418</v>
      </c>
      <c r="BT44" s="831"/>
      <c r="BU44" s="831">
        <f t="shared" si="56"/>
        <v>3319927.2357885418</v>
      </c>
      <c r="BV44" s="831"/>
      <c r="BW44" s="831">
        <f t="shared" si="57"/>
        <v>56400</v>
      </c>
      <c r="BX44" s="831">
        <f t="shared" si="58"/>
        <v>3376327.2357885418</v>
      </c>
      <c r="BY44" s="831"/>
      <c r="BZ44" s="831">
        <f t="shared" si="59"/>
        <v>3376327.2357885418</v>
      </c>
      <c r="CA44" s="1260">
        <f t="shared" si="60"/>
        <v>3376327.2357885418</v>
      </c>
      <c r="CB44" s="1260">
        <f t="shared" si="61"/>
        <v>3376327.2357885418</v>
      </c>
      <c r="CC44" s="1260"/>
      <c r="CD44" s="1260">
        <f t="shared" si="62"/>
        <v>0</v>
      </c>
      <c r="CE44" s="1260">
        <f t="shared" si="63"/>
        <v>0</v>
      </c>
      <c r="CF44" s="1260">
        <f t="shared" si="64"/>
        <v>0</v>
      </c>
      <c r="CG44" s="1266">
        <f t="shared" si="65"/>
        <v>3376327.2357885418</v>
      </c>
      <c r="CH44" s="1141">
        <f t="shared" si="66"/>
        <v>3376327.2357885418</v>
      </c>
      <c r="CI44" s="1142">
        <f t="shared" si="67"/>
        <v>0</v>
      </c>
      <c r="CJ44" s="1141">
        <f t="shared" si="68"/>
        <v>346073.54166832555</v>
      </c>
      <c r="CK44" s="1141">
        <f t="shared" si="69"/>
        <v>118171.45325259898</v>
      </c>
      <c r="CL44" s="1143">
        <f t="shared" si="139"/>
        <v>3840572.2307094666</v>
      </c>
      <c r="CM44" s="1144">
        <f t="shared" si="71"/>
        <v>0.125</v>
      </c>
      <c r="CN44" s="1141">
        <f t="shared" si="72"/>
        <v>480071.52883868333</v>
      </c>
      <c r="CO44" s="1141">
        <f t="shared" si="73"/>
        <v>30000</v>
      </c>
      <c r="CP44" s="1141">
        <f t="shared" si="74"/>
        <v>450071.52883868333</v>
      </c>
      <c r="CQ44" s="1145">
        <f t="shared" si="75"/>
        <v>13</v>
      </c>
      <c r="CR44" s="1141">
        <f t="shared" si="76"/>
        <v>34620.886833744873</v>
      </c>
      <c r="CS44" s="1144">
        <f t="shared" si="77"/>
        <v>0.875</v>
      </c>
      <c r="CT44" s="1141">
        <f t="shared" si="78"/>
        <v>3360500.7018707832</v>
      </c>
      <c r="CU44" s="1146">
        <f t="shared" si="12"/>
        <v>26053.926173068994</v>
      </c>
      <c r="CV44" s="1146">
        <f t="shared" si="13"/>
        <v>30205.130350608837</v>
      </c>
      <c r="CW44" s="1146">
        <f t="shared" si="14"/>
        <v>39018.262590733539</v>
      </c>
      <c r="CX44" s="1146">
        <f t="shared" si="15"/>
        <v>66541.941592727337</v>
      </c>
      <c r="CY44" s="1146">
        <f t="shared" si="79"/>
        <v>272984.15341245179</v>
      </c>
      <c r="CZ44" s="1146">
        <f t="shared" si="80"/>
        <v>108018.49972314907</v>
      </c>
      <c r="DA44" s="1146">
        <f t="shared" si="81"/>
        <v>78020.232462998407</v>
      </c>
      <c r="DB44" s="1146">
        <f t="shared" si="82"/>
        <v>59376.988770332202</v>
      </c>
      <c r="DC44" s="1146"/>
      <c r="DD44" s="1146"/>
      <c r="DE44" s="1146"/>
      <c r="DF44" s="1146"/>
      <c r="DG44" s="1146"/>
      <c r="DH44" s="1146"/>
      <c r="DI44" s="1146"/>
      <c r="DJ44" s="1146"/>
      <c r="DK44" s="1146"/>
      <c r="DL44" s="1146"/>
      <c r="DM44" s="1146"/>
      <c r="DN44" s="1146"/>
      <c r="DO44" s="1146"/>
      <c r="DP44" s="1146"/>
      <c r="DQ44" s="1146"/>
      <c r="DR44" s="1146"/>
      <c r="DS44" s="1146"/>
      <c r="DT44" s="1146"/>
      <c r="DU44" s="1146"/>
      <c r="DV44" s="1146"/>
      <c r="DW44" s="1146"/>
      <c r="DX44" s="1146"/>
      <c r="DY44" s="1146"/>
      <c r="DZ44" s="1146"/>
      <c r="EA44" s="1147">
        <f t="shared" si="83"/>
        <v>0</v>
      </c>
      <c r="EB44" s="1148">
        <f t="shared" si="84"/>
        <v>0</v>
      </c>
      <c r="EC44" s="1190">
        <f t="shared" si="132"/>
        <v>45839</v>
      </c>
      <c r="ED44" s="1031">
        <f t="shared" si="16"/>
        <v>20</v>
      </c>
      <c r="EE44" s="1191"/>
      <c r="EF44" s="1032">
        <f t="shared" si="17"/>
        <v>45904</v>
      </c>
      <c r="EG44" s="1029">
        <f t="shared" si="85"/>
        <v>22</v>
      </c>
      <c r="EH44" s="859" t="s">
        <v>490</v>
      </c>
      <c r="EI44" s="859" t="s">
        <v>480</v>
      </c>
      <c r="EJ44" s="860">
        <f t="shared" si="18"/>
        <v>0</v>
      </c>
      <c r="EK44" s="860">
        <f t="shared" si="19"/>
        <v>0</v>
      </c>
      <c r="EL44" s="861">
        <f t="shared" si="20"/>
        <v>0</v>
      </c>
      <c r="EM44" s="1197"/>
      <c r="EN44" s="860"/>
      <c r="EO44" s="860"/>
      <c r="EP44" s="860">
        <f t="shared" si="21"/>
        <v>0</v>
      </c>
      <c r="EQ44" s="1197"/>
      <c r="ER44" s="1200"/>
      <c r="ES44" s="1197"/>
      <c r="ET44" s="1194" t="s">
        <v>198</v>
      </c>
      <c r="EU44" s="1197" t="b">
        <f t="shared" si="22"/>
        <v>1</v>
      </c>
      <c r="EV44" s="1201" t="s">
        <v>559</v>
      </c>
      <c r="EW44" s="1202" t="s">
        <v>482</v>
      </c>
      <c r="EX44" s="1197"/>
      <c r="EY44" s="1128" t="s">
        <v>483</v>
      </c>
      <c r="EZ44" s="1128" t="s">
        <v>484</v>
      </c>
      <c r="FA44" s="1169">
        <f t="shared" si="86"/>
        <v>0</v>
      </c>
      <c r="FI44" s="1309" t="s">
        <v>149</v>
      </c>
      <c r="FJ44" s="1159" t="s">
        <v>149</v>
      </c>
      <c r="FK44" s="1160" t="b">
        <f t="shared" si="87"/>
        <v>1</v>
      </c>
      <c r="FL44" s="1131"/>
      <c r="FM44" s="1161"/>
      <c r="FO44" s="1060"/>
      <c r="FP44" s="1166"/>
      <c r="FQ44" s="1203"/>
      <c r="FT44" s="1072"/>
      <c r="FU44" s="1295"/>
      <c r="FV44" s="1295"/>
      <c r="FW44" s="1023">
        <v>0.15</v>
      </c>
      <c r="FX44" s="1162">
        <v>14136.810431904947</v>
      </c>
      <c r="FY44" s="1163">
        <v>14578.585757901978</v>
      </c>
      <c r="GA44" s="1164">
        <f t="shared" si="89"/>
        <v>3840572.2307094666</v>
      </c>
      <c r="GB44" s="1165">
        <f t="shared" si="90"/>
        <v>0.15</v>
      </c>
      <c r="GC44" s="1154">
        <f t="shared" si="91"/>
        <v>576085.83460642002</v>
      </c>
      <c r="GD44" s="1164">
        <f t="shared" si="92"/>
        <v>30000</v>
      </c>
      <c r="GE44" s="1154">
        <f t="shared" si="93"/>
        <v>546085.83460642002</v>
      </c>
      <c r="GF44" s="1060">
        <f t="shared" si="94"/>
        <v>35</v>
      </c>
      <c r="GG44" s="1166">
        <f t="shared" si="95"/>
        <v>15602.452417326285</v>
      </c>
      <c r="GI44" s="1164">
        <f t="shared" si="96"/>
        <v>3840572.2307094666</v>
      </c>
      <c r="GJ44" s="1154">
        <f t="shared" si="97"/>
        <v>384057.2230709467</v>
      </c>
      <c r="GK44" s="1154">
        <f t="shared" si="98"/>
        <v>96014.305767736674</v>
      </c>
      <c r="GL44" s="1166">
        <v>15000</v>
      </c>
      <c r="GM44" s="1154">
        <f t="shared" si="99"/>
        <v>369057.2230709467</v>
      </c>
      <c r="GN44" s="1060">
        <f t="shared" si="100"/>
        <v>35</v>
      </c>
      <c r="GO44" s="1154">
        <f t="shared" si="101"/>
        <v>10544.492087741333</v>
      </c>
      <c r="GS44" s="1010">
        <f t="shared" si="102"/>
        <v>3840572.2307094666</v>
      </c>
      <c r="GT44" s="1011">
        <f t="shared" si="103"/>
        <v>0.125</v>
      </c>
      <c r="GU44" s="1010">
        <f t="shared" si="104"/>
        <v>480071.52883868333</v>
      </c>
      <c r="GV44" s="1010">
        <f t="shared" si="105"/>
        <v>30000</v>
      </c>
      <c r="GW44" s="1010">
        <f t="shared" si="106"/>
        <v>450071.52883868333</v>
      </c>
      <c r="GX44" s="1010">
        <f t="shared" si="107"/>
        <v>13</v>
      </c>
      <c r="GY44" s="1010">
        <f t="shared" si="108"/>
        <v>34620.886833744873</v>
      </c>
      <c r="GZ44" s="1011">
        <f t="shared" si="109"/>
        <v>0.875</v>
      </c>
      <c r="HA44" s="1010">
        <f t="shared" si="110"/>
        <v>3360500.7018707832</v>
      </c>
      <c r="HB44" s="1010">
        <f t="shared" si="111"/>
        <v>26053.926173068994</v>
      </c>
      <c r="HC44" s="1010">
        <f t="shared" si="112"/>
        <v>30205.130350608837</v>
      </c>
      <c r="HD44" s="1010">
        <f t="shared" si="113"/>
        <v>39018.262590733539</v>
      </c>
      <c r="HE44" s="1010">
        <f t="shared" si="114"/>
        <v>66541.941592727337</v>
      </c>
      <c r="HG44" s="1010">
        <f t="shared" si="115"/>
        <v>3840572.2307094666</v>
      </c>
      <c r="HH44" s="1011">
        <f t="shared" si="116"/>
        <v>0.125</v>
      </c>
      <c r="HI44" s="1010">
        <f t="shared" si="117"/>
        <v>480071.52883868333</v>
      </c>
      <c r="HJ44" s="1010">
        <f t="shared" si="118"/>
        <v>30000</v>
      </c>
      <c r="HK44" s="1010">
        <f t="shared" si="119"/>
        <v>450071.52883868333</v>
      </c>
      <c r="HL44" s="1012">
        <f t="shared" si="120"/>
        <v>33</v>
      </c>
      <c r="HM44" s="1167">
        <f t="shared" si="121"/>
        <v>13638.531176929799</v>
      </c>
      <c r="HN44" s="1168">
        <f t="shared" si="122"/>
        <v>0.875</v>
      </c>
      <c r="HO44" s="1167">
        <f t="shared" si="123"/>
        <v>3360500.7018707832</v>
      </c>
      <c r="HP44" s="1146">
        <f t="shared" si="124"/>
        <v>26053.926173068994</v>
      </c>
      <c r="HQ44" s="1146">
        <f t="shared" si="125"/>
        <v>30205.130350608837</v>
      </c>
      <c r="HR44" s="1146">
        <f t="shared" si="126"/>
        <v>39018.262590733539</v>
      </c>
      <c r="HS44" s="1146">
        <f t="shared" si="127"/>
        <v>66541.941592727337</v>
      </c>
      <c r="HU44" s="1167">
        <f t="shared" si="128"/>
        <v>-20982.355656815074</v>
      </c>
      <c r="HX44" s="1154"/>
      <c r="HY44" s="1154"/>
      <c r="IB44" s="1154"/>
      <c r="IC44" s="1154"/>
      <c r="ID44" s="1154"/>
      <c r="IE44" s="1154"/>
      <c r="IG44" s="1060"/>
    </row>
    <row r="45" spans="1:241" ht="14.25" hidden="1" customHeight="1">
      <c r="A45" s="1186">
        <f t="shared" si="141"/>
        <v>39</v>
      </c>
      <c r="B45" s="824"/>
      <c r="C45" s="855">
        <f t="shared" si="180"/>
        <v>6</v>
      </c>
      <c r="D45" s="856" t="s">
        <v>498</v>
      </c>
      <c r="E45" s="857" t="str">
        <f t="shared" si="23"/>
        <v>4th Floor</v>
      </c>
      <c r="F45" s="1185"/>
      <c r="G45" s="764" t="s">
        <v>199</v>
      </c>
      <c r="H45" s="764" t="s">
        <v>503</v>
      </c>
      <c r="I45" s="764" t="s">
        <v>476</v>
      </c>
      <c r="J45" s="1139">
        <v>22</v>
      </c>
      <c r="K45" s="1142"/>
      <c r="L45" s="764" t="s">
        <v>344</v>
      </c>
      <c r="M45" s="764" t="s">
        <v>477</v>
      </c>
      <c r="N45" s="856">
        <f t="shared" si="24"/>
        <v>100909.09090909091</v>
      </c>
      <c r="O45" s="1138">
        <f t="shared" si="136"/>
        <v>2220000</v>
      </c>
      <c r="P45" s="1138">
        <f t="shared" si="142"/>
        <v>22400</v>
      </c>
      <c r="Q45" s="1138">
        <f t="shared" si="8"/>
        <v>50000</v>
      </c>
      <c r="R45" s="1138"/>
      <c r="S45" s="1138"/>
      <c r="T45" s="1138"/>
      <c r="U45" s="1138"/>
      <c r="V45" s="1138"/>
      <c r="W45" s="858">
        <f t="shared" si="181"/>
        <v>22000</v>
      </c>
      <c r="X45" s="1138"/>
      <c r="Y45" s="1138"/>
      <c r="Z45" s="1138">
        <f t="shared" si="137"/>
        <v>75000</v>
      </c>
      <c r="AA45" s="1138">
        <f t="shared" si="138"/>
        <v>169400</v>
      </c>
      <c r="AB45" s="1138">
        <f t="shared" si="28"/>
        <v>2389400</v>
      </c>
      <c r="AC45" s="1138">
        <f t="shared" si="29"/>
        <v>59735</v>
      </c>
      <c r="AD45" s="1138">
        <f t="shared" si="30"/>
        <v>2449135</v>
      </c>
      <c r="AE45" s="1138">
        <f t="shared" si="31"/>
        <v>61228.375</v>
      </c>
      <c r="AF45" s="1138">
        <f t="shared" si="32"/>
        <v>2510363.375</v>
      </c>
      <c r="AG45" s="1138">
        <f t="shared" si="33"/>
        <v>62759.084375000006</v>
      </c>
      <c r="AH45" s="1138">
        <f t="shared" si="34"/>
        <v>2573122.4593750001</v>
      </c>
      <c r="AI45" s="1138">
        <f t="shared" si="144"/>
        <v>128656.12296875002</v>
      </c>
      <c r="AJ45" s="1138">
        <f t="shared" si="35"/>
        <v>2701778.5823437502</v>
      </c>
      <c r="AK45" s="1138">
        <f t="shared" si="36"/>
        <v>27017.785823437502</v>
      </c>
      <c r="AL45" s="1138">
        <f t="shared" si="37"/>
        <v>27537.409960060559</v>
      </c>
      <c r="AM45" s="1138"/>
      <c r="AN45" s="1138"/>
      <c r="AO45" s="1138">
        <f t="shared" si="38"/>
        <v>2756333.7781272479</v>
      </c>
      <c r="AP45" s="1138">
        <f t="shared" si="39"/>
        <v>372105.06004717847</v>
      </c>
      <c r="AQ45" s="1248">
        <f t="shared" si="40"/>
        <v>3128438.8381744265</v>
      </c>
      <c r="AR45" s="1248">
        <f t="shared" si="179"/>
        <v>3128438.8381744265</v>
      </c>
      <c r="AS45" s="1248"/>
      <c r="AT45" s="1248"/>
      <c r="AU45" s="1248">
        <f t="shared" si="42"/>
        <v>0</v>
      </c>
      <c r="AV45" s="1140">
        <f t="shared" si="43"/>
        <v>0</v>
      </c>
      <c r="AW45" s="1140">
        <f t="shared" si="44"/>
        <v>3128438.8381744265</v>
      </c>
      <c r="AX45" s="1139">
        <f t="shared" si="45"/>
        <v>39105.485477180329</v>
      </c>
      <c r="AY45" s="831" t="s">
        <v>478</v>
      </c>
      <c r="AZ45" s="831">
        <f t="shared" si="46"/>
        <v>3167544.3236516067</v>
      </c>
      <c r="BA45" s="831">
        <f t="shared" si="47"/>
        <v>118782.91213693525</v>
      </c>
      <c r="BB45" s="831"/>
      <c r="BC45" s="831">
        <f t="shared" si="189"/>
        <v>33600</v>
      </c>
      <c r="BD45" s="831"/>
      <c r="BE45" s="831">
        <f t="shared" si="48"/>
        <v>3319927.2357885418</v>
      </c>
      <c r="BF45" s="831"/>
      <c r="BG45" s="831">
        <f t="shared" si="49"/>
        <v>3319927.2357885418</v>
      </c>
      <c r="BH45" s="831"/>
      <c r="BI45" s="831">
        <f t="shared" si="50"/>
        <v>3319927.2357885418</v>
      </c>
      <c r="BJ45" s="831"/>
      <c r="BK45" s="831">
        <f t="shared" si="51"/>
        <v>3319927.2357885418</v>
      </c>
      <c r="BL45" s="831"/>
      <c r="BM45" s="831">
        <f t="shared" si="52"/>
        <v>3319927.2357885418</v>
      </c>
      <c r="BN45" s="831"/>
      <c r="BO45" s="831">
        <f t="shared" si="53"/>
        <v>3319927.2357885418</v>
      </c>
      <c r="BP45" s="831"/>
      <c r="BQ45" s="831">
        <f t="shared" si="54"/>
        <v>3319927.2357885418</v>
      </c>
      <c r="BR45" s="831"/>
      <c r="BS45" s="831">
        <f t="shared" si="55"/>
        <v>3319927.2357885418</v>
      </c>
      <c r="BT45" s="831"/>
      <c r="BU45" s="831">
        <f t="shared" si="56"/>
        <v>3319927.2357885418</v>
      </c>
      <c r="BV45" s="831"/>
      <c r="BW45" s="831">
        <f t="shared" si="57"/>
        <v>56400</v>
      </c>
      <c r="BX45" s="831">
        <f t="shared" si="58"/>
        <v>3376327.2357885418</v>
      </c>
      <c r="BY45" s="831"/>
      <c r="BZ45" s="831">
        <f t="shared" si="59"/>
        <v>3376327.2357885418</v>
      </c>
      <c r="CA45" s="1260">
        <f t="shared" si="60"/>
        <v>3376327.2357885418</v>
      </c>
      <c r="CB45" s="1260">
        <f t="shared" si="61"/>
        <v>3376327.2357885418</v>
      </c>
      <c r="CC45" s="1260"/>
      <c r="CD45" s="1260">
        <f t="shared" si="62"/>
        <v>0</v>
      </c>
      <c r="CE45" s="1260">
        <f t="shared" si="63"/>
        <v>0</v>
      </c>
      <c r="CF45" s="1260">
        <f t="shared" si="64"/>
        <v>0</v>
      </c>
      <c r="CG45" s="1266">
        <f t="shared" si="65"/>
        <v>3376327.2357885418</v>
      </c>
      <c r="CH45" s="1141">
        <f t="shared" si="66"/>
        <v>3376327.2357885418</v>
      </c>
      <c r="CI45" s="1142">
        <f t="shared" si="67"/>
        <v>0</v>
      </c>
      <c r="CJ45" s="1141">
        <f t="shared" si="68"/>
        <v>346073.54166832555</v>
      </c>
      <c r="CK45" s="1141">
        <f t="shared" si="69"/>
        <v>118171.45325259898</v>
      </c>
      <c r="CL45" s="1143">
        <f t="shared" si="139"/>
        <v>3840572.2307094666</v>
      </c>
      <c r="CM45" s="1144">
        <f t="shared" si="71"/>
        <v>0.125</v>
      </c>
      <c r="CN45" s="1141">
        <f t="shared" si="72"/>
        <v>480071.52883868333</v>
      </c>
      <c r="CO45" s="1141">
        <f t="shared" si="73"/>
        <v>30000</v>
      </c>
      <c r="CP45" s="1141">
        <f t="shared" si="74"/>
        <v>450071.52883868333</v>
      </c>
      <c r="CQ45" s="1145">
        <f t="shared" si="75"/>
        <v>13</v>
      </c>
      <c r="CR45" s="1141">
        <f t="shared" si="76"/>
        <v>34620.886833744873</v>
      </c>
      <c r="CS45" s="1144">
        <f t="shared" si="77"/>
        <v>0.875</v>
      </c>
      <c r="CT45" s="1141">
        <f t="shared" si="78"/>
        <v>3360500.7018707832</v>
      </c>
      <c r="CU45" s="1146">
        <f t="shared" si="12"/>
        <v>26053.926173068994</v>
      </c>
      <c r="CV45" s="1146">
        <f t="shared" si="13"/>
        <v>30205.130350608837</v>
      </c>
      <c r="CW45" s="1146">
        <f t="shared" si="14"/>
        <v>39018.262590733539</v>
      </c>
      <c r="CX45" s="1146">
        <f t="shared" si="15"/>
        <v>66541.941592727337</v>
      </c>
      <c r="CY45" s="1146">
        <f t="shared" si="79"/>
        <v>272984.15341245179</v>
      </c>
      <c r="CZ45" s="1146">
        <f t="shared" si="80"/>
        <v>108018.49972314907</v>
      </c>
      <c r="DA45" s="1146">
        <f t="shared" si="81"/>
        <v>78020.232462998407</v>
      </c>
      <c r="DB45" s="1146">
        <f t="shared" si="82"/>
        <v>59376.988770332202</v>
      </c>
      <c r="DC45" s="1146"/>
      <c r="DD45" s="1146"/>
      <c r="DE45" s="1146"/>
      <c r="DF45" s="1146"/>
      <c r="DG45" s="1146"/>
      <c r="DH45" s="1146"/>
      <c r="DI45" s="1146"/>
      <c r="DJ45" s="1146"/>
      <c r="DK45" s="1146"/>
      <c r="DL45" s="1146"/>
      <c r="DM45" s="1146"/>
      <c r="DN45" s="1146"/>
      <c r="DO45" s="1146"/>
      <c r="DP45" s="1146"/>
      <c r="DQ45" s="1146"/>
      <c r="DR45" s="1146"/>
      <c r="DS45" s="1146"/>
      <c r="DT45" s="1146"/>
      <c r="DU45" s="1146"/>
      <c r="DV45" s="1146"/>
      <c r="DW45" s="1146"/>
      <c r="DX45" s="1146"/>
      <c r="DY45" s="1146"/>
      <c r="DZ45" s="1146"/>
      <c r="EA45" s="1147">
        <f t="shared" si="83"/>
        <v>0</v>
      </c>
      <c r="EB45" s="1148">
        <f t="shared" si="84"/>
        <v>0</v>
      </c>
      <c r="EC45" s="1190">
        <f t="shared" si="132"/>
        <v>45839</v>
      </c>
      <c r="ED45" s="1031">
        <f t="shared" si="16"/>
        <v>20</v>
      </c>
      <c r="EE45" s="1191"/>
      <c r="EF45" s="1032">
        <f t="shared" si="17"/>
        <v>45904</v>
      </c>
      <c r="EG45" s="1029">
        <f t="shared" si="85"/>
        <v>22</v>
      </c>
      <c r="EH45" s="859" t="s">
        <v>490</v>
      </c>
      <c r="EI45" s="859" t="s">
        <v>480</v>
      </c>
      <c r="EJ45" s="860">
        <f t="shared" si="18"/>
        <v>0</v>
      </c>
      <c r="EK45" s="860">
        <f t="shared" si="19"/>
        <v>0</v>
      </c>
      <c r="EL45" s="861">
        <f t="shared" si="20"/>
        <v>0</v>
      </c>
      <c r="EM45" s="1197"/>
      <c r="EN45" s="860"/>
      <c r="EO45" s="860"/>
      <c r="EP45" s="860">
        <f t="shared" si="21"/>
        <v>0</v>
      </c>
      <c r="EQ45" s="1197"/>
      <c r="ER45" s="1200"/>
      <c r="ES45" s="1197"/>
      <c r="ET45" s="1194" t="s">
        <v>199</v>
      </c>
      <c r="EU45" s="1197" t="b">
        <f t="shared" si="22"/>
        <v>1</v>
      </c>
      <c r="EV45" s="1197"/>
      <c r="EW45" s="1197"/>
      <c r="EX45" s="1197"/>
      <c r="EY45" s="1128" t="s">
        <v>483</v>
      </c>
      <c r="EZ45" s="1128" t="s">
        <v>484</v>
      </c>
      <c r="FA45" s="1169">
        <f t="shared" si="86"/>
        <v>0</v>
      </c>
      <c r="FI45" s="1309" t="s">
        <v>149</v>
      </c>
      <c r="FJ45" s="1159" t="s">
        <v>149</v>
      </c>
      <c r="FK45" s="1160" t="b">
        <f t="shared" si="87"/>
        <v>1</v>
      </c>
      <c r="FL45" s="1131"/>
      <c r="FM45" s="1161"/>
      <c r="FO45" s="888"/>
      <c r="FP45" s="1169"/>
      <c r="FQ45" s="1203"/>
      <c r="FT45" s="1072"/>
      <c r="FU45" s="1295"/>
      <c r="FV45" s="1295"/>
      <c r="FW45" s="1023">
        <v>0.125</v>
      </c>
      <c r="FX45" s="1162">
        <v>11704.917784163215</v>
      </c>
      <c r="FY45" s="1163">
        <v>12070.696464918316</v>
      </c>
      <c r="GA45" s="1164">
        <f t="shared" si="89"/>
        <v>3840572.2307094666</v>
      </c>
      <c r="GB45" s="1165">
        <f t="shared" ref="GB45:GB46" si="190">FW45</f>
        <v>0.125</v>
      </c>
      <c r="GC45" s="1154">
        <f t="shared" si="91"/>
        <v>480071.52883868333</v>
      </c>
      <c r="GD45" s="1164">
        <f t="shared" si="92"/>
        <v>30000</v>
      </c>
      <c r="GE45" s="1154">
        <f t="shared" si="93"/>
        <v>450071.52883868333</v>
      </c>
      <c r="GF45" s="1060">
        <f t="shared" si="94"/>
        <v>35</v>
      </c>
      <c r="GG45" s="1166">
        <f t="shared" si="95"/>
        <v>12859.186538248096</v>
      </c>
      <c r="GI45" s="1164">
        <f t="shared" si="96"/>
        <v>3840572.2307094666</v>
      </c>
      <c r="GJ45" s="1154">
        <f t="shared" si="97"/>
        <v>384057.2230709467</v>
      </c>
      <c r="GK45" s="1154">
        <f t="shared" si="98"/>
        <v>96014.305767736674</v>
      </c>
      <c r="GL45" s="1166">
        <v>15000</v>
      </c>
      <c r="GM45" s="1154">
        <f t="shared" si="99"/>
        <v>369057.2230709467</v>
      </c>
      <c r="GN45" s="1060">
        <f t="shared" si="100"/>
        <v>35</v>
      </c>
      <c r="GO45" s="1154">
        <f t="shared" si="101"/>
        <v>10544.492087741333</v>
      </c>
      <c r="GS45" s="1010">
        <f t="shared" si="102"/>
        <v>3840572.2307094666</v>
      </c>
      <c r="GT45" s="1011">
        <f t="shared" si="103"/>
        <v>0.125</v>
      </c>
      <c r="GU45" s="1010">
        <f t="shared" si="104"/>
        <v>480071.52883868333</v>
      </c>
      <c r="GV45" s="1010">
        <f t="shared" si="105"/>
        <v>30000</v>
      </c>
      <c r="GW45" s="1010">
        <f t="shared" si="106"/>
        <v>450071.52883868333</v>
      </c>
      <c r="GX45" s="1010">
        <f t="shared" si="107"/>
        <v>13</v>
      </c>
      <c r="GY45" s="1010">
        <f t="shared" si="108"/>
        <v>34620.886833744873</v>
      </c>
      <c r="GZ45" s="1011">
        <f t="shared" si="109"/>
        <v>0.875</v>
      </c>
      <c r="HA45" s="1010">
        <f t="shared" si="110"/>
        <v>3360500.7018707832</v>
      </c>
      <c r="HB45" s="1010">
        <f t="shared" si="111"/>
        <v>26053.926173068994</v>
      </c>
      <c r="HC45" s="1010">
        <f t="shared" si="112"/>
        <v>30205.130350608837</v>
      </c>
      <c r="HD45" s="1010">
        <f t="shared" si="113"/>
        <v>39018.262590733539</v>
      </c>
      <c r="HE45" s="1010">
        <f t="shared" si="114"/>
        <v>66541.941592727337</v>
      </c>
      <c r="HG45" s="1010">
        <f t="shared" si="115"/>
        <v>3840572.2307094666</v>
      </c>
      <c r="HH45" s="1011">
        <f t="shared" si="116"/>
        <v>0.125</v>
      </c>
      <c r="HI45" s="1010">
        <f t="shared" si="117"/>
        <v>480071.52883868333</v>
      </c>
      <c r="HJ45" s="1010">
        <f t="shared" si="118"/>
        <v>30000</v>
      </c>
      <c r="HK45" s="1010">
        <f t="shared" si="119"/>
        <v>450071.52883868333</v>
      </c>
      <c r="HL45" s="1012">
        <f t="shared" si="120"/>
        <v>33</v>
      </c>
      <c r="HM45" s="1167">
        <f t="shared" si="121"/>
        <v>13638.531176929799</v>
      </c>
      <c r="HN45" s="1168">
        <f t="shared" si="122"/>
        <v>0.875</v>
      </c>
      <c r="HO45" s="1167">
        <f t="shared" si="123"/>
        <v>3360500.7018707832</v>
      </c>
      <c r="HP45" s="1146">
        <f t="shared" si="124"/>
        <v>26053.926173068994</v>
      </c>
      <c r="HQ45" s="1146">
        <f t="shared" si="125"/>
        <v>30205.130350608837</v>
      </c>
      <c r="HR45" s="1146">
        <f t="shared" si="126"/>
        <v>39018.262590733539</v>
      </c>
      <c r="HS45" s="1146">
        <f t="shared" si="127"/>
        <v>66541.941592727337</v>
      </c>
      <c r="HU45" s="1167">
        <f t="shared" si="128"/>
        <v>-20982.355656815074</v>
      </c>
      <c r="HX45" s="1154"/>
      <c r="HY45" s="1154"/>
      <c r="IB45" s="1154"/>
      <c r="IC45" s="1154"/>
      <c r="ID45" s="1154"/>
      <c r="IE45" s="1154"/>
      <c r="IG45" s="1060"/>
    </row>
    <row r="46" spans="1:241" ht="14.25" customHeight="1">
      <c r="A46" s="1186">
        <f t="shared" si="141"/>
        <v>40</v>
      </c>
      <c r="B46" s="824"/>
      <c r="C46" s="855">
        <f t="shared" si="180"/>
        <v>7</v>
      </c>
      <c r="D46" s="856" t="s">
        <v>498</v>
      </c>
      <c r="E46" s="857" t="str">
        <f t="shared" si="23"/>
        <v>4th Floor</v>
      </c>
      <c r="F46" s="1185"/>
      <c r="G46" s="764" t="s">
        <v>200</v>
      </c>
      <c r="H46" s="764" t="s">
        <v>506</v>
      </c>
      <c r="I46" s="764" t="s">
        <v>476</v>
      </c>
      <c r="J46" s="831">
        <v>22</v>
      </c>
      <c r="K46" s="1142"/>
      <c r="L46" s="764" t="s">
        <v>344</v>
      </c>
      <c r="M46" s="764" t="s">
        <v>117</v>
      </c>
      <c r="N46" s="856">
        <f t="shared" si="24"/>
        <v>100909.09090909091</v>
      </c>
      <c r="O46" s="1138">
        <f t="shared" si="136"/>
        <v>2220000</v>
      </c>
      <c r="P46" s="1138">
        <f t="shared" si="142"/>
        <v>22400</v>
      </c>
      <c r="Q46" s="1138">
        <f t="shared" si="8"/>
        <v>50000</v>
      </c>
      <c r="R46" s="1138"/>
      <c r="S46" s="1138"/>
      <c r="T46" s="1138"/>
      <c r="U46" s="1138"/>
      <c r="V46" s="858">
        <f t="shared" ref="V46:V47" si="191">J46*$V$5</f>
        <v>55000</v>
      </c>
      <c r="W46" s="1138"/>
      <c r="X46" s="1138"/>
      <c r="Y46" s="1138"/>
      <c r="Z46" s="1138">
        <f t="shared" si="137"/>
        <v>75000</v>
      </c>
      <c r="AA46" s="1138">
        <f t="shared" si="138"/>
        <v>202400</v>
      </c>
      <c r="AB46" s="1138">
        <f t="shared" si="28"/>
        <v>2422400</v>
      </c>
      <c r="AC46" s="1138">
        <f t="shared" si="29"/>
        <v>60560</v>
      </c>
      <c r="AD46" s="1138">
        <f t="shared" si="30"/>
        <v>2482960</v>
      </c>
      <c r="AE46" s="1138">
        <f t="shared" si="31"/>
        <v>62074</v>
      </c>
      <c r="AF46" s="1138">
        <f t="shared" si="32"/>
        <v>2545034</v>
      </c>
      <c r="AG46" s="1138">
        <f t="shared" si="33"/>
        <v>63625.850000000006</v>
      </c>
      <c r="AH46" s="1138">
        <f t="shared" si="34"/>
        <v>2608659.85</v>
      </c>
      <c r="AI46" s="1138">
        <f t="shared" si="144"/>
        <v>130432.99250000001</v>
      </c>
      <c r="AJ46" s="1138">
        <f t="shared" si="35"/>
        <v>2739092.8425000003</v>
      </c>
      <c r="AK46" s="1138">
        <f t="shared" si="36"/>
        <v>27390.928425000002</v>
      </c>
      <c r="AL46" s="1138">
        <f t="shared" si="37"/>
        <v>27537.409960060559</v>
      </c>
      <c r="AM46" s="1138"/>
      <c r="AN46" s="1138"/>
      <c r="AO46" s="1138">
        <f t="shared" si="38"/>
        <v>2794021.1808850607</v>
      </c>
      <c r="AP46" s="1138">
        <f t="shared" si="39"/>
        <v>377192.85941948323</v>
      </c>
      <c r="AQ46" s="1248">
        <f t="shared" si="40"/>
        <v>3171214.0403045439</v>
      </c>
      <c r="AR46" s="1248">
        <f t="shared" ref="AR46:AR47" si="192">AQ46-AT46</f>
        <v>3171214.0403045439</v>
      </c>
      <c r="AS46" s="1248"/>
      <c r="AT46" s="1248">
        <f t="shared" ref="AT46:AT47" si="193">AS46*J46</f>
        <v>0</v>
      </c>
      <c r="AU46" s="1248">
        <f t="shared" si="42"/>
        <v>0</v>
      </c>
      <c r="AV46" s="1140">
        <f t="shared" si="43"/>
        <v>0</v>
      </c>
      <c r="AW46" s="1140">
        <f t="shared" si="44"/>
        <v>3171214.0403045439</v>
      </c>
      <c r="AX46" s="1139">
        <f t="shared" si="45"/>
        <v>39640.1755038068</v>
      </c>
      <c r="AY46" s="831" t="s">
        <v>478</v>
      </c>
      <c r="AZ46" s="831">
        <f t="shared" si="46"/>
        <v>3210854.2158083506</v>
      </c>
      <c r="BA46" s="831">
        <f t="shared" si="47"/>
        <v>120407.03309281314</v>
      </c>
      <c r="BB46" s="831"/>
      <c r="BC46" s="831">
        <f t="shared" si="189"/>
        <v>33600</v>
      </c>
      <c r="BD46" s="831"/>
      <c r="BE46" s="831">
        <f t="shared" si="48"/>
        <v>3364861.2489011637</v>
      </c>
      <c r="BF46" s="831"/>
      <c r="BG46" s="831">
        <f t="shared" si="49"/>
        <v>3364861.2489011637</v>
      </c>
      <c r="BH46" s="831"/>
      <c r="BI46" s="831">
        <f t="shared" si="50"/>
        <v>3364861.2489011637</v>
      </c>
      <c r="BJ46" s="831"/>
      <c r="BK46" s="831">
        <f t="shared" si="51"/>
        <v>3364861.2489011637</v>
      </c>
      <c r="BL46" s="831"/>
      <c r="BM46" s="831">
        <f t="shared" si="52"/>
        <v>3364861.2489011637</v>
      </c>
      <c r="BN46" s="831"/>
      <c r="BO46" s="831">
        <f t="shared" si="53"/>
        <v>3364861.2489011637</v>
      </c>
      <c r="BP46" s="831">
        <f>$BP$5/37</f>
        <v>5065.3710270270276</v>
      </c>
      <c r="BQ46" s="831">
        <f t="shared" si="54"/>
        <v>3369926.619928191</v>
      </c>
      <c r="BR46" s="831">
        <f>$BR$5/42</f>
        <v>3544.6104</v>
      </c>
      <c r="BS46" s="831">
        <f t="shared" si="55"/>
        <v>3373471.2303281911</v>
      </c>
      <c r="BT46" s="831">
        <f>$BT$5/41</f>
        <v>1609.3168000000001</v>
      </c>
      <c r="BU46" s="831">
        <f t="shared" si="56"/>
        <v>3375080.5471281912</v>
      </c>
      <c r="BV46" s="831">
        <f>$BV$5/43</f>
        <v>1163.3400930232558</v>
      </c>
      <c r="BW46" s="831">
        <f t="shared" si="57"/>
        <v>56400</v>
      </c>
      <c r="BX46" s="831">
        <f t="shared" si="58"/>
        <v>3432643.8872212144</v>
      </c>
      <c r="BY46" s="831">
        <f>$BY$5/44</f>
        <v>30549.183723443901</v>
      </c>
      <c r="BZ46" s="831">
        <f t="shared" si="59"/>
        <v>3463193.0709446585</v>
      </c>
      <c r="CA46" s="1260">
        <f t="shared" si="60"/>
        <v>3463193.0709446585</v>
      </c>
      <c r="CB46" s="1260">
        <f t="shared" si="61"/>
        <v>3463193.0709446585</v>
      </c>
      <c r="CC46" s="1260"/>
      <c r="CD46" s="1260">
        <f t="shared" si="62"/>
        <v>0</v>
      </c>
      <c r="CE46" s="1260">
        <f t="shared" si="63"/>
        <v>0</v>
      </c>
      <c r="CF46" s="1260">
        <f t="shared" si="64"/>
        <v>0</v>
      </c>
      <c r="CG46" s="1266">
        <f t="shared" si="65"/>
        <v>3463193.0709446585</v>
      </c>
      <c r="CH46" s="1141">
        <f t="shared" si="66"/>
        <v>3463193.0709446585</v>
      </c>
      <c r="CI46" s="1142">
        <f t="shared" si="67"/>
        <v>0</v>
      </c>
      <c r="CJ46" s="1141">
        <f t="shared" si="68"/>
        <v>354977.28977182746</v>
      </c>
      <c r="CK46" s="1141">
        <f t="shared" si="69"/>
        <v>121211.75748306306</v>
      </c>
      <c r="CL46" s="1143">
        <f t="shared" si="139"/>
        <v>3939382.1181995491</v>
      </c>
      <c r="CM46" s="1144">
        <f t="shared" si="71"/>
        <v>0.125</v>
      </c>
      <c r="CN46" s="1141">
        <f t="shared" si="72"/>
        <v>492422.76477494364</v>
      </c>
      <c r="CO46" s="1141">
        <f t="shared" si="73"/>
        <v>30000</v>
      </c>
      <c r="CP46" s="1141">
        <f t="shared" si="74"/>
        <v>462422.76477494364</v>
      </c>
      <c r="CQ46" s="1145">
        <f t="shared" si="75"/>
        <v>13</v>
      </c>
      <c r="CR46" s="1141">
        <f t="shared" si="76"/>
        <v>35570.981905764893</v>
      </c>
      <c r="CS46" s="1144">
        <f t="shared" si="77"/>
        <v>0.875</v>
      </c>
      <c r="CT46" s="1141">
        <f t="shared" si="78"/>
        <v>3446959.3534246054</v>
      </c>
      <c r="CU46" s="1146">
        <f t="shared" si="12"/>
        <v>26724.239178316206</v>
      </c>
      <c r="CV46" s="1146">
        <f t="shared" si="13"/>
        <v>30982.24515337238</v>
      </c>
      <c r="CW46" s="1146">
        <f t="shared" si="14"/>
        <v>40022.120845454258</v>
      </c>
      <c r="CX46" s="1146">
        <f t="shared" si="15"/>
        <v>68253.926517675471</v>
      </c>
      <c r="CY46" s="1146">
        <f t="shared" si="79"/>
        <v>280007.46448822785</v>
      </c>
      <c r="CZ46" s="1146">
        <f t="shared" si="80"/>
        <v>110797.58970332115</v>
      </c>
      <c r="DA46" s="1146">
        <f t="shared" si="81"/>
        <v>80027.529794884496</v>
      </c>
      <c r="DB46" s="1146">
        <f t="shared" si="82"/>
        <v>60904.634451093843</v>
      </c>
      <c r="DC46" s="1146"/>
      <c r="DD46" s="1146"/>
      <c r="DE46" s="1146"/>
      <c r="DF46" s="1146"/>
      <c r="DG46" s="1146"/>
      <c r="DH46" s="1146"/>
      <c r="DI46" s="1146"/>
      <c r="DJ46" s="1146"/>
      <c r="DK46" s="1146"/>
      <c r="DL46" s="1146"/>
      <c r="DM46" s="1146"/>
      <c r="DN46" s="1146"/>
      <c r="DO46" s="1146"/>
      <c r="DP46" s="1146"/>
      <c r="DQ46" s="1146"/>
      <c r="DR46" s="1146"/>
      <c r="DS46" s="1146"/>
      <c r="DT46" s="1146"/>
      <c r="DU46" s="1146"/>
      <c r="DV46" s="1146"/>
      <c r="DW46" s="1146"/>
      <c r="DX46" s="1146"/>
      <c r="DY46" s="1146"/>
      <c r="DZ46" s="1146"/>
      <c r="EA46" s="1147">
        <f t="shared" si="83"/>
        <v>0</v>
      </c>
      <c r="EB46" s="1148">
        <f t="shared" si="84"/>
        <v>0</v>
      </c>
      <c r="EC46" s="1190">
        <f t="shared" si="132"/>
        <v>45839</v>
      </c>
      <c r="ED46" s="1031">
        <f t="shared" si="16"/>
        <v>20</v>
      </c>
      <c r="EE46" s="1191"/>
      <c r="EF46" s="1032">
        <f t="shared" si="17"/>
        <v>45904</v>
      </c>
      <c r="EG46" s="1029">
        <f t="shared" si="85"/>
        <v>22</v>
      </c>
      <c r="EH46" s="859" t="s">
        <v>490</v>
      </c>
      <c r="EI46" s="859" t="s">
        <v>480</v>
      </c>
      <c r="EJ46" s="860">
        <f t="shared" si="18"/>
        <v>0</v>
      </c>
      <c r="EK46" s="860">
        <f t="shared" si="19"/>
        <v>0</v>
      </c>
      <c r="EL46" s="861">
        <f t="shared" si="20"/>
        <v>0</v>
      </c>
      <c r="EM46" s="1197"/>
      <c r="EN46" s="860"/>
      <c r="EO46" s="860"/>
      <c r="EP46" s="860">
        <f t="shared" si="21"/>
        <v>0</v>
      </c>
      <c r="EQ46" s="1197"/>
      <c r="ER46" s="1200"/>
      <c r="ES46" s="1197"/>
      <c r="ET46" s="1194" t="s">
        <v>200</v>
      </c>
      <c r="EU46" s="1197" t="b">
        <f t="shared" si="22"/>
        <v>1</v>
      </c>
      <c r="EV46" s="1197"/>
      <c r="EW46" s="1197"/>
      <c r="EX46" s="1197"/>
      <c r="EY46" s="1128" t="s">
        <v>483</v>
      </c>
      <c r="EZ46" s="1128" t="s">
        <v>484</v>
      </c>
      <c r="FA46" s="1169">
        <f t="shared" si="86"/>
        <v>0</v>
      </c>
      <c r="FI46" s="1309" t="s">
        <v>96</v>
      </c>
      <c r="FJ46" s="1159" t="s">
        <v>96</v>
      </c>
      <c r="FK46" s="1160" t="b">
        <f t="shared" si="87"/>
        <v>1</v>
      </c>
      <c r="FL46" s="1131"/>
      <c r="FM46" s="1161"/>
      <c r="FO46" s="888"/>
      <c r="FP46" s="1324"/>
      <c r="FQ46" s="1325"/>
      <c r="FR46" s="1178"/>
      <c r="FT46" s="1072"/>
      <c r="FU46" s="1295"/>
      <c r="FV46" s="1295"/>
      <c r="FW46" s="1023">
        <v>0.125</v>
      </c>
      <c r="FX46" s="1162">
        <v>12122.447227243889</v>
      </c>
      <c r="FY46" s="1163">
        <v>12501.273703095261</v>
      </c>
      <c r="GA46" s="1164">
        <f t="shared" si="89"/>
        <v>3939382.1181995491</v>
      </c>
      <c r="GB46" s="1165">
        <f t="shared" si="190"/>
        <v>0.125</v>
      </c>
      <c r="GC46" s="1154">
        <f t="shared" si="91"/>
        <v>492422.76477494364</v>
      </c>
      <c r="GD46" s="1164">
        <f t="shared" si="92"/>
        <v>30000</v>
      </c>
      <c r="GE46" s="1154">
        <f t="shared" si="93"/>
        <v>462422.76477494364</v>
      </c>
      <c r="GF46" s="1060">
        <f t="shared" si="94"/>
        <v>35</v>
      </c>
      <c r="GG46" s="1166">
        <f t="shared" si="95"/>
        <v>13212.078993569818</v>
      </c>
      <c r="GI46" s="1164">
        <f t="shared" si="96"/>
        <v>3939382.1181995491</v>
      </c>
      <c r="GJ46" s="1154">
        <f t="shared" si="97"/>
        <v>393938.21181995491</v>
      </c>
      <c r="GK46" s="1154">
        <f t="shared" si="98"/>
        <v>98484.552954988729</v>
      </c>
      <c r="GL46" s="1166">
        <v>15000</v>
      </c>
      <c r="GM46" s="1154">
        <f t="shared" si="99"/>
        <v>378938.21181995491</v>
      </c>
      <c r="GN46" s="1060">
        <f t="shared" si="100"/>
        <v>35</v>
      </c>
      <c r="GO46" s="1154">
        <f t="shared" si="101"/>
        <v>10826.806051998712</v>
      </c>
      <c r="GS46" s="1010">
        <f t="shared" si="102"/>
        <v>3939382.1181995491</v>
      </c>
      <c r="GT46" s="1011">
        <f t="shared" si="103"/>
        <v>0.125</v>
      </c>
      <c r="GU46" s="1010">
        <f t="shared" si="104"/>
        <v>492422.76477494364</v>
      </c>
      <c r="GV46" s="1010">
        <f t="shared" si="105"/>
        <v>30000</v>
      </c>
      <c r="GW46" s="1010">
        <f t="shared" si="106"/>
        <v>462422.76477494364</v>
      </c>
      <c r="GX46" s="1010">
        <f t="shared" si="107"/>
        <v>13</v>
      </c>
      <c r="GY46" s="1010">
        <f t="shared" si="108"/>
        <v>35570.981905764893</v>
      </c>
      <c r="GZ46" s="1011">
        <f t="shared" si="109"/>
        <v>0.875</v>
      </c>
      <c r="HA46" s="1010">
        <f t="shared" si="110"/>
        <v>3446959.3534246054</v>
      </c>
      <c r="HB46" s="1010">
        <f t="shared" si="111"/>
        <v>26724.239178316206</v>
      </c>
      <c r="HC46" s="1010">
        <f t="shared" si="112"/>
        <v>30982.24515337238</v>
      </c>
      <c r="HD46" s="1010">
        <f t="shared" si="113"/>
        <v>40022.120845454258</v>
      </c>
      <c r="HE46" s="1010">
        <f t="shared" si="114"/>
        <v>68253.926517675471</v>
      </c>
      <c r="HG46" s="1010">
        <f t="shared" si="115"/>
        <v>3939382.1181995491</v>
      </c>
      <c r="HH46" s="1011">
        <f t="shared" si="116"/>
        <v>0.125</v>
      </c>
      <c r="HI46" s="1010">
        <f t="shared" si="117"/>
        <v>492422.76477494364</v>
      </c>
      <c r="HJ46" s="1010">
        <f t="shared" si="118"/>
        <v>30000</v>
      </c>
      <c r="HK46" s="1010">
        <f t="shared" si="119"/>
        <v>462422.76477494364</v>
      </c>
      <c r="HL46" s="1012">
        <f t="shared" si="120"/>
        <v>33</v>
      </c>
      <c r="HM46" s="1167">
        <f t="shared" si="121"/>
        <v>14012.81105378617</v>
      </c>
      <c r="HN46" s="1168">
        <f t="shared" si="122"/>
        <v>0.875</v>
      </c>
      <c r="HO46" s="1167">
        <f t="shared" si="123"/>
        <v>3446959.3534246054</v>
      </c>
      <c r="HP46" s="1146">
        <f t="shared" si="124"/>
        <v>26724.239178316206</v>
      </c>
      <c r="HQ46" s="1146">
        <f t="shared" si="125"/>
        <v>30982.24515337238</v>
      </c>
      <c r="HR46" s="1146">
        <f t="shared" si="126"/>
        <v>40022.120845454258</v>
      </c>
      <c r="HS46" s="1146">
        <f t="shared" si="127"/>
        <v>68253.926517675471</v>
      </c>
      <c r="HU46" s="1167">
        <f t="shared" si="128"/>
        <v>-21558.170851978721</v>
      </c>
      <c r="HX46" s="1154"/>
      <c r="HY46" s="1154"/>
      <c r="IB46" s="1154"/>
      <c r="IC46" s="1154"/>
      <c r="ID46" s="1154"/>
      <c r="IE46" s="1154"/>
      <c r="IG46" s="1060"/>
    </row>
    <row r="47" spans="1:241" ht="14.25" hidden="1" customHeight="1">
      <c r="A47" s="1186">
        <f t="shared" si="141"/>
        <v>41</v>
      </c>
      <c r="B47" s="824" t="s">
        <v>149</v>
      </c>
      <c r="C47" s="855">
        <f t="shared" si="180"/>
        <v>8</v>
      </c>
      <c r="D47" s="856" t="s">
        <v>498</v>
      </c>
      <c r="E47" s="857" t="str">
        <f t="shared" si="23"/>
        <v>4th Floor</v>
      </c>
      <c r="F47" s="1185"/>
      <c r="G47" s="764" t="s">
        <v>201</v>
      </c>
      <c r="H47" s="764" t="s">
        <v>508</v>
      </c>
      <c r="I47" s="764" t="s">
        <v>476</v>
      </c>
      <c r="J47" s="831">
        <v>22</v>
      </c>
      <c r="K47" s="1142"/>
      <c r="L47" s="764" t="s">
        <v>500</v>
      </c>
      <c r="M47" s="764" t="s">
        <v>117</v>
      </c>
      <c r="N47" s="856">
        <f t="shared" si="24"/>
        <v>100909.09090909091</v>
      </c>
      <c r="O47" s="1138">
        <f t="shared" si="136"/>
        <v>2220000</v>
      </c>
      <c r="P47" s="1138">
        <f t="shared" si="142"/>
        <v>22400</v>
      </c>
      <c r="Q47" s="1138">
        <f t="shared" si="8"/>
        <v>50000</v>
      </c>
      <c r="R47" s="1138"/>
      <c r="S47" s="1138"/>
      <c r="T47" s="1138"/>
      <c r="U47" s="1138"/>
      <c r="V47" s="858">
        <f t="shared" si="191"/>
        <v>55000</v>
      </c>
      <c r="W47" s="1138"/>
      <c r="X47" s="1138"/>
      <c r="Y47" s="1138"/>
      <c r="Z47" s="1138">
        <f t="shared" si="137"/>
        <v>75000</v>
      </c>
      <c r="AA47" s="1138">
        <f t="shared" si="138"/>
        <v>202400</v>
      </c>
      <c r="AB47" s="1138">
        <f t="shared" si="28"/>
        <v>2422400</v>
      </c>
      <c r="AC47" s="1138">
        <f t="shared" si="29"/>
        <v>60560</v>
      </c>
      <c r="AD47" s="1138">
        <f t="shared" si="30"/>
        <v>2482960</v>
      </c>
      <c r="AE47" s="1138">
        <f t="shared" si="31"/>
        <v>62074</v>
      </c>
      <c r="AF47" s="1138">
        <f t="shared" si="32"/>
        <v>2545034</v>
      </c>
      <c r="AG47" s="1138">
        <f t="shared" si="33"/>
        <v>63625.850000000006</v>
      </c>
      <c r="AH47" s="1138">
        <f t="shared" si="34"/>
        <v>2608659.85</v>
      </c>
      <c r="AI47" s="1138">
        <f t="shared" si="144"/>
        <v>130432.99250000001</v>
      </c>
      <c r="AJ47" s="1138">
        <f t="shared" si="35"/>
        <v>2739092.8425000003</v>
      </c>
      <c r="AK47" s="1138">
        <f t="shared" si="36"/>
        <v>27390.928425000002</v>
      </c>
      <c r="AL47" s="1138">
        <f t="shared" si="37"/>
        <v>27537.409960060559</v>
      </c>
      <c r="AM47" s="1138"/>
      <c r="AN47" s="1138"/>
      <c r="AO47" s="1138">
        <f t="shared" si="38"/>
        <v>2794021.1808850607</v>
      </c>
      <c r="AP47" s="1138">
        <f t="shared" si="39"/>
        <v>377192.85941948323</v>
      </c>
      <c r="AQ47" s="1248">
        <f t="shared" si="40"/>
        <v>3171214.0403045439</v>
      </c>
      <c r="AR47" s="1248">
        <f t="shared" si="192"/>
        <v>3171214.0403045439</v>
      </c>
      <c r="AS47" s="1248"/>
      <c r="AT47" s="1248">
        <f t="shared" si="193"/>
        <v>0</v>
      </c>
      <c r="AU47" s="1248">
        <f t="shared" si="42"/>
        <v>0</v>
      </c>
      <c r="AV47" s="1140">
        <f t="shared" si="43"/>
        <v>0</v>
      </c>
      <c r="AW47" s="1140">
        <f t="shared" si="44"/>
        <v>3171214.0403045439</v>
      </c>
      <c r="AX47" s="1139">
        <f t="shared" si="45"/>
        <v>39640.1755038068</v>
      </c>
      <c r="AY47" s="831" t="s">
        <v>478</v>
      </c>
      <c r="AZ47" s="831">
        <f t="shared" si="46"/>
        <v>3210854.2158083506</v>
      </c>
      <c r="BA47" s="831">
        <f t="shared" si="47"/>
        <v>120407.03309281314</v>
      </c>
      <c r="BB47" s="831"/>
      <c r="BC47" s="831">
        <f t="shared" si="189"/>
        <v>33600</v>
      </c>
      <c r="BD47" s="831"/>
      <c r="BE47" s="831">
        <f t="shared" si="48"/>
        <v>3364861.2489011637</v>
      </c>
      <c r="BF47" s="831"/>
      <c r="BG47" s="831">
        <f t="shared" si="49"/>
        <v>3364861.2489011637</v>
      </c>
      <c r="BH47" s="831"/>
      <c r="BI47" s="831">
        <f t="shared" si="50"/>
        <v>3364861.2489011637</v>
      </c>
      <c r="BJ47" s="831"/>
      <c r="BK47" s="831">
        <f t="shared" si="51"/>
        <v>3364861.2489011637</v>
      </c>
      <c r="BL47" s="831"/>
      <c r="BM47" s="831">
        <f t="shared" si="52"/>
        <v>3364861.2489011637</v>
      </c>
      <c r="BN47" s="831"/>
      <c r="BO47" s="831">
        <f t="shared" si="53"/>
        <v>3364861.2489011637</v>
      </c>
      <c r="BP47" s="831"/>
      <c r="BQ47" s="831">
        <f t="shared" si="54"/>
        <v>3364861.2489011637</v>
      </c>
      <c r="BR47" s="831"/>
      <c r="BS47" s="831">
        <f t="shared" si="55"/>
        <v>3364861.2489011637</v>
      </c>
      <c r="BT47" s="831"/>
      <c r="BU47" s="831">
        <f t="shared" si="56"/>
        <v>3364861.2489011637</v>
      </c>
      <c r="BV47" s="831"/>
      <c r="BW47" s="831">
        <f t="shared" si="57"/>
        <v>56400</v>
      </c>
      <c r="BX47" s="831">
        <f t="shared" si="58"/>
        <v>3421261.2489011637</v>
      </c>
      <c r="BY47" s="831"/>
      <c r="BZ47" s="831">
        <f t="shared" si="59"/>
        <v>3421261.2489011637</v>
      </c>
      <c r="CA47" s="1260">
        <f t="shared" si="60"/>
        <v>3421261.2489011637</v>
      </c>
      <c r="CB47" s="1260">
        <f t="shared" si="61"/>
        <v>3421261.2489011637</v>
      </c>
      <c r="CC47" s="1260"/>
      <c r="CD47" s="1260">
        <f t="shared" si="62"/>
        <v>0</v>
      </c>
      <c r="CE47" s="1260">
        <f t="shared" si="63"/>
        <v>0</v>
      </c>
      <c r="CF47" s="1260">
        <f t="shared" si="64"/>
        <v>0</v>
      </c>
      <c r="CG47" s="1266">
        <f t="shared" si="65"/>
        <v>3421261.2489011637</v>
      </c>
      <c r="CH47" s="1141">
        <f t="shared" si="66"/>
        <v>3421261.2489011637</v>
      </c>
      <c r="CI47" s="1142">
        <f t="shared" si="67"/>
        <v>0</v>
      </c>
      <c r="CJ47" s="1141">
        <f t="shared" si="68"/>
        <v>350679.27801236924</v>
      </c>
      <c r="CK47" s="1141">
        <f t="shared" si="69"/>
        <v>119744.14371154075</v>
      </c>
      <c r="CL47" s="1143">
        <f t="shared" si="139"/>
        <v>3891684.6706250738</v>
      </c>
      <c r="CM47" s="1144">
        <f t="shared" si="71"/>
        <v>0.125</v>
      </c>
      <c r="CN47" s="1141">
        <f t="shared" si="72"/>
        <v>486460.58382813423</v>
      </c>
      <c r="CO47" s="1141">
        <f t="shared" si="73"/>
        <v>30000</v>
      </c>
      <c r="CP47" s="1141">
        <f t="shared" si="74"/>
        <v>456460.58382813423</v>
      </c>
      <c r="CQ47" s="1145">
        <f t="shared" si="75"/>
        <v>13</v>
      </c>
      <c r="CR47" s="1141">
        <f t="shared" si="76"/>
        <v>35112.352602164174</v>
      </c>
      <c r="CS47" s="1144">
        <f t="shared" si="77"/>
        <v>0.875</v>
      </c>
      <c r="CT47" s="1141">
        <f t="shared" si="78"/>
        <v>3405224.0867969394</v>
      </c>
      <c r="CU47" s="1146">
        <f t="shared" si="12"/>
        <v>26400.666100374212</v>
      </c>
      <c r="CV47" s="1146">
        <f t="shared" si="13"/>
        <v>30607.116778007276</v>
      </c>
      <c r="CW47" s="1146">
        <f t="shared" si="14"/>
        <v>39537.539011662055</v>
      </c>
      <c r="CX47" s="1146">
        <f t="shared" si="15"/>
        <v>67427.518217046629</v>
      </c>
      <c r="CY47" s="1146">
        <f t="shared" si="79"/>
        <v>276617.17612392135</v>
      </c>
      <c r="CZ47" s="1146">
        <f t="shared" si="80"/>
        <v>109456.06911260787</v>
      </c>
      <c r="DA47" s="1146">
        <f t="shared" si="81"/>
        <v>79058.568472429484</v>
      </c>
      <c r="DB47" s="1146">
        <f t="shared" si="82"/>
        <v>60167.210276030237</v>
      </c>
      <c r="DC47" s="1146"/>
      <c r="DD47" s="1146"/>
      <c r="DE47" s="1146"/>
      <c r="DF47" s="1146"/>
      <c r="DG47" s="1146"/>
      <c r="DH47" s="1146"/>
      <c r="DI47" s="1146"/>
      <c r="DJ47" s="1146"/>
      <c r="DK47" s="1146"/>
      <c r="DL47" s="1146"/>
      <c r="DM47" s="1146"/>
      <c r="DN47" s="1146"/>
      <c r="DO47" s="1146"/>
      <c r="DP47" s="1146"/>
      <c r="DQ47" s="1146"/>
      <c r="DR47" s="1146"/>
      <c r="DS47" s="1146"/>
      <c r="DT47" s="1146"/>
      <c r="DU47" s="1146"/>
      <c r="DV47" s="1146"/>
      <c r="DW47" s="1146"/>
      <c r="DX47" s="1146"/>
      <c r="DY47" s="1146"/>
      <c r="DZ47" s="1146"/>
      <c r="EA47" s="1147">
        <f t="shared" si="83"/>
        <v>0</v>
      </c>
      <c r="EB47" s="1148">
        <f t="shared" si="84"/>
        <v>0</v>
      </c>
      <c r="EC47" s="1190">
        <f t="shared" si="132"/>
        <v>45839</v>
      </c>
      <c r="ED47" s="1031">
        <f t="shared" si="16"/>
        <v>20</v>
      </c>
      <c r="EE47" s="1191"/>
      <c r="EF47" s="1032">
        <f t="shared" si="17"/>
        <v>45904</v>
      </c>
      <c r="EG47" s="1029">
        <f t="shared" si="85"/>
        <v>22</v>
      </c>
      <c r="EH47" s="859" t="s">
        <v>490</v>
      </c>
      <c r="EI47" s="859" t="s">
        <v>480</v>
      </c>
      <c r="EJ47" s="860">
        <f t="shared" si="18"/>
        <v>0</v>
      </c>
      <c r="EK47" s="860">
        <f t="shared" si="19"/>
        <v>0</v>
      </c>
      <c r="EL47" s="861">
        <f t="shared" si="20"/>
        <v>0</v>
      </c>
      <c r="EM47" s="1197"/>
      <c r="EN47" s="860"/>
      <c r="EO47" s="860"/>
      <c r="EP47" s="860">
        <f t="shared" si="21"/>
        <v>0</v>
      </c>
      <c r="EQ47" s="1197"/>
      <c r="ER47" s="1200"/>
      <c r="ES47" s="1197"/>
      <c r="ET47" s="1194" t="s">
        <v>201</v>
      </c>
      <c r="EU47" s="1197" t="b">
        <f t="shared" si="22"/>
        <v>1</v>
      </c>
      <c r="EV47" s="1201" t="s">
        <v>560</v>
      </c>
      <c r="EW47" s="1202" t="s">
        <v>482</v>
      </c>
      <c r="EX47" s="1197"/>
      <c r="EY47" s="1128" t="s">
        <v>483</v>
      </c>
      <c r="EZ47" s="1128" t="s">
        <v>484</v>
      </c>
      <c r="FA47" s="1169">
        <f t="shared" si="86"/>
        <v>0</v>
      </c>
      <c r="FI47" s="1309" t="s">
        <v>149</v>
      </c>
      <c r="FJ47" s="1159" t="s">
        <v>149</v>
      </c>
      <c r="FK47" s="1160" t="b">
        <f t="shared" si="87"/>
        <v>1</v>
      </c>
      <c r="FL47" s="1131"/>
      <c r="FM47" s="1161"/>
      <c r="FO47" s="1060"/>
      <c r="FP47" s="1169"/>
      <c r="FQ47" s="1203"/>
      <c r="FT47" s="1072"/>
      <c r="FU47" s="1295"/>
      <c r="FV47" s="1295"/>
      <c r="FW47" s="1023">
        <v>0.15</v>
      </c>
      <c r="FX47" s="1162">
        <v>14637.845763601757</v>
      </c>
      <c r="FY47" s="1163">
        <v>15095.278443714313</v>
      </c>
      <c r="GA47" s="1164">
        <f t="shared" si="89"/>
        <v>3891684.6706250738</v>
      </c>
      <c r="GB47" s="1165">
        <f t="shared" si="90"/>
        <v>0.15</v>
      </c>
      <c r="GC47" s="1154">
        <f t="shared" si="91"/>
        <v>583752.70059376105</v>
      </c>
      <c r="GD47" s="1164">
        <f t="shared" si="92"/>
        <v>30000</v>
      </c>
      <c r="GE47" s="1154">
        <f t="shared" si="93"/>
        <v>553752.70059376105</v>
      </c>
      <c r="GF47" s="1060">
        <f t="shared" si="94"/>
        <v>35</v>
      </c>
      <c r="GG47" s="1166">
        <f t="shared" si="95"/>
        <v>15821.505731250316</v>
      </c>
      <c r="GI47" s="1164">
        <f t="shared" si="96"/>
        <v>3891684.6706250738</v>
      </c>
      <c r="GJ47" s="1154">
        <f t="shared" si="97"/>
        <v>389168.46706250741</v>
      </c>
      <c r="GK47" s="1154">
        <f t="shared" si="98"/>
        <v>97292.116765626852</v>
      </c>
      <c r="GL47" s="1166">
        <v>15000</v>
      </c>
      <c r="GM47" s="1154">
        <f t="shared" si="99"/>
        <v>374168.46706250741</v>
      </c>
      <c r="GN47" s="1060">
        <f t="shared" si="100"/>
        <v>35</v>
      </c>
      <c r="GO47" s="1154">
        <f t="shared" si="101"/>
        <v>10690.527630357354</v>
      </c>
      <c r="GS47" s="1010">
        <f t="shared" si="102"/>
        <v>3891684.6706250738</v>
      </c>
      <c r="GT47" s="1011">
        <f t="shared" si="103"/>
        <v>0.125</v>
      </c>
      <c r="GU47" s="1010">
        <f t="shared" si="104"/>
        <v>486460.58382813423</v>
      </c>
      <c r="GV47" s="1010">
        <f t="shared" si="105"/>
        <v>30000</v>
      </c>
      <c r="GW47" s="1010">
        <f t="shared" si="106"/>
        <v>456460.58382813423</v>
      </c>
      <c r="GX47" s="1010">
        <f t="shared" si="107"/>
        <v>13</v>
      </c>
      <c r="GY47" s="1010">
        <f t="shared" si="108"/>
        <v>35112.352602164174</v>
      </c>
      <c r="GZ47" s="1011">
        <f t="shared" si="109"/>
        <v>0.875</v>
      </c>
      <c r="HA47" s="1010">
        <f t="shared" si="110"/>
        <v>3405224.0867969394</v>
      </c>
      <c r="HB47" s="1010">
        <f t="shared" si="111"/>
        <v>26400.666100374212</v>
      </c>
      <c r="HC47" s="1010">
        <f t="shared" si="112"/>
        <v>30607.116778007276</v>
      </c>
      <c r="HD47" s="1010">
        <f t="shared" si="113"/>
        <v>39537.539011662055</v>
      </c>
      <c r="HE47" s="1010">
        <f t="shared" si="114"/>
        <v>67427.518217046629</v>
      </c>
      <c r="HG47" s="1010">
        <f t="shared" si="115"/>
        <v>3891684.6706250738</v>
      </c>
      <c r="HH47" s="1011">
        <f t="shared" si="116"/>
        <v>0.125</v>
      </c>
      <c r="HI47" s="1010">
        <f t="shared" si="117"/>
        <v>486460.58382813423</v>
      </c>
      <c r="HJ47" s="1010">
        <f t="shared" si="118"/>
        <v>30000</v>
      </c>
      <c r="HK47" s="1010">
        <f t="shared" si="119"/>
        <v>456460.58382813423</v>
      </c>
      <c r="HL47" s="1012">
        <f t="shared" si="120"/>
        <v>33</v>
      </c>
      <c r="HM47" s="1167">
        <f t="shared" si="121"/>
        <v>13832.138903882855</v>
      </c>
      <c r="HN47" s="1168">
        <f t="shared" si="122"/>
        <v>0.875</v>
      </c>
      <c r="HO47" s="1167">
        <f t="shared" si="123"/>
        <v>3405224.0867969394</v>
      </c>
      <c r="HP47" s="1146">
        <f t="shared" si="124"/>
        <v>26400.666100374212</v>
      </c>
      <c r="HQ47" s="1146">
        <f t="shared" si="125"/>
        <v>30607.116778007276</v>
      </c>
      <c r="HR47" s="1146">
        <f t="shared" si="126"/>
        <v>39537.539011662055</v>
      </c>
      <c r="HS47" s="1146">
        <f t="shared" si="127"/>
        <v>67427.518217046629</v>
      </c>
      <c r="HU47" s="1167">
        <f t="shared" si="128"/>
        <v>-21280.213698281317</v>
      </c>
      <c r="HX47" s="1154"/>
      <c r="HY47" s="1154"/>
      <c r="IB47" s="1154"/>
      <c r="IC47" s="1154"/>
      <c r="ID47" s="1154"/>
      <c r="IE47" s="1154"/>
      <c r="IG47" s="1060"/>
    </row>
    <row r="48" spans="1:241" ht="14.25" hidden="1" customHeight="1">
      <c r="A48" s="1186">
        <f t="shared" si="141"/>
        <v>42</v>
      </c>
      <c r="B48" s="824" t="s">
        <v>149</v>
      </c>
      <c r="C48" s="855">
        <f t="shared" si="180"/>
        <v>9</v>
      </c>
      <c r="D48" s="856" t="s">
        <v>498</v>
      </c>
      <c r="E48" s="857" t="str">
        <f t="shared" si="23"/>
        <v>4th Floor</v>
      </c>
      <c r="F48" s="1185"/>
      <c r="G48" s="764" t="s">
        <v>202</v>
      </c>
      <c r="H48" s="764" t="s">
        <v>512</v>
      </c>
      <c r="I48" s="764" t="s">
        <v>476</v>
      </c>
      <c r="J48" s="1139">
        <v>22</v>
      </c>
      <c r="K48" s="1142"/>
      <c r="L48" s="764" t="s">
        <v>500</v>
      </c>
      <c r="M48" s="764" t="s">
        <v>93</v>
      </c>
      <c r="N48" s="856">
        <f t="shared" si="24"/>
        <v>100909.09090909091</v>
      </c>
      <c r="O48" s="1138">
        <f t="shared" si="136"/>
        <v>2220000</v>
      </c>
      <c r="P48" s="1138">
        <f t="shared" si="142"/>
        <v>22400</v>
      </c>
      <c r="Q48" s="1138">
        <f t="shared" si="8"/>
        <v>50000</v>
      </c>
      <c r="R48" s="1138"/>
      <c r="S48" s="1138"/>
      <c r="T48" s="1138"/>
      <c r="U48" s="1138"/>
      <c r="V48" s="858"/>
      <c r="W48" s="1138"/>
      <c r="X48" s="1138"/>
      <c r="Y48" s="1138"/>
      <c r="Z48" s="1138">
        <f t="shared" si="137"/>
        <v>75000</v>
      </c>
      <c r="AA48" s="1138">
        <f t="shared" si="138"/>
        <v>147400</v>
      </c>
      <c r="AB48" s="1138">
        <f t="shared" si="28"/>
        <v>2367400</v>
      </c>
      <c r="AC48" s="1138">
        <f t="shared" si="29"/>
        <v>59185</v>
      </c>
      <c r="AD48" s="1138">
        <f t="shared" si="30"/>
        <v>2426585</v>
      </c>
      <c r="AE48" s="1138">
        <f t="shared" si="31"/>
        <v>60664.625</v>
      </c>
      <c r="AF48" s="1138">
        <f t="shared" si="32"/>
        <v>2487249.625</v>
      </c>
      <c r="AG48" s="1138">
        <f t="shared" si="33"/>
        <v>62181.240625000006</v>
      </c>
      <c r="AH48" s="1138">
        <f t="shared" si="34"/>
        <v>2549430.8656250001</v>
      </c>
      <c r="AI48" s="1138">
        <f t="shared" si="144"/>
        <v>127471.54328125001</v>
      </c>
      <c r="AJ48" s="1138">
        <f t="shared" si="35"/>
        <v>2676902.4089062503</v>
      </c>
      <c r="AK48" s="1138">
        <f t="shared" si="36"/>
        <v>26769.024089062503</v>
      </c>
      <c r="AL48" s="1138">
        <f t="shared" si="37"/>
        <v>27537.409960060559</v>
      </c>
      <c r="AM48" s="1138"/>
      <c r="AN48" s="1138"/>
      <c r="AO48" s="1138">
        <f t="shared" si="38"/>
        <v>2731208.8429553732</v>
      </c>
      <c r="AP48" s="1138">
        <f t="shared" si="39"/>
        <v>368713.19379897544</v>
      </c>
      <c r="AQ48" s="1248">
        <f t="shared" si="40"/>
        <v>3099922.0367543488</v>
      </c>
      <c r="AR48" s="1248">
        <f t="shared" ref="AR48:AR56" si="194">AQ48</f>
        <v>3099922.0367543488</v>
      </c>
      <c r="AS48" s="1248"/>
      <c r="AT48" s="1248"/>
      <c r="AU48" s="1248">
        <f t="shared" si="42"/>
        <v>0</v>
      </c>
      <c r="AV48" s="1140">
        <f t="shared" si="43"/>
        <v>0</v>
      </c>
      <c r="AW48" s="1140">
        <f t="shared" si="44"/>
        <v>3099922.0367543488</v>
      </c>
      <c r="AX48" s="1139">
        <f t="shared" si="45"/>
        <v>38749.025459429358</v>
      </c>
      <c r="AY48" s="831" t="s">
        <v>478</v>
      </c>
      <c r="AZ48" s="831">
        <f t="shared" si="46"/>
        <v>3138671.062213778</v>
      </c>
      <c r="BA48" s="831">
        <f t="shared" si="47"/>
        <v>117700.16483301668</v>
      </c>
      <c r="BB48" s="831"/>
      <c r="BC48" s="831">
        <f t="shared" si="189"/>
        <v>33600</v>
      </c>
      <c r="BD48" s="831"/>
      <c r="BE48" s="831">
        <f t="shared" si="48"/>
        <v>3289971.2270467947</v>
      </c>
      <c r="BF48" s="831"/>
      <c r="BG48" s="831">
        <f t="shared" si="49"/>
        <v>3289971.2270467947</v>
      </c>
      <c r="BH48" s="831"/>
      <c r="BI48" s="831">
        <f t="shared" si="50"/>
        <v>3289971.2270467947</v>
      </c>
      <c r="BJ48" s="831"/>
      <c r="BK48" s="831">
        <f t="shared" si="51"/>
        <v>3289971.2270467947</v>
      </c>
      <c r="BL48" s="831"/>
      <c r="BM48" s="831">
        <f t="shared" si="52"/>
        <v>3289971.2270467947</v>
      </c>
      <c r="BN48" s="831"/>
      <c r="BO48" s="831">
        <f t="shared" si="53"/>
        <v>3289971.2270467947</v>
      </c>
      <c r="BP48" s="831"/>
      <c r="BQ48" s="831">
        <f t="shared" si="54"/>
        <v>3289971.2270467947</v>
      </c>
      <c r="BR48" s="831"/>
      <c r="BS48" s="831">
        <f t="shared" si="55"/>
        <v>3289971.2270467947</v>
      </c>
      <c r="BT48" s="831"/>
      <c r="BU48" s="831">
        <f t="shared" si="56"/>
        <v>3289971.2270467947</v>
      </c>
      <c r="BV48" s="831"/>
      <c r="BW48" s="831">
        <f t="shared" si="57"/>
        <v>56400</v>
      </c>
      <c r="BX48" s="831">
        <f t="shared" si="58"/>
        <v>3346371.2270467947</v>
      </c>
      <c r="BY48" s="831"/>
      <c r="BZ48" s="831">
        <f t="shared" si="59"/>
        <v>3346371.2270467947</v>
      </c>
      <c r="CA48" s="1260">
        <f t="shared" si="60"/>
        <v>3346371.2270467947</v>
      </c>
      <c r="CB48" s="1260">
        <f t="shared" si="61"/>
        <v>3346371.2270467947</v>
      </c>
      <c r="CC48" s="1260"/>
      <c r="CD48" s="1260">
        <f t="shared" si="62"/>
        <v>0</v>
      </c>
      <c r="CE48" s="1260">
        <f t="shared" si="63"/>
        <v>0</v>
      </c>
      <c r="CF48" s="1260">
        <f t="shared" si="64"/>
        <v>0</v>
      </c>
      <c r="CG48" s="1266">
        <f t="shared" si="65"/>
        <v>3346371.2270467947</v>
      </c>
      <c r="CH48" s="1141">
        <f t="shared" si="66"/>
        <v>3346371.2270467947</v>
      </c>
      <c r="CI48" s="1142">
        <f t="shared" si="67"/>
        <v>0</v>
      </c>
      <c r="CJ48" s="1141">
        <f t="shared" si="68"/>
        <v>343003.05077229644</v>
      </c>
      <c r="CK48" s="1141">
        <f t="shared" si="69"/>
        <v>117122.99294663782</v>
      </c>
      <c r="CL48" s="1143">
        <f t="shared" si="139"/>
        <v>3806497.2707657288</v>
      </c>
      <c r="CM48" s="1144">
        <f t="shared" si="71"/>
        <v>0.125</v>
      </c>
      <c r="CN48" s="1141">
        <f t="shared" si="72"/>
        <v>475812.1588457161</v>
      </c>
      <c r="CO48" s="1141">
        <f t="shared" si="73"/>
        <v>30000</v>
      </c>
      <c r="CP48" s="1141">
        <f t="shared" si="74"/>
        <v>445812.1588457161</v>
      </c>
      <c r="CQ48" s="1145">
        <f t="shared" si="75"/>
        <v>13</v>
      </c>
      <c r="CR48" s="1141">
        <f t="shared" si="76"/>
        <v>34293.242988132006</v>
      </c>
      <c r="CS48" s="1144">
        <f t="shared" si="77"/>
        <v>0.875</v>
      </c>
      <c r="CT48" s="1141">
        <f t="shared" si="78"/>
        <v>3330685.1119200126</v>
      </c>
      <c r="CU48" s="1146">
        <f t="shared" si="12"/>
        <v>25822.76622153218</v>
      </c>
      <c r="CV48" s="1146">
        <f t="shared" si="13"/>
        <v>29937.139399009873</v>
      </c>
      <c r="CW48" s="1146">
        <f t="shared" si="14"/>
        <v>38672.078310114535</v>
      </c>
      <c r="CX48" s="1146">
        <f t="shared" si="15"/>
        <v>65951.557176514485</v>
      </c>
      <c r="CY48" s="1146">
        <f t="shared" si="79"/>
        <v>270562.13827147207</v>
      </c>
      <c r="CZ48" s="1146">
        <f t="shared" si="80"/>
        <v>107060.12013017652</v>
      </c>
      <c r="DA48" s="1146">
        <f t="shared" si="81"/>
        <v>77328.008456711017</v>
      </c>
      <c r="DB48" s="1146">
        <f t="shared" si="82"/>
        <v>58850.174433200184</v>
      </c>
      <c r="DC48" s="1146"/>
      <c r="DD48" s="1146"/>
      <c r="DE48" s="1146"/>
      <c r="DF48" s="1146"/>
      <c r="DG48" s="1146"/>
      <c r="DH48" s="1146"/>
      <c r="DI48" s="1146"/>
      <c r="DJ48" s="1146"/>
      <c r="DK48" s="1146"/>
      <c r="DL48" s="1146"/>
      <c r="DM48" s="1146"/>
      <c r="DN48" s="1146"/>
      <c r="DO48" s="1146"/>
      <c r="DP48" s="1146"/>
      <c r="DQ48" s="1146"/>
      <c r="DR48" s="1146"/>
      <c r="DS48" s="1146"/>
      <c r="DT48" s="1146"/>
      <c r="DU48" s="1146"/>
      <c r="DV48" s="1146"/>
      <c r="DW48" s="1146"/>
      <c r="DX48" s="1146"/>
      <c r="DY48" s="1146"/>
      <c r="DZ48" s="1146"/>
      <c r="EA48" s="1147">
        <f t="shared" si="83"/>
        <v>0</v>
      </c>
      <c r="EB48" s="1148">
        <f t="shared" si="84"/>
        <v>0</v>
      </c>
      <c r="EC48" s="1190">
        <f t="shared" si="132"/>
        <v>45839</v>
      </c>
      <c r="ED48" s="1031">
        <f t="shared" si="16"/>
        <v>20</v>
      </c>
      <c r="EE48" s="1191"/>
      <c r="EF48" s="1032">
        <f t="shared" si="17"/>
        <v>45904</v>
      </c>
      <c r="EG48" s="1029">
        <f t="shared" si="85"/>
        <v>22</v>
      </c>
      <c r="EH48" s="859" t="s">
        <v>490</v>
      </c>
      <c r="EI48" s="859" t="s">
        <v>480</v>
      </c>
      <c r="EJ48" s="860">
        <f t="shared" si="18"/>
        <v>0</v>
      </c>
      <c r="EK48" s="860">
        <f t="shared" si="19"/>
        <v>0</v>
      </c>
      <c r="EL48" s="861">
        <f t="shared" si="20"/>
        <v>0</v>
      </c>
      <c r="EM48" s="1197"/>
      <c r="EN48" s="860"/>
      <c r="EO48" s="860"/>
      <c r="EP48" s="860">
        <f t="shared" si="21"/>
        <v>0</v>
      </c>
      <c r="EQ48" s="1197"/>
      <c r="ER48" s="1200"/>
      <c r="ES48" s="1197"/>
      <c r="ET48" s="1194" t="s">
        <v>202</v>
      </c>
      <c r="EU48" s="1197" t="b">
        <f t="shared" si="22"/>
        <v>1</v>
      </c>
      <c r="EV48" s="1201" t="s">
        <v>561</v>
      </c>
      <c r="EW48" s="1202" t="s">
        <v>482</v>
      </c>
      <c r="EX48" s="1197"/>
      <c r="EY48" s="1128" t="s">
        <v>483</v>
      </c>
      <c r="EZ48" s="1128" t="s">
        <v>484</v>
      </c>
      <c r="FA48" s="1169">
        <f t="shared" si="86"/>
        <v>0</v>
      </c>
      <c r="FI48" s="1309" t="s">
        <v>149</v>
      </c>
      <c r="FJ48" s="1159" t="s">
        <v>149</v>
      </c>
      <c r="FK48" s="1160" t="b">
        <f t="shared" si="87"/>
        <v>1</v>
      </c>
      <c r="FL48" s="1131"/>
      <c r="FM48" s="1161"/>
      <c r="FO48" s="1060"/>
      <c r="FP48" s="1169"/>
      <c r="FQ48" s="1203"/>
      <c r="FT48" s="1072"/>
      <c r="FU48" s="1295"/>
      <c r="FV48" s="1295"/>
      <c r="FW48" s="1023">
        <v>0.15</v>
      </c>
      <c r="FX48" s="1162">
        <v>13992.593304018388</v>
      </c>
      <c r="FY48" s="1163">
        <v>14429.861844768962</v>
      </c>
      <c r="GA48" s="1164">
        <f t="shared" si="89"/>
        <v>3806497.2707657288</v>
      </c>
      <c r="GB48" s="1165">
        <f t="shared" si="90"/>
        <v>0.15</v>
      </c>
      <c r="GC48" s="1154">
        <f t="shared" si="91"/>
        <v>570974.59061485925</v>
      </c>
      <c r="GD48" s="1164">
        <f t="shared" si="92"/>
        <v>30000</v>
      </c>
      <c r="GE48" s="1154">
        <f t="shared" si="93"/>
        <v>540974.59061485925</v>
      </c>
      <c r="GF48" s="1060">
        <f t="shared" si="94"/>
        <v>35</v>
      </c>
      <c r="GG48" s="1166">
        <f t="shared" si="95"/>
        <v>15456.416874710265</v>
      </c>
      <c r="GI48" s="1164">
        <f t="shared" si="96"/>
        <v>3806497.2707657288</v>
      </c>
      <c r="GJ48" s="1154">
        <f t="shared" si="97"/>
        <v>380649.72707657289</v>
      </c>
      <c r="GK48" s="1154">
        <f t="shared" si="98"/>
        <v>95162.431769143222</v>
      </c>
      <c r="GL48" s="1166">
        <v>15000</v>
      </c>
      <c r="GM48" s="1154">
        <f t="shared" si="99"/>
        <v>365649.72707657289</v>
      </c>
      <c r="GN48" s="1060">
        <f t="shared" si="100"/>
        <v>35</v>
      </c>
      <c r="GO48" s="1154">
        <f t="shared" si="101"/>
        <v>10447.135059330654</v>
      </c>
      <c r="GS48" s="1010">
        <f t="shared" si="102"/>
        <v>3806497.2707657288</v>
      </c>
      <c r="GT48" s="1011">
        <f t="shared" si="103"/>
        <v>0.125</v>
      </c>
      <c r="GU48" s="1010">
        <f t="shared" si="104"/>
        <v>475812.1588457161</v>
      </c>
      <c r="GV48" s="1010">
        <f t="shared" si="105"/>
        <v>30000</v>
      </c>
      <c r="GW48" s="1010">
        <f t="shared" si="106"/>
        <v>445812.1588457161</v>
      </c>
      <c r="GX48" s="1010">
        <f t="shared" si="107"/>
        <v>13</v>
      </c>
      <c r="GY48" s="1010">
        <f t="shared" si="108"/>
        <v>34293.242988132006</v>
      </c>
      <c r="GZ48" s="1011">
        <f t="shared" si="109"/>
        <v>0.875</v>
      </c>
      <c r="HA48" s="1010">
        <f t="shared" si="110"/>
        <v>3330685.1119200126</v>
      </c>
      <c r="HB48" s="1010">
        <f t="shared" si="111"/>
        <v>25822.76622153218</v>
      </c>
      <c r="HC48" s="1010">
        <f t="shared" si="112"/>
        <v>29937.139399009873</v>
      </c>
      <c r="HD48" s="1010">
        <f t="shared" si="113"/>
        <v>38672.078310114535</v>
      </c>
      <c r="HE48" s="1010">
        <f t="shared" si="114"/>
        <v>65951.557176514485</v>
      </c>
      <c r="HG48" s="1010">
        <f t="shared" si="115"/>
        <v>3806497.2707657288</v>
      </c>
      <c r="HH48" s="1011">
        <f t="shared" si="116"/>
        <v>0.125</v>
      </c>
      <c r="HI48" s="1010">
        <f t="shared" si="117"/>
        <v>475812.1588457161</v>
      </c>
      <c r="HJ48" s="1010">
        <f t="shared" si="118"/>
        <v>30000</v>
      </c>
      <c r="HK48" s="1010">
        <f t="shared" si="119"/>
        <v>445812.1588457161</v>
      </c>
      <c r="HL48" s="1012">
        <f t="shared" si="120"/>
        <v>33</v>
      </c>
      <c r="HM48" s="1167">
        <f t="shared" si="121"/>
        <v>13509.459358961094</v>
      </c>
      <c r="HN48" s="1168">
        <f t="shared" si="122"/>
        <v>0.875</v>
      </c>
      <c r="HO48" s="1167">
        <f t="shared" si="123"/>
        <v>3330685.1119200126</v>
      </c>
      <c r="HP48" s="1146">
        <f t="shared" si="124"/>
        <v>25822.76622153218</v>
      </c>
      <c r="HQ48" s="1146">
        <f t="shared" si="125"/>
        <v>29937.139399009873</v>
      </c>
      <c r="HR48" s="1146">
        <f t="shared" si="126"/>
        <v>38672.078310114535</v>
      </c>
      <c r="HS48" s="1146">
        <f t="shared" si="127"/>
        <v>65951.557176514485</v>
      </c>
      <c r="HU48" s="1167">
        <f t="shared" si="128"/>
        <v>-20783.78362917091</v>
      </c>
      <c r="HX48" s="1154"/>
      <c r="HY48" s="1154"/>
      <c r="IB48" s="1154"/>
      <c r="IC48" s="1154"/>
      <c r="ID48" s="1154"/>
      <c r="IE48" s="1154"/>
      <c r="IG48" s="1060"/>
    </row>
    <row r="49" spans="1:241" ht="14.25" hidden="1" customHeight="1">
      <c r="A49" s="1186">
        <f t="shared" si="141"/>
        <v>43</v>
      </c>
      <c r="B49" s="824" t="s">
        <v>149</v>
      </c>
      <c r="C49" s="855">
        <f t="shared" si="180"/>
        <v>10</v>
      </c>
      <c r="D49" s="856" t="s">
        <v>498</v>
      </c>
      <c r="E49" s="857" t="str">
        <f t="shared" si="23"/>
        <v>4th Floor</v>
      </c>
      <c r="F49" s="1185"/>
      <c r="G49" s="764" t="s">
        <v>203</v>
      </c>
      <c r="H49" s="764" t="s">
        <v>516</v>
      </c>
      <c r="I49" s="764" t="s">
        <v>476</v>
      </c>
      <c r="J49" s="1139">
        <v>22</v>
      </c>
      <c r="K49" s="1142"/>
      <c r="L49" s="764" t="s">
        <v>500</v>
      </c>
      <c r="M49" s="764" t="s">
        <v>93</v>
      </c>
      <c r="N49" s="856">
        <f t="shared" si="24"/>
        <v>100909.09090909091</v>
      </c>
      <c r="O49" s="1138">
        <f t="shared" si="136"/>
        <v>2220000</v>
      </c>
      <c r="P49" s="1138">
        <f t="shared" si="142"/>
        <v>22400</v>
      </c>
      <c r="Q49" s="1138">
        <f t="shared" si="8"/>
        <v>50000</v>
      </c>
      <c r="R49" s="1138"/>
      <c r="S49" s="1138"/>
      <c r="T49" s="1138"/>
      <c r="U49" s="1138"/>
      <c r="V49" s="1138"/>
      <c r="W49" s="858"/>
      <c r="X49" s="1138"/>
      <c r="Y49" s="1138"/>
      <c r="Z49" s="1138">
        <f t="shared" si="137"/>
        <v>75000</v>
      </c>
      <c r="AA49" s="1138">
        <f t="shared" si="138"/>
        <v>147400</v>
      </c>
      <c r="AB49" s="1138">
        <f t="shared" si="28"/>
        <v>2367400</v>
      </c>
      <c r="AC49" s="1138">
        <f t="shared" si="29"/>
        <v>59185</v>
      </c>
      <c r="AD49" s="1138">
        <f t="shared" si="30"/>
        <v>2426585</v>
      </c>
      <c r="AE49" s="1138">
        <f t="shared" si="31"/>
        <v>60664.625</v>
      </c>
      <c r="AF49" s="1138">
        <f t="shared" si="32"/>
        <v>2487249.625</v>
      </c>
      <c r="AG49" s="1138">
        <f t="shared" si="33"/>
        <v>62181.240625000006</v>
      </c>
      <c r="AH49" s="1138">
        <f t="shared" si="34"/>
        <v>2549430.8656250001</v>
      </c>
      <c r="AI49" s="1138">
        <f t="shared" si="144"/>
        <v>127471.54328125001</v>
      </c>
      <c r="AJ49" s="1138">
        <f t="shared" si="35"/>
        <v>2676902.4089062503</v>
      </c>
      <c r="AK49" s="1138">
        <f t="shared" si="36"/>
        <v>26769.024089062503</v>
      </c>
      <c r="AL49" s="1138">
        <f t="shared" si="37"/>
        <v>27537.409960060559</v>
      </c>
      <c r="AM49" s="1138"/>
      <c r="AN49" s="1138"/>
      <c r="AO49" s="1138">
        <f t="shared" si="38"/>
        <v>2731208.8429553732</v>
      </c>
      <c r="AP49" s="1138">
        <f t="shared" si="39"/>
        <v>368713.19379897544</v>
      </c>
      <c r="AQ49" s="1248">
        <f t="shared" si="40"/>
        <v>3099922.0367543488</v>
      </c>
      <c r="AR49" s="1248">
        <f t="shared" si="194"/>
        <v>3099922.0367543488</v>
      </c>
      <c r="AS49" s="1248"/>
      <c r="AT49" s="1248"/>
      <c r="AU49" s="1248">
        <f t="shared" si="42"/>
        <v>0</v>
      </c>
      <c r="AV49" s="1140">
        <f t="shared" si="43"/>
        <v>0</v>
      </c>
      <c r="AW49" s="1140">
        <f t="shared" si="44"/>
        <v>3099922.0367543488</v>
      </c>
      <c r="AX49" s="1139">
        <f t="shared" si="45"/>
        <v>38749.025459429358</v>
      </c>
      <c r="AY49" s="831" t="s">
        <v>478</v>
      </c>
      <c r="AZ49" s="831">
        <f t="shared" si="46"/>
        <v>3138671.062213778</v>
      </c>
      <c r="BA49" s="831">
        <f t="shared" si="47"/>
        <v>117700.16483301668</v>
      </c>
      <c r="BB49" s="831"/>
      <c r="BC49" s="831">
        <f t="shared" si="189"/>
        <v>33600</v>
      </c>
      <c r="BD49" s="831"/>
      <c r="BE49" s="831">
        <f t="shared" si="48"/>
        <v>3289971.2270467947</v>
      </c>
      <c r="BF49" s="831"/>
      <c r="BG49" s="831">
        <f t="shared" si="49"/>
        <v>3289971.2270467947</v>
      </c>
      <c r="BH49" s="831"/>
      <c r="BI49" s="831">
        <f t="shared" si="50"/>
        <v>3289971.2270467947</v>
      </c>
      <c r="BJ49" s="831"/>
      <c r="BK49" s="831">
        <f t="shared" si="51"/>
        <v>3289971.2270467947</v>
      </c>
      <c r="BL49" s="831"/>
      <c r="BM49" s="831">
        <f t="shared" si="52"/>
        <v>3289971.2270467947</v>
      </c>
      <c r="BN49" s="831"/>
      <c r="BO49" s="831">
        <f t="shared" si="53"/>
        <v>3289971.2270467947</v>
      </c>
      <c r="BP49" s="831"/>
      <c r="BQ49" s="831">
        <f t="shared" si="54"/>
        <v>3289971.2270467947</v>
      </c>
      <c r="BR49" s="831"/>
      <c r="BS49" s="831">
        <f t="shared" si="55"/>
        <v>3289971.2270467947</v>
      </c>
      <c r="BT49" s="831"/>
      <c r="BU49" s="831">
        <f t="shared" si="56"/>
        <v>3289971.2270467947</v>
      </c>
      <c r="BV49" s="831"/>
      <c r="BW49" s="831">
        <f t="shared" si="57"/>
        <v>56400</v>
      </c>
      <c r="BX49" s="831">
        <f t="shared" si="58"/>
        <v>3346371.2270467947</v>
      </c>
      <c r="BY49" s="831"/>
      <c r="BZ49" s="831">
        <f t="shared" si="59"/>
        <v>3346371.2270467947</v>
      </c>
      <c r="CA49" s="1260">
        <f t="shared" si="60"/>
        <v>3346371.2270467947</v>
      </c>
      <c r="CB49" s="1260">
        <f t="shared" si="61"/>
        <v>3346371.2270467947</v>
      </c>
      <c r="CC49" s="1260"/>
      <c r="CD49" s="1260">
        <f t="shared" si="62"/>
        <v>0</v>
      </c>
      <c r="CE49" s="1260">
        <f t="shared" si="63"/>
        <v>0</v>
      </c>
      <c r="CF49" s="1260">
        <f t="shared" si="64"/>
        <v>0</v>
      </c>
      <c r="CG49" s="1266">
        <f t="shared" si="65"/>
        <v>3346371.2270467947</v>
      </c>
      <c r="CH49" s="1141">
        <f t="shared" si="66"/>
        <v>3346371.2270467947</v>
      </c>
      <c r="CI49" s="1142">
        <f t="shared" si="67"/>
        <v>0</v>
      </c>
      <c r="CJ49" s="1141">
        <f t="shared" si="68"/>
        <v>343003.05077229644</v>
      </c>
      <c r="CK49" s="1141">
        <f t="shared" si="69"/>
        <v>117122.99294663782</v>
      </c>
      <c r="CL49" s="1143">
        <f t="shared" si="139"/>
        <v>3806497.2707657288</v>
      </c>
      <c r="CM49" s="1144">
        <f t="shared" si="71"/>
        <v>0.125</v>
      </c>
      <c r="CN49" s="1141">
        <f t="shared" si="72"/>
        <v>475812.1588457161</v>
      </c>
      <c r="CO49" s="1141">
        <f t="shared" si="73"/>
        <v>30000</v>
      </c>
      <c r="CP49" s="1141">
        <f t="shared" si="74"/>
        <v>445812.1588457161</v>
      </c>
      <c r="CQ49" s="1145">
        <f t="shared" si="75"/>
        <v>13</v>
      </c>
      <c r="CR49" s="1141">
        <f t="shared" si="76"/>
        <v>34293.242988132006</v>
      </c>
      <c r="CS49" s="1144">
        <f t="shared" si="77"/>
        <v>0.875</v>
      </c>
      <c r="CT49" s="1141">
        <f t="shared" si="78"/>
        <v>3330685.1119200126</v>
      </c>
      <c r="CU49" s="1146">
        <f t="shared" si="12"/>
        <v>25822.76622153218</v>
      </c>
      <c r="CV49" s="1146">
        <f t="shared" si="13"/>
        <v>29937.139399009873</v>
      </c>
      <c r="CW49" s="1146">
        <f t="shared" si="14"/>
        <v>38672.078310114535</v>
      </c>
      <c r="CX49" s="1146">
        <f t="shared" si="15"/>
        <v>65951.557176514485</v>
      </c>
      <c r="CY49" s="1146">
        <f t="shared" si="79"/>
        <v>270562.13827147207</v>
      </c>
      <c r="CZ49" s="1146">
        <f t="shared" si="80"/>
        <v>107060.12013017652</v>
      </c>
      <c r="DA49" s="1146">
        <f t="shared" si="81"/>
        <v>77328.008456711017</v>
      </c>
      <c r="DB49" s="1146">
        <f t="shared" si="82"/>
        <v>58850.174433200184</v>
      </c>
      <c r="DC49" s="1146"/>
      <c r="DD49" s="1146"/>
      <c r="DE49" s="1146"/>
      <c r="DF49" s="1146"/>
      <c r="DG49" s="1146"/>
      <c r="DH49" s="1146"/>
      <c r="DI49" s="1146"/>
      <c r="DJ49" s="1146"/>
      <c r="DK49" s="1146"/>
      <c r="DL49" s="1146"/>
      <c r="DM49" s="1146"/>
      <c r="DN49" s="1146"/>
      <c r="DO49" s="1146"/>
      <c r="DP49" s="1146"/>
      <c r="DQ49" s="1146"/>
      <c r="DR49" s="1146"/>
      <c r="DS49" s="1146"/>
      <c r="DT49" s="1146"/>
      <c r="DU49" s="1146"/>
      <c r="DV49" s="1146"/>
      <c r="DW49" s="1146"/>
      <c r="DX49" s="1146"/>
      <c r="DY49" s="1146"/>
      <c r="DZ49" s="1146"/>
      <c r="EA49" s="1147">
        <f t="shared" si="83"/>
        <v>0</v>
      </c>
      <c r="EB49" s="1148">
        <f t="shared" si="84"/>
        <v>0</v>
      </c>
      <c r="EC49" s="1190">
        <f t="shared" si="132"/>
        <v>45839</v>
      </c>
      <c r="ED49" s="1031">
        <f t="shared" si="16"/>
        <v>20</v>
      </c>
      <c r="EE49" s="1191"/>
      <c r="EF49" s="1032">
        <f t="shared" si="17"/>
        <v>45904</v>
      </c>
      <c r="EG49" s="1029">
        <f t="shared" si="85"/>
        <v>22</v>
      </c>
      <c r="EH49" s="859" t="s">
        <v>490</v>
      </c>
      <c r="EI49" s="859" t="s">
        <v>480</v>
      </c>
      <c r="EJ49" s="860">
        <f t="shared" si="18"/>
        <v>0</v>
      </c>
      <c r="EK49" s="860">
        <f t="shared" si="19"/>
        <v>0</v>
      </c>
      <c r="EL49" s="861">
        <f t="shared" si="20"/>
        <v>0</v>
      </c>
      <c r="EM49" s="1197"/>
      <c r="EN49" s="860"/>
      <c r="EO49" s="860"/>
      <c r="EP49" s="860">
        <f t="shared" si="21"/>
        <v>0</v>
      </c>
      <c r="EQ49" s="1197"/>
      <c r="ER49" s="1200"/>
      <c r="ES49" s="1197"/>
      <c r="ET49" s="1194" t="s">
        <v>203</v>
      </c>
      <c r="EU49" s="1197" t="b">
        <f t="shared" si="22"/>
        <v>1</v>
      </c>
      <c r="EV49" s="1201" t="s">
        <v>562</v>
      </c>
      <c r="EW49" s="1202" t="s">
        <v>482</v>
      </c>
      <c r="EX49" s="1197"/>
      <c r="EY49" s="1128" t="s">
        <v>483</v>
      </c>
      <c r="EZ49" s="1128" t="s">
        <v>484</v>
      </c>
      <c r="FA49" s="1169">
        <f t="shared" si="86"/>
        <v>0</v>
      </c>
      <c r="FI49" s="1309" t="s">
        <v>149</v>
      </c>
      <c r="FJ49" s="1159" t="s">
        <v>149</v>
      </c>
      <c r="FK49" s="1160" t="b">
        <f t="shared" si="87"/>
        <v>1</v>
      </c>
      <c r="FL49" s="1131"/>
      <c r="FM49" s="1161"/>
      <c r="FO49" s="1060"/>
      <c r="FP49" s="1169"/>
      <c r="FQ49" s="1203"/>
      <c r="FT49" s="1072"/>
      <c r="FU49" s="1295"/>
      <c r="FV49" s="1295"/>
      <c r="FW49" s="1023">
        <v>0.15</v>
      </c>
      <c r="FX49" s="1162">
        <v>13992.593304018388</v>
      </c>
      <c r="FY49" s="1163">
        <v>14429.861844768962</v>
      </c>
      <c r="GA49" s="1164">
        <f t="shared" si="89"/>
        <v>3806497.2707657288</v>
      </c>
      <c r="GB49" s="1165">
        <f t="shared" si="90"/>
        <v>0.15</v>
      </c>
      <c r="GC49" s="1154">
        <f t="shared" si="91"/>
        <v>570974.59061485925</v>
      </c>
      <c r="GD49" s="1164">
        <f t="shared" si="92"/>
        <v>30000</v>
      </c>
      <c r="GE49" s="1154">
        <f t="shared" si="93"/>
        <v>540974.59061485925</v>
      </c>
      <c r="GF49" s="1060">
        <f t="shared" si="94"/>
        <v>35</v>
      </c>
      <c r="GG49" s="1166">
        <f t="shared" si="95"/>
        <v>15456.416874710265</v>
      </c>
      <c r="GI49" s="1164">
        <f t="shared" si="96"/>
        <v>3806497.2707657288</v>
      </c>
      <c r="GJ49" s="1154">
        <f t="shared" si="97"/>
        <v>380649.72707657289</v>
      </c>
      <c r="GK49" s="1154">
        <f t="shared" si="98"/>
        <v>95162.431769143222</v>
      </c>
      <c r="GL49" s="1166">
        <v>15000</v>
      </c>
      <c r="GM49" s="1154">
        <f t="shared" si="99"/>
        <v>365649.72707657289</v>
      </c>
      <c r="GN49" s="1060">
        <f t="shared" si="100"/>
        <v>35</v>
      </c>
      <c r="GO49" s="1154">
        <f t="shared" si="101"/>
        <v>10447.135059330654</v>
      </c>
      <c r="GS49" s="1010">
        <f t="shared" si="102"/>
        <v>3806497.2707657288</v>
      </c>
      <c r="GT49" s="1011">
        <f t="shared" si="103"/>
        <v>0.125</v>
      </c>
      <c r="GU49" s="1010">
        <f t="shared" si="104"/>
        <v>475812.1588457161</v>
      </c>
      <c r="GV49" s="1010">
        <f t="shared" si="105"/>
        <v>30000</v>
      </c>
      <c r="GW49" s="1010">
        <f t="shared" si="106"/>
        <v>445812.1588457161</v>
      </c>
      <c r="GX49" s="1010">
        <f t="shared" si="107"/>
        <v>13</v>
      </c>
      <c r="GY49" s="1010">
        <f t="shared" si="108"/>
        <v>34293.242988132006</v>
      </c>
      <c r="GZ49" s="1011">
        <f t="shared" si="109"/>
        <v>0.875</v>
      </c>
      <c r="HA49" s="1010">
        <f t="shared" si="110"/>
        <v>3330685.1119200126</v>
      </c>
      <c r="HB49" s="1010">
        <f t="shared" si="111"/>
        <v>25822.76622153218</v>
      </c>
      <c r="HC49" s="1010">
        <f t="shared" si="112"/>
        <v>29937.139399009873</v>
      </c>
      <c r="HD49" s="1010">
        <f t="shared" si="113"/>
        <v>38672.078310114535</v>
      </c>
      <c r="HE49" s="1010">
        <f t="shared" si="114"/>
        <v>65951.557176514485</v>
      </c>
      <c r="HG49" s="1010">
        <f t="shared" si="115"/>
        <v>3806497.2707657288</v>
      </c>
      <c r="HH49" s="1011">
        <f t="shared" si="116"/>
        <v>0.125</v>
      </c>
      <c r="HI49" s="1010">
        <f t="shared" si="117"/>
        <v>475812.1588457161</v>
      </c>
      <c r="HJ49" s="1010">
        <f t="shared" si="118"/>
        <v>30000</v>
      </c>
      <c r="HK49" s="1010">
        <f t="shared" si="119"/>
        <v>445812.1588457161</v>
      </c>
      <c r="HL49" s="1012">
        <f t="shared" si="120"/>
        <v>33</v>
      </c>
      <c r="HM49" s="1167">
        <f t="shared" si="121"/>
        <v>13509.459358961094</v>
      </c>
      <c r="HN49" s="1168">
        <f t="shared" si="122"/>
        <v>0.875</v>
      </c>
      <c r="HO49" s="1167">
        <f t="shared" si="123"/>
        <v>3330685.1119200126</v>
      </c>
      <c r="HP49" s="1146">
        <f t="shared" si="124"/>
        <v>25822.76622153218</v>
      </c>
      <c r="HQ49" s="1146">
        <f t="shared" si="125"/>
        <v>29937.139399009873</v>
      </c>
      <c r="HR49" s="1146">
        <f t="shared" si="126"/>
        <v>38672.078310114535</v>
      </c>
      <c r="HS49" s="1146">
        <f t="shared" si="127"/>
        <v>65951.557176514485</v>
      </c>
      <c r="HU49" s="1167">
        <f t="shared" si="128"/>
        <v>-20783.78362917091</v>
      </c>
      <c r="HX49" s="1154"/>
      <c r="HY49" s="1154"/>
      <c r="IB49" s="1154"/>
      <c r="IC49" s="1154"/>
      <c r="ID49" s="1154"/>
      <c r="IE49" s="1154"/>
      <c r="IG49" s="1060"/>
    </row>
    <row r="50" spans="1:241" ht="14.25" hidden="1" customHeight="1">
      <c r="A50" s="1186">
        <f t="shared" si="141"/>
        <v>44</v>
      </c>
      <c r="B50" s="824" t="s">
        <v>149</v>
      </c>
      <c r="C50" s="855">
        <f t="shared" si="180"/>
        <v>11</v>
      </c>
      <c r="D50" s="856" t="s">
        <v>498</v>
      </c>
      <c r="E50" s="857" t="str">
        <f t="shared" si="23"/>
        <v>4th Floor</v>
      </c>
      <c r="F50" s="1185"/>
      <c r="G50" s="764" t="s">
        <v>204</v>
      </c>
      <c r="H50" s="764" t="s">
        <v>517</v>
      </c>
      <c r="I50" s="764" t="s">
        <v>476</v>
      </c>
      <c r="J50" s="1139">
        <v>22</v>
      </c>
      <c r="K50" s="1142"/>
      <c r="L50" s="764" t="s">
        <v>500</v>
      </c>
      <c r="M50" s="764" t="s">
        <v>93</v>
      </c>
      <c r="N50" s="856">
        <f t="shared" si="24"/>
        <v>100909.09090909091</v>
      </c>
      <c r="O50" s="1138">
        <f t="shared" si="136"/>
        <v>2220000</v>
      </c>
      <c r="P50" s="1138">
        <f t="shared" si="142"/>
        <v>22400</v>
      </c>
      <c r="Q50" s="1138">
        <f t="shared" si="8"/>
        <v>50000</v>
      </c>
      <c r="R50" s="1138"/>
      <c r="S50" s="1138"/>
      <c r="T50" s="1138"/>
      <c r="U50" s="1138"/>
      <c r="V50" s="1138"/>
      <c r="W50" s="858"/>
      <c r="X50" s="1138"/>
      <c r="Y50" s="1138"/>
      <c r="Z50" s="1138">
        <f t="shared" si="137"/>
        <v>75000</v>
      </c>
      <c r="AA50" s="1138">
        <f t="shared" si="138"/>
        <v>147400</v>
      </c>
      <c r="AB50" s="1138">
        <f t="shared" si="28"/>
        <v>2367400</v>
      </c>
      <c r="AC50" s="1138">
        <f t="shared" si="29"/>
        <v>59185</v>
      </c>
      <c r="AD50" s="1138">
        <f t="shared" si="30"/>
        <v>2426585</v>
      </c>
      <c r="AE50" s="1138">
        <f t="shared" si="31"/>
        <v>60664.625</v>
      </c>
      <c r="AF50" s="1138">
        <f t="shared" si="32"/>
        <v>2487249.625</v>
      </c>
      <c r="AG50" s="1138">
        <f t="shared" si="33"/>
        <v>62181.240625000006</v>
      </c>
      <c r="AH50" s="1138">
        <f t="shared" si="34"/>
        <v>2549430.8656250001</v>
      </c>
      <c r="AI50" s="1138">
        <f t="shared" si="144"/>
        <v>127471.54328125001</v>
      </c>
      <c r="AJ50" s="1138">
        <f t="shared" si="35"/>
        <v>2676902.4089062503</v>
      </c>
      <c r="AK50" s="1138">
        <f t="shared" si="36"/>
        <v>26769.024089062503</v>
      </c>
      <c r="AL50" s="1138">
        <f t="shared" si="37"/>
        <v>27537.409960060559</v>
      </c>
      <c r="AM50" s="1138"/>
      <c r="AN50" s="1138"/>
      <c r="AO50" s="1138">
        <f t="shared" si="38"/>
        <v>2731208.8429553732</v>
      </c>
      <c r="AP50" s="1138">
        <f t="shared" si="39"/>
        <v>368713.19379897544</v>
      </c>
      <c r="AQ50" s="1248">
        <f t="shared" si="40"/>
        <v>3099922.0367543488</v>
      </c>
      <c r="AR50" s="1248">
        <f t="shared" si="194"/>
        <v>3099922.0367543488</v>
      </c>
      <c r="AS50" s="1248"/>
      <c r="AT50" s="1248"/>
      <c r="AU50" s="1248">
        <f t="shared" si="42"/>
        <v>0</v>
      </c>
      <c r="AV50" s="1140">
        <f t="shared" si="43"/>
        <v>0</v>
      </c>
      <c r="AW50" s="1140">
        <f t="shared" si="44"/>
        <v>3099922.0367543488</v>
      </c>
      <c r="AX50" s="1139">
        <f t="shared" si="45"/>
        <v>38749.025459429358</v>
      </c>
      <c r="AY50" s="831" t="s">
        <v>478</v>
      </c>
      <c r="AZ50" s="831">
        <f t="shared" si="46"/>
        <v>3138671.062213778</v>
      </c>
      <c r="BA50" s="831">
        <f t="shared" si="47"/>
        <v>117700.16483301668</v>
      </c>
      <c r="BB50" s="831"/>
      <c r="BC50" s="831">
        <f t="shared" si="189"/>
        <v>33600</v>
      </c>
      <c r="BD50" s="831"/>
      <c r="BE50" s="831">
        <f t="shared" si="48"/>
        <v>3289971.2270467947</v>
      </c>
      <c r="BF50" s="831"/>
      <c r="BG50" s="831">
        <f t="shared" si="49"/>
        <v>3289971.2270467947</v>
      </c>
      <c r="BH50" s="831"/>
      <c r="BI50" s="831">
        <f t="shared" si="50"/>
        <v>3289971.2270467947</v>
      </c>
      <c r="BJ50" s="831"/>
      <c r="BK50" s="831">
        <f t="shared" si="51"/>
        <v>3289971.2270467947</v>
      </c>
      <c r="BL50" s="831"/>
      <c r="BM50" s="831">
        <f t="shared" si="52"/>
        <v>3289971.2270467947</v>
      </c>
      <c r="BN50" s="831"/>
      <c r="BO50" s="831">
        <f t="shared" si="53"/>
        <v>3289971.2270467947</v>
      </c>
      <c r="BP50" s="831"/>
      <c r="BQ50" s="831">
        <f t="shared" si="54"/>
        <v>3289971.2270467947</v>
      </c>
      <c r="BR50" s="831"/>
      <c r="BS50" s="831">
        <f t="shared" si="55"/>
        <v>3289971.2270467947</v>
      </c>
      <c r="BT50" s="831"/>
      <c r="BU50" s="831">
        <f t="shared" si="56"/>
        <v>3289971.2270467947</v>
      </c>
      <c r="BV50" s="831"/>
      <c r="BW50" s="831">
        <f t="shared" si="57"/>
        <v>56400</v>
      </c>
      <c r="BX50" s="831">
        <f t="shared" si="58"/>
        <v>3346371.2270467947</v>
      </c>
      <c r="BY50" s="831"/>
      <c r="BZ50" s="831">
        <f t="shared" si="59"/>
        <v>3346371.2270467947</v>
      </c>
      <c r="CA50" s="1260">
        <f t="shared" si="60"/>
        <v>3346371.2270467947</v>
      </c>
      <c r="CB50" s="1260">
        <f t="shared" si="61"/>
        <v>3346371.2270467947</v>
      </c>
      <c r="CC50" s="1260"/>
      <c r="CD50" s="1260">
        <f t="shared" si="62"/>
        <v>0</v>
      </c>
      <c r="CE50" s="1260">
        <f t="shared" si="63"/>
        <v>0</v>
      </c>
      <c r="CF50" s="1260">
        <f t="shared" si="64"/>
        <v>0</v>
      </c>
      <c r="CG50" s="1266">
        <f t="shared" si="65"/>
        <v>3346371.2270467947</v>
      </c>
      <c r="CH50" s="1141">
        <f t="shared" si="66"/>
        <v>3346371.2270467947</v>
      </c>
      <c r="CI50" s="1142">
        <f t="shared" si="67"/>
        <v>0</v>
      </c>
      <c r="CJ50" s="1141">
        <f t="shared" si="68"/>
        <v>343003.05077229644</v>
      </c>
      <c r="CK50" s="1141">
        <f t="shared" si="69"/>
        <v>117122.99294663782</v>
      </c>
      <c r="CL50" s="1143">
        <f t="shared" si="139"/>
        <v>3806497.2707657288</v>
      </c>
      <c r="CM50" s="1144">
        <f t="shared" si="71"/>
        <v>0.125</v>
      </c>
      <c r="CN50" s="1141">
        <f t="shared" si="72"/>
        <v>475812.1588457161</v>
      </c>
      <c r="CO50" s="1141">
        <f t="shared" si="73"/>
        <v>30000</v>
      </c>
      <c r="CP50" s="1141">
        <f t="shared" si="74"/>
        <v>445812.1588457161</v>
      </c>
      <c r="CQ50" s="1145">
        <f t="shared" si="75"/>
        <v>13</v>
      </c>
      <c r="CR50" s="1141">
        <f t="shared" si="76"/>
        <v>34293.242988132006</v>
      </c>
      <c r="CS50" s="1144">
        <f t="shared" si="77"/>
        <v>0.875</v>
      </c>
      <c r="CT50" s="1141">
        <f t="shared" si="78"/>
        <v>3330685.1119200126</v>
      </c>
      <c r="CU50" s="1146">
        <f t="shared" si="12"/>
        <v>25822.76622153218</v>
      </c>
      <c r="CV50" s="1146">
        <f t="shared" si="13"/>
        <v>29937.139399009873</v>
      </c>
      <c r="CW50" s="1146">
        <f t="shared" si="14"/>
        <v>38672.078310114535</v>
      </c>
      <c r="CX50" s="1146">
        <f t="shared" si="15"/>
        <v>65951.557176514485</v>
      </c>
      <c r="CY50" s="1146">
        <f t="shared" si="79"/>
        <v>270562.13827147207</v>
      </c>
      <c r="CZ50" s="1146">
        <f t="shared" si="80"/>
        <v>107060.12013017652</v>
      </c>
      <c r="DA50" s="1146">
        <f t="shared" si="81"/>
        <v>77328.008456711017</v>
      </c>
      <c r="DB50" s="1146">
        <f t="shared" si="82"/>
        <v>58850.174433200184</v>
      </c>
      <c r="DC50" s="1146"/>
      <c r="DD50" s="1146"/>
      <c r="DE50" s="1146"/>
      <c r="DF50" s="1146"/>
      <c r="DG50" s="1146"/>
      <c r="DH50" s="1146"/>
      <c r="DI50" s="1146"/>
      <c r="DJ50" s="1146"/>
      <c r="DK50" s="1146"/>
      <c r="DL50" s="1146"/>
      <c r="DM50" s="1146"/>
      <c r="DN50" s="1146"/>
      <c r="DO50" s="1146"/>
      <c r="DP50" s="1146"/>
      <c r="DQ50" s="1146"/>
      <c r="DR50" s="1146"/>
      <c r="DS50" s="1146"/>
      <c r="DT50" s="1146"/>
      <c r="DU50" s="1146"/>
      <c r="DV50" s="1146"/>
      <c r="DW50" s="1146"/>
      <c r="DX50" s="1146"/>
      <c r="DY50" s="1146"/>
      <c r="DZ50" s="1146"/>
      <c r="EA50" s="1147">
        <f t="shared" si="83"/>
        <v>0</v>
      </c>
      <c r="EB50" s="1148">
        <f t="shared" si="84"/>
        <v>0</v>
      </c>
      <c r="EC50" s="1190">
        <f t="shared" si="132"/>
        <v>45839</v>
      </c>
      <c r="ED50" s="1031">
        <f t="shared" si="16"/>
        <v>20</v>
      </c>
      <c r="EE50" s="1191"/>
      <c r="EF50" s="1032">
        <f t="shared" si="17"/>
        <v>45904</v>
      </c>
      <c r="EG50" s="1029">
        <f t="shared" si="85"/>
        <v>22</v>
      </c>
      <c r="EH50" s="859" t="s">
        <v>490</v>
      </c>
      <c r="EI50" s="859" t="s">
        <v>480</v>
      </c>
      <c r="EJ50" s="860">
        <f t="shared" si="18"/>
        <v>0</v>
      </c>
      <c r="EK50" s="860">
        <f t="shared" si="19"/>
        <v>0</v>
      </c>
      <c r="EL50" s="861">
        <f t="shared" si="20"/>
        <v>0</v>
      </c>
      <c r="EM50" s="1197"/>
      <c r="EN50" s="860"/>
      <c r="EO50" s="860"/>
      <c r="EP50" s="860">
        <f t="shared" si="21"/>
        <v>0</v>
      </c>
      <c r="EQ50" s="1197"/>
      <c r="ER50" s="1200"/>
      <c r="ES50" s="1197"/>
      <c r="ET50" s="1194" t="s">
        <v>204</v>
      </c>
      <c r="EU50" s="1197" t="b">
        <f t="shared" si="22"/>
        <v>1</v>
      </c>
      <c r="EV50" s="1201" t="s">
        <v>559</v>
      </c>
      <c r="EW50" s="1202" t="s">
        <v>482</v>
      </c>
      <c r="EX50" s="1197"/>
      <c r="EY50" s="1128" t="s">
        <v>483</v>
      </c>
      <c r="EZ50" s="1128" t="s">
        <v>484</v>
      </c>
      <c r="FA50" s="1169">
        <f t="shared" si="86"/>
        <v>0</v>
      </c>
      <c r="FI50" s="1309" t="s">
        <v>149</v>
      </c>
      <c r="FJ50" s="1159" t="s">
        <v>149</v>
      </c>
      <c r="FK50" s="1160" t="b">
        <f t="shared" si="87"/>
        <v>1</v>
      </c>
      <c r="FL50" s="1131"/>
      <c r="FM50" s="1161"/>
      <c r="FO50" s="1060"/>
      <c r="FP50" s="1169"/>
      <c r="FQ50" s="1203"/>
      <c r="FT50" s="1294"/>
      <c r="FU50" s="1295"/>
      <c r="FV50" s="1295"/>
      <c r="FW50" s="1023">
        <v>0.15</v>
      </c>
      <c r="FX50" s="1162">
        <v>13992.593304018388</v>
      </c>
      <c r="FY50" s="1163">
        <v>14429.861844768962</v>
      </c>
      <c r="GA50" s="1164">
        <f t="shared" si="89"/>
        <v>3806497.2707657288</v>
      </c>
      <c r="GB50" s="1165">
        <f t="shared" si="90"/>
        <v>0.15</v>
      </c>
      <c r="GC50" s="1154">
        <f t="shared" si="91"/>
        <v>570974.59061485925</v>
      </c>
      <c r="GD50" s="1164">
        <f t="shared" si="92"/>
        <v>30000</v>
      </c>
      <c r="GE50" s="1154">
        <f t="shared" si="93"/>
        <v>540974.59061485925</v>
      </c>
      <c r="GF50" s="1060">
        <f t="shared" si="94"/>
        <v>35</v>
      </c>
      <c r="GG50" s="1166">
        <f t="shared" si="95"/>
        <v>15456.416874710265</v>
      </c>
      <c r="GI50" s="1164">
        <f t="shared" si="96"/>
        <v>3806497.2707657288</v>
      </c>
      <c r="GJ50" s="1154">
        <f t="shared" si="97"/>
        <v>380649.72707657289</v>
      </c>
      <c r="GK50" s="1154">
        <f t="shared" si="98"/>
        <v>95162.431769143222</v>
      </c>
      <c r="GL50" s="1166">
        <v>15000</v>
      </c>
      <c r="GM50" s="1154">
        <f t="shared" si="99"/>
        <v>365649.72707657289</v>
      </c>
      <c r="GN50" s="1060">
        <f t="shared" si="100"/>
        <v>35</v>
      </c>
      <c r="GO50" s="1154">
        <f t="shared" si="101"/>
        <v>10447.135059330654</v>
      </c>
      <c r="GS50" s="1010">
        <f t="shared" si="102"/>
        <v>3806497.2707657288</v>
      </c>
      <c r="GT50" s="1011">
        <f t="shared" si="103"/>
        <v>0.125</v>
      </c>
      <c r="GU50" s="1010">
        <f t="shared" si="104"/>
        <v>475812.1588457161</v>
      </c>
      <c r="GV50" s="1010">
        <f t="shared" si="105"/>
        <v>30000</v>
      </c>
      <c r="GW50" s="1010">
        <f t="shared" si="106"/>
        <v>445812.1588457161</v>
      </c>
      <c r="GX50" s="1010">
        <f t="shared" si="107"/>
        <v>13</v>
      </c>
      <c r="GY50" s="1010">
        <f t="shared" si="108"/>
        <v>34293.242988132006</v>
      </c>
      <c r="GZ50" s="1011">
        <f t="shared" si="109"/>
        <v>0.875</v>
      </c>
      <c r="HA50" s="1010">
        <f t="shared" si="110"/>
        <v>3330685.1119200126</v>
      </c>
      <c r="HB50" s="1010">
        <f t="shared" si="111"/>
        <v>25822.76622153218</v>
      </c>
      <c r="HC50" s="1010">
        <f t="shared" si="112"/>
        <v>29937.139399009873</v>
      </c>
      <c r="HD50" s="1010">
        <f t="shared" si="113"/>
        <v>38672.078310114535</v>
      </c>
      <c r="HE50" s="1010">
        <f t="shared" si="114"/>
        <v>65951.557176514485</v>
      </c>
      <c r="HG50" s="1010">
        <f t="shared" si="115"/>
        <v>3806497.2707657288</v>
      </c>
      <c r="HH50" s="1011">
        <f t="shared" si="116"/>
        <v>0.125</v>
      </c>
      <c r="HI50" s="1010">
        <f t="shared" si="117"/>
        <v>475812.1588457161</v>
      </c>
      <c r="HJ50" s="1010">
        <f t="shared" si="118"/>
        <v>30000</v>
      </c>
      <c r="HK50" s="1010">
        <f t="shared" si="119"/>
        <v>445812.1588457161</v>
      </c>
      <c r="HL50" s="1012">
        <f t="shared" si="120"/>
        <v>33</v>
      </c>
      <c r="HM50" s="1167">
        <f t="shared" si="121"/>
        <v>13509.459358961094</v>
      </c>
      <c r="HN50" s="1168">
        <f t="shared" si="122"/>
        <v>0.875</v>
      </c>
      <c r="HO50" s="1167">
        <f t="shared" si="123"/>
        <v>3330685.1119200126</v>
      </c>
      <c r="HP50" s="1146">
        <f t="shared" si="124"/>
        <v>25822.76622153218</v>
      </c>
      <c r="HQ50" s="1146">
        <f t="shared" si="125"/>
        <v>29937.139399009873</v>
      </c>
      <c r="HR50" s="1146">
        <f t="shared" si="126"/>
        <v>38672.078310114535</v>
      </c>
      <c r="HS50" s="1146">
        <f t="shared" si="127"/>
        <v>65951.557176514485</v>
      </c>
      <c r="HU50" s="1167">
        <f t="shared" si="128"/>
        <v>-20783.78362917091</v>
      </c>
      <c r="HX50" s="1154"/>
      <c r="HY50" s="1154"/>
      <c r="IB50" s="1154"/>
      <c r="IC50" s="1154"/>
      <c r="ID50" s="1154"/>
      <c r="IE50" s="1154"/>
      <c r="IG50" s="1060"/>
    </row>
    <row r="51" spans="1:241" ht="14.25" customHeight="1">
      <c r="A51" s="1186">
        <f t="shared" si="141"/>
        <v>45</v>
      </c>
      <c r="B51" s="824"/>
      <c r="C51" s="855">
        <f t="shared" si="180"/>
        <v>12</v>
      </c>
      <c r="D51" s="856" t="s">
        <v>498</v>
      </c>
      <c r="E51" s="857" t="str">
        <f t="shared" si="23"/>
        <v>4th Floor</v>
      </c>
      <c r="F51" s="1185"/>
      <c r="G51" s="764" t="s">
        <v>205</v>
      </c>
      <c r="H51" s="764" t="s">
        <v>520</v>
      </c>
      <c r="I51" s="764" t="s">
        <v>476</v>
      </c>
      <c r="J51" s="1139">
        <v>22</v>
      </c>
      <c r="K51" s="1142"/>
      <c r="L51" s="764" t="s">
        <v>500</v>
      </c>
      <c r="M51" s="764" t="s">
        <v>93</v>
      </c>
      <c r="N51" s="856">
        <f t="shared" si="24"/>
        <v>100909.09090909091</v>
      </c>
      <c r="O51" s="1138">
        <f t="shared" si="136"/>
        <v>2220000</v>
      </c>
      <c r="P51" s="1138">
        <f t="shared" si="142"/>
        <v>22400</v>
      </c>
      <c r="Q51" s="1138">
        <f t="shared" si="8"/>
        <v>50000</v>
      </c>
      <c r="R51" s="1138"/>
      <c r="S51" s="1138"/>
      <c r="T51" s="1138"/>
      <c r="U51" s="1138"/>
      <c r="V51" s="1138"/>
      <c r="W51" s="858"/>
      <c r="X51" s="1138"/>
      <c r="Y51" s="1138"/>
      <c r="Z51" s="1138">
        <f t="shared" si="137"/>
        <v>75000</v>
      </c>
      <c r="AA51" s="1138">
        <f t="shared" si="138"/>
        <v>147400</v>
      </c>
      <c r="AB51" s="1138">
        <f t="shared" si="28"/>
        <v>2367400</v>
      </c>
      <c r="AC51" s="1138">
        <f t="shared" si="29"/>
        <v>59185</v>
      </c>
      <c r="AD51" s="1138">
        <f t="shared" si="30"/>
        <v>2426585</v>
      </c>
      <c r="AE51" s="1138">
        <f t="shared" si="31"/>
        <v>60664.625</v>
      </c>
      <c r="AF51" s="1138">
        <f t="shared" si="32"/>
        <v>2487249.625</v>
      </c>
      <c r="AG51" s="1138">
        <f t="shared" si="33"/>
        <v>62181.240625000006</v>
      </c>
      <c r="AH51" s="1138">
        <f t="shared" si="34"/>
        <v>2549430.8656250001</v>
      </c>
      <c r="AI51" s="1138">
        <f t="shared" si="144"/>
        <v>127471.54328125001</v>
      </c>
      <c r="AJ51" s="1138">
        <f t="shared" si="35"/>
        <v>2676902.4089062503</v>
      </c>
      <c r="AK51" s="1138">
        <f t="shared" si="36"/>
        <v>26769.024089062503</v>
      </c>
      <c r="AL51" s="1138">
        <f t="shared" si="37"/>
        <v>27537.409960060559</v>
      </c>
      <c r="AM51" s="1138"/>
      <c r="AN51" s="1138"/>
      <c r="AO51" s="1138">
        <f t="shared" si="38"/>
        <v>2731208.8429553732</v>
      </c>
      <c r="AP51" s="1138">
        <f t="shared" si="39"/>
        <v>368713.19379897544</v>
      </c>
      <c r="AQ51" s="1248">
        <f t="shared" si="40"/>
        <v>3099922.0367543488</v>
      </c>
      <c r="AR51" s="1248">
        <f t="shared" si="194"/>
        <v>3099922.0367543488</v>
      </c>
      <c r="AS51" s="1248"/>
      <c r="AT51" s="1248"/>
      <c r="AU51" s="1248">
        <f t="shared" si="42"/>
        <v>0</v>
      </c>
      <c r="AV51" s="1140">
        <f t="shared" si="43"/>
        <v>0</v>
      </c>
      <c r="AW51" s="1140">
        <f t="shared" si="44"/>
        <v>3099922.0367543488</v>
      </c>
      <c r="AX51" s="1139">
        <f t="shared" si="45"/>
        <v>38749.025459429358</v>
      </c>
      <c r="AY51" s="831" t="s">
        <v>478</v>
      </c>
      <c r="AZ51" s="831">
        <f t="shared" si="46"/>
        <v>3138671.062213778</v>
      </c>
      <c r="BA51" s="831">
        <f t="shared" si="47"/>
        <v>117700.16483301668</v>
      </c>
      <c r="BB51" s="831"/>
      <c r="BC51" s="831">
        <f t="shared" si="189"/>
        <v>33600</v>
      </c>
      <c r="BD51" s="831"/>
      <c r="BE51" s="831">
        <f t="shared" si="48"/>
        <v>3289971.2270467947</v>
      </c>
      <c r="BF51" s="831"/>
      <c r="BG51" s="831">
        <f t="shared" si="49"/>
        <v>3289971.2270467947</v>
      </c>
      <c r="BH51" s="831"/>
      <c r="BI51" s="831">
        <f t="shared" si="50"/>
        <v>3289971.2270467947</v>
      </c>
      <c r="BJ51" s="831"/>
      <c r="BK51" s="831">
        <f t="shared" si="51"/>
        <v>3289971.2270467947</v>
      </c>
      <c r="BL51" s="831"/>
      <c r="BM51" s="831">
        <f t="shared" si="52"/>
        <v>3289971.2270467947</v>
      </c>
      <c r="BN51" s="831"/>
      <c r="BO51" s="831">
        <f t="shared" si="53"/>
        <v>3289971.2270467947</v>
      </c>
      <c r="BP51" s="831">
        <f>$BP$5/37</f>
        <v>5065.3710270270276</v>
      </c>
      <c r="BQ51" s="831">
        <f t="shared" si="54"/>
        <v>3295036.598073822</v>
      </c>
      <c r="BR51" s="831">
        <f>$BR$5/42</f>
        <v>3544.6104</v>
      </c>
      <c r="BS51" s="831">
        <f t="shared" si="55"/>
        <v>3298581.2084738221</v>
      </c>
      <c r="BT51" s="831">
        <f>$BT$5/41</f>
        <v>1609.3168000000001</v>
      </c>
      <c r="BU51" s="831">
        <f t="shared" si="56"/>
        <v>3300190.5252738222</v>
      </c>
      <c r="BV51" s="831">
        <f>$BV$5/43</f>
        <v>1163.3400930232558</v>
      </c>
      <c r="BW51" s="831">
        <f t="shared" si="57"/>
        <v>56400</v>
      </c>
      <c r="BX51" s="831">
        <f t="shared" si="58"/>
        <v>3357753.8653668454</v>
      </c>
      <c r="BY51" s="831">
        <f>$BY$5/44</f>
        <v>30549.183723443901</v>
      </c>
      <c r="BZ51" s="831">
        <f t="shared" si="59"/>
        <v>3388303.0490902895</v>
      </c>
      <c r="CA51" s="1260">
        <f t="shared" si="60"/>
        <v>3388303.0490902895</v>
      </c>
      <c r="CB51" s="1260">
        <f t="shared" si="61"/>
        <v>3388303.0490902895</v>
      </c>
      <c r="CC51" s="1260"/>
      <c r="CD51" s="1260">
        <f t="shared" si="62"/>
        <v>0</v>
      </c>
      <c r="CE51" s="1260">
        <f t="shared" si="63"/>
        <v>0</v>
      </c>
      <c r="CF51" s="1260">
        <f t="shared" si="64"/>
        <v>0</v>
      </c>
      <c r="CG51" s="1266">
        <f t="shared" si="65"/>
        <v>3388303.0490902895</v>
      </c>
      <c r="CH51" s="1141">
        <f t="shared" si="66"/>
        <v>3388303.0490902895</v>
      </c>
      <c r="CI51" s="1142">
        <f t="shared" si="67"/>
        <v>0</v>
      </c>
      <c r="CJ51" s="1141">
        <f t="shared" si="68"/>
        <v>347301.06253175467</v>
      </c>
      <c r="CK51" s="1141">
        <f t="shared" si="69"/>
        <v>118590.60671816014</v>
      </c>
      <c r="CL51" s="1143">
        <f t="shared" si="139"/>
        <v>3854194.7183402046</v>
      </c>
      <c r="CM51" s="1144">
        <f t="shared" si="71"/>
        <v>0.125</v>
      </c>
      <c r="CN51" s="1141">
        <f t="shared" si="72"/>
        <v>481774.33979252557</v>
      </c>
      <c r="CO51" s="1141">
        <f t="shared" si="73"/>
        <v>30000</v>
      </c>
      <c r="CP51" s="1141">
        <f t="shared" si="74"/>
        <v>451774.33979252557</v>
      </c>
      <c r="CQ51" s="1145">
        <f t="shared" si="75"/>
        <v>13</v>
      </c>
      <c r="CR51" s="1141">
        <f t="shared" si="76"/>
        <v>34751.87229173274</v>
      </c>
      <c r="CS51" s="1144">
        <f t="shared" si="77"/>
        <v>0.875</v>
      </c>
      <c r="CT51" s="1141">
        <f t="shared" si="78"/>
        <v>3372420.3785476792</v>
      </c>
      <c r="CU51" s="1146">
        <f t="shared" si="12"/>
        <v>26146.339299474181</v>
      </c>
      <c r="CV51" s="1146">
        <f t="shared" si="13"/>
        <v>30312.267774374977</v>
      </c>
      <c r="CW51" s="1146">
        <f t="shared" si="14"/>
        <v>39156.660143906745</v>
      </c>
      <c r="CX51" s="1146">
        <f t="shared" si="15"/>
        <v>66777.965477143327</v>
      </c>
      <c r="CY51" s="1146">
        <f t="shared" si="79"/>
        <v>273952.42663577863</v>
      </c>
      <c r="CZ51" s="1146">
        <f t="shared" si="80"/>
        <v>108401.64072088982</v>
      </c>
      <c r="DA51" s="1146">
        <f t="shared" si="81"/>
        <v>78296.969779166029</v>
      </c>
      <c r="DB51" s="1146">
        <f t="shared" si="82"/>
        <v>59587.598608263797</v>
      </c>
      <c r="DC51" s="1146"/>
      <c r="DD51" s="1146"/>
      <c r="DE51" s="1146"/>
      <c r="DF51" s="1146"/>
      <c r="DG51" s="1146"/>
      <c r="DH51" s="1146"/>
      <c r="DI51" s="1146"/>
      <c r="DJ51" s="1146"/>
      <c r="DK51" s="1146"/>
      <c r="DL51" s="1146"/>
      <c r="DM51" s="1146"/>
      <c r="DN51" s="1146"/>
      <c r="DO51" s="1146"/>
      <c r="DP51" s="1146"/>
      <c r="DQ51" s="1146"/>
      <c r="DR51" s="1146"/>
      <c r="DS51" s="1146"/>
      <c r="DT51" s="1146"/>
      <c r="DU51" s="1146"/>
      <c r="DV51" s="1146"/>
      <c r="DW51" s="1146"/>
      <c r="DX51" s="1146"/>
      <c r="DY51" s="1146"/>
      <c r="DZ51" s="1146"/>
      <c r="EA51" s="1147">
        <f t="shared" si="83"/>
        <v>0</v>
      </c>
      <c r="EB51" s="1148">
        <f t="shared" si="84"/>
        <v>0</v>
      </c>
      <c r="EC51" s="1190">
        <f t="shared" si="132"/>
        <v>45839</v>
      </c>
      <c r="ED51" s="1031">
        <f t="shared" si="16"/>
        <v>20</v>
      </c>
      <c r="EE51" s="1191"/>
      <c r="EF51" s="1032">
        <f t="shared" si="17"/>
        <v>45904</v>
      </c>
      <c r="EG51" s="1029">
        <f t="shared" si="85"/>
        <v>22</v>
      </c>
      <c r="EH51" s="859" t="s">
        <v>490</v>
      </c>
      <c r="EI51" s="859" t="s">
        <v>480</v>
      </c>
      <c r="EJ51" s="860">
        <f t="shared" si="18"/>
        <v>0</v>
      </c>
      <c r="EK51" s="860">
        <f t="shared" si="19"/>
        <v>0</v>
      </c>
      <c r="EL51" s="861">
        <f t="shared" si="20"/>
        <v>0</v>
      </c>
      <c r="EM51" s="1197"/>
      <c r="EN51" s="860"/>
      <c r="EO51" s="860"/>
      <c r="EP51" s="860">
        <f t="shared" si="21"/>
        <v>0</v>
      </c>
      <c r="EQ51" s="1197"/>
      <c r="ER51" s="1200"/>
      <c r="ES51" s="1197"/>
      <c r="ET51" s="1194" t="s">
        <v>205</v>
      </c>
      <c r="EU51" s="1197" t="b">
        <f t="shared" si="22"/>
        <v>1</v>
      </c>
      <c r="EV51" s="1197"/>
      <c r="EW51" s="1197"/>
      <c r="EX51" s="1197"/>
      <c r="EY51" s="1128" t="s">
        <v>483</v>
      </c>
      <c r="EZ51" s="1128" t="s">
        <v>484</v>
      </c>
      <c r="FA51" s="1169">
        <f t="shared" si="86"/>
        <v>0</v>
      </c>
      <c r="FI51" s="1309" t="s">
        <v>96</v>
      </c>
      <c r="FJ51" s="1159" t="s">
        <v>96</v>
      </c>
      <c r="FK51" s="1160" t="b">
        <f t="shared" si="87"/>
        <v>1</v>
      </c>
      <c r="FL51" s="1131"/>
      <c r="FM51" s="1161"/>
      <c r="FO51" s="1060"/>
      <c r="FP51" s="1324"/>
      <c r="FQ51" s="1325"/>
      <c r="FR51" s="1178"/>
      <c r="FT51" s="1072"/>
      <c r="FU51" s="1295"/>
      <c r="FV51" s="1295"/>
      <c r="FW51" s="1023">
        <v>0.15</v>
      </c>
      <c r="FX51" s="1162">
        <v>13992.593304018388</v>
      </c>
      <c r="FY51" s="1163">
        <v>14429.861844768962</v>
      </c>
      <c r="GA51" s="1164">
        <f t="shared" si="89"/>
        <v>3854194.7183402046</v>
      </c>
      <c r="GB51" s="1165">
        <f t="shared" si="90"/>
        <v>0.15</v>
      </c>
      <c r="GC51" s="1154">
        <f t="shared" si="91"/>
        <v>578129.20775103068</v>
      </c>
      <c r="GD51" s="1164">
        <f t="shared" si="92"/>
        <v>30000</v>
      </c>
      <c r="GE51" s="1154">
        <f t="shared" si="93"/>
        <v>548129.20775103068</v>
      </c>
      <c r="GF51" s="1060">
        <f t="shared" si="94"/>
        <v>35</v>
      </c>
      <c r="GG51" s="1166">
        <f t="shared" si="95"/>
        <v>15660.834507172305</v>
      </c>
      <c r="GI51" s="1164">
        <f t="shared" si="96"/>
        <v>3854194.7183402046</v>
      </c>
      <c r="GJ51" s="1154">
        <f t="shared" si="97"/>
        <v>385419.47183402046</v>
      </c>
      <c r="GK51" s="1154">
        <f t="shared" si="98"/>
        <v>96354.867958505114</v>
      </c>
      <c r="GL51" s="1166">
        <v>15000</v>
      </c>
      <c r="GM51" s="1154">
        <f t="shared" si="99"/>
        <v>370419.47183402046</v>
      </c>
      <c r="GN51" s="1060">
        <f t="shared" si="100"/>
        <v>35</v>
      </c>
      <c r="GO51" s="1154">
        <f t="shared" si="101"/>
        <v>10583.413480972013</v>
      </c>
      <c r="GS51" s="1010">
        <f t="shared" si="102"/>
        <v>3854194.7183402046</v>
      </c>
      <c r="GT51" s="1011">
        <f t="shared" si="103"/>
        <v>0.125</v>
      </c>
      <c r="GU51" s="1010">
        <f t="shared" si="104"/>
        <v>481774.33979252557</v>
      </c>
      <c r="GV51" s="1010">
        <f t="shared" si="105"/>
        <v>30000</v>
      </c>
      <c r="GW51" s="1010">
        <f t="shared" si="106"/>
        <v>451774.33979252557</v>
      </c>
      <c r="GX51" s="1010">
        <f t="shared" si="107"/>
        <v>13</v>
      </c>
      <c r="GY51" s="1010">
        <f t="shared" si="108"/>
        <v>34751.87229173274</v>
      </c>
      <c r="GZ51" s="1011">
        <f t="shared" si="109"/>
        <v>0.875</v>
      </c>
      <c r="HA51" s="1010">
        <f t="shared" si="110"/>
        <v>3372420.3785476792</v>
      </c>
      <c r="HB51" s="1010">
        <f t="shared" si="111"/>
        <v>26146.339299474181</v>
      </c>
      <c r="HC51" s="1010">
        <f t="shared" si="112"/>
        <v>30312.267774374977</v>
      </c>
      <c r="HD51" s="1010">
        <f t="shared" si="113"/>
        <v>39156.660143906745</v>
      </c>
      <c r="HE51" s="1010">
        <f t="shared" si="114"/>
        <v>66777.965477143327</v>
      </c>
      <c r="HG51" s="1010">
        <f t="shared" si="115"/>
        <v>3854194.7183402046</v>
      </c>
      <c r="HH51" s="1011">
        <f t="shared" si="116"/>
        <v>0.125</v>
      </c>
      <c r="HI51" s="1010">
        <f t="shared" si="117"/>
        <v>481774.33979252557</v>
      </c>
      <c r="HJ51" s="1010">
        <f t="shared" si="118"/>
        <v>30000</v>
      </c>
      <c r="HK51" s="1010">
        <f t="shared" si="119"/>
        <v>451774.33979252557</v>
      </c>
      <c r="HL51" s="1012">
        <f t="shared" si="120"/>
        <v>33</v>
      </c>
      <c r="HM51" s="1167">
        <f t="shared" si="121"/>
        <v>13690.131508864411</v>
      </c>
      <c r="HN51" s="1168">
        <f t="shared" si="122"/>
        <v>0.875</v>
      </c>
      <c r="HO51" s="1167">
        <f t="shared" si="123"/>
        <v>3372420.3785476792</v>
      </c>
      <c r="HP51" s="1146">
        <f t="shared" si="124"/>
        <v>26146.339299474181</v>
      </c>
      <c r="HQ51" s="1146">
        <f t="shared" si="125"/>
        <v>30312.267774374977</v>
      </c>
      <c r="HR51" s="1146">
        <f t="shared" si="126"/>
        <v>39156.660143906745</v>
      </c>
      <c r="HS51" s="1146">
        <f t="shared" si="127"/>
        <v>66777.965477143327</v>
      </c>
      <c r="HU51" s="1167">
        <f t="shared" si="128"/>
        <v>-21061.740782868328</v>
      </c>
      <c r="HX51" s="1154"/>
      <c r="HY51" s="1154"/>
      <c r="IB51" s="1154"/>
      <c r="IC51" s="1154"/>
      <c r="ID51" s="1154"/>
      <c r="IE51" s="1154"/>
      <c r="IG51" s="1060"/>
    </row>
    <row r="52" spans="1:241" ht="14.25" hidden="1" customHeight="1">
      <c r="A52" s="1186">
        <f t="shared" si="141"/>
        <v>46</v>
      </c>
      <c r="B52" s="824" t="s">
        <v>149</v>
      </c>
      <c r="C52" s="855">
        <f t="shared" si="180"/>
        <v>13</v>
      </c>
      <c r="D52" s="856" t="s">
        <v>498</v>
      </c>
      <c r="E52" s="857" t="str">
        <f t="shared" si="23"/>
        <v>4th Floor</v>
      </c>
      <c r="F52" s="1185"/>
      <c r="G52" s="764" t="s">
        <v>206</v>
      </c>
      <c r="H52" s="764" t="s">
        <v>525</v>
      </c>
      <c r="I52" s="764" t="s">
        <v>476</v>
      </c>
      <c r="J52" s="1139">
        <v>22</v>
      </c>
      <c r="K52" s="1142"/>
      <c r="L52" s="764" t="s">
        <v>500</v>
      </c>
      <c r="M52" s="764" t="s">
        <v>93</v>
      </c>
      <c r="N52" s="856">
        <f t="shared" si="24"/>
        <v>100909.09090909091</v>
      </c>
      <c r="O52" s="1138">
        <f t="shared" si="136"/>
        <v>2220000</v>
      </c>
      <c r="P52" s="1138">
        <f t="shared" si="142"/>
        <v>22400</v>
      </c>
      <c r="Q52" s="1138">
        <f t="shared" si="8"/>
        <v>50000</v>
      </c>
      <c r="R52" s="1138"/>
      <c r="S52" s="1138"/>
      <c r="T52" s="1138"/>
      <c r="U52" s="1138"/>
      <c r="V52" s="1138"/>
      <c r="W52" s="858"/>
      <c r="X52" s="1138"/>
      <c r="Y52" s="1138"/>
      <c r="Z52" s="1138">
        <f t="shared" si="137"/>
        <v>75000</v>
      </c>
      <c r="AA52" s="1138">
        <f t="shared" si="138"/>
        <v>147400</v>
      </c>
      <c r="AB52" s="1138">
        <f t="shared" si="28"/>
        <v>2367400</v>
      </c>
      <c r="AC52" s="1138">
        <f t="shared" si="29"/>
        <v>59185</v>
      </c>
      <c r="AD52" s="1138">
        <f t="shared" si="30"/>
        <v>2426585</v>
      </c>
      <c r="AE52" s="1138">
        <f t="shared" si="31"/>
        <v>60664.625</v>
      </c>
      <c r="AF52" s="1138">
        <f t="shared" si="32"/>
        <v>2487249.625</v>
      </c>
      <c r="AG52" s="1138">
        <f t="shared" si="33"/>
        <v>62181.240625000006</v>
      </c>
      <c r="AH52" s="1138">
        <f t="shared" si="34"/>
        <v>2549430.8656250001</v>
      </c>
      <c r="AI52" s="1138">
        <f t="shared" si="144"/>
        <v>127471.54328125001</v>
      </c>
      <c r="AJ52" s="1138">
        <f t="shared" si="35"/>
        <v>2676902.4089062503</v>
      </c>
      <c r="AK52" s="1138">
        <f t="shared" si="36"/>
        <v>26769.024089062503</v>
      </c>
      <c r="AL52" s="1138">
        <f t="shared" si="37"/>
        <v>27537.409960060559</v>
      </c>
      <c r="AM52" s="1138"/>
      <c r="AN52" s="1138"/>
      <c r="AO52" s="1138">
        <f t="shared" si="38"/>
        <v>2731208.8429553732</v>
      </c>
      <c r="AP52" s="1138">
        <f t="shared" si="39"/>
        <v>368713.19379897544</v>
      </c>
      <c r="AQ52" s="1248">
        <f t="shared" si="40"/>
        <v>3099922.0367543488</v>
      </c>
      <c r="AR52" s="1248">
        <f t="shared" si="194"/>
        <v>3099922.0367543488</v>
      </c>
      <c r="AS52" s="1248"/>
      <c r="AT52" s="1248"/>
      <c r="AU52" s="1248">
        <f t="shared" si="42"/>
        <v>0</v>
      </c>
      <c r="AV52" s="1140">
        <f t="shared" si="43"/>
        <v>0</v>
      </c>
      <c r="AW52" s="1140">
        <f t="shared" si="44"/>
        <v>3099922.0367543488</v>
      </c>
      <c r="AX52" s="1139">
        <f t="shared" si="45"/>
        <v>38749.025459429358</v>
      </c>
      <c r="AY52" s="831" t="s">
        <v>478</v>
      </c>
      <c r="AZ52" s="831">
        <f t="shared" si="46"/>
        <v>3138671.062213778</v>
      </c>
      <c r="BA52" s="831">
        <f t="shared" si="47"/>
        <v>117700.16483301668</v>
      </c>
      <c r="BB52" s="831"/>
      <c r="BC52" s="831">
        <f t="shared" si="189"/>
        <v>33600</v>
      </c>
      <c r="BD52" s="831"/>
      <c r="BE52" s="831">
        <f t="shared" si="48"/>
        <v>3289971.2270467947</v>
      </c>
      <c r="BF52" s="831"/>
      <c r="BG52" s="831">
        <f t="shared" si="49"/>
        <v>3289971.2270467947</v>
      </c>
      <c r="BH52" s="831"/>
      <c r="BI52" s="831">
        <f t="shared" si="50"/>
        <v>3289971.2270467947</v>
      </c>
      <c r="BJ52" s="831"/>
      <c r="BK52" s="831">
        <f t="shared" si="51"/>
        <v>3289971.2270467947</v>
      </c>
      <c r="BL52" s="831"/>
      <c r="BM52" s="831">
        <f t="shared" si="52"/>
        <v>3289971.2270467947</v>
      </c>
      <c r="BN52" s="831"/>
      <c r="BO52" s="831">
        <f t="shared" si="53"/>
        <v>3289971.2270467947</v>
      </c>
      <c r="BP52" s="831"/>
      <c r="BQ52" s="831">
        <f t="shared" si="54"/>
        <v>3289971.2270467947</v>
      </c>
      <c r="BR52" s="831"/>
      <c r="BS52" s="831">
        <f t="shared" si="55"/>
        <v>3289971.2270467947</v>
      </c>
      <c r="BT52" s="831"/>
      <c r="BU52" s="831">
        <f t="shared" si="56"/>
        <v>3289971.2270467947</v>
      </c>
      <c r="BV52" s="831"/>
      <c r="BW52" s="831">
        <f t="shared" si="57"/>
        <v>56400</v>
      </c>
      <c r="BX52" s="831">
        <f t="shared" si="58"/>
        <v>3346371.2270467947</v>
      </c>
      <c r="BY52" s="831"/>
      <c r="BZ52" s="831">
        <f t="shared" si="59"/>
        <v>3346371.2270467947</v>
      </c>
      <c r="CA52" s="1260">
        <f t="shared" si="60"/>
        <v>3346371.2270467947</v>
      </c>
      <c r="CB52" s="1260">
        <f t="shared" si="61"/>
        <v>3346371.2270467947</v>
      </c>
      <c r="CC52" s="1260"/>
      <c r="CD52" s="1260">
        <f t="shared" si="62"/>
        <v>0</v>
      </c>
      <c r="CE52" s="1260">
        <f t="shared" si="63"/>
        <v>0</v>
      </c>
      <c r="CF52" s="1260">
        <f t="shared" si="64"/>
        <v>0</v>
      </c>
      <c r="CG52" s="1266">
        <f t="shared" si="65"/>
        <v>3346371.2270467947</v>
      </c>
      <c r="CH52" s="1141">
        <f t="shared" si="66"/>
        <v>3346371.2270467947</v>
      </c>
      <c r="CI52" s="1142">
        <f t="shared" si="67"/>
        <v>0</v>
      </c>
      <c r="CJ52" s="1141">
        <f t="shared" si="68"/>
        <v>343003.05077229644</v>
      </c>
      <c r="CK52" s="1141">
        <f t="shared" si="69"/>
        <v>117122.99294663782</v>
      </c>
      <c r="CL52" s="1143">
        <f t="shared" si="139"/>
        <v>3806497.2707657288</v>
      </c>
      <c r="CM52" s="1144">
        <f t="shared" si="71"/>
        <v>0.125</v>
      </c>
      <c r="CN52" s="1141">
        <f t="shared" si="72"/>
        <v>475812.1588457161</v>
      </c>
      <c r="CO52" s="1141">
        <f t="shared" si="73"/>
        <v>30000</v>
      </c>
      <c r="CP52" s="1141">
        <f t="shared" si="74"/>
        <v>445812.1588457161</v>
      </c>
      <c r="CQ52" s="1145">
        <f t="shared" si="75"/>
        <v>13</v>
      </c>
      <c r="CR52" s="1141">
        <f t="shared" si="76"/>
        <v>34293.242988132006</v>
      </c>
      <c r="CS52" s="1144">
        <f t="shared" si="77"/>
        <v>0.875</v>
      </c>
      <c r="CT52" s="1141">
        <f t="shared" si="78"/>
        <v>3330685.1119200126</v>
      </c>
      <c r="CU52" s="1146">
        <f t="shared" si="12"/>
        <v>25822.76622153218</v>
      </c>
      <c r="CV52" s="1146">
        <f t="shared" si="13"/>
        <v>29937.139399009873</v>
      </c>
      <c r="CW52" s="1146">
        <f t="shared" si="14"/>
        <v>38672.078310114535</v>
      </c>
      <c r="CX52" s="1146">
        <f t="shared" si="15"/>
        <v>65951.557176514485</v>
      </c>
      <c r="CY52" s="1146">
        <f t="shared" si="79"/>
        <v>270562.13827147207</v>
      </c>
      <c r="CZ52" s="1146">
        <f t="shared" si="80"/>
        <v>107060.12013017652</v>
      </c>
      <c r="DA52" s="1146">
        <f t="shared" si="81"/>
        <v>77328.008456711017</v>
      </c>
      <c r="DB52" s="1146">
        <f t="shared" si="82"/>
        <v>58850.174433200184</v>
      </c>
      <c r="DC52" s="1146"/>
      <c r="DD52" s="1146"/>
      <c r="DE52" s="1146"/>
      <c r="DF52" s="1146"/>
      <c r="DG52" s="1146"/>
      <c r="DH52" s="1146"/>
      <c r="DI52" s="1146"/>
      <c r="DJ52" s="1146"/>
      <c r="DK52" s="1146"/>
      <c r="DL52" s="1146"/>
      <c r="DM52" s="1146"/>
      <c r="DN52" s="1146"/>
      <c r="DO52" s="1146"/>
      <c r="DP52" s="1146"/>
      <c r="DQ52" s="1146"/>
      <c r="DR52" s="1146"/>
      <c r="DS52" s="1146"/>
      <c r="DT52" s="1146"/>
      <c r="DU52" s="1146"/>
      <c r="DV52" s="1146"/>
      <c r="DW52" s="1146"/>
      <c r="DX52" s="1146"/>
      <c r="DY52" s="1146"/>
      <c r="DZ52" s="1146"/>
      <c r="EA52" s="1147">
        <f t="shared" si="83"/>
        <v>0</v>
      </c>
      <c r="EB52" s="1148">
        <f t="shared" si="84"/>
        <v>0</v>
      </c>
      <c r="EC52" s="1190">
        <f t="shared" si="132"/>
        <v>45839</v>
      </c>
      <c r="ED52" s="1031">
        <f t="shared" si="16"/>
        <v>20</v>
      </c>
      <c r="EE52" s="1191"/>
      <c r="EF52" s="1032">
        <f t="shared" si="17"/>
        <v>45904</v>
      </c>
      <c r="EG52" s="1029">
        <f t="shared" si="85"/>
        <v>22</v>
      </c>
      <c r="EH52" s="859" t="s">
        <v>490</v>
      </c>
      <c r="EI52" s="859" t="s">
        <v>480</v>
      </c>
      <c r="EJ52" s="860">
        <f t="shared" si="18"/>
        <v>0</v>
      </c>
      <c r="EK52" s="860">
        <f t="shared" si="19"/>
        <v>0</v>
      </c>
      <c r="EL52" s="861">
        <f t="shared" si="20"/>
        <v>0</v>
      </c>
      <c r="EM52" s="1197"/>
      <c r="EN52" s="860"/>
      <c r="EO52" s="860"/>
      <c r="EP52" s="860">
        <f t="shared" si="21"/>
        <v>0</v>
      </c>
      <c r="EQ52" s="1197"/>
      <c r="ER52" s="1200"/>
      <c r="ES52" s="1197"/>
      <c r="ET52" s="1194" t="s">
        <v>206</v>
      </c>
      <c r="EU52" s="1197" t="b">
        <f t="shared" si="22"/>
        <v>1</v>
      </c>
      <c r="EV52" s="1201" t="s">
        <v>563</v>
      </c>
      <c r="EW52" s="1202" t="s">
        <v>482</v>
      </c>
      <c r="EX52" s="1197"/>
      <c r="EY52" s="1128" t="s">
        <v>483</v>
      </c>
      <c r="EZ52" s="1128" t="s">
        <v>484</v>
      </c>
      <c r="FA52" s="1169">
        <f t="shared" si="86"/>
        <v>0</v>
      </c>
      <c r="FI52" s="1309" t="s">
        <v>149</v>
      </c>
      <c r="FJ52" s="1159" t="s">
        <v>149</v>
      </c>
      <c r="FK52" s="1160" t="b">
        <f t="shared" si="87"/>
        <v>1</v>
      </c>
      <c r="FL52" s="1131"/>
      <c r="FM52" s="1161"/>
      <c r="FO52" s="1060"/>
      <c r="FP52" s="1169"/>
      <c r="FQ52" s="1203"/>
      <c r="FU52" s="1295"/>
      <c r="FV52" s="1295"/>
      <c r="FW52" s="1023">
        <v>0.15</v>
      </c>
      <c r="FX52" s="1162">
        <v>13992.593304018388</v>
      </c>
      <c r="FY52" s="1163">
        <v>14429.861844768962</v>
      </c>
      <c r="GA52" s="1164">
        <f t="shared" si="89"/>
        <v>3806497.2707657288</v>
      </c>
      <c r="GB52" s="1165">
        <f t="shared" si="90"/>
        <v>0.15</v>
      </c>
      <c r="GC52" s="1154">
        <f t="shared" si="91"/>
        <v>570974.59061485925</v>
      </c>
      <c r="GD52" s="1164">
        <f t="shared" si="92"/>
        <v>30000</v>
      </c>
      <c r="GE52" s="1154">
        <f t="shared" si="93"/>
        <v>540974.59061485925</v>
      </c>
      <c r="GF52" s="1060">
        <f t="shared" si="94"/>
        <v>35</v>
      </c>
      <c r="GG52" s="1166">
        <f t="shared" si="95"/>
        <v>15456.416874710265</v>
      </c>
      <c r="GI52" s="1164">
        <f t="shared" si="96"/>
        <v>3806497.2707657288</v>
      </c>
      <c r="GJ52" s="1154">
        <f t="shared" si="97"/>
        <v>380649.72707657289</v>
      </c>
      <c r="GK52" s="1154">
        <f t="shared" si="98"/>
        <v>95162.431769143222</v>
      </c>
      <c r="GL52" s="1166">
        <v>15000</v>
      </c>
      <c r="GM52" s="1154">
        <f t="shared" si="99"/>
        <v>365649.72707657289</v>
      </c>
      <c r="GN52" s="1060">
        <f t="shared" si="100"/>
        <v>35</v>
      </c>
      <c r="GO52" s="1154">
        <f t="shared" si="101"/>
        <v>10447.135059330654</v>
      </c>
      <c r="GS52" s="1010">
        <f t="shared" si="102"/>
        <v>3806497.2707657288</v>
      </c>
      <c r="GT52" s="1011">
        <f t="shared" si="103"/>
        <v>0.125</v>
      </c>
      <c r="GU52" s="1010">
        <f t="shared" si="104"/>
        <v>475812.1588457161</v>
      </c>
      <c r="GV52" s="1010">
        <f t="shared" si="105"/>
        <v>30000</v>
      </c>
      <c r="GW52" s="1010">
        <f t="shared" si="106"/>
        <v>445812.1588457161</v>
      </c>
      <c r="GX52" s="1010">
        <f t="shared" si="107"/>
        <v>13</v>
      </c>
      <c r="GY52" s="1010">
        <f t="shared" si="108"/>
        <v>34293.242988132006</v>
      </c>
      <c r="GZ52" s="1011">
        <f t="shared" si="109"/>
        <v>0.875</v>
      </c>
      <c r="HA52" s="1010">
        <f t="shared" si="110"/>
        <v>3330685.1119200126</v>
      </c>
      <c r="HB52" s="1010">
        <f t="shared" si="111"/>
        <v>25822.76622153218</v>
      </c>
      <c r="HC52" s="1010">
        <f t="shared" si="112"/>
        <v>29937.139399009873</v>
      </c>
      <c r="HD52" s="1010">
        <f t="shared" si="113"/>
        <v>38672.078310114535</v>
      </c>
      <c r="HE52" s="1010">
        <f t="shared" si="114"/>
        <v>65951.557176514485</v>
      </c>
      <c r="HG52" s="1010">
        <f t="shared" si="115"/>
        <v>3806497.2707657288</v>
      </c>
      <c r="HH52" s="1011">
        <f t="shared" si="116"/>
        <v>0.125</v>
      </c>
      <c r="HI52" s="1010">
        <f t="shared" si="117"/>
        <v>475812.1588457161</v>
      </c>
      <c r="HJ52" s="1010">
        <f t="shared" si="118"/>
        <v>30000</v>
      </c>
      <c r="HK52" s="1010">
        <f t="shared" si="119"/>
        <v>445812.1588457161</v>
      </c>
      <c r="HL52" s="1012">
        <f t="shared" si="120"/>
        <v>33</v>
      </c>
      <c r="HM52" s="1167">
        <f t="shared" si="121"/>
        <v>13509.459358961094</v>
      </c>
      <c r="HN52" s="1168">
        <f t="shared" si="122"/>
        <v>0.875</v>
      </c>
      <c r="HO52" s="1167">
        <f t="shared" si="123"/>
        <v>3330685.1119200126</v>
      </c>
      <c r="HP52" s="1146">
        <f t="shared" si="124"/>
        <v>25822.76622153218</v>
      </c>
      <c r="HQ52" s="1146">
        <f t="shared" si="125"/>
        <v>29937.139399009873</v>
      </c>
      <c r="HR52" s="1146">
        <f t="shared" si="126"/>
        <v>38672.078310114535</v>
      </c>
      <c r="HS52" s="1146">
        <f t="shared" si="127"/>
        <v>65951.557176514485</v>
      </c>
      <c r="HU52" s="1167">
        <f t="shared" si="128"/>
        <v>-20783.78362917091</v>
      </c>
      <c r="HX52" s="1154"/>
      <c r="HY52" s="1154"/>
      <c r="IB52" s="1154"/>
      <c r="IC52" s="1154"/>
      <c r="ID52" s="1154"/>
      <c r="IE52" s="1154"/>
      <c r="IG52" s="1060"/>
    </row>
    <row r="53" spans="1:241" ht="14.25" hidden="1" customHeight="1">
      <c r="A53" s="1186">
        <f t="shared" si="141"/>
        <v>47</v>
      </c>
      <c r="B53" s="824" t="s">
        <v>149</v>
      </c>
      <c r="C53" s="855">
        <f t="shared" si="180"/>
        <v>14</v>
      </c>
      <c r="D53" s="856" t="s">
        <v>498</v>
      </c>
      <c r="E53" s="857" t="str">
        <f t="shared" si="23"/>
        <v>4th Floor</v>
      </c>
      <c r="F53" s="1185"/>
      <c r="G53" s="764" t="s">
        <v>207</v>
      </c>
      <c r="H53" s="764" t="s">
        <v>529</v>
      </c>
      <c r="I53" s="764" t="s">
        <v>476</v>
      </c>
      <c r="J53" s="1139">
        <v>22</v>
      </c>
      <c r="K53" s="1142"/>
      <c r="L53" s="764" t="s">
        <v>500</v>
      </c>
      <c r="M53" s="764" t="s">
        <v>93</v>
      </c>
      <c r="N53" s="856">
        <f t="shared" si="24"/>
        <v>100909.09090909091</v>
      </c>
      <c r="O53" s="1138">
        <f t="shared" si="136"/>
        <v>2220000</v>
      </c>
      <c r="P53" s="1138">
        <f t="shared" si="142"/>
        <v>22400</v>
      </c>
      <c r="Q53" s="1138">
        <f t="shared" si="8"/>
        <v>50000</v>
      </c>
      <c r="R53" s="1138"/>
      <c r="S53" s="1138"/>
      <c r="T53" s="1138"/>
      <c r="U53" s="1138"/>
      <c r="V53" s="1138"/>
      <c r="W53" s="1138"/>
      <c r="X53" s="1138"/>
      <c r="Y53" s="1138"/>
      <c r="Z53" s="1138">
        <f t="shared" si="137"/>
        <v>75000</v>
      </c>
      <c r="AA53" s="1138">
        <f t="shared" si="138"/>
        <v>147400</v>
      </c>
      <c r="AB53" s="1138">
        <f t="shared" si="28"/>
        <v>2367400</v>
      </c>
      <c r="AC53" s="1138">
        <f t="shared" si="29"/>
        <v>59185</v>
      </c>
      <c r="AD53" s="1138">
        <f t="shared" si="30"/>
        <v>2426585</v>
      </c>
      <c r="AE53" s="1138">
        <f t="shared" si="31"/>
        <v>60664.625</v>
      </c>
      <c r="AF53" s="1138">
        <f t="shared" si="32"/>
        <v>2487249.625</v>
      </c>
      <c r="AG53" s="1138">
        <f t="shared" si="33"/>
        <v>62181.240625000006</v>
      </c>
      <c r="AH53" s="1138">
        <f t="shared" si="34"/>
        <v>2549430.8656250001</v>
      </c>
      <c r="AI53" s="1138">
        <f t="shared" si="144"/>
        <v>127471.54328125001</v>
      </c>
      <c r="AJ53" s="1138">
        <f t="shared" si="35"/>
        <v>2676902.4089062503</v>
      </c>
      <c r="AK53" s="1138">
        <f t="shared" si="36"/>
        <v>26769.024089062503</v>
      </c>
      <c r="AL53" s="1138">
        <f t="shared" si="37"/>
        <v>27537.409960060559</v>
      </c>
      <c r="AM53" s="1138"/>
      <c r="AN53" s="1138"/>
      <c r="AO53" s="1138">
        <f t="shared" si="38"/>
        <v>2731208.8429553732</v>
      </c>
      <c r="AP53" s="1138">
        <f t="shared" si="39"/>
        <v>368713.19379897544</v>
      </c>
      <c r="AQ53" s="1248">
        <f t="shared" si="40"/>
        <v>3099922.0367543488</v>
      </c>
      <c r="AR53" s="1248">
        <f t="shared" si="194"/>
        <v>3099922.0367543488</v>
      </c>
      <c r="AS53" s="1248"/>
      <c r="AT53" s="1248"/>
      <c r="AU53" s="1248">
        <f t="shared" si="42"/>
        <v>0</v>
      </c>
      <c r="AV53" s="1140">
        <f t="shared" si="43"/>
        <v>0</v>
      </c>
      <c r="AW53" s="1140">
        <f t="shared" si="44"/>
        <v>3099922.0367543488</v>
      </c>
      <c r="AX53" s="1139">
        <f t="shared" si="45"/>
        <v>38749.025459429358</v>
      </c>
      <c r="AY53" s="831" t="s">
        <v>478</v>
      </c>
      <c r="AZ53" s="831">
        <f t="shared" si="46"/>
        <v>3138671.062213778</v>
      </c>
      <c r="BA53" s="831">
        <f t="shared" si="47"/>
        <v>117700.16483301668</v>
      </c>
      <c r="BB53" s="831"/>
      <c r="BC53" s="831">
        <f t="shared" si="189"/>
        <v>33600</v>
      </c>
      <c r="BD53" s="831"/>
      <c r="BE53" s="831">
        <f t="shared" si="48"/>
        <v>3289971.2270467947</v>
      </c>
      <c r="BF53" s="831"/>
      <c r="BG53" s="831">
        <f t="shared" si="49"/>
        <v>3289971.2270467947</v>
      </c>
      <c r="BH53" s="831"/>
      <c r="BI53" s="831">
        <f t="shared" si="50"/>
        <v>3289971.2270467947</v>
      </c>
      <c r="BJ53" s="831"/>
      <c r="BK53" s="831">
        <f t="shared" si="51"/>
        <v>3289971.2270467947</v>
      </c>
      <c r="BL53" s="831"/>
      <c r="BM53" s="831">
        <f t="shared" si="52"/>
        <v>3289971.2270467947</v>
      </c>
      <c r="BN53" s="831"/>
      <c r="BO53" s="831">
        <f t="shared" si="53"/>
        <v>3289971.2270467947</v>
      </c>
      <c r="BP53" s="831"/>
      <c r="BQ53" s="831">
        <f t="shared" si="54"/>
        <v>3289971.2270467947</v>
      </c>
      <c r="BR53" s="831"/>
      <c r="BS53" s="831">
        <f t="shared" si="55"/>
        <v>3289971.2270467947</v>
      </c>
      <c r="BT53" s="831"/>
      <c r="BU53" s="831">
        <f t="shared" si="56"/>
        <v>3289971.2270467947</v>
      </c>
      <c r="BV53" s="831"/>
      <c r="BW53" s="831">
        <f t="shared" si="57"/>
        <v>56400</v>
      </c>
      <c r="BX53" s="831">
        <f t="shared" si="58"/>
        <v>3346371.2270467947</v>
      </c>
      <c r="BY53" s="831"/>
      <c r="BZ53" s="831">
        <f t="shared" si="59"/>
        <v>3346371.2270467947</v>
      </c>
      <c r="CA53" s="1260">
        <f t="shared" si="60"/>
        <v>3346371.2270467947</v>
      </c>
      <c r="CB53" s="1260">
        <f t="shared" si="61"/>
        <v>3346371.2270467947</v>
      </c>
      <c r="CC53" s="1260"/>
      <c r="CD53" s="1260">
        <f t="shared" si="62"/>
        <v>0</v>
      </c>
      <c r="CE53" s="1260">
        <f t="shared" si="63"/>
        <v>0</v>
      </c>
      <c r="CF53" s="1260">
        <f t="shared" si="64"/>
        <v>0</v>
      </c>
      <c r="CG53" s="1266">
        <f t="shared" si="65"/>
        <v>3346371.2270467947</v>
      </c>
      <c r="CH53" s="1141">
        <f t="shared" si="66"/>
        <v>3346371.2270467947</v>
      </c>
      <c r="CI53" s="1142">
        <f t="shared" si="67"/>
        <v>0</v>
      </c>
      <c r="CJ53" s="1141">
        <f t="shared" si="68"/>
        <v>343003.05077229644</v>
      </c>
      <c r="CK53" s="1141">
        <f t="shared" si="69"/>
        <v>117122.99294663782</v>
      </c>
      <c r="CL53" s="1143">
        <f t="shared" si="139"/>
        <v>3806497.2707657288</v>
      </c>
      <c r="CM53" s="1144">
        <f t="shared" si="71"/>
        <v>0.125</v>
      </c>
      <c r="CN53" s="1141">
        <f t="shared" si="72"/>
        <v>475812.1588457161</v>
      </c>
      <c r="CO53" s="1141">
        <f t="shared" si="73"/>
        <v>30000</v>
      </c>
      <c r="CP53" s="1141">
        <f t="shared" si="74"/>
        <v>445812.1588457161</v>
      </c>
      <c r="CQ53" s="1145">
        <f t="shared" si="75"/>
        <v>13</v>
      </c>
      <c r="CR53" s="1141">
        <f t="shared" si="76"/>
        <v>34293.242988132006</v>
      </c>
      <c r="CS53" s="1144">
        <f t="shared" si="77"/>
        <v>0.875</v>
      </c>
      <c r="CT53" s="1141">
        <f t="shared" si="78"/>
        <v>3330685.1119200126</v>
      </c>
      <c r="CU53" s="1146">
        <f t="shared" si="12"/>
        <v>25822.76622153218</v>
      </c>
      <c r="CV53" s="1146">
        <f t="shared" si="13"/>
        <v>29937.139399009873</v>
      </c>
      <c r="CW53" s="1146">
        <f t="shared" si="14"/>
        <v>38672.078310114535</v>
      </c>
      <c r="CX53" s="1146">
        <f t="shared" si="15"/>
        <v>65951.557176514485</v>
      </c>
      <c r="CY53" s="1146">
        <f t="shared" si="79"/>
        <v>270562.13827147207</v>
      </c>
      <c r="CZ53" s="1146">
        <f t="shared" si="80"/>
        <v>107060.12013017652</v>
      </c>
      <c r="DA53" s="1146">
        <f t="shared" si="81"/>
        <v>77328.008456711017</v>
      </c>
      <c r="DB53" s="1146">
        <f t="shared" si="82"/>
        <v>58850.174433200184</v>
      </c>
      <c r="DC53" s="1146"/>
      <c r="DD53" s="1146"/>
      <c r="DE53" s="1146"/>
      <c r="DF53" s="1146"/>
      <c r="DG53" s="1146"/>
      <c r="DH53" s="1146"/>
      <c r="DI53" s="1146"/>
      <c r="DJ53" s="1146"/>
      <c r="DK53" s="1146"/>
      <c r="DL53" s="1146"/>
      <c r="DM53" s="1146"/>
      <c r="DN53" s="1146"/>
      <c r="DO53" s="1146"/>
      <c r="DP53" s="1146"/>
      <c r="DQ53" s="1146"/>
      <c r="DR53" s="1146"/>
      <c r="DS53" s="1146"/>
      <c r="DT53" s="1146"/>
      <c r="DU53" s="1146"/>
      <c r="DV53" s="1146"/>
      <c r="DW53" s="1146"/>
      <c r="DX53" s="1146"/>
      <c r="DY53" s="1146"/>
      <c r="DZ53" s="1146"/>
      <c r="EA53" s="1147">
        <f t="shared" si="83"/>
        <v>0</v>
      </c>
      <c r="EB53" s="1148">
        <f t="shared" si="84"/>
        <v>0</v>
      </c>
      <c r="EC53" s="1190">
        <f t="shared" si="132"/>
        <v>45839</v>
      </c>
      <c r="ED53" s="1031">
        <f t="shared" si="16"/>
        <v>20</v>
      </c>
      <c r="EE53" s="1191"/>
      <c r="EF53" s="1032">
        <f t="shared" si="17"/>
        <v>45904</v>
      </c>
      <c r="EG53" s="1029">
        <f t="shared" si="85"/>
        <v>22</v>
      </c>
      <c r="EH53" s="859" t="s">
        <v>490</v>
      </c>
      <c r="EI53" s="859" t="s">
        <v>480</v>
      </c>
      <c r="EJ53" s="860">
        <f t="shared" si="18"/>
        <v>0</v>
      </c>
      <c r="EK53" s="860">
        <f t="shared" si="19"/>
        <v>0</v>
      </c>
      <c r="EL53" s="861">
        <f t="shared" si="20"/>
        <v>0</v>
      </c>
      <c r="EM53" s="1197"/>
      <c r="EN53" s="860"/>
      <c r="EO53" s="860"/>
      <c r="EP53" s="860">
        <f t="shared" si="21"/>
        <v>0</v>
      </c>
      <c r="EQ53" s="1197"/>
      <c r="ER53" s="1200"/>
      <c r="ES53" s="1197"/>
      <c r="ET53" s="1194" t="s">
        <v>207</v>
      </c>
      <c r="EU53" s="1197" t="b">
        <f t="shared" si="22"/>
        <v>1</v>
      </c>
      <c r="EV53" s="1201" t="s">
        <v>564</v>
      </c>
      <c r="EW53" s="1202" t="s">
        <v>482</v>
      </c>
      <c r="EX53" s="1197"/>
      <c r="EY53" s="1128" t="s">
        <v>483</v>
      </c>
      <c r="EZ53" s="1128" t="s">
        <v>484</v>
      </c>
      <c r="FA53" s="1169">
        <f t="shared" si="86"/>
        <v>0</v>
      </c>
      <c r="FI53" s="1309" t="s">
        <v>149</v>
      </c>
      <c r="FJ53" s="1159" t="s">
        <v>149</v>
      </c>
      <c r="FK53" s="1160" t="b">
        <f t="shared" si="87"/>
        <v>1</v>
      </c>
      <c r="FL53" s="1131"/>
      <c r="FM53" s="1161"/>
      <c r="FO53" s="888"/>
      <c r="FP53" s="1169"/>
      <c r="FQ53" s="1203"/>
      <c r="FU53" s="1295"/>
      <c r="FV53" s="1295"/>
      <c r="FW53" s="1023">
        <v>0.125</v>
      </c>
      <c r="FX53" s="1162">
        <v>11584.736844257748</v>
      </c>
      <c r="FY53" s="1163">
        <v>11946.759870640803</v>
      </c>
      <c r="GA53" s="1164">
        <f t="shared" si="89"/>
        <v>3806497.2707657288</v>
      </c>
      <c r="GB53" s="1165">
        <f t="shared" si="90"/>
        <v>0.15</v>
      </c>
      <c r="GC53" s="1154">
        <f t="shared" si="91"/>
        <v>570974.59061485925</v>
      </c>
      <c r="GD53" s="1164">
        <f t="shared" si="92"/>
        <v>30000</v>
      </c>
      <c r="GE53" s="1154">
        <f t="shared" si="93"/>
        <v>540974.59061485925</v>
      </c>
      <c r="GF53" s="1060">
        <f t="shared" si="94"/>
        <v>35</v>
      </c>
      <c r="GG53" s="1166">
        <f t="shared" si="95"/>
        <v>15456.416874710265</v>
      </c>
      <c r="GI53" s="1164">
        <f t="shared" si="96"/>
        <v>3806497.2707657288</v>
      </c>
      <c r="GJ53" s="1154">
        <f t="shared" si="97"/>
        <v>380649.72707657289</v>
      </c>
      <c r="GK53" s="1154">
        <f t="shared" si="98"/>
        <v>95162.431769143222</v>
      </c>
      <c r="GL53" s="1166">
        <v>15000</v>
      </c>
      <c r="GM53" s="1154">
        <f t="shared" si="99"/>
        <v>365649.72707657289</v>
      </c>
      <c r="GN53" s="1060">
        <f t="shared" si="100"/>
        <v>35</v>
      </c>
      <c r="GO53" s="1154">
        <f t="shared" si="101"/>
        <v>10447.135059330654</v>
      </c>
      <c r="GS53" s="1010">
        <f t="shared" si="102"/>
        <v>3806497.2707657288</v>
      </c>
      <c r="GT53" s="1011">
        <f t="shared" si="103"/>
        <v>0.125</v>
      </c>
      <c r="GU53" s="1010">
        <f t="shared" si="104"/>
        <v>475812.1588457161</v>
      </c>
      <c r="GV53" s="1010">
        <f t="shared" si="105"/>
        <v>30000</v>
      </c>
      <c r="GW53" s="1010">
        <f t="shared" si="106"/>
        <v>445812.1588457161</v>
      </c>
      <c r="GX53" s="1010">
        <f t="shared" si="107"/>
        <v>13</v>
      </c>
      <c r="GY53" s="1010">
        <f t="shared" si="108"/>
        <v>34293.242988132006</v>
      </c>
      <c r="GZ53" s="1011">
        <f t="shared" si="109"/>
        <v>0.875</v>
      </c>
      <c r="HA53" s="1010">
        <f t="shared" si="110"/>
        <v>3330685.1119200126</v>
      </c>
      <c r="HB53" s="1010">
        <f t="shared" si="111"/>
        <v>25822.76622153218</v>
      </c>
      <c r="HC53" s="1010">
        <f t="shared" si="112"/>
        <v>29937.139399009873</v>
      </c>
      <c r="HD53" s="1010">
        <f t="shared" si="113"/>
        <v>38672.078310114535</v>
      </c>
      <c r="HE53" s="1010">
        <f t="shared" si="114"/>
        <v>65951.557176514485</v>
      </c>
      <c r="HG53" s="1010">
        <f t="shared" si="115"/>
        <v>3806497.2707657288</v>
      </c>
      <c r="HH53" s="1011">
        <f t="shared" si="116"/>
        <v>0.125</v>
      </c>
      <c r="HI53" s="1010">
        <f t="shared" si="117"/>
        <v>475812.1588457161</v>
      </c>
      <c r="HJ53" s="1010">
        <f t="shared" si="118"/>
        <v>30000</v>
      </c>
      <c r="HK53" s="1010">
        <f t="shared" si="119"/>
        <v>445812.1588457161</v>
      </c>
      <c r="HL53" s="1012">
        <f t="shared" si="120"/>
        <v>33</v>
      </c>
      <c r="HM53" s="1167">
        <f t="shared" si="121"/>
        <v>13509.459358961094</v>
      </c>
      <c r="HN53" s="1168">
        <f t="shared" si="122"/>
        <v>0.875</v>
      </c>
      <c r="HO53" s="1167">
        <f t="shared" si="123"/>
        <v>3330685.1119200126</v>
      </c>
      <c r="HP53" s="1146">
        <f t="shared" si="124"/>
        <v>25822.76622153218</v>
      </c>
      <c r="HQ53" s="1146">
        <f t="shared" si="125"/>
        <v>29937.139399009873</v>
      </c>
      <c r="HR53" s="1146">
        <f t="shared" si="126"/>
        <v>38672.078310114535</v>
      </c>
      <c r="HS53" s="1146">
        <f t="shared" si="127"/>
        <v>65951.557176514485</v>
      </c>
      <c r="HU53" s="1167">
        <f t="shared" si="128"/>
        <v>-20783.78362917091</v>
      </c>
      <c r="HX53" s="1154"/>
      <c r="HY53" s="1154"/>
      <c r="IB53" s="1154"/>
      <c r="IC53" s="1154"/>
      <c r="ID53" s="1154"/>
      <c r="IE53" s="1154"/>
      <c r="IG53" s="1060"/>
    </row>
    <row r="54" spans="1:241" ht="14.25" hidden="1" customHeight="1">
      <c r="A54" s="1186">
        <f t="shared" si="141"/>
        <v>48</v>
      </c>
      <c r="B54" s="824"/>
      <c r="C54" s="855">
        <f t="shared" si="180"/>
        <v>15</v>
      </c>
      <c r="D54" s="856" t="s">
        <v>498</v>
      </c>
      <c r="E54" s="857" t="str">
        <f t="shared" si="23"/>
        <v>4th Floor</v>
      </c>
      <c r="F54" s="1185"/>
      <c r="G54" s="764" t="s">
        <v>208</v>
      </c>
      <c r="H54" s="764" t="s">
        <v>533</v>
      </c>
      <c r="I54" s="764" t="s">
        <v>476</v>
      </c>
      <c r="J54" s="1139">
        <v>22</v>
      </c>
      <c r="K54" s="1142"/>
      <c r="L54" s="764" t="s">
        <v>500</v>
      </c>
      <c r="M54" s="764" t="s">
        <v>93</v>
      </c>
      <c r="N54" s="856">
        <f t="shared" si="24"/>
        <v>100909.09090909091</v>
      </c>
      <c r="O54" s="1138">
        <f t="shared" si="136"/>
        <v>2220000</v>
      </c>
      <c r="P54" s="1138">
        <f t="shared" si="142"/>
        <v>22400</v>
      </c>
      <c r="Q54" s="1138">
        <f t="shared" si="8"/>
        <v>50000</v>
      </c>
      <c r="R54" s="1138"/>
      <c r="S54" s="1138"/>
      <c r="T54" s="1138"/>
      <c r="U54" s="1138"/>
      <c r="V54" s="858"/>
      <c r="W54" s="858"/>
      <c r="X54" s="1138"/>
      <c r="Y54" s="1138"/>
      <c r="Z54" s="1138">
        <f t="shared" si="137"/>
        <v>75000</v>
      </c>
      <c r="AA54" s="1138">
        <f t="shared" si="138"/>
        <v>147400</v>
      </c>
      <c r="AB54" s="1138">
        <f t="shared" si="28"/>
        <v>2367400</v>
      </c>
      <c r="AC54" s="1138">
        <f t="shared" si="29"/>
        <v>59185</v>
      </c>
      <c r="AD54" s="1138">
        <f t="shared" si="30"/>
        <v>2426585</v>
      </c>
      <c r="AE54" s="1138">
        <f t="shared" si="31"/>
        <v>60664.625</v>
      </c>
      <c r="AF54" s="1138">
        <f t="shared" si="32"/>
        <v>2487249.625</v>
      </c>
      <c r="AG54" s="1138">
        <f t="shared" si="33"/>
        <v>62181.240625000006</v>
      </c>
      <c r="AH54" s="1138">
        <f t="shared" si="34"/>
        <v>2549430.8656250001</v>
      </c>
      <c r="AI54" s="1138">
        <f t="shared" si="144"/>
        <v>127471.54328125001</v>
      </c>
      <c r="AJ54" s="1138">
        <f t="shared" si="35"/>
        <v>2676902.4089062503</v>
      </c>
      <c r="AK54" s="1138">
        <f t="shared" si="36"/>
        <v>26769.024089062503</v>
      </c>
      <c r="AL54" s="1138">
        <f t="shared" si="37"/>
        <v>27537.409960060559</v>
      </c>
      <c r="AM54" s="1138"/>
      <c r="AN54" s="1138"/>
      <c r="AO54" s="1138">
        <f t="shared" si="38"/>
        <v>2731208.8429553732</v>
      </c>
      <c r="AP54" s="1138">
        <f t="shared" si="39"/>
        <v>368713.19379897544</v>
      </c>
      <c r="AQ54" s="1248">
        <f t="shared" si="40"/>
        <v>3099922.0367543488</v>
      </c>
      <c r="AR54" s="1248">
        <f t="shared" si="194"/>
        <v>3099922.0367543488</v>
      </c>
      <c r="AS54" s="1248"/>
      <c r="AT54" s="1248"/>
      <c r="AU54" s="1248">
        <f t="shared" si="42"/>
        <v>0</v>
      </c>
      <c r="AV54" s="1140">
        <f t="shared" si="43"/>
        <v>0</v>
      </c>
      <c r="AW54" s="1140">
        <f t="shared" si="44"/>
        <v>3099922.0367543488</v>
      </c>
      <c r="AX54" s="1139">
        <f t="shared" si="45"/>
        <v>38749.025459429358</v>
      </c>
      <c r="AY54" s="831" t="s">
        <v>478</v>
      </c>
      <c r="AZ54" s="831">
        <f t="shared" si="46"/>
        <v>3138671.062213778</v>
      </c>
      <c r="BA54" s="831">
        <f t="shared" si="47"/>
        <v>117700.16483301668</v>
      </c>
      <c r="BB54" s="831"/>
      <c r="BC54" s="831">
        <f t="shared" si="189"/>
        <v>33600</v>
      </c>
      <c r="BD54" s="831"/>
      <c r="BE54" s="831">
        <f t="shared" si="48"/>
        <v>3289971.2270467947</v>
      </c>
      <c r="BF54" s="831"/>
      <c r="BG54" s="831">
        <f t="shared" si="49"/>
        <v>3289971.2270467947</v>
      </c>
      <c r="BH54" s="831"/>
      <c r="BI54" s="831">
        <f t="shared" si="50"/>
        <v>3289971.2270467947</v>
      </c>
      <c r="BJ54" s="831"/>
      <c r="BK54" s="831">
        <f t="shared" si="51"/>
        <v>3289971.2270467947</v>
      </c>
      <c r="BL54" s="831"/>
      <c r="BM54" s="831">
        <f t="shared" si="52"/>
        <v>3289971.2270467947</v>
      </c>
      <c r="BN54" s="831"/>
      <c r="BO54" s="831">
        <f t="shared" si="53"/>
        <v>3289971.2270467947</v>
      </c>
      <c r="BP54" s="831"/>
      <c r="BQ54" s="831">
        <f t="shared" si="54"/>
        <v>3289971.2270467947</v>
      </c>
      <c r="BR54" s="831"/>
      <c r="BS54" s="831">
        <f t="shared" si="55"/>
        <v>3289971.2270467947</v>
      </c>
      <c r="BT54" s="831"/>
      <c r="BU54" s="831">
        <f t="shared" si="56"/>
        <v>3289971.2270467947</v>
      </c>
      <c r="BV54" s="831"/>
      <c r="BW54" s="831">
        <f t="shared" si="57"/>
        <v>56400</v>
      </c>
      <c r="BX54" s="831">
        <f t="shared" si="58"/>
        <v>3346371.2270467947</v>
      </c>
      <c r="BY54" s="831"/>
      <c r="BZ54" s="831">
        <f t="shared" si="59"/>
        <v>3346371.2270467947</v>
      </c>
      <c r="CA54" s="1260">
        <f t="shared" si="60"/>
        <v>3346371.2270467947</v>
      </c>
      <c r="CB54" s="1260">
        <f t="shared" si="61"/>
        <v>3346371.2270467947</v>
      </c>
      <c r="CC54" s="1260"/>
      <c r="CD54" s="1260">
        <f t="shared" si="62"/>
        <v>0</v>
      </c>
      <c r="CE54" s="1260">
        <f t="shared" si="63"/>
        <v>0</v>
      </c>
      <c r="CF54" s="1260">
        <f t="shared" si="64"/>
        <v>0</v>
      </c>
      <c r="CG54" s="1266">
        <f t="shared" si="65"/>
        <v>3346371.2270467947</v>
      </c>
      <c r="CH54" s="1141">
        <f t="shared" si="66"/>
        <v>3346371.2270467947</v>
      </c>
      <c r="CI54" s="1142">
        <f t="shared" si="67"/>
        <v>0</v>
      </c>
      <c r="CJ54" s="1141">
        <f t="shared" si="68"/>
        <v>343003.05077229644</v>
      </c>
      <c r="CK54" s="1141">
        <f t="shared" si="69"/>
        <v>117122.99294663782</v>
      </c>
      <c r="CL54" s="1143">
        <f t="shared" si="139"/>
        <v>3806497.2707657288</v>
      </c>
      <c r="CM54" s="1144">
        <f t="shared" si="71"/>
        <v>0.125</v>
      </c>
      <c r="CN54" s="1141">
        <f t="shared" si="72"/>
        <v>475812.1588457161</v>
      </c>
      <c r="CO54" s="1141">
        <f t="shared" si="73"/>
        <v>30000</v>
      </c>
      <c r="CP54" s="1141">
        <f t="shared" si="74"/>
        <v>445812.1588457161</v>
      </c>
      <c r="CQ54" s="1145">
        <f t="shared" si="75"/>
        <v>13</v>
      </c>
      <c r="CR54" s="1141">
        <f t="shared" si="76"/>
        <v>34293.242988132006</v>
      </c>
      <c r="CS54" s="1144">
        <f t="shared" si="77"/>
        <v>0.875</v>
      </c>
      <c r="CT54" s="1141">
        <f t="shared" si="78"/>
        <v>3330685.1119200126</v>
      </c>
      <c r="CU54" s="1146">
        <f t="shared" si="12"/>
        <v>25822.76622153218</v>
      </c>
      <c r="CV54" s="1146">
        <f t="shared" si="13"/>
        <v>29937.139399009873</v>
      </c>
      <c r="CW54" s="1146">
        <f t="shared" si="14"/>
        <v>38672.078310114535</v>
      </c>
      <c r="CX54" s="1146">
        <f t="shared" si="15"/>
        <v>65951.557176514485</v>
      </c>
      <c r="CY54" s="1146">
        <f t="shared" si="79"/>
        <v>270562.13827147207</v>
      </c>
      <c r="CZ54" s="1146">
        <f t="shared" si="80"/>
        <v>107060.12013017652</v>
      </c>
      <c r="DA54" s="1146">
        <f t="shared" si="81"/>
        <v>77328.008456711017</v>
      </c>
      <c r="DB54" s="1146">
        <f t="shared" si="82"/>
        <v>58850.174433200184</v>
      </c>
      <c r="DC54" s="1146"/>
      <c r="DD54" s="1146"/>
      <c r="DE54" s="1146"/>
      <c r="DF54" s="1146"/>
      <c r="DG54" s="1146"/>
      <c r="DH54" s="1146"/>
      <c r="DI54" s="1146"/>
      <c r="DJ54" s="1146"/>
      <c r="DK54" s="1146"/>
      <c r="DL54" s="1146"/>
      <c r="DM54" s="1146"/>
      <c r="DN54" s="1146"/>
      <c r="DO54" s="1146"/>
      <c r="DP54" s="1146"/>
      <c r="DQ54" s="1146"/>
      <c r="DR54" s="1146"/>
      <c r="DS54" s="1146"/>
      <c r="DT54" s="1146"/>
      <c r="DU54" s="1146"/>
      <c r="DV54" s="1146"/>
      <c r="DW54" s="1146"/>
      <c r="DX54" s="1146"/>
      <c r="DY54" s="1146"/>
      <c r="DZ54" s="1146"/>
      <c r="EA54" s="1147">
        <f t="shared" si="83"/>
        <v>0</v>
      </c>
      <c r="EB54" s="1148">
        <f t="shared" si="84"/>
        <v>0</v>
      </c>
      <c r="EC54" s="1190">
        <f t="shared" si="132"/>
        <v>45839</v>
      </c>
      <c r="ED54" s="1031">
        <f t="shared" si="16"/>
        <v>20</v>
      </c>
      <c r="EE54" s="1191"/>
      <c r="EF54" s="1032">
        <f t="shared" si="17"/>
        <v>45904</v>
      </c>
      <c r="EG54" s="1029">
        <f t="shared" si="85"/>
        <v>22</v>
      </c>
      <c r="EH54" s="859" t="s">
        <v>490</v>
      </c>
      <c r="EI54" s="859" t="s">
        <v>480</v>
      </c>
      <c r="EJ54" s="860">
        <f t="shared" si="18"/>
        <v>0</v>
      </c>
      <c r="EK54" s="860">
        <f t="shared" si="19"/>
        <v>0</v>
      </c>
      <c r="EL54" s="861">
        <f t="shared" si="20"/>
        <v>0</v>
      </c>
      <c r="EM54" s="1197"/>
      <c r="EN54" s="860"/>
      <c r="EO54" s="860"/>
      <c r="EP54" s="860">
        <f t="shared" si="21"/>
        <v>0</v>
      </c>
      <c r="EQ54" s="1197"/>
      <c r="ER54" s="1200"/>
      <c r="ES54" s="1197"/>
      <c r="ET54" s="1194" t="s">
        <v>208</v>
      </c>
      <c r="EU54" s="1197" t="b">
        <f t="shared" si="22"/>
        <v>1</v>
      </c>
      <c r="EV54" s="1197"/>
      <c r="EW54" s="1197"/>
      <c r="EX54" s="1197"/>
      <c r="EY54" s="1128" t="s">
        <v>483</v>
      </c>
      <c r="EZ54" s="1128" t="s">
        <v>484</v>
      </c>
      <c r="FA54" s="1169">
        <f t="shared" si="86"/>
        <v>0</v>
      </c>
      <c r="FI54" s="1309" t="s">
        <v>149</v>
      </c>
      <c r="FJ54" s="1130" t="s">
        <v>149</v>
      </c>
      <c r="FK54" s="1160" t="b">
        <f t="shared" si="87"/>
        <v>1</v>
      </c>
      <c r="FL54" s="1131"/>
      <c r="FM54" s="1161"/>
      <c r="FO54" s="888"/>
      <c r="FP54" s="1169"/>
      <c r="FQ54" s="1203"/>
      <c r="FU54" s="1295"/>
      <c r="FV54" s="1295"/>
      <c r="FW54" s="1023">
        <v>0.125</v>
      </c>
      <c r="FX54" s="1162">
        <v>11584.736844257748</v>
      </c>
      <c r="FY54" s="1163">
        <v>11946.759870640803</v>
      </c>
      <c r="GA54" s="1164">
        <f t="shared" si="89"/>
        <v>3806497.2707657288</v>
      </c>
      <c r="GB54" s="1165">
        <f t="shared" si="90"/>
        <v>0.15</v>
      </c>
      <c r="GC54" s="1154">
        <f t="shared" si="91"/>
        <v>570974.59061485925</v>
      </c>
      <c r="GD54" s="1164">
        <f t="shared" si="92"/>
        <v>30000</v>
      </c>
      <c r="GE54" s="1154">
        <f t="shared" si="93"/>
        <v>540974.59061485925</v>
      </c>
      <c r="GF54" s="1060">
        <f t="shared" si="94"/>
        <v>35</v>
      </c>
      <c r="GG54" s="1166">
        <f t="shared" si="95"/>
        <v>15456.416874710265</v>
      </c>
      <c r="GI54" s="1164">
        <f t="shared" si="96"/>
        <v>3806497.2707657288</v>
      </c>
      <c r="GJ54" s="1154">
        <f t="shared" si="97"/>
        <v>380649.72707657289</v>
      </c>
      <c r="GK54" s="1154">
        <f t="shared" si="98"/>
        <v>95162.431769143222</v>
      </c>
      <c r="GL54" s="1166">
        <v>15000</v>
      </c>
      <c r="GM54" s="1154">
        <f t="shared" si="99"/>
        <v>365649.72707657289</v>
      </c>
      <c r="GN54" s="1060">
        <f t="shared" si="100"/>
        <v>35</v>
      </c>
      <c r="GO54" s="1154">
        <f t="shared" si="101"/>
        <v>10447.135059330654</v>
      </c>
      <c r="GS54" s="1010">
        <f t="shared" si="102"/>
        <v>3806497.2707657288</v>
      </c>
      <c r="GT54" s="1011">
        <f t="shared" si="103"/>
        <v>0.125</v>
      </c>
      <c r="GU54" s="1010">
        <f t="shared" si="104"/>
        <v>475812.1588457161</v>
      </c>
      <c r="GV54" s="1010">
        <f t="shared" si="105"/>
        <v>30000</v>
      </c>
      <c r="GW54" s="1010">
        <f t="shared" si="106"/>
        <v>445812.1588457161</v>
      </c>
      <c r="GX54" s="1010">
        <f t="shared" si="107"/>
        <v>13</v>
      </c>
      <c r="GY54" s="1010">
        <f t="shared" si="108"/>
        <v>34293.242988132006</v>
      </c>
      <c r="GZ54" s="1011">
        <f t="shared" si="109"/>
        <v>0.875</v>
      </c>
      <c r="HA54" s="1010">
        <f t="shared" si="110"/>
        <v>3330685.1119200126</v>
      </c>
      <c r="HB54" s="1010">
        <f t="shared" si="111"/>
        <v>25822.76622153218</v>
      </c>
      <c r="HC54" s="1010">
        <f t="shared" si="112"/>
        <v>29937.139399009873</v>
      </c>
      <c r="HD54" s="1010">
        <f t="shared" si="113"/>
        <v>38672.078310114535</v>
      </c>
      <c r="HE54" s="1010">
        <f t="shared" si="114"/>
        <v>65951.557176514485</v>
      </c>
      <c r="HG54" s="1010">
        <f t="shared" si="115"/>
        <v>3806497.2707657288</v>
      </c>
      <c r="HH54" s="1011">
        <f t="shared" si="116"/>
        <v>0.125</v>
      </c>
      <c r="HI54" s="1010">
        <f t="shared" si="117"/>
        <v>475812.1588457161</v>
      </c>
      <c r="HJ54" s="1010">
        <f t="shared" si="118"/>
        <v>30000</v>
      </c>
      <c r="HK54" s="1010">
        <f t="shared" si="119"/>
        <v>445812.1588457161</v>
      </c>
      <c r="HL54" s="1012">
        <f t="shared" si="120"/>
        <v>33</v>
      </c>
      <c r="HM54" s="1167">
        <f t="shared" si="121"/>
        <v>13509.459358961094</v>
      </c>
      <c r="HN54" s="1168">
        <f t="shared" si="122"/>
        <v>0.875</v>
      </c>
      <c r="HO54" s="1167">
        <f t="shared" si="123"/>
        <v>3330685.1119200126</v>
      </c>
      <c r="HP54" s="1146">
        <f t="shared" si="124"/>
        <v>25822.76622153218</v>
      </c>
      <c r="HQ54" s="1146">
        <f t="shared" si="125"/>
        <v>29937.139399009873</v>
      </c>
      <c r="HR54" s="1146">
        <f t="shared" si="126"/>
        <v>38672.078310114535</v>
      </c>
      <c r="HS54" s="1146">
        <f t="shared" si="127"/>
        <v>65951.557176514485</v>
      </c>
      <c r="HU54" s="1167">
        <f t="shared" si="128"/>
        <v>-20783.78362917091</v>
      </c>
      <c r="HX54" s="1154"/>
      <c r="HY54" s="1154"/>
      <c r="IB54" s="1154"/>
      <c r="IC54" s="1154"/>
      <c r="ID54" s="1154"/>
      <c r="IE54" s="1154"/>
      <c r="IG54" s="1060"/>
    </row>
    <row r="55" spans="1:241" ht="14.25" hidden="1" customHeight="1">
      <c r="A55" s="1186">
        <f t="shared" si="141"/>
        <v>49</v>
      </c>
      <c r="B55" s="824" t="s">
        <v>149</v>
      </c>
      <c r="C55" s="855">
        <f t="shared" si="180"/>
        <v>16</v>
      </c>
      <c r="D55" s="856" t="s">
        <v>498</v>
      </c>
      <c r="E55" s="857" t="str">
        <f t="shared" si="23"/>
        <v>4th Floor</v>
      </c>
      <c r="F55" s="1185"/>
      <c r="G55" s="764" t="s">
        <v>209</v>
      </c>
      <c r="H55" s="764" t="s">
        <v>550</v>
      </c>
      <c r="I55" s="764" t="s">
        <v>476</v>
      </c>
      <c r="J55" s="1139">
        <v>22</v>
      </c>
      <c r="K55" s="1142"/>
      <c r="L55" s="764" t="s">
        <v>500</v>
      </c>
      <c r="M55" s="764" t="s">
        <v>93</v>
      </c>
      <c r="N55" s="856">
        <f t="shared" si="24"/>
        <v>100909.09090909091</v>
      </c>
      <c r="O55" s="1138">
        <f t="shared" si="136"/>
        <v>2220000</v>
      </c>
      <c r="P55" s="1138">
        <f t="shared" si="142"/>
        <v>22400</v>
      </c>
      <c r="Q55" s="1138">
        <f t="shared" si="8"/>
        <v>50000</v>
      </c>
      <c r="R55" s="1138"/>
      <c r="S55" s="1138"/>
      <c r="T55" s="1138"/>
      <c r="U55" s="1138"/>
      <c r="V55" s="858"/>
      <c r="W55" s="858"/>
      <c r="X55" s="1138"/>
      <c r="Y55" s="1138"/>
      <c r="Z55" s="1138">
        <f t="shared" si="137"/>
        <v>75000</v>
      </c>
      <c r="AA55" s="1138">
        <f t="shared" si="138"/>
        <v>147400</v>
      </c>
      <c r="AB55" s="1138">
        <f t="shared" si="28"/>
        <v>2367400</v>
      </c>
      <c r="AC55" s="1138">
        <f t="shared" si="29"/>
        <v>59185</v>
      </c>
      <c r="AD55" s="1138">
        <f t="shared" si="30"/>
        <v>2426585</v>
      </c>
      <c r="AE55" s="1138">
        <f t="shared" si="31"/>
        <v>60664.625</v>
      </c>
      <c r="AF55" s="1138">
        <f t="shared" si="32"/>
        <v>2487249.625</v>
      </c>
      <c r="AG55" s="1138">
        <f t="shared" si="33"/>
        <v>62181.240625000006</v>
      </c>
      <c r="AH55" s="1138">
        <f t="shared" si="34"/>
        <v>2549430.8656250001</v>
      </c>
      <c r="AI55" s="1138">
        <f t="shared" si="144"/>
        <v>127471.54328125001</v>
      </c>
      <c r="AJ55" s="1138">
        <f t="shared" si="35"/>
        <v>2676902.4089062503</v>
      </c>
      <c r="AK55" s="1138">
        <f t="shared" si="36"/>
        <v>26769.024089062503</v>
      </c>
      <c r="AL55" s="1138">
        <f t="shared" si="37"/>
        <v>27537.409960060559</v>
      </c>
      <c r="AM55" s="1138"/>
      <c r="AN55" s="1138"/>
      <c r="AO55" s="1138">
        <f t="shared" si="38"/>
        <v>2731208.8429553732</v>
      </c>
      <c r="AP55" s="1138">
        <f t="shared" si="39"/>
        <v>368713.19379897544</v>
      </c>
      <c r="AQ55" s="1248">
        <f t="shared" si="40"/>
        <v>3099922.0367543488</v>
      </c>
      <c r="AR55" s="1248">
        <f t="shared" si="194"/>
        <v>3099922.0367543488</v>
      </c>
      <c r="AS55" s="1248"/>
      <c r="AT55" s="1248"/>
      <c r="AU55" s="1248">
        <f t="shared" si="42"/>
        <v>0</v>
      </c>
      <c r="AV55" s="1140">
        <f t="shared" si="43"/>
        <v>0</v>
      </c>
      <c r="AW55" s="1140">
        <f t="shared" si="44"/>
        <v>3099922.0367543488</v>
      </c>
      <c r="AX55" s="1139">
        <f t="shared" si="45"/>
        <v>38749.025459429358</v>
      </c>
      <c r="AY55" s="831" t="s">
        <v>478</v>
      </c>
      <c r="AZ55" s="831">
        <f t="shared" si="46"/>
        <v>3138671.062213778</v>
      </c>
      <c r="BA55" s="831">
        <f t="shared" si="47"/>
        <v>117700.16483301668</v>
      </c>
      <c r="BB55" s="831"/>
      <c r="BC55" s="831">
        <f t="shared" si="189"/>
        <v>33600</v>
      </c>
      <c r="BD55" s="831"/>
      <c r="BE55" s="831">
        <f t="shared" si="48"/>
        <v>3289971.2270467947</v>
      </c>
      <c r="BF55" s="831"/>
      <c r="BG55" s="831">
        <f t="shared" si="49"/>
        <v>3289971.2270467947</v>
      </c>
      <c r="BH55" s="831"/>
      <c r="BI55" s="831">
        <f t="shared" si="50"/>
        <v>3289971.2270467947</v>
      </c>
      <c r="BJ55" s="831"/>
      <c r="BK55" s="831">
        <f t="shared" si="51"/>
        <v>3289971.2270467947</v>
      </c>
      <c r="BL55" s="831"/>
      <c r="BM55" s="831">
        <f t="shared" si="52"/>
        <v>3289971.2270467947</v>
      </c>
      <c r="BN55" s="831"/>
      <c r="BO55" s="831">
        <f t="shared" si="53"/>
        <v>3289971.2270467947</v>
      </c>
      <c r="BP55" s="831"/>
      <c r="BQ55" s="831">
        <f t="shared" si="54"/>
        <v>3289971.2270467947</v>
      </c>
      <c r="BR55" s="831"/>
      <c r="BS55" s="831">
        <f t="shared" si="55"/>
        <v>3289971.2270467947</v>
      </c>
      <c r="BT55" s="831"/>
      <c r="BU55" s="831">
        <f t="shared" si="56"/>
        <v>3289971.2270467947</v>
      </c>
      <c r="BV55" s="831"/>
      <c r="BW55" s="831">
        <f t="shared" si="57"/>
        <v>56400</v>
      </c>
      <c r="BX55" s="831">
        <f t="shared" si="58"/>
        <v>3346371.2270467947</v>
      </c>
      <c r="BY55" s="831"/>
      <c r="BZ55" s="831">
        <f t="shared" si="59"/>
        <v>3346371.2270467947</v>
      </c>
      <c r="CA55" s="1260">
        <f t="shared" si="60"/>
        <v>3346371.2270467947</v>
      </c>
      <c r="CB55" s="1260">
        <f t="shared" si="61"/>
        <v>3346371.2270467947</v>
      </c>
      <c r="CC55" s="1260"/>
      <c r="CD55" s="1260">
        <f t="shared" si="62"/>
        <v>0</v>
      </c>
      <c r="CE55" s="1260">
        <f t="shared" si="63"/>
        <v>0</v>
      </c>
      <c r="CF55" s="1260">
        <f t="shared" si="64"/>
        <v>0</v>
      </c>
      <c r="CG55" s="1266">
        <f t="shared" si="65"/>
        <v>3346371.2270467947</v>
      </c>
      <c r="CH55" s="1141">
        <f t="shared" si="66"/>
        <v>3346371.2270467947</v>
      </c>
      <c r="CI55" s="1142">
        <f t="shared" si="67"/>
        <v>0</v>
      </c>
      <c r="CJ55" s="1141">
        <f t="shared" si="68"/>
        <v>343003.05077229644</v>
      </c>
      <c r="CK55" s="1141">
        <f t="shared" si="69"/>
        <v>117122.99294663782</v>
      </c>
      <c r="CL55" s="1143">
        <f t="shared" si="139"/>
        <v>3806497.2707657288</v>
      </c>
      <c r="CM55" s="1144">
        <f t="shared" si="71"/>
        <v>0.125</v>
      </c>
      <c r="CN55" s="1141">
        <f t="shared" si="72"/>
        <v>475812.1588457161</v>
      </c>
      <c r="CO55" s="1141">
        <f t="shared" si="73"/>
        <v>30000</v>
      </c>
      <c r="CP55" s="1141">
        <f t="shared" si="74"/>
        <v>445812.1588457161</v>
      </c>
      <c r="CQ55" s="1145">
        <f t="shared" si="75"/>
        <v>13</v>
      </c>
      <c r="CR55" s="1141">
        <f t="shared" si="76"/>
        <v>34293.242988132006</v>
      </c>
      <c r="CS55" s="1144">
        <f t="shared" si="77"/>
        <v>0.875</v>
      </c>
      <c r="CT55" s="1141">
        <f t="shared" si="78"/>
        <v>3330685.1119200126</v>
      </c>
      <c r="CU55" s="1146">
        <f t="shared" si="12"/>
        <v>25822.76622153218</v>
      </c>
      <c r="CV55" s="1146">
        <f t="shared" si="13"/>
        <v>29937.139399009873</v>
      </c>
      <c r="CW55" s="1146">
        <f t="shared" si="14"/>
        <v>38672.078310114535</v>
      </c>
      <c r="CX55" s="1146">
        <f t="shared" si="15"/>
        <v>65951.557176514485</v>
      </c>
      <c r="CY55" s="1146">
        <f t="shared" si="79"/>
        <v>270562.13827147207</v>
      </c>
      <c r="CZ55" s="1146">
        <f t="shared" si="80"/>
        <v>107060.12013017652</v>
      </c>
      <c r="DA55" s="1146">
        <f t="shared" si="81"/>
        <v>77328.008456711017</v>
      </c>
      <c r="DB55" s="1146">
        <f t="shared" si="82"/>
        <v>58850.174433200184</v>
      </c>
      <c r="DC55" s="1146"/>
      <c r="DD55" s="1146"/>
      <c r="DE55" s="1146"/>
      <c r="DF55" s="1146"/>
      <c r="DG55" s="1146"/>
      <c r="DH55" s="1146"/>
      <c r="DI55" s="1146"/>
      <c r="DJ55" s="1146"/>
      <c r="DK55" s="1146"/>
      <c r="DL55" s="1146"/>
      <c r="DM55" s="1146"/>
      <c r="DN55" s="1146"/>
      <c r="DO55" s="1146"/>
      <c r="DP55" s="1146"/>
      <c r="DQ55" s="1146"/>
      <c r="DR55" s="1146"/>
      <c r="DS55" s="1146"/>
      <c r="DT55" s="1146"/>
      <c r="DU55" s="1146"/>
      <c r="DV55" s="1146"/>
      <c r="DW55" s="1146"/>
      <c r="DX55" s="1146"/>
      <c r="DY55" s="1146"/>
      <c r="DZ55" s="1146"/>
      <c r="EA55" s="1147">
        <f t="shared" si="83"/>
        <v>0</v>
      </c>
      <c r="EB55" s="1148">
        <f t="shared" si="84"/>
        <v>0</v>
      </c>
      <c r="EC55" s="1190">
        <f t="shared" si="132"/>
        <v>45839</v>
      </c>
      <c r="ED55" s="1031">
        <f t="shared" si="16"/>
        <v>20</v>
      </c>
      <c r="EE55" s="1191"/>
      <c r="EF55" s="1032">
        <f t="shared" si="17"/>
        <v>45904</v>
      </c>
      <c r="EG55" s="1029">
        <f t="shared" si="85"/>
        <v>22</v>
      </c>
      <c r="EH55" s="859" t="s">
        <v>490</v>
      </c>
      <c r="EI55" s="859" t="s">
        <v>480</v>
      </c>
      <c r="EJ55" s="860">
        <f t="shared" si="18"/>
        <v>0</v>
      </c>
      <c r="EK55" s="860">
        <f t="shared" si="19"/>
        <v>0</v>
      </c>
      <c r="EL55" s="861">
        <f t="shared" si="20"/>
        <v>0</v>
      </c>
      <c r="EM55" s="1197"/>
      <c r="EN55" s="860"/>
      <c r="EO55" s="860"/>
      <c r="EP55" s="860">
        <f t="shared" si="21"/>
        <v>0</v>
      </c>
      <c r="EQ55" s="1197"/>
      <c r="ER55" s="1200"/>
      <c r="ES55" s="1197"/>
      <c r="ET55" s="1194" t="s">
        <v>209</v>
      </c>
      <c r="EU55" s="1197" t="b">
        <f t="shared" si="22"/>
        <v>1</v>
      </c>
      <c r="EV55" s="1201" t="s">
        <v>565</v>
      </c>
      <c r="EW55" s="1202" t="s">
        <v>482</v>
      </c>
      <c r="EX55" s="1197"/>
      <c r="EY55" s="1128" t="s">
        <v>483</v>
      </c>
      <c r="EZ55" s="1128" t="s">
        <v>484</v>
      </c>
      <c r="FA55" s="1169">
        <f t="shared" si="86"/>
        <v>0</v>
      </c>
      <c r="FI55" s="1309" t="s">
        <v>149</v>
      </c>
      <c r="FJ55" s="1159" t="s">
        <v>149</v>
      </c>
      <c r="FK55" s="1160" t="b">
        <f t="shared" si="87"/>
        <v>1</v>
      </c>
      <c r="FL55" s="1131"/>
      <c r="FM55" s="1161"/>
      <c r="FO55" s="1060"/>
      <c r="FP55" s="1169"/>
      <c r="FQ55" s="1203"/>
      <c r="FU55" s="1295"/>
      <c r="FV55" s="1295"/>
      <c r="FW55" s="1023">
        <v>0.15</v>
      </c>
      <c r="FX55" s="1162">
        <v>13992.593304018388</v>
      </c>
      <c r="FY55" s="1163">
        <v>14429.861844768962</v>
      </c>
      <c r="GA55" s="1164">
        <f t="shared" si="89"/>
        <v>3806497.2707657288</v>
      </c>
      <c r="GB55" s="1165">
        <f t="shared" si="90"/>
        <v>0.15</v>
      </c>
      <c r="GC55" s="1154">
        <f t="shared" si="91"/>
        <v>570974.59061485925</v>
      </c>
      <c r="GD55" s="1164">
        <f t="shared" si="92"/>
        <v>30000</v>
      </c>
      <c r="GE55" s="1154">
        <f t="shared" si="93"/>
        <v>540974.59061485925</v>
      </c>
      <c r="GF55" s="1060">
        <f t="shared" si="94"/>
        <v>35</v>
      </c>
      <c r="GG55" s="1166">
        <f t="shared" si="95"/>
        <v>15456.416874710265</v>
      </c>
      <c r="GI55" s="1164">
        <f t="shared" si="96"/>
        <v>3806497.2707657288</v>
      </c>
      <c r="GJ55" s="1154">
        <f t="shared" si="97"/>
        <v>380649.72707657289</v>
      </c>
      <c r="GK55" s="1154">
        <f t="shared" si="98"/>
        <v>95162.431769143222</v>
      </c>
      <c r="GL55" s="1166">
        <v>15000</v>
      </c>
      <c r="GM55" s="1154">
        <f t="shared" si="99"/>
        <v>365649.72707657289</v>
      </c>
      <c r="GN55" s="1060">
        <f t="shared" si="100"/>
        <v>35</v>
      </c>
      <c r="GO55" s="1154">
        <f t="shared" si="101"/>
        <v>10447.135059330654</v>
      </c>
      <c r="GS55" s="1010">
        <f t="shared" si="102"/>
        <v>3806497.2707657288</v>
      </c>
      <c r="GT55" s="1011">
        <f t="shared" si="103"/>
        <v>0.125</v>
      </c>
      <c r="GU55" s="1010">
        <f t="shared" si="104"/>
        <v>475812.1588457161</v>
      </c>
      <c r="GV55" s="1010">
        <f t="shared" si="105"/>
        <v>30000</v>
      </c>
      <c r="GW55" s="1010">
        <f t="shared" si="106"/>
        <v>445812.1588457161</v>
      </c>
      <c r="GX55" s="1010">
        <f t="shared" si="107"/>
        <v>13</v>
      </c>
      <c r="GY55" s="1010">
        <f t="shared" si="108"/>
        <v>34293.242988132006</v>
      </c>
      <c r="GZ55" s="1011">
        <f t="shared" si="109"/>
        <v>0.875</v>
      </c>
      <c r="HA55" s="1010">
        <f t="shared" si="110"/>
        <v>3330685.1119200126</v>
      </c>
      <c r="HB55" s="1010">
        <f t="shared" si="111"/>
        <v>25822.76622153218</v>
      </c>
      <c r="HC55" s="1010">
        <f t="shared" si="112"/>
        <v>29937.139399009873</v>
      </c>
      <c r="HD55" s="1010">
        <f t="shared" si="113"/>
        <v>38672.078310114535</v>
      </c>
      <c r="HE55" s="1010">
        <f t="shared" si="114"/>
        <v>65951.557176514485</v>
      </c>
      <c r="HG55" s="1010">
        <f t="shared" si="115"/>
        <v>3806497.2707657288</v>
      </c>
      <c r="HH55" s="1011">
        <f t="shared" si="116"/>
        <v>0.125</v>
      </c>
      <c r="HI55" s="1010">
        <f t="shared" si="117"/>
        <v>475812.1588457161</v>
      </c>
      <c r="HJ55" s="1010">
        <f t="shared" si="118"/>
        <v>30000</v>
      </c>
      <c r="HK55" s="1010">
        <f t="shared" si="119"/>
        <v>445812.1588457161</v>
      </c>
      <c r="HL55" s="1012">
        <f t="shared" si="120"/>
        <v>33</v>
      </c>
      <c r="HM55" s="1167">
        <f t="shared" si="121"/>
        <v>13509.459358961094</v>
      </c>
      <c r="HN55" s="1168">
        <f t="shared" si="122"/>
        <v>0.875</v>
      </c>
      <c r="HO55" s="1167">
        <f t="shared" si="123"/>
        <v>3330685.1119200126</v>
      </c>
      <c r="HP55" s="1146">
        <f t="shared" si="124"/>
        <v>25822.76622153218</v>
      </c>
      <c r="HQ55" s="1146">
        <f t="shared" si="125"/>
        <v>29937.139399009873</v>
      </c>
      <c r="HR55" s="1146">
        <f t="shared" si="126"/>
        <v>38672.078310114535</v>
      </c>
      <c r="HS55" s="1146">
        <f t="shared" si="127"/>
        <v>65951.557176514485</v>
      </c>
      <c r="HU55" s="1167">
        <f t="shared" si="128"/>
        <v>-20783.78362917091</v>
      </c>
      <c r="HX55" s="1154"/>
      <c r="HY55" s="1154"/>
      <c r="IB55" s="1154"/>
      <c r="IC55" s="1154"/>
      <c r="ID55" s="1154"/>
      <c r="IE55" s="1154"/>
      <c r="IG55" s="1060"/>
    </row>
    <row r="56" spans="1:241" ht="14.25" hidden="1" customHeight="1">
      <c r="A56" s="1186">
        <f t="shared" si="141"/>
        <v>50</v>
      </c>
      <c r="B56" s="824"/>
      <c r="C56" s="855">
        <f t="shared" si="180"/>
        <v>17</v>
      </c>
      <c r="D56" s="856" t="s">
        <v>498</v>
      </c>
      <c r="E56" s="857" t="str">
        <f t="shared" si="23"/>
        <v>4th Floor</v>
      </c>
      <c r="F56" s="1185"/>
      <c r="G56" s="764" t="s">
        <v>210</v>
      </c>
      <c r="H56" s="764" t="s">
        <v>552</v>
      </c>
      <c r="I56" s="764" t="s">
        <v>476</v>
      </c>
      <c r="J56" s="1139">
        <v>22</v>
      </c>
      <c r="K56" s="1142"/>
      <c r="L56" s="764" t="s">
        <v>500</v>
      </c>
      <c r="M56" s="764" t="s">
        <v>93</v>
      </c>
      <c r="N56" s="856">
        <f t="shared" si="24"/>
        <v>100909.09090909091</v>
      </c>
      <c r="O56" s="1138">
        <f t="shared" si="136"/>
        <v>2220000</v>
      </c>
      <c r="P56" s="1138">
        <f t="shared" si="142"/>
        <v>22400</v>
      </c>
      <c r="Q56" s="1138">
        <f t="shared" si="8"/>
        <v>50000</v>
      </c>
      <c r="R56" s="1138"/>
      <c r="S56" s="1138"/>
      <c r="T56" s="1138"/>
      <c r="U56" s="1138"/>
      <c r="V56" s="1138"/>
      <c r="W56" s="858"/>
      <c r="X56" s="1138"/>
      <c r="Y56" s="1138"/>
      <c r="Z56" s="1138">
        <f t="shared" si="137"/>
        <v>75000</v>
      </c>
      <c r="AA56" s="1138">
        <f t="shared" si="138"/>
        <v>147400</v>
      </c>
      <c r="AB56" s="1138">
        <f t="shared" si="28"/>
        <v>2367400</v>
      </c>
      <c r="AC56" s="1138">
        <f t="shared" si="29"/>
        <v>59185</v>
      </c>
      <c r="AD56" s="1138">
        <f t="shared" si="30"/>
        <v>2426585</v>
      </c>
      <c r="AE56" s="1138">
        <f t="shared" si="31"/>
        <v>60664.625</v>
      </c>
      <c r="AF56" s="1138">
        <f t="shared" si="32"/>
        <v>2487249.625</v>
      </c>
      <c r="AG56" s="1138">
        <f t="shared" si="33"/>
        <v>62181.240625000006</v>
      </c>
      <c r="AH56" s="1138">
        <f t="shared" si="34"/>
        <v>2549430.8656250001</v>
      </c>
      <c r="AI56" s="1138">
        <f t="shared" si="144"/>
        <v>127471.54328125001</v>
      </c>
      <c r="AJ56" s="1138">
        <f t="shared" si="35"/>
        <v>2676902.4089062503</v>
      </c>
      <c r="AK56" s="1138">
        <f t="shared" si="36"/>
        <v>26769.024089062503</v>
      </c>
      <c r="AL56" s="1138">
        <f t="shared" si="37"/>
        <v>27537.409960060559</v>
      </c>
      <c r="AM56" s="1138"/>
      <c r="AN56" s="1138"/>
      <c r="AO56" s="1138">
        <f t="shared" si="38"/>
        <v>2731208.8429553732</v>
      </c>
      <c r="AP56" s="1138">
        <f t="shared" si="39"/>
        <v>368713.19379897544</v>
      </c>
      <c r="AQ56" s="1248">
        <f t="shared" si="40"/>
        <v>3099922.0367543488</v>
      </c>
      <c r="AR56" s="1248">
        <f t="shared" si="194"/>
        <v>3099922.0367543488</v>
      </c>
      <c r="AS56" s="1248"/>
      <c r="AT56" s="1248"/>
      <c r="AU56" s="1248">
        <f t="shared" si="42"/>
        <v>0</v>
      </c>
      <c r="AV56" s="1140">
        <f t="shared" si="43"/>
        <v>0</v>
      </c>
      <c r="AW56" s="1140">
        <f t="shared" si="44"/>
        <v>3099922.0367543488</v>
      </c>
      <c r="AX56" s="1139">
        <f t="shared" si="45"/>
        <v>38749.025459429358</v>
      </c>
      <c r="AY56" s="831" t="s">
        <v>478</v>
      </c>
      <c r="AZ56" s="831">
        <f t="shared" si="46"/>
        <v>3138671.062213778</v>
      </c>
      <c r="BA56" s="831">
        <f t="shared" si="47"/>
        <v>117700.16483301668</v>
      </c>
      <c r="BB56" s="831"/>
      <c r="BC56" s="831">
        <f t="shared" si="189"/>
        <v>33600</v>
      </c>
      <c r="BD56" s="831"/>
      <c r="BE56" s="831">
        <f t="shared" si="48"/>
        <v>3289971.2270467947</v>
      </c>
      <c r="BF56" s="831"/>
      <c r="BG56" s="831">
        <f t="shared" si="49"/>
        <v>3289971.2270467947</v>
      </c>
      <c r="BH56" s="831"/>
      <c r="BI56" s="831">
        <f t="shared" si="50"/>
        <v>3289971.2270467947</v>
      </c>
      <c r="BJ56" s="831"/>
      <c r="BK56" s="831">
        <f t="shared" si="51"/>
        <v>3289971.2270467947</v>
      </c>
      <c r="BL56" s="831"/>
      <c r="BM56" s="831">
        <f t="shared" si="52"/>
        <v>3289971.2270467947</v>
      </c>
      <c r="BN56" s="831"/>
      <c r="BO56" s="831">
        <f t="shared" si="53"/>
        <v>3289971.2270467947</v>
      </c>
      <c r="BP56" s="831"/>
      <c r="BQ56" s="831">
        <f t="shared" si="54"/>
        <v>3289971.2270467947</v>
      </c>
      <c r="BR56" s="831"/>
      <c r="BS56" s="831">
        <f t="shared" si="55"/>
        <v>3289971.2270467947</v>
      </c>
      <c r="BT56" s="831"/>
      <c r="BU56" s="831">
        <f t="shared" si="56"/>
        <v>3289971.2270467947</v>
      </c>
      <c r="BV56" s="831"/>
      <c r="BW56" s="831">
        <f t="shared" si="57"/>
        <v>56400</v>
      </c>
      <c r="BX56" s="831">
        <f t="shared" si="58"/>
        <v>3346371.2270467947</v>
      </c>
      <c r="BY56" s="831"/>
      <c r="BZ56" s="831">
        <f t="shared" si="59"/>
        <v>3346371.2270467947</v>
      </c>
      <c r="CA56" s="1260">
        <f t="shared" si="60"/>
        <v>3346371.2270467947</v>
      </c>
      <c r="CB56" s="1260">
        <f t="shared" si="61"/>
        <v>3346371.2270467947</v>
      </c>
      <c r="CC56" s="1260"/>
      <c r="CD56" s="1260">
        <f t="shared" si="62"/>
        <v>0</v>
      </c>
      <c r="CE56" s="1260">
        <f t="shared" si="63"/>
        <v>0</v>
      </c>
      <c r="CF56" s="1260">
        <f t="shared" si="64"/>
        <v>0</v>
      </c>
      <c r="CG56" s="1266">
        <f t="shared" si="65"/>
        <v>3346371.2270467947</v>
      </c>
      <c r="CH56" s="1141">
        <f t="shared" si="66"/>
        <v>3346371.2270467947</v>
      </c>
      <c r="CI56" s="1142">
        <f t="shared" si="67"/>
        <v>0</v>
      </c>
      <c r="CJ56" s="1141">
        <f t="shared" si="68"/>
        <v>343003.05077229644</v>
      </c>
      <c r="CK56" s="1141">
        <f t="shared" si="69"/>
        <v>117122.99294663782</v>
      </c>
      <c r="CL56" s="1143">
        <f t="shared" si="139"/>
        <v>3806497.2707657288</v>
      </c>
      <c r="CM56" s="1144">
        <f t="shared" si="71"/>
        <v>0.125</v>
      </c>
      <c r="CN56" s="1141">
        <f t="shared" si="72"/>
        <v>475812.1588457161</v>
      </c>
      <c r="CO56" s="1141">
        <f t="shared" si="73"/>
        <v>30000</v>
      </c>
      <c r="CP56" s="1141">
        <f t="shared" si="74"/>
        <v>445812.1588457161</v>
      </c>
      <c r="CQ56" s="1145">
        <f t="shared" si="75"/>
        <v>13</v>
      </c>
      <c r="CR56" s="1141">
        <f t="shared" si="76"/>
        <v>34293.242988132006</v>
      </c>
      <c r="CS56" s="1144">
        <f t="shared" si="77"/>
        <v>0.875</v>
      </c>
      <c r="CT56" s="1141">
        <f t="shared" si="78"/>
        <v>3330685.1119200126</v>
      </c>
      <c r="CU56" s="1146">
        <f t="shared" si="12"/>
        <v>25822.76622153218</v>
      </c>
      <c r="CV56" s="1146">
        <f t="shared" si="13"/>
        <v>29937.139399009873</v>
      </c>
      <c r="CW56" s="1146">
        <f t="shared" si="14"/>
        <v>38672.078310114535</v>
      </c>
      <c r="CX56" s="1146">
        <f t="shared" si="15"/>
        <v>65951.557176514485</v>
      </c>
      <c r="CY56" s="1146">
        <f t="shared" si="79"/>
        <v>270562.13827147207</v>
      </c>
      <c r="CZ56" s="1146">
        <f t="shared" si="80"/>
        <v>107060.12013017652</v>
      </c>
      <c r="DA56" s="1146">
        <f t="shared" si="81"/>
        <v>77328.008456711017</v>
      </c>
      <c r="DB56" s="1146">
        <f t="shared" si="82"/>
        <v>58850.174433200184</v>
      </c>
      <c r="DC56" s="1146"/>
      <c r="DD56" s="1146"/>
      <c r="DE56" s="1146"/>
      <c r="DF56" s="1146"/>
      <c r="DG56" s="1146"/>
      <c r="DH56" s="1146"/>
      <c r="DI56" s="1146"/>
      <c r="DJ56" s="1146"/>
      <c r="DK56" s="1146"/>
      <c r="DL56" s="1146"/>
      <c r="DM56" s="1146"/>
      <c r="DN56" s="1146"/>
      <c r="DO56" s="1146"/>
      <c r="DP56" s="1146"/>
      <c r="DQ56" s="1146"/>
      <c r="DR56" s="1146"/>
      <c r="DS56" s="1146"/>
      <c r="DT56" s="1146"/>
      <c r="DU56" s="1146"/>
      <c r="DV56" s="1146"/>
      <c r="DW56" s="1146"/>
      <c r="DX56" s="1146"/>
      <c r="DY56" s="1146"/>
      <c r="DZ56" s="1146"/>
      <c r="EA56" s="1147">
        <f t="shared" si="83"/>
        <v>0</v>
      </c>
      <c r="EB56" s="1148">
        <f t="shared" si="84"/>
        <v>0</v>
      </c>
      <c r="EC56" s="1190">
        <f t="shared" si="132"/>
        <v>45839</v>
      </c>
      <c r="ED56" s="1031">
        <f t="shared" si="16"/>
        <v>20</v>
      </c>
      <c r="EE56" s="1191"/>
      <c r="EF56" s="1032">
        <f t="shared" si="17"/>
        <v>45904</v>
      </c>
      <c r="EG56" s="1029">
        <f t="shared" si="85"/>
        <v>22</v>
      </c>
      <c r="EH56" s="859" t="s">
        <v>490</v>
      </c>
      <c r="EI56" s="859" t="s">
        <v>480</v>
      </c>
      <c r="EJ56" s="860">
        <f t="shared" si="18"/>
        <v>0</v>
      </c>
      <c r="EK56" s="860">
        <f t="shared" si="19"/>
        <v>0</v>
      </c>
      <c r="EL56" s="861">
        <f t="shared" si="20"/>
        <v>0</v>
      </c>
      <c r="EM56" s="1197"/>
      <c r="EN56" s="860"/>
      <c r="EO56" s="860"/>
      <c r="EP56" s="860">
        <f t="shared" si="21"/>
        <v>0</v>
      </c>
      <c r="EQ56" s="1197"/>
      <c r="ER56" s="1200"/>
      <c r="ES56" s="1197"/>
      <c r="ET56" s="1194" t="s">
        <v>210</v>
      </c>
      <c r="EU56" s="1197" t="b">
        <f t="shared" si="22"/>
        <v>1</v>
      </c>
      <c r="EV56" s="1197"/>
      <c r="EW56" s="1197"/>
      <c r="EX56" s="1197"/>
      <c r="EY56" s="1128" t="s">
        <v>483</v>
      </c>
      <c r="EZ56" s="1128" t="s">
        <v>484</v>
      </c>
      <c r="FA56" s="1169">
        <f t="shared" si="86"/>
        <v>0</v>
      </c>
      <c r="FI56" s="1309" t="s">
        <v>149</v>
      </c>
      <c r="FJ56" s="1159" t="s">
        <v>149</v>
      </c>
      <c r="FK56" s="1160" t="b">
        <f t="shared" si="87"/>
        <v>1</v>
      </c>
      <c r="FL56" s="1131"/>
      <c r="FM56" s="1161"/>
      <c r="FO56" s="1060"/>
      <c r="FP56" s="1169"/>
      <c r="FQ56" s="1203"/>
      <c r="FU56" s="1295"/>
      <c r="FV56" s="1295"/>
      <c r="FW56" s="1023">
        <v>0.15</v>
      </c>
      <c r="FX56" s="1162">
        <v>13992.593304018388</v>
      </c>
      <c r="FY56" s="1163">
        <v>14429.861844768962</v>
      </c>
      <c r="GA56" s="1164">
        <f t="shared" si="89"/>
        <v>3806497.2707657288</v>
      </c>
      <c r="GB56" s="1165">
        <f t="shared" si="90"/>
        <v>0.15</v>
      </c>
      <c r="GC56" s="1154">
        <f t="shared" si="91"/>
        <v>570974.59061485925</v>
      </c>
      <c r="GD56" s="1164">
        <f t="shared" si="92"/>
        <v>30000</v>
      </c>
      <c r="GE56" s="1154">
        <f t="shared" si="93"/>
        <v>540974.59061485925</v>
      </c>
      <c r="GF56" s="1060">
        <f t="shared" si="94"/>
        <v>35</v>
      </c>
      <c r="GG56" s="1166">
        <f t="shared" si="95"/>
        <v>15456.416874710265</v>
      </c>
      <c r="GI56" s="1164">
        <f t="shared" si="96"/>
        <v>3806497.2707657288</v>
      </c>
      <c r="GJ56" s="1154">
        <f t="shared" si="97"/>
        <v>380649.72707657289</v>
      </c>
      <c r="GK56" s="1154">
        <f t="shared" si="98"/>
        <v>95162.431769143222</v>
      </c>
      <c r="GL56" s="1166">
        <v>15000</v>
      </c>
      <c r="GM56" s="1154">
        <f t="shared" si="99"/>
        <v>365649.72707657289</v>
      </c>
      <c r="GN56" s="1060">
        <f t="shared" si="100"/>
        <v>35</v>
      </c>
      <c r="GO56" s="1154">
        <f t="shared" si="101"/>
        <v>10447.135059330654</v>
      </c>
      <c r="GS56" s="1010">
        <f t="shared" si="102"/>
        <v>3806497.2707657288</v>
      </c>
      <c r="GT56" s="1011">
        <f t="shared" si="103"/>
        <v>0.125</v>
      </c>
      <c r="GU56" s="1010">
        <f t="shared" si="104"/>
        <v>475812.1588457161</v>
      </c>
      <c r="GV56" s="1010">
        <f t="shared" si="105"/>
        <v>30000</v>
      </c>
      <c r="GW56" s="1010">
        <f t="shared" si="106"/>
        <v>445812.1588457161</v>
      </c>
      <c r="GX56" s="1010">
        <f t="shared" si="107"/>
        <v>13</v>
      </c>
      <c r="GY56" s="1010">
        <f t="shared" si="108"/>
        <v>34293.242988132006</v>
      </c>
      <c r="GZ56" s="1011">
        <f t="shared" si="109"/>
        <v>0.875</v>
      </c>
      <c r="HA56" s="1010">
        <f t="shared" si="110"/>
        <v>3330685.1119200126</v>
      </c>
      <c r="HB56" s="1010">
        <f t="shared" si="111"/>
        <v>25822.76622153218</v>
      </c>
      <c r="HC56" s="1010">
        <f t="shared" si="112"/>
        <v>29937.139399009873</v>
      </c>
      <c r="HD56" s="1010">
        <f t="shared" si="113"/>
        <v>38672.078310114535</v>
      </c>
      <c r="HE56" s="1010">
        <f t="shared" si="114"/>
        <v>65951.557176514485</v>
      </c>
      <c r="HG56" s="1010">
        <f t="shared" si="115"/>
        <v>3806497.2707657288</v>
      </c>
      <c r="HH56" s="1011">
        <f t="shared" si="116"/>
        <v>0.125</v>
      </c>
      <c r="HI56" s="1010">
        <f t="shared" si="117"/>
        <v>475812.1588457161</v>
      </c>
      <c r="HJ56" s="1010">
        <f t="shared" si="118"/>
        <v>30000</v>
      </c>
      <c r="HK56" s="1010">
        <f t="shared" si="119"/>
        <v>445812.1588457161</v>
      </c>
      <c r="HL56" s="1012">
        <f t="shared" si="120"/>
        <v>33</v>
      </c>
      <c r="HM56" s="1167">
        <f t="shared" si="121"/>
        <v>13509.459358961094</v>
      </c>
      <c r="HN56" s="1168">
        <f t="shared" si="122"/>
        <v>0.875</v>
      </c>
      <c r="HO56" s="1167">
        <f t="shared" si="123"/>
        <v>3330685.1119200126</v>
      </c>
      <c r="HP56" s="1146">
        <f t="shared" si="124"/>
        <v>25822.76622153218</v>
      </c>
      <c r="HQ56" s="1146">
        <f t="shared" si="125"/>
        <v>29937.139399009873</v>
      </c>
      <c r="HR56" s="1146">
        <f t="shared" si="126"/>
        <v>38672.078310114535</v>
      </c>
      <c r="HS56" s="1146">
        <f t="shared" si="127"/>
        <v>65951.557176514485</v>
      </c>
      <c r="HU56" s="1167">
        <f t="shared" si="128"/>
        <v>-20783.78362917091</v>
      </c>
      <c r="HX56" s="1154"/>
      <c r="HY56" s="1154"/>
      <c r="IB56" s="1154"/>
      <c r="IC56" s="1154"/>
      <c r="ID56" s="1154"/>
      <c r="IE56" s="1154"/>
      <c r="IG56" s="1060"/>
    </row>
    <row r="57" spans="1:241" ht="14.25" hidden="1" customHeight="1">
      <c r="A57" s="1186">
        <f t="shared" si="141"/>
        <v>51</v>
      </c>
      <c r="B57" s="824" t="s">
        <v>149</v>
      </c>
      <c r="C57" s="855">
        <f t="shared" si="180"/>
        <v>18</v>
      </c>
      <c r="D57" s="856" t="s">
        <v>498</v>
      </c>
      <c r="E57" s="857" t="str">
        <f t="shared" si="23"/>
        <v>4th Floor</v>
      </c>
      <c r="F57" s="1185"/>
      <c r="G57" s="764" t="s">
        <v>211</v>
      </c>
      <c r="H57" s="764" t="s">
        <v>552</v>
      </c>
      <c r="I57" s="764" t="s">
        <v>476</v>
      </c>
      <c r="J57" s="831">
        <v>22</v>
      </c>
      <c r="K57" s="1142"/>
      <c r="L57" s="764" t="s">
        <v>500</v>
      </c>
      <c r="M57" s="764" t="s">
        <v>117</v>
      </c>
      <c r="N57" s="856">
        <f t="shared" si="24"/>
        <v>100909.09090909091</v>
      </c>
      <c r="O57" s="1138">
        <f t="shared" si="136"/>
        <v>2220000</v>
      </c>
      <c r="P57" s="1138">
        <f t="shared" si="142"/>
        <v>22400</v>
      </c>
      <c r="Q57" s="1138">
        <f t="shared" si="8"/>
        <v>50000</v>
      </c>
      <c r="R57" s="1138"/>
      <c r="S57" s="1138"/>
      <c r="T57" s="1138"/>
      <c r="U57" s="1138"/>
      <c r="V57" s="858">
        <f>J57*$V$5</f>
        <v>55000</v>
      </c>
      <c r="W57" s="858"/>
      <c r="X57" s="1138"/>
      <c r="Y57" s="1138"/>
      <c r="Z57" s="1138">
        <f t="shared" si="137"/>
        <v>75000</v>
      </c>
      <c r="AA57" s="1138">
        <f t="shared" si="138"/>
        <v>202400</v>
      </c>
      <c r="AB57" s="1138">
        <f t="shared" si="28"/>
        <v>2422400</v>
      </c>
      <c r="AC57" s="1138">
        <f t="shared" si="29"/>
        <v>60560</v>
      </c>
      <c r="AD57" s="1138">
        <f t="shared" si="30"/>
        <v>2482960</v>
      </c>
      <c r="AE57" s="1138">
        <f t="shared" si="31"/>
        <v>62074</v>
      </c>
      <c r="AF57" s="1138">
        <f t="shared" si="32"/>
        <v>2545034</v>
      </c>
      <c r="AG57" s="1138">
        <f t="shared" si="33"/>
        <v>63625.850000000006</v>
      </c>
      <c r="AH57" s="1138">
        <f t="shared" si="34"/>
        <v>2608659.85</v>
      </c>
      <c r="AI57" s="1138">
        <f t="shared" si="144"/>
        <v>130432.99250000001</v>
      </c>
      <c r="AJ57" s="1138">
        <f t="shared" si="35"/>
        <v>2739092.8425000003</v>
      </c>
      <c r="AK57" s="1138">
        <f t="shared" si="36"/>
        <v>27390.928425000002</v>
      </c>
      <c r="AL57" s="1138">
        <f t="shared" si="37"/>
        <v>27537.409960060559</v>
      </c>
      <c r="AM57" s="1138"/>
      <c r="AN57" s="1138"/>
      <c r="AO57" s="1138">
        <f t="shared" si="38"/>
        <v>2794021.1808850607</v>
      </c>
      <c r="AP57" s="1138">
        <f t="shared" si="39"/>
        <v>377192.85941948323</v>
      </c>
      <c r="AQ57" s="1248">
        <f t="shared" si="40"/>
        <v>3171214.0403045439</v>
      </c>
      <c r="AR57" s="1248">
        <f>AQ57-AT57</f>
        <v>3171214.0403045439</v>
      </c>
      <c r="AS57" s="1248"/>
      <c r="AT57" s="1248">
        <f>AS57*J57</f>
        <v>0</v>
      </c>
      <c r="AU57" s="1248">
        <f t="shared" si="42"/>
        <v>0</v>
      </c>
      <c r="AV57" s="1140">
        <f t="shared" si="43"/>
        <v>0</v>
      </c>
      <c r="AW57" s="1140">
        <f t="shared" si="44"/>
        <v>3171214.0403045439</v>
      </c>
      <c r="AX57" s="1139">
        <f t="shared" si="45"/>
        <v>39640.1755038068</v>
      </c>
      <c r="AY57" s="831" t="s">
        <v>478</v>
      </c>
      <c r="AZ57" s="831">
        <f t="shared" si="46"/>
        <v>3210854.2158083506</v>
      </c>
      <c r="BA57" s="831">
        <f t="shared" si="47"/>
        <v>120407.03309281314</v>
      </c>
      <c r="BB57" s="831"/>
      <c r="BC57" s="831">
        <f t="shared" si="189"/>
        <v>33600</v>
      </c>
      <c r="BD57" s="831"/>
      <c r="BE57" s="831">
        <f t="shared" si="48"/>
        <v>3364861.2489011637</v>
      </c>
      <c r="BF57" s="831"/>
      <c r="BG57" s="831">
        <f t="shared" si="49"/>
        <v>3364861.2489011637</v>
      </c>
      <c r="BH57" s="831"/>
      <c r="BI57" s="831">
        <f t="shared" si="50"/>
        <v>3364861.2489011637</v>
      </c>
      <c r="BJ57" s="831"/>
      <c r="BK57" s="831">
        <f t="shared" si="51"/>
        <v>3364861.2489011637</v>
      </c>
      <c r="BL57" s="831"/>
      <c r="BM57" s="831">
        <f t="shared" si="52"/>
        <v>3364861.2489011637</v>
      </c>
      <c r="BN57" s="831"/>
      <c r="BO57" s="831">
        <f t="shared" si="53"/>
        <v>3364861.2489011637</v>
      </c>
      <c r="BP57" s="831"/>
      <c r="BQ57" s="831">
        <f t="shared" si="54"/>
        <v>3364861.2489011637</v>
      </c>
      <c r="BR57" s="831"/>
      <c r="BS57" s="831">
        <f t="shared" si="55"/>
        <v>3364861.2489011637</v>
      </c>
      <c r="BT57" s="831"/>
      <c r="BU57" s="831">
        <f t="shared" si="56"/>
        <v>3364861.2489011637</v>
      </c>
      <c r="BV57" s="831"/>
      <c r="BW57" s="831">
        <f t="shared" si="57"/>
        <v>56400</v>
      </c>
      <c r="BX57" s="831">
        <f t="shared" si="58"/>
        <v>3421261.2489011637</v>
      </c>
      <c r="BY57" s="831"/>
      <c r="BZ57" s="831">
        <f t="shared" si="59"/>
        <v>3421261.2489011637</v>
      </c>
      <c r="CA57" s="1260">
        <f t="shared" si="60"/>
        <v>3421261.2489011637</v>
      </c>
      <c r="CB57" s="1260">
        <f t="shared" si="61"/>
        <v>3421261.2489011637</v>
      </c>
      <c r="CC57" s="1260"/>
      <c r="CD57" s="1260">
        <f t="shared" si="62"/>
        <v>0</v>
      </c>
      <c r="CE57" s="1260">
        <f t="shared" si="63"/>
        <v>0</v>
      </c>
      <c r="CF57" s="1260">
        <f t="shared" si="64"/>
        <v>0</v>
      </c>
      <c r="CG57" s="1266">
        <f t="shared" si="65"/>
        <v>3421261.2489011637</v>
      </c>
      <c r="CH57" s="1141">
        <f t="shared" si="66"/>
        <v>3421261.2489011637</v>
      </c>
      <c r="CI57" s="1142">
        <f t="shared" si="67"/>
        <v>0</v>
      </c>
      <c r="CJ57" s="1141">
        <f t="shared" si="68"/>
        <v>350679.27801236924</v>
      </c>
      <c r="CK57" s="1141">
        <f t="shared" si="69"/>
        <v>119744.14371154075</v>
      </c>
      <c r="CL57" s="1143">
        <f t="shared" si="139"/>
        <v>3891684.6706250738</v>
      </c>
      <c r="CM57" s="1144">
        <f t="shared" si="71"/>
        <v>0.125</v>
      </c>
      <c r="CN57" s="1141">
        <f t="shared" si="72"/>
        <v>486460.58382813423</v>
      </c>
      <c r="CO57" s="1141">
        <f t="shared" si="73"/>
        <v>30000</v>
      </c>
      <c r="CP57" s="1141">
        <f t="shared" si="74"/>
        <v>456460.58382813423</v>
      </c>
      <c r="CQ57" s="1145">
        <f t="shared" si="75"/>
        <v>13</v>
      </c>
      <c r="CR57" s="1141">
        <f t="shared" si="76"/>
        <v>35112.352602164174</v>
      </c>
      <c r="CS57" s="1144">
        <f t="shared" si="77"/>
        <v>0.875</v>
      </c>
      <c r="CT57" s="1141">
        <f t="shared" si="78"/>
        <v>3405224.0867969394</v>
      </c>
      <c r="CU57" s="1146">
        <f t="shared" si="12"/>
        <v>26400.666100374212</v>
      </c>
      <c r="CV57" s="1146">
        <f t="shared" si="13"/>
        <v>30607.116778007276</v>
      </c>
      <c r="CW57" s="1146">
        <f t="shared" si="14"/>
        <v>39537.539011662055</v>
      </c>
      <c r="CX57" s="1146">
        <f t="shared" si="15"/>
        <v>67427.518217046629</v>
      </c>
      <c r="CY57" s="1146">
        <f t="shared" si="79"/>
        <v>276617.17612392135</v>
      </c>
      <c r="CZ57" s="1146">
        <f t="shared" si="80"/>
        <v>109456.06911260787</v>
      </c>
      <c r="DA57" s="1146">
        <f t="shared" si="81"/>
        <v>79058.568472429484</v>
      </c>
      <c r="DB57" s="1146">
        <f t="shared" si="82"/>
        <v>60167.210276030237</v>
      </c>
      <c r="DC57" s="1146"/>
      <c r="DD57" s="1146"/>
      <c r="DE57" s="1146"/>
      <c r="DF57" s="1146"/>
      <c r="DG57" s="1146"/>
      <c r="DH57" s="1146"/>
      <c r="DI57" s="1146"/>
      <c r="DJ57" s="1146"/>
      <c r="DK57" s="1146"/>
      <c r="DL57" s="1146"/>
      <c r="DM57" s="1146"/>
      <c r="DN57" s="1146"/>
      <c r="DO57" s="1146"/>
      <c r="DP57" s="1146"/>
      <c r="DQ57" s="1146"/>
      <c r="DR57" s="1146"/>
      <c r="DS57" s="1146"/>
      <c r="DT57" s="1146"/>
      <c r="DU57" s="1146"/>
      <c r="DV57" s="1146"/>
      <c r="DW57" s="1146"/>
      <c r="DX57" s="1146"/>
      <c r="DY57" s="1146"/>
      <c r="DZ57" s="1146"/>
      <c r="EA57" s="1147">
        <f t="shared" si="83"/>
        <v>0</v>
      </c>
      <c r="EB57" s="1148">
        <f t="shared" si="84"/>
        <v>0</v>
      </c>
      <c r="EC57" s="1190">
        <f t="shared" si="132"/>
        <v>45839</v>
      </c>
      <c r="ED57" s="1031">
        <f t="shared" si="16"/>
        <v>20</v>
      </c>
      <c r="EE57" s="1191"/>
      <c r="EF57" s="1032">
        <f t="shared" si="17"/>
        <v>45904</v>
      </c>
      <c r="EG57" s="1029">
        <f t="shared" si="85"/>
        <v>22</v>
      </c>
      <c r="EH57" s="859" t="s">
        <v>490</v>
      </c>
      <c r="EI57" s="859" t="s">
        <v>480</v>
      </c>
      <c r="EJ57" s="860">
        <f t="shared" si="18"/>
        <v>0</v>
      </c>
      <c r="EK57" s="860">
        <f t="shared" si="19"/>
        <v>0</v>
      </c>
      <c r="EL57" s="861">
        <f t="shared" si="20"/>
        <v>0</v>
      </c>
      <c r="EM57" s="1197"/>
      <c r="EN57" s="860"/>
      <c r="EO57" s="860"/>
      <c r="EP57" s="860">
        <f t="shared" si="21"/>
        <v>0</v>
      </c>
      <c r="EQ57" s="1197"/>
      <c r="ER57" s="1200"/>
      <c r="ES57" s="1197"/>
      <c r="ET57" s="1194" t="s">
        <v>211</v>
      </c>
      <c r="EU57" s="1197" t="b">
        <f t="shared" si="22"/>
        <v>1</v>
      </c>
      <c r="EV57" s="1201" t="s">
        <v>566</v>
      </c>
      <c r="EW57" s="1202" t="s">
        <v>482</v>
      </c>
      <c r="EX57" s="1197"/>
      <c r="EY57" s="1128" t="s">
        <v>483</v>
      </c>
      <c r="EZ57" s="1128" t="s">
        <v>484</v>
      </c>
      <c r="FA57" s="1169">
        <f t="shared" si="86"/>
        <v>0</v>
      </c>
      <c r="FI57" s="1309" t="s">
        <v>149</v>
      </c>
      <c r="FJ57" s="1159" t="s">
        <v>149</v>
      </c>
      <c r="FK57" s="1160" t="b">
        <f t="shared" si="87"/>
        <v>1</v>
      </c>
      <c r="FL57" s="1131"/>
      <c r="FM57" s="1161"/>
      <c r="FO57" s="1060"/>
      <c r="FP57" s="1169"/>
      <c r="FQ57" s="1203"/>
      <c r="FU57" s="1295"/>
      <c r="FV57" s="1295"/>
      <c r="FW57" s="1023">
        <v>0.15</v>
      </c>
      <c r="FX57" s="1162">
        <v>14637.845763601757</v>
      </c>
      <c r="FY57" s="1163">
        <v>15095.278443714313</v>
      </c>
      <c r="GA57" s="1164">
        <f t="shared" si="89"/>
        <v>3891684.6706250738</v>
      </c>
      <c r="GB57" s="1165">
        <f t="shared" si="90"/>
        <v>0.15</v>
      </c>
      <c r="GC57" s="1154">
        <f t="shared" si="91"/>
        <v>583752.70059376105</v>
      </c>
      <c r="GD57" s="1164">
        <f t="shared" si="92"/>
        <v>30000</v>
      </c>
      <c r="GE57" s="1154">
        <f t="shared" si="93"/>
        <v>553752.70059376105</v>
      </c>
      <c r="GF57" s="1060">
        <f t="shared" si="94"/>
        <v>35</v>
      </c>
      <c r="GG57" s="1166">
        <f t="shared" si="95"/>
        <v>15821.505731250316</v>
      </c>
      <c r="GI57" s="1164">
        <f t="shared" si="96"/>
        <v>3891684.6706250738</v>
      </c>
      <c r="GJ57" s="1154">
        <f t="shared" si="97"/>
        <v>389168.46706250741</v>
      </c>
      <c r="GK57" s="1154">
        <f t="shared" si="98"/>
        <v>97292.116765626852</v>
      </c>
      <c r="GL57" s="1166">
        <v>15000</v>
      </c>
      <c r="GM57" s="1154">
        <f t="shared" si="99"/>
        <v>374168.46706250741</v>
      </c>
      <c r="GN57" s="1060">
        <f t="shared" si="100"/>
        <v>35</v>
      </c>
      <c r="GO57" s="1154">
        <f t="shared" si="101"/>
        <v>10690.527630357354</v>
      </c>
      <c r="GS57" s="1010">
        <f t="shared" si="102"/>
        <v>3891684.6706250738</v>
      </c>
      <c r="GT57" s="1011">
        <f t="shared" si="103"/>
        <v>0.125</v>
      </c>
      <c r="GU57" s="1010">
        <f t="shared" si="104"/>
        <v>486460.58382813423</v>
      </c>
      <c r="GV57" s="1010">
        <f t="shared" si="105"/>
        <v>30000</v>
      </c>
      <c r="GW57" s="1010">
        <f t="shared" si="106"/>
        <v>456460.58382813423</v>
      </c>
      <c r="GX57" s="1010">
        <f t="shared" si="107"/>
        <v>13</v>
      </c>
      <c r="GY57" s="1010">
        <f t="shared" si="108"/>
        <v>35112.352602164174</v>
      </c>
      <c r="GZ57" s="1011">
        <f t="shared" si="109"/>
        <v>0.875</v>
      </c>
      <c r="HA57" s="1010">
        <f t="shared" si="110"/>
        <v>3405224.0867969394</v>
      </c>
      <c r="HB57" s="1010">
        <f t="shared" si="111"/>
        <v>26400.666100374212</v>
      </c>
      <c r="HC57" s="1010">
        <f t="shared" si="112"/>
        <v>30607.116778007276</v>
      </c>
      <c r="HD57" s="1010">
        <f t="shared" si="113"/>
        <v>39537.539011662055</v>
      </c>
      <c r="HE57" s="1010">
        <f t="shared" si="114"/>
        <v>67427.518217046629</v>
      </c>
      <c r="HG57" s="1010">
        <f t="shared" si="115"/>
        <v>3891684.6706250738</v>
      </c>
      <c r="HH57" s="1011">
        <f t="shared" si="116"/>
        <v>0.125</v>
      </c>
      <c r="HI57" s="1010">
        <f t="shared" si="117"/>
        <v>486460.58382813423</v>
      </c>
      <c r="HJ57" s="1010">
        <f t="shared" si="118"/>
        <v>30000</v>
      </c>
      <c r="HK57" s="1010">
        <f t="shared" si="119"/>
        <v>456460.58382813423</v>
      </c>
      <c r="HL57" s="1012">
        <f t="shared" si="120"/>
        <v>33</v>
      </c>
      <c r="HM57" s="1167">
        <f t="shared" si="121"/>
        <v>13832.138903882855</v>
      </c>
      <c r="HN57" s="1168">
        <f t="shared" si="122"/>
        <v>0.875</v>
      </c>
      <c r="HO57" s="1167">
        <f t="shared" si="123"/>
        <v>3405224.0867969394</v>
      </c>
      <c r="HP57" s="1146">
        <f t="shared" si="124"/>
        <v>26400.666100374212</v>
      </c>
      <c r="HQ57" s="1146">
        <f t="shared" si="125"/>
        <v>30607.116778007276</v>
      </c>
      <c r="HR57" s="1146">
        <f t="shared" si="126"/>
        <v>39537.539011662055</v>
      </c>
      <c r="HS57" s="1146">
        <f t="shared" si="127"/>
        <v>67427.518217046629</v>
      </c>
      <c r="HU57" s="1167">
        <f t="shared" si="128"/>
        <v>-21280.213698281317</v>
      </c>
      <c r="HX57" s="1154"/>
      <c r="HY57" s="1154"/>
      <c r="IB57" s="1154"/>
      <c r="IC57" s="1154"/>
      <c r="ID57" s="1154"/>
      <c r="IE57" s="1154"/>
      <c r="IG57" s="1060"/>
    </row>
    <row r="58" spans="1:241" ht="14.25" hidden="1" customHeight="1">
      <c r="A58" s="1186">
        <f t="shared" si="141"/>
        <v>52</v>
      </c>
      <c r="B58" s="824" t="s">
        <v>149</v>
      </c>
      <c r="C58" s="855">
        <v>1</v>
      </c>
      <c r="D58" s="856" t="s">
        <v>502</v>
      </c>
      <c r="E58" s="857" t="str">
        <f t="shared" si="23"/>
        <v>5th Floor</v>
      </c>
      <c r="F58" s="1185"/>
      <c r="G58" s="764" t="s">
        <v>213</v>
      </c>
      <c r="H58" s="764" t="s">
        <v>475</v>
      </c>
      <c r="I58" s="764" t="s">
        <v>476</v>
      </c>
      <c r="J58" s="1139">
        <v>22</v>
      </c>
      <c r="K58" s="1142"/>
      <c r="L58" s="764" t="s">
        <v>344</v>
      </c>
      <c r="M58" s="764" t="s">
        <v>477</v>
      </c>
      <c r="N58" s="856">
        <f t="shared" si="24"/>
        <v>100909.09090909091</v>
      </c>
      <c r="O58" s="1138">
        <f t="shared" si="136"/>
        <v>2220000</v>
      </c>
      <c r="P58" s="1138">
        <f t="shared" si="142"/>
        <v>22400</v>
      </c>
      <c r="Q58" s="1138">
        <f t="shared" si="8"/>
        <v>50000</v>
      </c>
      <c r="R58" s="1138"/>
      <c r="S58" s="1138"/>
      <c r="T58" s="1138"/>
      <c r="U58" s="1138"/>
      <c r="V58" s="1138"/>
      <c r="W58" s="858">
        <f>J58*$W$5</f>
        <v>22000</v>
      </c>
      <c r="X58" s="1138"/>
      <c r="Y58" s="1138">
        <f>Y5</f>
        <v>20000</v>
      </c>
      <c r="Z58" s="1138">
        <f t="shared" si="137"/>
        <v>75000</v>
      </c>
      <c r="AA58" s="1138">
        <f t="shared" si="138"/>
        <v>189400</v>
      </c>
      <c r="AB58" s="1138">
        <f t="shared" si="28"/>
        <v>2409400</v>
      </c>
      <c r="AC58" s="1138">
        <f t="shared" si="29"/>
        <v>60235</v>
      </c>
      <c r="AD58" s="1138">
        <f t="shared" si="30"/>
        <v>2469635</v>
      </c>
      <c r="AE58" s="1138">
        <f t="shared" si="31"/>
        <v>61740.875</v>
      </c>
      <c r="AF58" s="1138">
        <f t="shared" si="32"/>
        <v>2531375.875</v>
      </c>
      <c r="AG58" s="1138">
        <f t="shared" si="33"/>
        <v>63284.396875000006</v>
      </c>
      <c r="AH58" s="1138">
        <f t="shared" si="34"/>
        <v>2594660.2718750001</v>
      </c>
      <c r="AI58" s="1138">
        <f t="shared" si="144"/>
        <v>129733.01359375002</v>
      </c>
      <c r="AJ58" s="1138">
        <f t="shared" si="35"/>
        <v>2724393.2854687502</v>
      </c>
      <c r="AK58" s="1138">
        <f t="shared" si="36"/>
        <v>27243.932854687504</v>
      </c>
      <c r="AL58" s="1138">
        <f t="shared" si="37"/>
        <v>27537.409960060559</v>
      </c>
      <c r="AM58" s="1138"/>
      <c r="AN58" s="1138"/>
      <c r="AO58" s="1138">
        <f t="shared" si="38"/>
        <v>2779174.6282834979</v>
      </c>
      <c r="AP58" s="1138">
        <f t="shared" si="39"/>
        <v>375188.57481827226</v>
      </c>
      <c r="AQ58" s="1248">
        <f t="shared" si="40"/>
        <v>3154363.20310177</v>
      </c>
      <c r="AR58" s="1248">
        <f t="shared" ref="AR58:AR63" si="195">AQ58</f>
        <v>3154363.20310177</v>
      </c>
      <c r="AS58" s="1248"/>
      <c r="AT58" s="1248"/>
      <c r="AU58" s="1248">
        <f t="shared" si="42"/>
        <v>0</v>
      </c>
      <c r="AV58" s="1140">
        <f t="shared" si="43"/>
        <v>0</v>
      </c>
      <c r="AW58" s="1140">
        <f t="shared" si="44"/>
        <v>3154363.20310177</v>
      </c>
      <c r="AX58" s="1139">
        <f t="shared" si="45"/>
        <v>39429.540038772131</v>
      </c>
      <c r="AY58" s="831" t="s">
        <v>478</v>
      </c>
      <c r="AZ58" s="831">
        <f t="shared" si="46"/>
        <v>3193792.7431405419</v>
      </c>
      <c r="BA58" s="831">
        <f t="shared" si="47"/>
        <v>119767.22786777031</v>
      </c>
      <c r="BB58" s="831"/>
      <c r="BC58" s="831">
        <f t="shared" si="189"/>
        <v>33600</v>
      </c>
      <c r="BD58" s="831"/>
      <c r="BE58" s="831">
        <f t="shared" si="48"/>
        <v>3347159.9710083124</v>
      </c>
      <c r="BF58" s="831"/>
      <c r="BG58" s="831">
        <f t="shared" si="49"/>
        <v>3347159.9710083124</v>
      </c>
      <c r="BH58" s="831"/>
      <c r="BI58" s="831">
        <f t="shared" si="50"/>
        <v>3347159.9710083124</v>
      </c>
      <c r="BJ58" s="831"/>
      <c r="BK58" s="831">
        <f t="shared" si="51"/>
        <v>3347159.9710083124</v>
      </c>
      <c r="BL58" s="831"/>
      <c r="BM58" s="831">
        <f t="shared" si="52"/>
        <v>3347159.9710083124</v>
      </c>
      <c r="BN58" s="831"/>
      <c r="BO58" s="831">
        <f t="shared" si="53"/>
        <v>3347159.9710083124</v>
      </c>
      <c r="BP58" s="831"/>
      <c r="BQ58" s="831">
        <f t="shared" si="54"/>
        <v>3347159.9710083124</v>
      </c>
      <c r="BR58" s="831"/>
      <c r="BS58" s="831">
        <f t="shared" si="55"/>
        <v>3347159.9710083124</v>
      </c>
      <c r="BT58" s="831"/>
      <c r="BU58" s="831">
        <f t="shared" si="56"/>
        <v>3347159.9710083124</v>
      </c>
      <c r="BV58" s="831"/>
      <c r="BW58" s="831">
        <f t="shared" si="57"/>
        <v>56400</v>
      </c>
      <c r="BX58" s="831">
        <f t="shared" si="58"/>
        <v>3403559.9710083124</v>
      </c>
      <c r="BY58" s="831"/>
      <c r="BZ58" s="831">
        <f t="shared" si="59"/>
        <v>3403559.9710083124</v>
      </c>
      <c r="CA58" s="1260">
        <f t="shared" si="60"/>
        <v>3403559.9710083124</v>
      </c>
      <c r="CB58" s="1260">
        <f t="shared" si="61"/>
        <v>3403559.9710083124</v>
      </c>
      <c r="CC58" s="1260"/>
      <c r="CD58" s="1260">
        <f t="shared" si="62"/>
        <v>0</v>
      </c>
      <c r="CE58" s="1260">
        <f t="shared" si="63"/>
        <v>0</v>
      </c>
      <c r="CF58" s="1260">
        <f t="shared" si="64"/>
        <v>0</v>
      </c>
      <c r="CG58" s="1266">
        <f t="shared" si="65"/>
        <v>3403559.9710083124</v>
      </c>
      <c r="CH58" s="1141">
        <f t="shared" si="66"/>
        <v>3403559.9710083124</v>
      </c>
      <c r="CI58" s="1142">
        <f t="shared" si="67"/>
        <v>0</v>
      </c>
      <c r="CJ58" s="1141">
        <f t="shared" si="68"/>
        <v>348864.89702835202</v>
      </c>
      <c r="CK58" s="1141">
        <f t="shared" si="69"/>
        <v>119124.59898529094</v>
      </c>
      <c r="CL58" s="1143">
        <f t="shared" si="139"/>
        <v>3871549.4670219556</v>
      </c>
      <c r="CM58" s="1144">
        <f t="shared" si="71"/>
        <v>0.125</v>
      </c>
      <c r="CN58" s="1141">
        <f t="shared" si="72"/>
        <v>483943.68337774446</v>
      </c>
      <c r="CO58" s="1141">
        <f t="shared" si="73"/>
        <v>30000</v>
      </c>
      <c r="CP58" s="1141">
        <f t="shared" si="74"/>
        <v>453943.68337774446</v>
      </c>
      <c r="CQ58" s="1145">
        <f t="shared" si="75"/>
        <v>13</v>
      </c>
      <c r="CR58" s="1141">
        <f t="shared" si="76"/>
        <v>34918.744875211109</v>
      </c>
      <c r="CS58" s="1144">
        <f t="shared" si="77"/>
        <v>0.875</v>
      </c>
      <c r="CT58" s="1141">
        <f t="shared" si="78"/>
        <v>3387605.783644211</v>
      </c>
      <c r="CU58" s="1146">
        <f t="shared" si="12"/>
        <v>26264.071583557004</v>
      </c>
      <c r="CV58" s="1146">
        <f t="shared" si="13"/>
        <v>30448.758488426069</v>
      </c>
      <c r="CW58" s="1146">
        <f t="shared" si="14"/>
        <v>39332.975573114454</v>
      </c>
      <c r="CX58" s="1146">
        <f t="shared" si="15"/>
        <v>67078.654698375394</v>
      </c>
      <c r="CY58" s="1146">
        <f t="shared" si="79"/>
        <v>275185.98535879696</v>
      </c>
      <c r="CZ58" s="1146">
        <f t="shared" si="80"/>
        <v>108889.75389857864</v>
      </c>
      <c r="DA58" s="1146">
        <f t="shared" si="81"/>
        <v>78649.527014168751</v>
      </c>
      <c r="DB58" s="1146">
        <f t="shared" si="82"/>
        <v>59855.910894997673</v>
      </c>
      <c r="DC58" s="1146"/>
      <c r="DD58" s="1146"/>
      <c r="DE58" s="1146"/>
      <c r="DF58" s="1146"/>
      <c r="DG58" s="1146"/>
      <c r="DH58" s="1146"/>
      <c r="DI58" s="1146"/>
      <c r="DJ58" s="1146"/>
      <c r="DK58" s="1146"/>
      <c r="DL58" s="1146"/>
      <c r="DM58" s="1146"/>
      <c r="DN58" s="1146"/>
      <c r="DO58" s="1146"/>
      <c r="DP58" s="1146"/>
      <c r="DQ58" s="1146"/>
      <c r="DR58" s="1146"/>
      <c r="DS58" s="1146"/>
      <c r="DT58" s="1146"/>
      <c r="DU58" s="1146"/>
      <c r="DV58" s="1146"/>
      <c r="DW58" s="1146"/>
      <c r="DX58" s="1146"/>
      <c r="DY58" s="1146"/>
      <c r="DZ58" s="1146"/>
      <c r="EA58" s="1147">
        <f t="shared" si="83"/>
        <v>0</v>
      </c>
      <c r="EB58" s="1148">
        <f t="shared" si="84"/>
        <v>0</v>
      </c>
      <c r="EC58" s="1190">
        <f t="shared" si="132"/>
        <v>45839</v>
      </c>
      <c r="ED58" s="1031">
        <f t="shared" si="16"/>
        <v>20</v>
      </c>
      <c r="EE58" s="1191"/>
      <c r="EF58" s="1032">
        <f t="shared" si="17"/>
        <v>45904</v>
      </c>
      <c r="EG58" s="1029">
        <f t="shared" si="85"/>
        <v>22</v>
      </c>
      <c r="EH58" s="859" t="s">
        <v>490</v>
      </c>
      <c r="EI58" s="859" t="s">
        <v>480</v>
      </c>
      <c r="EJ58" s="860">
        <f t="shared" si="18"/>
        <v>0</v>
      </c>
      <c r="EK58" s="860">
        <f t="shared" si="19"/>
        <v>0</v>
      </c>
      <c r="EL58" s="861">
        <f t="shared" si="20"/>
        <v>0</v>
      </c>
      <c r="EM58" s="1197"/>
      <c r="EN58" s="860"/>
      <c r="EO58" s="860"/>
      <c r="EP58" s="860">
        <f t="shared" si="21"/>
        <v>0</v>
      </c>
      <c r="EQ58" s="1197"/>
      <c r="ER58" s="1200"/>
      <c r="ES58" s="1197"/>
      <c r="ET58" s="1194" t="s">
        <v>213</v>
      </c>
      <c r="EU58" s="1197" t="b">
        <f t="shared" si="22"/>
        <v>1</v>
      </c>
      <c r="EV58" s="1201" t="s">
        <v>567</v>
      </c>
      <c r="EW58" s="1202" t="s">
        <v>482</v>
      </c>
      <c r="EX58" s="1197"/>
      <c r="EY58" s="1128" t="s">
        <v>483</v>
      </c>
      <c r="EZ58" s="1128" t="s">
        <v>484</v>
      </c>
      <c r="FA58" s="1169">
        <f t="shared" si="86"/>
        <v>0</v>
      </c>
      <c r="FI58" s="1309" t="s">
        <v>149</v>
      </c>
      <c r="FJ58" s="1159" t="s">
        <v>149</v>
      </c>
      <c r="FK58" s="1160" t="b">
        <f t="shared" si="87"/>
        <v>1</v>
      </c>
      <c r="FL58" s="1131"/>
      <c r="FM58" s="1161"/>
      <c r="FO58" s="1060"/>
      <c r="FP58" s="1169"/>
      <c r="FQ58" s="1203"/>
      <c r="FU58" s="1295"/>
      <c r="FV58" s="1295"/>
      <c r="FW58" s="1023">
        <v>0.15</v>
      </c>
      <c r="FX58" s="1162">
        <v>14267.916911801822</v>
      </c>
      <c r="FY58" s="1163">
        <v>14713.789315295629</v>
      </c>
      <c r="GA58" s="1164">
        <f t="shared" si="89"/>
        <v>3871549.4670219556</v>
      </c>
      <c r="GB58" s="1165">
        <f t="shared" si="90"/>
        <v>0.15</v>
      </c>
      <c r="GC58" s="1154">
        <f t="shared" si="91"/>
        <v>580732.42005329335</v>
      </c>
      <c r="GD58" s="1164">
        <f t="shared" si="92"/>
        <v>30000</v>
      </c>
      <c r="GE58" s="1154">
        <f t="shared" si="93"/>
        <v>550732.42005329335</v>
      </c>
      <c r="GF58" s="1060">
        <f t="shared" si="94"/>
        <v>35</v>
      </c>
      <c r="GG58" s="1166">
        <f t="shared" si="95"/>
        <v>15735.212001522666</v>
      </c>
      <c r="GI58" s="1164">
        <f t="shared" si="96"/>
        <v>3871549.4670219556</v>
      </c>
      <c r="GJ58" s="1154">
        <f t="shared" si="97"/>
        <v>387154.94670219556</v>
      </c>
      <c r="GK58" s="1154">
        <f t="shared" si="98"/>
        <v>96788.736675548891</v>
      </c>
      <c r="GL58" s="1166">
        <v>15000</v>
      </c>
      <c r="GM58" s="1154">
        <f t="shared" si="99"/>
        <v>372154.94670219556</v>
      </c>
      <c r="GN58" s="1060">
        <f t="shared" si="100"/>
        <v>35</v>
      </c>
      <c r="GO58" s="1154">
        <f t="shared" si="101"/>
        <v>10632.998477205587</v>
      </c>
      <c r="GS58" s="1010">
        <f t="shared" si="102"/>
        <v>3871549.4670219556</v>
      </c>
      <c r="GT58" s="1011">
        <f t="shared" si="103"/>
        <v>0.125</v>
      </c>
      <c r="GU58" s="1010">
        <f t="shared" si="104"/>
        <v>483943.68337774446</v>
      </c>
      <c r="GV58" s="1010">
        <f t="shared" si="105"/>
        <v>30000</v>
      </c>
      <c r="GW58" s="1010">
        <f t="shared" si="106"/>
        <v>453943.68337774446</v>
      </c>
      <c r="GX58" s="1010">
        <f t="shared" si="107"/>
        <v>13</v>
      </c>
      <c r="GY58" s="1010">
        <f t="shared" si="108"/>
        <v>34918.744875211109</v>
      </c>
      <c r="GZ58" s="1011">
        <f t="shared" si="109"/>
        <v>0.875</v>
      </c>
      <c r="HA58" s="1010">
        <f t="shared" si="110"/>
        <v>3387605.783644211</v>
      </c>
      <c r="HB58" s="1010">
        <f t="shared" si="111"/>
        <v>26264.071583557004</v>
      </c>
      <c r="HC58" s="1010">
        <f t="shared" si="112"/>
        <v>30448.758488426069</v>
      </c>
      <c r="HD58" s="1010">
        <f t="shared" si="113"/>
        <v>39332.975573114454</v>
      </c>
      <c r="HE58" s="1010">
        <f t="shared" si="114"/>
        <v>67078.654698375394</v>
      </c>
      <c r="HG58" s="1010">
        <f t="shared" si="115"/>
        <v>3871549.4670219556</v>
      </c>
      <c r="HH58" s="1011">
        <f t="shared" si="116"/>
        <v>0.125</v>
      </c>
      <c r="HI58" s="1010">
        <f t="shared" si="117"/>
        <v>483943.68337774446</v>
      </c>
      <c r="HJ58" s="1010">
        <f t="shared" si="118"/>
        <v>30000</v>
      </c>
      <c r="HK58" s="1010">
        <f t="shared" si="119"/>
        <v>453943.68337774446</v>
      </c>
      <c r="HL58" s="1012">
        <f t="shared" si="120"/>
        <v>33</v>
      </c>
      <c r="HM58" s="1167">
        <f t="shared" si="121"/>
        <v>13755.869193264984</v>
      </c>
      <c r="HN58" s="1168">
        <f t="shared" si="122"/>
        <v>0.875</v>
      </c>
      <c r="HO58" s="1167">
        <f t="shared" si="123"/>
        <v>3387605.783644211</v>
      </c>
      <c r="HP58" s="1146">
        <f t="shared" si="124"/>
        <v>26264.071583557004</v>
      </c>
      <c r="HQ58" s="1146">
        <f t="shared" si="125"/>
        <v>30448.758488426069</v>
      </c>
      <c r="HR58" s="1146">
        <f t="shared" si="126"/>
        <v>39332.975573114454</v>
      </c>
      <c r="HS58" s="1146">
        <f t="shared" si="127"/>
        <v>67078.654698375394</v>
      </c>
      <c r="HU58" s="1167">
        <f t="shared" si="128"/>
        <v>-21162.875681946127</v>
      </c>
      <c r="HX58" s="1154"/>
      <c r="HY58" s="1154"/>
      <c r="IB58" s="1154"/>
      <c r="IC58" s="1154"/>
      <c r="ID58" s="1154"/>
      <c r="IE58" s="1154"/>
      <c r="IG58" s="1060"/>
    </row>
    <row r="59" spans="1:241" ht="14.25" hidden="1" customHeight="1">
      <c r="A59" s="1186">
        <f t="shared" si="141"/>
        <v>53</v>
      </c>
      <c r="B59" s="824" t="s">
        <v>149</v>
      </c>
      <c r="C59" s="855">
        <f>C58+1</f>
        <v>2</v>
      </c>
      <c r="D59" s="856" t="s">
        <v>502</v>
      </c>
      <c r="E59" s="857" t="str">
        <f t="shared" si="23"/>
        <v>5th Floor</v>
      </c>
      <c r="F59" s="1185"/>
      <c r="G59" s="764" t="s">
        <v>214</v>
      </c>
      <c r="H59" s="764" t="s">
        <v>489</v>
      </c>
      <c r="I59" s="764" t="s">
        <v>476</v>
      </c>
      <c r="J59" s="1139">
        <v>22</v>
      </c>
      <c r="K59" s="1142"/>
      <c r="L59" s="764" t="s">
        <v>344</v>
      </c>
      <c r="M59" s="764" t="s">
        <v>93</v>
      </c>
      <c r="N59" s="856">
        <f t="shared" si="24"/>
        <v>100909.09090909091</v>
      </c>
      <c r="O59" s="1138">
        <f t="shared" si="136"/>
        <v>2220000</v>
      </c>
      <c r="P59" s="1138">
        <f t="shared" si="142"/>
        <v>22400</v>
      </c>
      <c r="Q59" s="1138">
        <f t="shared" si="8"/>
        <v>50000</v>
      </c>
      <c r="R59" s="1138"/>
      <c r="S59" s="1138"/>
      <c r="T59" s="1138"/>
      <c r="U59" s="1138"/>
      <c r="V59" s="1138"/>
      <c r="W59" s="858"/>
      <c r="X59" s="1138"/>
      <c r="Y59" s="1138">
        <f>$Y$58</f>
        <v>20000</v>
      </c>
      <c r="Z59" s="1138">
        <f t="shared" si="137"/>
        <v>75000</v>
      </c>
      <c r="AA59" s="1138">
        <f t="shared" si="138"/>
        <v>167400</v>
      </c>
      <c r="AB59" s="1138">
        <f t="shared" si="28"/>
        <v>2387400</v>
      </c>
      <c r="AC59" s="1138">
        <f t="shared" si="29"/>
        <v>59685</v>
      </c>
      <c r="AD59" s="1138">
        <f t="shared" si="30"/>
        <v>2447085</v>
      </c>
      <c r="AE59" s="1138">
        <f t="shared" si="31"/>
        <v>61177.125</v>
      </c>
      <c r="AF59" s="1138">
        <f t="shared" si="32"/>
        <v>2508262.125</v>
      </c>
      <c r="AG59" s="1138">
        <f t="shared" si="33"/>
        <v>62706.553125000006</v>
      </c>
      <c r="AH59" s="1138">
        <f t="shared" si="34"/>
        <v>2570968.6781250001</v>
      </c>
      <c r="AI59" s="1138">
        <f t="shared" si="144"/>
        <v>128548.43390625001</v>
      </c>
      <c r="AJ59" s="1138">
        <f t="shared" si="35"/>
        <v>2699517.1120312503</v>
      </c>
      <c r="AK59" s="1138">
        <f t="shared" si="36"/>
        <v>26995.171120312501</v>
      </c>
      <c r="AL59" s="1138">
        <f t="shared" si="37"/>
        <v>27537.409960060559</v>
      </c>
      <c r="AM59" s="1138"/>
      <c r="AN59" s="1138"/>
      <c r="AO59" s="1138">
        <f t="shared" si="38"/>
        <v>2754049.6931116232</v>
      </c>
      <c r="AP59" s="1138">
        <f t="shared" si="39"/>
        <v>371796.70857006917</v>
      </c>
      <c r="AQ59" s="1248">
        <f t="shared" si="40"/>
        <v>3125846.4016816923</v>
      </c>
      <c r="AR59" s="1248">
        <f t="shared" si="195"/>
        <v>3125846.4016816923</v>
      </c>
      <c r="AS59" s="1248"/>
      <c r="AT59" s="1248"/>
      <c r="AU59" s="1248">
        <f t="shared" si="42"/>
        <v>0</v>
      </c>
      <c r="AV59" s="1140">
        <f t="shared" si="43"/>
        <v>0</v>
      </c>
      <c r="AW59" s="1140">
        <f t="shared" si="44"/>
        <v>3125846.4016816923</v>
      </c>
      <c r="AX59" s="1139">
        <f t="shared" si="45"/>
        <v>39073.080021021153</v>
      </c>
      <c r="AY59" s="831" t="s">
        <v>478</v>
      </c>
      <c r="AZ59" s="831">
        <f t="shared" si="46"/>
        <v>3164919.4817027133</v>
      </c>
      <c r="BA59" s="831">
        <f t="shared" si="47"/>
        <v>118684.48056385174</v>
      </c>
      <c r="BB59" s="831"/>
      <c r="BC59" s="831">
        <f t="shared" si="189"/>
        <v>33600</v>
      </c>
      <c r="BD59" s="831"/>
      <c r="BE59" s="831">
        <f t="shared" si="48"/>
        <v>3317203.9622665648</v>
      </c>
      <c r="BF59" s="831"/>
      <c r="BG59" s="831">
        <f t="shared" si="49"/>
        <v>3317203.9622665648</v>
      </c>
      <c r="BH59" s="831"/>
      <c r="BI59" s="831">
        <f t="shared" si="50"/>
        <v>3317203.9622665648</v>
      </c>
      <c r="BJ59" s="831"/>
      <c r="BK59" s="831">
        <f t="shared" si="51"/>
        <v>3317203.9622665648</v>
      </c>
      <c r="BL59" s="831"/>
      <c r="BM59" s="831">
        <f t="shared" si="52"/>
        <v>3317203.9622665648</v>
      </c>
      <c r="BN59" s="831"/>
      <c r="BO59" s="831">
        <f t="shared" si="53"/>
        <v>3317203.9622665648</v>
      </c>
      <c r="BP59" s="831"/>
      <c r="BQ59" s="831">
        <f t="shared" si="54"/>
        <v>3317203.9622665648</v>
      </c>
      <c r="BR59" s="831"/>
      <c r="BS59" s="831">
        <f t="shared" si="55"/>
        <v>3317203.9622665648</v>
      </c>
      <c r="BT59" s="831"/>
      <c r="BU59" s="831">
        <f t="shared" si="56"/>
        <v>3317203.9622665648</v>
      </c>
      <c r="BV59" s="831"/>
      <c r="BW59" s="831">
        <f t="shared" si="57"/>
        <v>56400</v>
      </c>
      <c r="BX59" s="831">
        <f t="shared" si="58"/>
        <v>3373603.9622665648</v>
      </c>
      <c r="BY59" s="831"/>
      <c r="BZ59" s="831">
        <f t="shared" si="59"/>
        <v>3373603.9622665648</v>
      </c>
      <c r="CA59" s="1260">
        <f t="shared" si="60"/>
        <v>3373603.9622665648</v>
      </c>
      <c r="CB59" s="1260">
        <f t="shared" si="61"/>
        <v>3373603.9622665648</v>
      </c>
      <c r="CC59" s="1260"/>
      <c r="CD59" s="1260">
        <f t="shared" si="62"/>
        <v>0</v>
      </c>
      <c r="CE59" s="1260">
        <f t="shared" si="63"/>
        <v>0</v>
      </c>
      <c r="CF59" s="1260">
        <f t="shared" si="64"/>
        <v>0</v>
      </c>
      <c r="CG59" s="1266">
        <f t="shared" si="65"/>
        <v>3373603.9622665648</v>
      </c>
      <c r="CH59" s="1141">
        <f t="shared" si="66"/>
        <v>3373603.9622665648</v>
      </c>
      <c r="CI59" s="1142">
        <f t="shared" si="67"/>
        <v>0</v>
      </c>
      <c r="CJ59" s="1141">
        <f t="shared" si="68"/>
        <v>345794.40613232285</v>
      </c>
      <c r="CK59" s="1141">
        <f t="shared" si="69"/>
        <v>118076.13867932979</v>
      </c>
      <c r="CL59" s="1143">
        <f t="shared" si="139"/>
        <v>3837474.5070782173</v>
      </c>
      <c r="CM59" s="1144">
        <f t="shared" si="71"/>
        <v>0.125</v>
      </c>
      <c r="CN59" s="1141">
        <f t="shared" si="72"/>
        <v>479684.31338477717</v>
      </c>
      <c r="CO59" s="1141">
        <f t="shared" si="73"/>
        <v>30000</v>
      </c>
      <c r="CP59" s="1141">
        <f t="shared" si="74"/>
        <v>449684.31338477717</v>
      </c>
      <c r="CQ59" s="1145">
        <f t="shared" si="75"/>
        <v>13</v>
      </c>
      <c r="CR59" s="1141">
        <f t="shared" si="76"/>
        <v>34591.101029598241</v>
      </c>
      <c r="CS59" s="1144">
        <f t="shared" si="77"/>
        <v>0.875</v>
      </c>
      <c r="CT59" s="1141">
        <f t="shared" si="78"/>
        <v>3357790.1936934404</v>
      </c>
      <c r="CU59" s="1146">
        <f t="shared" si="12"/>
        <v>26032.91163202019</v>
      </c>
      <c r="CV59" s="1146">
        <f t="shared" si="13"/>
        <v>30180.767536827112</v>
      </c>
      <c r="CW59" s="1146">
        <f t="shared" si="14"/>
        <v>38986.791292495443</v>
      </c>
      <c r="CX59" s="1146">
        <f t="shared" si="15"/>
        <v>66488.270282162528</v>
      </c>
      <c r="CY59" s="1146">
        <f t="shared" si="79"/>
        <v>272763.97021781723</v>
      </c>
      <c r="CZ59" s="1146">
        <f t="shared" si="80"/>
        <v>107931.37430560609</v>
      </c>
      <c r="DA59" s="1146">
        <f t="shared" si="81"/>
        <v>77957.303007881361</v>
      </c>
      <c r="DB59" s="1146">
        <f t="shared" si="82"/>
        <v>59329.096557865647</v>
      </c>
      <c r="DC59" s="1146"/>
      <c r="DD59" s="1146"/>
      <c r="DE59" s="1146"/>
      <c r="DF59" s="1146"/>
      <c r="DG59" s="1146"/>
      <c r="DH59" s="1146"/>
      <c r="DI59" s="1146"/>
      <c r="DJ59" s="1146"/>
      <c r="DK59" s="1146"/>
      <c r="DL59" s="1146"/>
      <c r="DM59" s="1146"/>
      <c r="DN59" s="1146"/>
      <c r="DO59" s="1146"/>
      <c r="DP59" s="1146"/>
      <c r="DQ59" s="1146"/>
      <c r="DR59" s="1146"/>
      <c r="DS59" s="1146"/>
      <c r="DT59" s="1146"/>
      <c r="DU59" s="1146"/>
      <c r="DV59" s="1146"/>
      <c r="DW59" s="1146"/>
      <c r="DX59" s="1146"/>
      <c r="DY59" s="1146"/>
      <c r="DZ59" s="1146"/>
      <c r="EA59" s="1147">
        <f t="shared" si="83"/>
        <v>0</v>
      </c>
      <c r="EB59" s="1148">
        <f t="shared" si="84"/>
        <v>0</v>
      </c>
      <c r="EC59" s="1190">
        <f t="shared" si="132"/>
        <v>45839</v>
      </c>
      <c r="ED59" s="1031">
        <f t="shared" si="16"/>
        <v>20</v>
      </c>
      <c r="EE59" s="1191"/>
      <c r="EF59" s="1032">
        <f t="shared" si="17"/>
        <v>45904</v>
      </c>
      <c r="EG59" s="1029">
        <f t="shared" si="85"/>
        <v>22</v>
      </c>
      <c r="EH59" s="859" t="s">
        <v>490</v>
      </c>
      <c r="EI59" s="859" t="s">
        <v>480</v>
      </c>
      <c r="EJ59" s="860">
        <f t="shared" si="18"/>
        <v>0</v>
      </c>
      <c r="EK59" s="860">
        <f t="shared" si="19"/>
        <v>0</v>
      </c>
      <c r="EL59" s="861">
        <f t="shared" si="20"/>
        <v>0</v>
      </c>
      <c r="EM59" s="1197"/>
      <c r="EN59" s="860"/>
      <c r="EO59" s="860"/>
      <c r="EP59" s="860">
        <f t="shared" si="21"/>
        <v>0</v>
      </c>
      <c r="EQ59" s="1197"/>
      <c r="ER59" s="1200"/>
      <c r="ES59" s="1197"/>
      <c r="ET59" s="1194" t="s">
        <v>214</v>
      </c>
      <c r="EU59" s="1197" t="b">
        <f t="shared" si="22"/>
        <v>1</v>
      </c>
      <c r="EV59" s="1201" t="s">
        <v>568</v>
      </c>
      <c r="EW59" s="1202" t="s">
        <v>482</v>
      </c>
      <c r="EX59" s="1197"/>
      <c r="EY59" s="1128" t="s">
        <v>483</v>
      </c>
      <c r="EZ59" s="1128" t="s">
        <v>484</v>
      </c>
      <c r="FA59" s="1169">
        <f t="shared" si="86"/>
        <v>0</v>
      </c>
      <c r="FI59" s="1309" t="s">
        <v>149</v>
      </c>
      <c r="FJ59" s="1243" t="s">
        <v>149</v>
      </c>
      <c r="FK59" s="1160" t="b">
        <f t="shared" si="87"/>
        <v>1</v>
      </c>
      <c r="FL59" s="1131"/>
      <c r="FM59" s="1161"/>
      <c r="FO59" s="1060"/>
      <c r="FP59" s="1169"/>
      <c r="FQ59" s="1203"/>
      <c r="FU59" s="1295"/>
      <c r="FV59" s="1295"/>
      <c r="FW59" s="1023">
        <v>0.15</v>
      </c>
      <c r="FX59" s="1162">
        <v>14123.699783915263</v>
      </c>
      <c r="FY59" s="1163">
        <v>14565.065402162614</v>
      </c>
      <c r="GA59" s="1164">
        <f t="shared" si="89"/>
        <v>3837474.5070782173</v>
      </c>
      <c r="GB59" s="1165">
        <f t="shared" si="90"/>
        <v>0.15</v>
      </c>
      <c r="GC59" s="1154">
        <f t="shared" si="91"/>
        <v>575621.17606173258</v>
      </c>
      <c r="GD59" s="1164">
        <f t="shared" si="92"/>
        <v>30000</v>
      </c>
      <c r="GE59" s="1154">
        <f t="shared" si="93"/>
        <v>545621.17606173258</v>
      </c>
      <c r="GF59" s="1060">
        <f t="shared" si="94"/>
        <v>35</v>
      </c>
      <c r="GG59" s="1166">
        <f t="shared" si="95"/>
        <v>15589.176458906644</v>
      </c>
      <c r="GI59" s="1164">
        <f t="shared" si="96"/>
        <v>3837474.5070782173</v>
      </c>
      <c r="GJ59" s="1154">
        <f t="shared" si="97"/>
        <v>383747.45070782176</v>
      </c>
      <c r="GK59" s="1154">
        <f t="shared" si="98"/>
        <v>95936.862676955439</v>
      </c>
      <c r="GL59" s="1166">
        <v>15000</v>
      </c>
      <c r="GM59" s="1154">
        <f t="shared" si="99"/>
        <v>368747.45070782176</v>
      </c>
      <c r="GN59" s="1060">
        <f t="shared" si="100"/>
        <v>35</v>
      </c>
      <c r="GO59" s="1154">
        <f t="shared" si="101"/>
        <v>10535.641448794908</v>
      </c>
      <c r="GS59" s="1010">
        <f t="shared" si="102"/>
        <v>3837474.5070782173</v>
      </c>
      <c r="GT59" s="1011">
        <f t="shared" si="103"/>
        <v>0.125</v>
      </c>
      <c r="GU59" s="1010">
        <f t="shared" si="104"/>
        <v>479684.31338477717</v>
      </c>
      <c r="GV59" s="1010">
        <f t="shared" si="105"/>
        <v>30000</v>
      </c>
      <c r="GW59" s="1010">
        <f t="shared" si="106"/>
        <v>449684.31338477717</v>
      </c>
      <c r="GX59" s="1010">
        <f t="shared" si="107"/>
        <v>13</v>
      </c>
      <c r="GY59" s="1010">
        <f t="shared" si="108"/>
        <v>34591.101029598241</v>
      </c>
      <c r="GZ59" s="1011">
        <f t="shared" si="109"/>
        <v>0.875</v>
      </c>
      <c r="HA59" s="1010">
        <f t="shared" si="110"/>
        <v>3357790.1936934404</v>
      </c>
      <c r="HB59" s="1010">
        <f t="shared" si="111"/>
        <v>26032.91163202019</v>
      </c>
      <c r="HC59" s="1010">
        <f t="shared" si="112"/>
        <v>30180.767536827112</v>
      </c>
      <c r="HD59" s="1010">
        <f t="shared" si="113"/>
        <v>38986.791292495443</v>
      </c>
      <c r="HE59" s="1010">
        <f t="shared" si="114"/>
        <v>66488.270282162528</v>
      </c>
      <c r="HG59" s="1010">
        <f t="shared" si="115"/>
        <v>3837474.5070782173</v>
      </c>
      <c r="HH59" s="1011">
        <f t="shared" si="116"/>
        <v>0.125</v>
      </c>
      <c r="HI59" s="1010">
        <f t="shared" si="117"/>
        <v>479684.31338477717</v>
      </c>
      <c r="HJ59" s="1010">
        <f t="shared" si="118"/>
        <v>30000</v>
      </c>
      <c r="HK59" s="1010">
        <f t="shared" si="119"/>
        <v>449684.31338477717</v>
      </c>
      <c r="HL59" s="1012">
        <f t="shared" si="120"/>
        <v>33</v>
      </c>
      <c r="HM59" s="1167">
        <f t="shared" si="121"/>
        <v>13626.797375296277</v>
      </c>
      <c r="HN59" s="1168">
        <f t="shared" si="122"/>
        <v>0.875</v>
      </c>
      <c r="HO59" s="1167">
        <f t="shared" si="123"/>
        <v>3357790.1936934404</v>
      </c>
      <c r="HP59" s="1146">
        <f t="shared" si="124"/>
        <v>26032.91163202019</v>
      </c>
      <c r="HQ59" s="1146">
        <f t="shared" si="125"/>
        <v>30180.767536827112</v>
      </c>
      <c r="HR59" s="1146">
        <f t="shared" si="126"/>
        <v>38986.791292495443</v>
      </c>
      <c r="HS59" s="1146">
        <f t="shared" si="127"/>
        <v>66488.270282162528</v>
      </c>
      <c r="HU59" s="1167">
        <f t="shared" si="128"/>
        <v>-20964.303654301963</v>
      </c>
      <c r="HX59" s="1154"/>
      <c r="HY59" s="1154"/>
      <c r="IB59" s="1154"/>
      <c r="IC59" s="1154"/>
      <c r="ID59" s="1154"/>
      <c r="IE59" s="1154"/>
      <c r="IG59" s="1060"/>
    </row>
    <row r="60" spans="1:241" ht="14.25" hidden="1" customHeight="1">
      <c r="A60" s="1186">
        <f t="shared" si="141"/>
        <v>54</v>
      </c>
      <c r="B60" s="824" t="s">
        <v>149</v>
      </c>
      <c r="C60" s="855">
        <f t="shared" ref="C60:C75" si="196">C59+1</f>
        <v>3</v>
      </c>
      <c r="D60" s="856" t="s">
        <v>502</v>
      </c>
      <c r="E60" s="857" t="str">
        <f t="shared" si="23"/>
        <v>5th Floor</v>
      </c>
      <c r="F60" s="1185"/>
      <c r="G60" s="764" t="s">
        <v>215</v>
      </c>
      <c r="H60" s="764" t="s">
        <v>493</v>
      </c>
      <c r="I60" s="764" t="s">
        <v>476</v>
      </c>
      <c r="J60" s="1139">
        <v>22</v>
      </c>
      <c r="K60" s="1142"/>
      <c r="L60" s="764" t="s">
        <v>344</v>
      </c>
      <c r="M60" s="764" t="s">
        <v>477</v>
      </c>
      <c r="N60" s="856">
        <f t="shared" si="24"/>
        <v>100909.09090909091</v>
      </c>
      <c r="O60" s="1138">
        <f t="shared" si="136"/>
        <v>2220000</v>
      </c>
      <c r="P60" s="1138">
        <f t="shared" si="142"/>
        <v>22400</v>
      </c>
      <c r="Q60" s="1138">
        <f t="shared" si="8"/>
        <v>50000</v>
      </c>
      <c r="R60" s="1138"/>
      <c r="S60" s="1138"/>
      <c r="T60" s="1138"/>
      <c r="U60" s="1138"/>
      <c r="V60" s="1138"/>
      <c r="W60" s="858">
        <f t="shared" ref="W60:W63" si="197">J60*$W$5</f>
        <v>22000</v>
      </c>
      <c r="X60" s="1138"/>
      <c r="Y60" s="1138">
        <f t="shared" ref="Y60:Y75" si="198">$Y$58</f>
        <v>20000</v>
      </c>
      <c r="Z60" s="1138">
        <f t="shared" si="137"/>
        <v>75000</v>
      </c>
      <c r="AA60" s="1138">
        <f t="shared" si="138"/>
        <v>189400</v>
      </c>
      <c r="AB60" s="1138">
        <f t="shared" si="28"/>
        <v>2409400</v>
      </c>
      <c r="AC60" s="1138">
        <f t="shared" si="29"/>
        <v>60235</v>
      </c>
      <c r="AD60" s="1138">
        <f t="shared" si="30"/>
        <v>2469635</v>
      </c>
      <c r="AE60" s="1138">
        <f t="shared" si="31"/>
        <v>61740.875</v>
      </c>
      <c r="AF60" s="1138">
        <f t="shared" si="32"/>
        <v>2531375.875</v>
      </c>
      <c r="AG60" s="1138">
        <f t="shared" si="33"/>
        <v>63284.396875000006</v>
      </c>
      <c r="AH60" s="1138">
        <f t="shared" si="34"/>
        <v>2594660.2718750001</v>
      </c>
      <c r="AI60" s="1138">
        <f t="shared" si="144"/>
        <v>129733.01359375002</v>
      </c>
      <c r="AJ60" s="1138">
        <f t="shared" si="35"/>
        <v>2724393.2854687502</v>
      </c>
      <c r="AK60" s="1138">
        <f t="shared" si="36"/>
        <v>27243.932854687504</v>
      </c>
      <c r="AL60" s="1138">
        <f t="shared" si="37"/>
        <v>27537.409960060559</v>
      </c>
      <c r="AM60" s="1138"/>
      <c r="AN60" s="1138"/>
      <c r="AO60" s="1138">
        <f t="shared" si="38"/>
        <v>2779174.6282834979</v>
      </c>
      <c r="AP60" s="1138">
        <f t="shared" si="39"/>
        <v>375188.57481827226</v>
      </c>
      <c r="AQ60" s="1248">
        <f t="shared" si="40"/>
        <v>3154363.20310177</v>
      </c>
      <c r="AR60" s="1248">
        <f t="shared" si="195"/>
        <v>3154363.20310177</v>
      </c>
      <c r="AS60" s="1248"/>
      <c r="AT60" s="1248"/>
      <c r="AU60" s="1248">
        <f t="shared" si="42"/>
        <v>0</v>
      </c>
      <c r="AV60" s="1140">
        <f t="shared" si="43"/>
        <v>0</v>
      </c>
      <c r="AW60" s="1140">
        <f t="shared" si="44"/>
        <v>3154363.20310177</v>
      </c>
      <c r="AX60" s="1139">
        <f t="shared" si="45"/>
        <v>39429.540038772131</v>
      </c>
      <c r="AY60" s="831" t="s">
        <v>478</v>
      </c>
      <c r="AZ60" s="831">
        <f t="shared" si="46"/>
        <v>3193792.7431405419</v>
      </c>
      <c r="BA60" s="831">
        <f t="shared" si="47"/>
        <v>119767.22786777031</v>
      </c>
      <c r="BB60" s="831"/>
      <c r="BC60" s="831">
        <f t="shared" si="189"/>
        <v>33600</v>
      </c>
      <c r="BD60" s="831"/>
      <c r="BE60" s="831">
        <f t="shared" si="48"/>
        <v>3347159.9710083124</v>
      </c>
      <c r="BF60" s="831"/>
      <c r="BG60" s="831">
        <f t="shared" si="49"/>
        <v>3347159.9710083124</v>
      </c>
      <c r="BH60" s="831"/>
      <c r="BI60" s="831">
        <f t="shared" si="50"/>
        <v>3347159.9710083124</v>
      </c>
      <c r="BJ60" s="831"/>
      <c r="BK60" s="831">
        <f t="shared" si="51"/>
        <v>3347159.9710083124</v>
      </c>
      <c r="BL60" s="831"/>
      <c r="BM60" s="831">
        <f t="shared" si="52"/>
        <v>3347159.9710083124</v>
      </c>
      <c r="BN60" s="831"/>
      <c r="BO60" s="831">
        <f t="shared" si="53"/>
        <v>3347159.9710083124</v>
      </c>
      <c r="BP60" s="831"/>
      <c r="BQ60" s="831">
        <f t="shared" si="54"/>
        <v>3347159.9710083124</v>
      </c>
      <c r="BR60" s="831"/>
      <c r="BS60" s="831">
        <f t="shared" si="55"/>
        <v>3347159.9710083124</v>
      </c>
      <c r="BT60" s="831"/>
      <c r="BU60" s="831">
        <f t="shared" si="56"/>
        <v>3347159.9710083124</v>
      </c>
      <c r="BV60" s="831"/>
      <c r="BW60" s="831">
        <f t="shared" si="57"/>
        <v>56400</v>
      </c>
      <c r="BX60" s="831">
        <f t="shared" si="58"/>
        <v>3403559.9710083124</v>
      </c>
      <c r="BY60" s="831"/>
      <c r="BZ60" s="831">
        <f t="shared" si="59"/>
        <v>3403559.9710083124</v>
      </c>
      <c r="CA60" s="1260">
        <f t="shared" si="60"/>
        <v>3403559.9710083124</v>
      </c>
      <c r="CB60" s="1260">
        <f t="shared" si="61"/>
        <v>3403559.9710083124</v>
      </c>
      <c r="CC60" s="1260"/>
      <c r="CD60" s="1260">
        <f t="shared" si="62"/>
        <v>0</v>
      </c>
      <c r="CE60" s="1260">
        <f t="shared" si="63"/>
        <v>0</v>
      </c>
      <c r="CF60" s="1260">
        <f t="shared" si="64"/>
        <v>0</v>
      </c>
      <c r="CG60" s="1266">
        <f t="shared" si="65"/>
        <v>3403559.9710083124</v>
      </c>
      <c r="CH60" s="1141">
        <f t="shared" si="66"/>
        <v>3403559.9710083124</v>
      </c>
      <c r="CI60" s="1142">
        <f t="shared" si="67"/>
        <v>0</v>
      </c>
      <c r="CJ60" s="1141">
        <f t="shared" si="68"/>
        <v>348864.89702835202</v>
      </c>
      <c r="CK60" s="1141">
        <f t="shared" si="69"/>
        <v>119124.59898529094</v>
      </c>
      <c r="CL60" s="1143">
        <f t="shared" si="139"/>
        <v>3871549.4670219556</v>
      </c>
      <c r="CM60" s="1144">
        <f t="shared" si="71"/>
        <v>0.125</v>
      </c>
      <c r="CN60" s="1141">
        <f t="shared" si="72"/>
        <v>483943.68337774446</v>
      </c>
      <c r="CO60" s="1141">
        <f t="shared" si="73"/>
        <v>30000</v>
      </c>
      <c r="CP60" s="1141">
        <f t="shared" si="74"/>
        <v>453943.68337774446</v>
      </c>
      <c r="CQ60" s="1145">
        <f t="shared" si="75"/>
        <v>13</v>
      </c>
      <c r="CR60" s="1141">
        <f t="shared" si="76"/>
        <v>34918.744875211109</v>
      </c>
      <c r="CS60" s="1144">
        <f t="shared" si="77"/>
        <v>0.875</v>
      </c>
      <c r="CT60" s="1141">
        <f t="shared" si="78"/>
        <v>3387605.783644211</v>
      </c>
      <c r="CU60" s="1146">
        <f t="shared" si="12"/>
        <v>26264.071583557004</v>
      </c>
      <c r="CV60" s="1146">
        <f t="shared" si="13"/>
        <v>30448.758488426069</v>
      </c>
      <c r="CW60" s="1146">
        <f t="shared" si="14"/>
        <v>39332.975573114454</v>
      </c>
      <c r="CX60" s="1146">
        <f t="shared" si="15"/>
        <v>67078.654698375394</v>
      </c>
      <c r="CY60" s="1146">
        <f t="shared" si="79"/>
        <v>275185.98535879696</v>
      </c>
      <c r="CZ60" s="1146">
        <f t="shared" si="80"/>
        <v>108889.75389857864</v>
      </c>
      <c r="DA60" s="1146">
        <f t="shared" si="81"/>
        <v>78649.527014168751</v>
      </c>
      <c r="DB60" s="1146">
        <f t="shared" si="82"/>
        <v>59855.910894997673</v>
      </c>
      <c r="DC60" s="1146"/>
      <c r="DD60" s="1146"/>
      <c r="DE60" s="1146"/>
      <c r="DF60" s="1146"/>
      <c r="DG60" s="1146"/>
      <c r="DH60" s="1146"/>
      <c r="DI60" s="1146"/>
      <c r="DJ60" s="1146"/>
      <c r="DK60" s="1146"/>
      <c r="DL60" s="1146"/>
      <c r="DM60" s="1146"/>
      <c r="DN60" s="1146"/>
      <c r="DO60" s="1146"/>
      <c r="DP60" s="1146"/>
      <c r="DQ60" s="1146"/>
      <c r="DR60" s="1146"/>
      <c r="DS60" s="1146"/>
      <c r="DT60" s="1146"/>
      <c r="DU60" s="1146"/>
      <c r="DV60" s="1146"/>
      <c r="DW60" s="1146"/>
      <c r="DX60" s="1146"/>
      <c r="DY60" s="1146"/>
      <c r="DZ60" s="1146"/>
      <c r="EA60" s="1147">
        <f t="shared" si="83"/>
        <v>0</v>
      </c>
      <c r="EB60" s="1148">
        <f t="shared" si="84"/>
        <v>0</v>
      </c>
      <c r="EC60" s="1190">
        <f t="shared" si="132"/>
        <v>45839</v>
      </c>
      <c r="ED60" s="1031">
        <f t="shared" si="16"/>
        <v>20</v>
      </c>
      <c r="EE60" s="1191"/>
      <c r="EF60" s="1032">
        <f t="shared" si="17"/>
        <v>45904</v>
      </c>
      <c r="EG60" s="1029">
        <f t="shared" si="85"/>
        <v>22</v>
      </c>
      <c r="EH60" s="859" t="s">
        <v>490</v>
      </c>
      <c r="EI60" s="859" t="s">
        <v>480</v>
      </c>
      <c r="EJ60" s="860">
        <f t="shared" si="18"/>
        <v>0</v>
      </c>
      <c r="EK60" s="860">
        <f t="shared" si="19"/>
        <v>0</v>
      </c>
      <c r="EL60" s="861">
        <f t="shared" si="20"/>
        <v>0</v>
      </c>
      <c r="EM60" s="1197"/>
      <c r="EN60" s="860"/>
      <c r="EO60" s="860"/>
      <c r="EP60" s="860">
        <f t="shared" si="21"/>
        <v>0</v>
      </c>
      <c r="EQ60" s="1197"/>
      <c r="ER60" s="1200"/>
      <c r="ES60" s="1197"/>
      <c r="ET60" s="1194" t="s">
        <v>215</v>
      </c>
      <c r="EU60" s="1197" t="b">
        <f t="shared" si="22"/>
        <v>1</v>
      </c>
      <c r="EV60" s="1201" t="s">
        <v>569</v>
      </c>
      <c r="EW60" s="1202" t="s">
        <v>482</v>
      </c>
      <c r="EX60" s="1197"/>
      <c r="EY60" s="1128" t="s">
        <v>483</v>
      </c>
      <c r="EZ60" s="1128" t="s">
        <v>484</v>
      </c>
      <c r="FA60" s="1169">
        <f t="shared" si="86"/>
        <v>0</v>
      </c>
      <c r="FI60" s="1309" t="s">
        <v>149</v>
      </c>
      <c r="FJ60" s="1159" t="s">
        <v>149</v>
      </c>
      <c r="FK60" s="1160" t="b">
        <f t="shared" si="87"/>
        <v>1</v>
      </c>
      <c r="FL60" s="1131"/>
      <c r="FM60" s="1161"/>
      <c r="FO60" s="1060"/>
      <c r="FP60" s="1169"/>
      <c r="FQ60" s="1203"/>
      <c r="FU60" s="1295"/>
      <c r="FV60" s="1295"/>
      <c r="FW60" s="1023">
        <v>0.15</v>
      </c>
      <c r="FX60" s="1162">
        <v>14267.916911801822</v>
      </c>
      <c r="FY60" s="1163">
        <v>14713.789315295629</v>
      </c>
      <c r="GA60" s="1164">
        <f t="shared" si="89"/>
        <v>3871549.4670219556</v>
      </c>
      <c r="GB60" s="1165">
        <f t="shared" si="90"/>
        <v>0.15</v>
      </c>
      <c r="GC60" s="1154">
        <f t="shared" si="91"/>
        <v>580732.42005329335</v>
      </c>
      <c r="GD60" s="1164">
        <f t="shared" si="92"/>
        <v>30000</v>
      </c>
      <c r="GE60" s="1154">
        <f t="shared" si="93"/>
        <v>550732.42005329335</v>
      </c>
      <c r="GF60" s="1060">
        <f t="shared" si="94"/>
        <v>35</v>
      </c>
      <c r="GG60" s="1166">
        <f t="shared" si="95"/>
        <v>15735.212001522666</v>
      </c>
      <c r="GI60" s="1164">
        <f t="shared" si="96"/>
        <v>3871549.4670219556</v>
      </c>
      <c r="GJ60" s="1154">
        <f t="shared" si="97"/>
        <v>387154.94670219556</v>
      </c>
      <c r="GK60" s="1154">
        <f t="shared" si="98"/>
        <v>96788.736675548891</v>
      </c>
      <c r="GL60" s="1166">
        <v>15000</v>
      </c>
      <c r="GM60" s="1154">
        <f t="shared" si="99"/>
        <v>372154.94670219556</v>
      </c>
      <c r="GN60" s="1060">
        <f t="shared" si="100"/>
        <v>35</v>
      </c>
      <c r="GO60" s="1154">
        <f t="shared" si="101"/>
        <v>10632.998477205587</v>
      </c>
      <c r="GS60" s="1010">
        <f t="shared" si="102"/>
        <v>3871549.4670219556</v>
      </c>
      <c r="GT60" s="1011">
        <f t="shared" si="103"/>
        <v>0.125</v>
      </c>
      <c r="GU60" s="1010">
        <f t="shared" si="104"/>
        <v>483943.68337774446</v>
      </c>
      <c r="GV60" s="1010">
        <f t="shared" si="105"/>
        <v>30000</v>
      </c>
      <c r="GW60" s="1010">
        <f t="shared" si="106"/>
        <v>453943.68337774446</v>
      </c>
      <c r="GX60" s="1010">
        <f t="shared" si="107"/>
        <v>13</v>
      </c>
      <c r="GY60" s="1010">
        <f t="shared" si="108"/>
        <v>34918.744875211109</v>
      </c>
      <c r="GZ60" s="1011">
        <f t="shared" si="109"/>
        <v>0.875</v>
      </c>
      <c r="HA60" s="1010">
        <f t="shared" si="110"/>
        <v>3387605.783644211</v>
      </c>
      <c r="HB60" s="1010">
        <f t="shared" si="111"/>
        <v>26264.071583557004</v>
      </c>
      <c r="HC60" s="1010">
        <f t="shared" si="112"/>
        <v>30448.758488426069</v>
      </c>
      <c r="HD60" s="1010">
        <f t="shared" si="113"/>
        <v>39332.975573114454</v>
      </c>
      <c r="HE60" s="1010">
        <f t="shared" si="114"/>
        <v>67078.654698375394</v>
      </c>
      <c r="HG60" s="1010">
        <f t="shared" si="115"/>
        <v>3871549.4670219556</v>
      </c>
      <c r="HH60" s="1011">
        <f t="shared" si="116"/>
        <v>0.125</v>
      </c>
      <c r="HI60" s="1010">
        <f t="shared" si="117"/>
        <v>483943.68337774446</v>
      </c>
      <c r="HJ60" s="1010">
        <f t="shared" si="118"/>
        <v>30000</v>
      </c>
      <c r="HK60" s="1010">
        <f t="shared" si="119"/>
        <v>453943.68337774446</v>
      </c>
      <c r="HL60" s="1012">
        <f t="shared" si="120"/>
        <v>33</v>
      </c>
      <c r="HM60" s="1167">
        <f t="shared" si="121"/>
        <v>13755.869193264984</v>
      </c>
      <c r="HN60" s="1168">
        <f t="shared" si="122"/>
        <v>0.875</v>
      </c>
      <c r="HO60" s="1167">
        <f t="shared" si="123"/>
        <v>3387605.783644211</v>
      </c>
      <c r="HP60" s="1146">
        <f t="shared" si="124"/>
        <v>26264.071583557004</v>
      </c>
      <c r="HQ60" s="1146">
        <f t="shared" si="125"/>
        <v>30448.758488426069</v>
      </c>
      <c r="HR60" s="1146">
        <f t="shared" si="126"/>
        <v>39332.975573114454</v>
      </c>
      <c r="HS60" s="1146">
        <f t="shared" si="127"/>
        <v>67078.654698375394</v>
      </c>
      <c r="HU60" s="1167">
        <f t="shared" si="128"/>
        <v>-21162.875681946127</v>
      </c>
      <c r="HX60" s="1154"/>
      <c r="HY60" s="1154"/>
      <c r="IB60" s="1154"/>
      <c r="IC60" s="1154"/>
      <c r="ID60" s="1154"/>
      <c r="IE60" s="1154"/>
      <c r="IG60" s="1060"/>
    </row>
    <row r="61" spans="1:241" ht="14.25" customHeight="1">
      <c r="A61" s="1186">
        <f t="shared" si="141"/>
        <v>55</v>
      </c>
      <c r="B61" s="824"/>
      <c r="C61" s="855">
        <f t="shared" si="196"/>
        <v>4</v>
      </c>
      <c r="D61" s="856" t="s">
        <v>502</v>
      </c>
      <c r="E61" s="857" t="str">
        <f t="shared" si="23"/>
        <v>5th Floor</v>
      </c>
      <c r="F61" s="1185"/>
      <c r="G61" s="764" t="s">
        <v>216</v>
      </c>
      <c r="H61" s="764" t="s">
        <v>496</v>
      </c>
      <c r="I61" s="764" t="s">
        <v>476</v>
      </c>
      <c r="J61" s="1139">
        <v>22</v>
      </c>
      <c r="K61" s="1142"/>
      <c r="L61" s="764" t="s">
        <v>344</v>
      </c>
      <c r="M61" s="764" t="s">
        <v>477</v>
      </c>
      <c r="N61" s="856">
        <f t="shared" si="24"/>
        <v>100909.09090909091</v>
      </c>
      <c r="O61" s="1138">
        <f t="shared" si="136"/>
        <v>2220000</v>
      </c>
      <c r="P61" s="1138">
        <f t="shared" si="142"/>
        <v>22400</v>
      </c>
      <c r="Q61" s="1138">
        <f t="shared" si="8"/>
        <v>50000</v>
      </c>
      <c r="R61" s="1138"/>
      <c r="S61" s="1138"/>
      <c r="T61" s="1138"/>
      <c r="U61" s="1138"/>
      <c r="V61" s="1138"/>
      <c r="W61" s="858">
        <f t="shared" si="197"/>
        <v>22000</v>
      </c>
      <c r="X61" s="1138"/>
      <c r="Y61" s="1138">
        <f t="shared" si="198"/>
        <v>20000</v>
      </c>
      <c r="Z61" s="1138">
        <f t="shared" si="137"/>
        <v>75000</v>
      </c>
      <c r="AA61" s="1138">
        <f t="shared" si="138"/>
        <v>189400</v>
      </c>
      <c r="AB61" s="1138">
        <f t="shared" si="28"/>
        <v>2409400</v>
      </c>
      <c r="AC61" s="1138">
        <f t="shared" si="29"/>
        <v>60235</v>
      </c>
      <c r="AD61" s="1138">
        <f t="shared" si="30"/>
        <v>2469635</v>
      </c>
      <c r="AE61" s="1138">
        <f t="shared" si="31"/>
        <v>61740.875</v>
      </c>
      <c r="AF61" s="1138">
        <f t="shared" si="32"/>
        <v>2531375.875</v>
      </c>
      <c r="AG61" s="1138">
        <f t="shared" si="33"/>
        <v>63284.396875000006</v>
      </c>
      <c r="AH61" s="1138">
        <f t="shared" si="34"/>
        <v>2594660.2718750001</v>
      </c>
      <c r="AI61" s="1138">
        <f t="shared" si="144"/>
        <v>129733.01359375002</v>
      </c>
      <c r="AJ61" s="1138">
        <f t="shared" si="35"/>
        <v>2724393.2854687502</v>
      </c>
      <c r="AK61" s="1138">
        <f t="shared" si="36"/>
        <v>27243.932854687504</v>
      </c>
      <c r="AL61" s="1138">
        <f t="shared" si="37"/>
        <v>27537.409960060559</v>
      </c>
      <c r="AM61" s="1138"/>
      <c r="AN61" s="1138"/>
      <c r="AO61" s="1138">
        <f t="shared" si="38"/>
        <v>2779174.6282834979</v>
      </c>
      <c r="AP61" s="1138">
        <f t="shared" si="39"/>
        <v>375188.57481827226</v>
      </c>
      <c r="AQ61" s="1248">
        <f t="shared" si="40"/>
        <v>3154363.20310177</v>
      </c>
      <c r="AR61" s="1248">
        <f t="shared" si="195"/>
        <v>3154363.20310177</v>
      </c>
      <c r="AS61" s="1248"/>
      <c r="AT61" s="1248"/>
      <c r="AU61" s="1248">
        <f t="shared" si="42"/>
        <v>0</v>
      </c>
      <c r="AV61" s="1140">
        <f t="shared" si="43"/>
        <v>0</v>
      </c>
      <c r="AW61" s="1140">
        <f t="shared" si="44"/>
        <v>3154363.20310177</v>
      </c>
      <c r="AX61" s="1139">
        <f t="shared" si="45"/>
        <v>39429.540038772131</v>
      </c>
      <c r="AY61" s="831" t="s">
        <v>478</v>
      </c>
      <c r="AZ61" s="831">
        <f t="shared" si="46"/>
        <v>3193792.7431405419</v>
      </c>
      <c r="BA61" s="831">
        <f t="shared" si="47"/>
        <v>119767.22786777031</v>
      </c>
      <c r="BB61" s="831"/>
      <c r="BC61" s="831">
        <f t="shared" si="189"/>
        <v>33600</v>
      </c>
      <c r="BD61" s="831"/>
      <c r="BE61" s="831">
        <f t="shared" si="48"/>
        <v>3347159.9710083124</v>
      </c>
      <c r="BF61" s="831"/>
      <c r="BG61" s="831">
        <f t="shared" si="49"/>
        <v>3347159.9710083124</v>
      </c>
      <c r="BH61" s="831"/>
      <c r="BI61" s="831">
        <f t="shared" si="50"/>
        <v>3347159.9710083124</v>
      </c>
      <c r="BJ61" s="831"/>
      <c r="BK61" s="831">
        <f t="shared" si="51"/>
        <v>3347159.9710083124</v>
      </c>
      <c r="BL61" s="831"/>
      <c r="BM61" s="831">
        <f t="shared" si="52"/>
        <v>3347159.9710083124</v>
      </c>
      <c r="BN61" s="831"/>
      <c r="BO61" s="831">
        <f t="shared" si="53"/>
        <v>3347159.9710083124</v>
      </c>
      <c r="BP61" s="831"/>
      <c r="BQ61" s="831">
        <f t="shared" si="54"/>
        <v>3347159.9710083124</v>
      </c>
      <c r="BR61" s="831">
        <f>$BR$5/42</f>
        <v>3544.6104</v>
      </c>
      <c r="BS61" s="831">
        <f t="shared" si="55"/>
        <v>3350704.5814083125</v>
      </c>
      <c r="BT61" s="831">
        <f>$BT$5/41</f>
        <v>1609.3168000000001</v>
      </c>
      <c r="BU61" s="831">
        <f t="shared" si="56"/>
        <v>3352313.8982083127</v>
      </c>
      <c r="BV61" s="831">
        <f>$BV$5/43</f>
        <v>1163.3400930232558</v>
      </c>
      <c r="BW61" s="831">
        <f t="shared" si="57"/>
        <v>56400</v>
      </c>
      <c r="BX61" s="831">
        <f t="shared" si="58"/>
        <v>3409877.2383013358</v>
      </c>
      <c r="BY61" s="831">
        <f>$BY$5/44</f>
        <v>30549.183723443901</v>
      </c>
      <c r="BZ61" s="831">
        <f t="shared" si="59"/>
        <v>3440426.42202478</v>
      </c>
      <c r="CA61" s="1260">
        <f t="shared" si="60"/>
        <v>3440426.42202478</v>
      </c>
      <c r="CB61" s="1260">
        <f t="shared" si="61"/>
        <v>3440426.42202478</v>
      </c>
      <c r="CC61" s="1260"/>
      <c r="CD61" s="1260">
        <f t="shared" si="62"/>
        <v>0</v>
      </c>
      <c r="CE61" s="1260">
        <f t="shared" si="63"/>
        <v>0</v>
      </c>
      <c r="CF61" s="1260">
        <f t="shared" si="64"/>
        <v>0</v>
      </c>
      <c r="CG61" s="1266">
        <f t="shared" si="65"/>
        <v>3440426.42202478</v>
      </c>
      <c r="CH61" s="1141">
        <f t="shared" si="66"/>
        <v>3440426.42202478</v>
      </c>
      <c r="CI61" s="1142">
        <f t="shared" si="67"/>
        <v>0</v>
      </c>
      <c r="CJ61" s="1141">
        <f t="shared" si="68"/>
        <v>352643.7082575399</v>
      </c>
      <c r="CK61" s="1141">
        <f t="shared" si="69"/>
        <v>120414.92477086731</v>
      </c>
      <c r="CL61" s="1143">
        <f t="shared" si="139"/>
        <v>3913485.0550531875</v>
      </c>
      <c r="CM61" s="1144">
        <f t="shared" si="71"/>
        <v>0.125</v>
      </c>
      <c r="CN61" s="1141">
        <f t="shared" si="72"/>
        <v>489185.63188164844</v>
      </c>
      <c r="CO61" s="1141">
        <f t="shared" si="73"/>
        <v>30000</v>
      </c>
      <c r="CP61" s="1141">
        <f t="shared" si="74"/>
        <v>459185.63188164844</v>
      </c>
      <c r="CQ61" s="1145">
        <f t="shared" si="75"/>
        <v>13</v>
      </c>
      <c r="CR61" s="1141">
        <f t="shared" si="76"/>
        <v>35321.971683203723</v>
      </c>
      <c r="CS61" s="1144">
        <f t="shared" si="77"/>
        <v>0.875</v>
      </c>
      <c r="CT61" s="1141">
        <f t="shared" si="78"/>
        <v>3424299.4231715389</v>
      </c>
      <c r="CU61" s="1146">
        <f t="shared" si="12"/>
        <v>26548.556980252204</v>
      </c>
      <c r="CV61" s="1146">
        <f t="shared" si="13"/>
        <v>30778.571294102374</v>
      </c>
      <c r="CW61" s="1146">
        <f t="shared" si="14"/>
        <v>39759.019841365895</v>
      </c>
      <c r="CX61" s="1146">
        <f t="shared" si="15"/>
        <v>67805.23273982403</v>
      </c>
      <c r="CY61" s="1146">
        <f t="shared" si="79"/>
        <v>278166.72632885922</v>
      </c>
      <c r="CZ61" s="1146">
        <f t="shared" si="80"/>
        <v>110069.21858040938</v>
      </c>
      <c r="DA61" s="1146">
        <f t="shared" si="81"/>
        <v>79501.437648867271</v>
      </c>
      <c r="DB61" s="1146">
        <f t="shared" si="82"/>
        <v>60504.254107943249</v>
      </c>
      <c r="DC61" s="1146"/>
      <c r="DD61" s="1146"/>
      <c r="DE61" s="1146"/>
      <c r="DF61" s="1146"/>
      <c r="DG61" s="1146"/>
      <c r="DH61" s="1146"/>
      <c r="DI61" s="1146"/>
      <c r="DJ61" s="1146"/>
      <c r="DK61" s="1146"/>
      <c r="DL61" s="1146"/>
      <c r="DM61" s="1146"/>
      <c r="DN61" s="1146"/>
      <c r="DO61" s="1146"/>
      <c r="DP61" s="1146"/>
      <c r="DQ61" s="1146"/>
      <c r="DR61" s="1146"/>
      <c r="DS61" s="1146"/>
      <c r="DT61" s="1146"/>
      <c r="DU61" s="1146"/>
      <c r="DV61" s="1146"/>
      <c r="DW61" s="1146"/>
      <c r="DX61" s="1146"/>
      <c r="DY61" s="1146"/>
      <c r="DZ61" s="1146"/>
      <c r="EA61" s="1147">
        <f t="shared" si="83"/>
        <v>0</v>
      </c>
      <c r="EB61" s="1148">
        <f t="shared" si="84"/>
        <v>0</v>
      </c>
      <c r="EC61" s="1190">
        <f t="shared" si="132"/>
        <v>45839</v>
      </c>
      <c r="ED61" s="1031">
        <f t="shared" si="16"/>
        <v>20</v>
      </c>
      <c r="EE61" s="1191"/>
      <c r="EF61" s="1032">
        <f t="shared" si="17"/>
        <v>45904</v>
      </c>
      <c r="EG61" s="1029">
        <f t="shared" si="85"/>
        <v>22</v>
      </c>
      <c r="EH61" s="859" t="s">
        <v>490</v>
      </c>
      <c r="EI61" s="859" t="s">
        <v>480</v>
      </c>
      <c r="EJ61" s="860">
        <f t="shared" si="18"/>
        <v>0</v>
      </c>
      <c r="EK61" s="860">
        <f t="shared" si="19"/>
        <v>0</v>
      </c>
      <c r="EL61" s="861">
        <f t="shared" si="20"/>
        <v>0</v>
      </c>
      <c r="EM61" s="1197"/>
      <c r="EN61" s="860"/>
      <c r="EO61" s="860"/>
      <c r="EP61" s="860">
        <f t="shared" si="21"/>
        <v>0</v>
      </c>
      <c r="EQ61" s="1197"/>
      <c r="ER61" s="1200"/>
      <c r="ES61" s="1197"/>
      <c r="ET61" s="1194" t="s">
        <v>216</v>
      </c>
      <c r="EU61" s="1197" t="b">
        <f t="shared" si="22"/>
        <v>1</v>
      </c>
      <c r="EV61" s="1197"/>
      <c r="EW61" s="1197"/>
      <c r="EX61" s="1197"/>
      <c r="EY61" s="1128" t="s">
        <v>483</v>
      </c>
      <c r="EZ61" s="1128" t="s">
        <v>484</v>
      </c>
      <c r="FA61" s="1169">
        <f t="shared" si="86"/>
        <v>0</v>
      </c>
      <c r="FI61" s="1309" t="s">
        <v>96</v>
      </c>
      <c r="FJ61" s="1159" t="s">
        <v>96</v>
      </c>
      <c r="FK61" s="1160" t="b">
        <f t="shared" si="87"/>
        <v>1</v>
      </c>
      <c r="FL61" s="1131"/>
      <c r="FM61" s="1161"/>
      <c r="FO61" s="888"/>
      <c r="FP61" s="1324"/>
      <c r="FQ61" s="1325"/>
      <c r="FR61" s="1178"/>
      <c r="FU61" s="1295"/>
      <c r="FV61" s="1295"/>
      <c r="FW61" s="1023">
        <v>0.125</v>
      </c>
      <c r="FX61" s="1162">
        <v>11814.173184077277</v>
      </c>
      <c r="FY61" s="1163">
        <v>12183.366096079691</v>
      </c>
      <c r="GA61" s="1164">
        <f t="shared" si="89"/>
        <v>3913485.0550531875</v>
      </c>
      <c r="GB61" s="1165">
        <f>FW61</f>
        <v>0.125</v>
      </c>
      <c r="GC61" s="1154">
        <f t="shared" si="91"/>
        <v>489185.63188164844</v>
      </c>
      <c r="GD61" s="1164">
        <f t="shared" si="92"/>
        <v>30000</v>
      </c>
      <c r="GE61" s="1154">
        <f t="shared" si="93"/>
        <v>459185.63188164844</v>
      </c>
      <c r="GF61" s="1060">
        <f t="shared" si="94"/>
        <v>35</v>
      </c>
      <c r="GG61" s="1166">
        <f t="shared" si="95"/>
        <v>13119.589482332813</v>
      </c>
      <c r="GI61" s="1164">
        <f t="shared" si="96"/>
        <v>3913485.0550531875</v>
      </c>
      <c r="GJ61" s="1154">
        <f t="shared" si="97"/>
        <v>391348.50550531875</v>
      </c>
      <c r="GK61" s="1154">
        <f t="shared" si="98"/>
        <v>97837.126376329688</v>
      </c>
      <c r="GL61" s="1166">
        <v>15000</v>
      </c>
      <c r="GM61" s="1154">
        <f t="shared" si="99"/>
        <v>376348.50550531875</v>
      </c>
      <c r="GN61" s="1060">
        <f t="shared" si="100"/>
        <v>35</v>
      </c>
      <c r="GO61" s="1154">
        <f t="shared" si="101"/>
        <v>10752.814443009107</v>
      </c>
      <c r="GS61" s="1010">
        <f t="shared" si="102"/>
        <v>3913485.0550531875</v>
      </c>
      <c r="GT61" s="1011">
        <f t="shared" si="103"/>
        <v>0.125</v>
      </c>
      <c r="GU61" s="1010">
        <f t="shared" si="104"/>
        <v>489185.63188164844</v>
      </c>
      <c r="GV61" s="1010">
        <f t="shared" si="105"/>
        <v>30000</v>
      </c>
      <c r="GW61" s="1010">
        <f t="shared" si="106"/>
        <v>459185.63188164844</v>
      </c>
      <c r="GX61" s="1010">
        <f t="shared" si="107"/>
        <v>13</v>
      </c>
      <c r="GY61" s="1010">
        <f t="shared" si="108"/>
        <v>35321.971683203723</v>
      </c>
      <c r="GZ61" s="1011">
        <f t="shared" si="109"/>
        <v>0.875</v>
      </c>
      <c r="HA61" s="1010">
        <f t="shared" si="110"/>
        <v>3424299.4231715389</v>
      </c>
      <c r="HB61" s="1010">
        <f t="shared" si="111"/>
        <v>26548.556980252204</v>
      </c>
      <c r="HC61" s="1010">
        <f t="shared" si="112"/>
        <v>30778.571294102374</v>
      </c>
      <c r="HD61" s="1010">
        <f t="shared" si="113"/>
        <v>39759.019841365895</v>
      </c>
      <c r="HE61" s="1010">
        <f t="shared" si="114"/>
        <v>67805.23273982403</v>
      </c>
      <c r="HG61" s="1010">
        <f t="shared" si="115"/>
        <v>3913485.0550531875</v>
      </c>
      <c r="HH61" s="1011">
        <f t="shared" si="116"/>
        <v>0.125</v>
      </c>
      <c r="HI61" s="1010">
        <f t="shared" si="117"/>
        <v>489185.63188164844</v>
      </c>
      <c r="HJ61" s="1010">
        <f t="shared" si="118"/>
        <v>30000</v>
      </c>
      <c r="HK61" s="1010">
        <f t="shared" si="119"/>
        <v>459185.63188164844</v>
      </c>
      <c r="HL61" s="1012">
        <f t="shared" si="120"/>
        <v>33</v>
      </c>
      <c r="HM61" s="1167">
        <f t="shared" si="121"/>
        <v>13914.71611762571</v>
      </c>
      <c r="HN61" s="1168">
        <f t="shared" si="122"/>
        <v>0.875</v>
      </c>
      <c r="HO61" s="1167">
        <f t="shared" si="123"/>
        <v>3424299.4231715389</v>
      </c>
      <c r="HP61" s="1146">
        <f t="shared" si="124"/>
        <v>26548.556980252204</v>
      </c>
      <c r="HQ61" s="1146">
        <f t="shared" si="125"/>
        <v>30778.571294102374</v>
      </c>
      <c r="HR61" s="1146">
        <f t="shared" si="126"/>
        <v>39759.019841365895</v>
      </c>
      <c r="HS61" s="1146">
        <f t="shared" si="127"/>
        <v>67805.23273982403</v>
      </c>
      <c r="HU61" s="1167">
        <f t="shared" si="128"/>
        <v>-21407.255565578012</v>
      </c>
      <c r="HX61" s="1154"/>
      <c r="HY61" s="1154"/>
      <c r="IB61" s="1154"/>
      <c r="IC61" s="1154"/>
      <c r="ID61" s="1154"/>
      <c r="IE61" s="1154"/>
      <c r="IG61" s="1060"/>
    </row>
    <row r="62" spans="1:241" ht="14.25" hidden="1" customHeight="1">
      <c r="A62" s="1186">
        <f t="shared" si="141"/>
        <v>56</v>
      </c>
      <c r="B62" s="824" t="s">
        <v>149</v>
      </c>
      <c r="C62" s="855">
        <f t="shared" si="196"/>
        <v>5</v>
      </c>
      <c r="D62" s="856" t="s">
        <v>502</v>
      </c>
      <c r="E62" s="857" t="str">
        <f t="shared" si="23"/>
        <v>5th Floor</v>
      </c>
      <c r="F62" s="1185"/>
      <c r="G62" s="764" t="s">
        <v>217</v>
      </c>
      <c r="H62" s="764" t="s">
        <v>499</v>
      </c>
      <c r="I62" s="764" t="s">
        <v>476</v>
      </c>
      <c r="J62" s="1139">
        <v>22</v>
      </c>
      <c r="K62" s="1142"/>
      <c r="L62" s="764" t="s">
        <v>344</v>
      </c>
      <c r="M62" s="764" t="s">
        <v>477</v>
      </c>
      <c r="N62" s="856">
        <f t="shared" si="24"/>
        <v>100909.09090909091</v>
      </c>
      <c r="O62" s="1138">
        <f t="shared" si="136"/>
        <v>2220000</v>
      </c>
      <c r="P62" s="1138">
        <f t="shared" si="142"/>
        <v>22400</v>
      </c>
      <c r="Q62" s="1138">
        <f t="shared" si="8"/>
        <v>50000</v>
      </c>
      <c r="R62" s="1138"/>
      <c r="S62" s="1138"/>
      <c r="T62" s="1138"/>
      <c r="U62" s="1138"/>
      <c r="V62" s="858"/>
      <c r="W62" s="858">
        <f t="shared" si="197"/>
        <v>22000</v>
      </c>
      <c r="X62" s="1138"/>
      <c r="Y62" s="1138">
        <f t="shared" si="198"/>
        <v>20000</v>
      </c>
      <c r="Z62" s="1138">
        <f t="shared" si="137"/>
        <v>75000</v>
      </c>
      <c r="AA62" s="1138">
        <f t="shared" si="138"/>
        <v>189400</v>
      </c>
      <c r="AB62" s="1138">
        <f t="shared" si="28"/>
        <v>2409400</v>
      </c>
      <c r="AC62" s="1138">
        <f t="shared" si="29"/>
        <v>60235</v>
      </c>
      <c r="AD62" s="1138">
        <f t="shared" si="30"/>
        <v>2469635</v>
      </c>
      <c r="AE62" s="1138">
        <f t="shared" si="31"/>
        <v>61740.875</v>
      </c>
      <c r="AF62" s="1138">
        <f t="shared" si="32"/>
        <v>2531375.875</v>
      </c>
      <c r="AG62" s="1138">
        <f t="shared" si="33"/>
        <v>63284.396875000006</v>
      </c>
      <c r="AH62" s="1138">
        <f t="shared" si="34"/>
        <v>2594660.2718750001</v>
      </c>
      <c r="AI62" s="1138">
        <f t="shared" si="144"/>
        <v>129733.01359375002</v>
      </c>
      <c r="AJ62" s="1138">
        <f t="shared" si="35"/>
        <v>2724393.2854687502</v>
      </c>
      <c r="AK62" s="1138">
        <f t="shared" si="36"/>
        <v>27243.932854687504</v>
      </c>
      <c r="AL62" s="1138">
        <f t="shared" si="37"/>
        <v>27537.409960060559</v>
      </c>
      <c r="AM62" s="1138"/>
      <c r="AN62" s="1138"/>
      <c r="AO62" s="1138">
        <f t="shared" si="38"/>
        <v>2779174.6282834979</v>
      </c>
      <c r="AP62" s="1138">
        <f t="shared" si="39"/>
        <v>375188.57481827226</v>
      </c>
      <c r="AQ62" s="1248">
        <f t="shared" si="40"/>
        <v>3154363.20310177</v>
      </c>
      <c r="AR62" s="1248">
        <f t="shared" si="195"/>
        <v>3154363.20310177</v>
      </c>
      <c r="AS62" s="1248"/>
      <c r="AT62" s="1248"/>
      <c r="AU62" s="1248">
        <f t="shared" si="42"/>
        <v>0</v>
      </c>
      <c r="AV62" s="1140">
        <f t="shared" si="43"/>
        <v>0</v>
      </c>
      <c r="AW62" s="1140">
        <f t="shared" si="44"/>
        <v>3154363.20310177</v>
      </c>
      <c r="AX62" s="1139">
        <f t="shared" si="45"/>
        <v>39429.540038772131</v>
      </c>
      <c r="AY62" s="831">
        <v>13444.671373913045</v>
      </c>
      <c r="AZ62" s="831">
        <f t="shared" si="46"/>
        <v>3207237.414514455</v>
      </c>
      <c r="BA62" s="831">
        <f t="shared" si="47"/>
        <v>120271.40304429206</v>
      </c>
      <c r="BB62" s="831"/>
      <c r="BC62" s="831">
        <f t="shared" si="189"/>
        <v>33600</v>
      </c>
      <c r="BD62" s="831"/>
      <c r="BE62" s="831">
        <f t="shared" si="48"/>
        <v>3361108.8175587473</v>
      </c>
      <c r="BF62" s="831"/>
      <c r="BG62" s="831">
        <f t="shared" si="49"/>
        <v>3361108.8175587473</v>
      </c>
      <c r="BH62" s="831"/>
      <c r="BI62" s="831">
        <f t="shared" si="50"/>
        <v>3361108.8175587473</v>
      </c>
      <c r="BJ62" s="831"/>
      <c r="BK62" s="831">
        <f t="shared" si="51"/>
        <v>3361108.8175587473</v>
      </c>
      <c r="BL62" s="831"/>
      <c r="BM62" s="831">
        <f t="shared" si="52"/>
        <v>3361108.8175587473</v>
      </c>
      <c r="BN62" s="831"/>
      <c r="BO62" s="831">
        <f t="shared" si="53"/>
        <v>3361108.8175587473</v>
      </c>
      <c r="BP62" s="831"/>
      <c r="BQ62" s="831">
        <f t="shared" si="54"/>
        <v>3361108.8175587473</v>
      </c>
      <c r="BR62" s="831"/>
      <c r="BS62" s="831">
        <f t="shared" si="55"/>
        <v>3361108.8175587473</v>
      </c>
      <c r="BT62" s="831"/>
      <c r="BU62" s="831">
        <f t="shared" si="56"/>
        <v>3361108.8175587473</v>
      </c>
      <c r="BV62" s="831"/>
      <c r="BW62" s="831">
        <f t="shared" si="57"/>
        <v>56400</v>
      </c>
      <c r="BX62" s="831">
        <f t="shared" si="58"/>
        <v>3417508.8175587473</v>
      </c>
      <c r="BY62" s="831"/>
      <c r="BZ62" s="831">
        <f t="shared" si="59"/>
        <v>3417508.8175587473</v>
      </c>
      <c r="CA62" s="1260">
        <f t="shared" si="60"/>
        <v>3417508.8175587473</v>
      </c>
      <c r="CB62" s="1260">
        <f t="shared" si="61"/>
        <v>3417508.8175587473</v>
      </c>
      <c r="CC62" s="1260"/>
      <c r="CD62" s="1260">
        <f t="shared" si="62"/>
        <v>0</v>
      </c>
      <c r="CE62" s="1260">
        <f t="shared" si="63"/>
        <v>0</v>
      </c>
      <c r="CF62" s="1260">
        <f t="shared" si="64"/>
        <v>0</v>
      </c>
      <c r="CG62" s="1266">
        <f t="shared" si="65"/>
        <v>3417508.8175587473</v>
      </c>
      <c r="CH62" s="1141">
        <f t="shared" si="66"/>
        <v>3417508.8175587473</v>
      </c>
      <c r="CI62" s="1142">
        <f t="shared" si="67"/>
        <v>0</v>
      </c>
      <c r="CJ62" s="1141">
        <f t="shared" si="68"/>
        <v>350294.65379977156</v>
      </c>
      <c r="CK62" s="1141">
        <f t="shared" si="69"/>
        <v>119612.80861455617</v>
      </c>
      <c r="CL62" s="1143">
        <f t="shared" si="139"/>
        <v>3887416.2799730753</v>
      </c>
      <c r="CM62" s="1144">
        <f t="shared" si="71"/>
        <v>0.125</v>
      </c>
      <c r="CN62" s="1141">
        <f t="shared" si="72"/>
        <v>485927.03499663441</v>
      </c>
      <c r="CO62" s="1141">
        <f t="shared" si="73"/>
        <v>30000</v>
      </c>
      <c r="CP62" s="1141">
        <f t="shared" si="74"/>
        <v>455927.03499663441</v>
      </c>
      <c r="CQ62" s="1145">
        <f t="shared" si="75"/>
        <v>13</v>
      </c>
      <c r="CR62" s="1141">
        <f t="shared" si="76"/>
        <v>35071.31038435649</v>
      </c>
      <c r="CS62" s="1144">
        <f t="shared" si="77"/>
        <v>0.875</v>
      </c>
      <c r="CT62" s="1141">
        <f t="shared" si="78"/>
        <v>3401489.2449764409</v>
      </c>
      <c r="CU62" s="1146">
        <f t="shared" si="12"/>
        <v>26371.709911492839</v>
      </c>
      <c r="CV62" s="1146">
        <f t="shared" si="13"/>
        <v>30573.546963853019</v>
      </c>
      <c r="CW62" s="1146">
        <f t="shared" si="14"/>
        <v>39494.174331272035</v>
      </c>
      <c r="CX62" s="1146">
        <f t="shared" si="15"/>
        <v>67353.563872642146</v>
      </c>
      <c r="CY62" s="1146">
        <f t="shared" si="79"/>
        <v>276313.78305159416</v>
      </c>
      <c r="CZ62" s="1146">
        <f t="shared" si="80"/>
        <v>109336.01795180052</v>
      </c>
      <c r="DA62" s="1146">
        <f t="shared" si="81"/>
        <v>78971.857219286292</v>
      </c>
      <c r="DB62" s="1146">
        <f t="shared" si="82"/>
        <v>60101.219020408338</v>
      </c>
      <c r="DC62" s="1146"/>
      <c r="DD62" s="1146"/>
      <c r="DE62" s="1146"/>
      <c r="DF62" s="1146"/>
      <c r="DG62" s="1146"/>
      <c r="DH62" s="1146"/>
      <c r="DI62" s="1146"/>
      <c r="DJ62" s="1146"/>
      <c r="DK62" s="1146"/>
      <c r="DL62" s="1146"/>
      <c r="DM62" s="1146"/>
      <c r="DN62" s="1146"/>
      <c r="DO62" s="1146"/>
      <c r="DP62" s="1146"/>
      <c r="DQ62" s="1146"/>
      <c r="DR62" s="1146"/>
      <c r="DS62" s="1146"/>
      <c r="DT62" s="1146"/>
      <c r="DU62" s="1146"/>
      <c r="DV62" s="1146"/>
      <c r="DW62" s="1146"/>
      <c r="DX62" s="1146"/>
      <c r="DY62" s="1146"/>
      <c r="DZ62" s="1146"/>
      <c r="EA62" s="1147">
        <f t="shared" si="83"/>
        <v>0</v>
      </c>
      <c r="EB62" s="1148">
        <f t="shared" si="84"/>
        <v>0</v>
      </c>
      <c r="EC62" s="1190">
        <f t="shared" si="132"/>
        <v>45839</v>
      </c>
      <c r="ED62" s="1031">
        <f t="shared" si="16"/>
        <v>20</v>
      </c>
      <c r="EE62" s="1191"/>
      <c r="EF62" s="1032">
        <f t="shared" si="17"/>
        <v>45904</v>
      </c>
      <c r="EG62" s="1029">
        <f t="shared" si="85"/>
        <v>22</v>
      </c>
      <c r="EH62" s="859" t="s">
        <v>490</v>
      </c>
      <c r="EI62" s="859" t="s">
        <v>480</v>
      </c>
      <c r="EJ62" s="860">
        <f t="shared" si="18"/>
        <v>0</v>
      </c>
      <c r="EK62" s="860">
        <f t="shared" si="19"/>
        <v>0</v>
      </c>
      <c r="EL62" s="861">
        <f t="shared" si="20"/>
        <v>0</v>
      </c>
      <c r="EM62" s="1197"/>
      <c r="EN62" s="860"/>
      <c r="EO62" s="860"/>
      <c r="EP62" s="860">
        <f t="shared" si="21"/>
        <v>0</v>
      </c>
      <c r="EQ62" s="1197"/>
      <c r="ER62" s="1200"/>
      <c r="ES62" s="1197"/>
      <c r="ET62" s="1194" t="s">
        <v>217</v>
      </c>
      <c r="EU62" s="1197" t="b">
        <f t="shared" si="22"/>
        <v>1</v>
      </c>
      <c r="EV62" s="1197" t="s">
        <v>570</v>
      </c>
      <c r="EW62" s="1197" t="s">
        <v>482</v>
      </c>
      <c r="EX62" s="1197"/>
      <c r="EY62" s="1128" t="s">
        <v>483</v>
      </c>
      <c r="EZ62" s="1128" t="s">
        <v>484</v>
      </c>
      <c r="FA62" s="1169">
        <f t="shared" si="86"/>
        <v>0</v>
      </c>
      <c r="FI62" s="1309" t="s">
        <v>149</v>
      </c>
      <c r="FJ62" s="1159" t="s">
        <v>149</v>
      </c>
      <c r="FK62" s="1160" t="b">
        <f t="shared" si="87"/>
        <v>1</v>
      </c>
      <c r="FL62" s="1131"/>
      <c r="FM62" s="1161"/>
      <c r="FO62" s="1060"/>
      <c r="FP62" s="1169"/>
      <c r="FQ62" s="1203"/>
      <c r="FU62" s="1295"/>
      <c r="FV62" s="1295"/>
      <c r="FW62" s="1023">
        <v>0.15</v>
      </c>
      <c r="FX62" s="1162">
        <v>14267.916911801822</v>
      </c>
      <c r="FY62" s="1163">
        <v>14713.789315295629</v>
      </c>
      <c r="GA62" s="1164">
        <f t="shared" si="89"/>
        <v>3887416.2799730753</v>
      </c>
      <c r="GB62" s="1165">
        <f t="shared" si="90"/>
        <v>0.15</v>
      </c>
      <c r="GC62" s="1154">
        <f t="shared" si="91"/>
        <v>583112.44199596124</v>
      </c>
      <c r="GD62" s="1164">
        <f t="shared" si="92"/>
        <v>30000</v>
      </c>
      <c r="GE62" s="1154">
        <f t="shared" si="93"/>
        <v>553112.44199596124</v>
      </c>
      <c r="GF62" s="1060">
        <f t="shared" si="94"/>
        <v>35</v>
      </c>
      <c r="GG62" s="1166">
        <f t="shared" si="95"/>
        <v>15803.212628456036</v>
      </c>
      <c r="GI62" s="1164">
        <f t="shared" si="96"/>
        <v>3887416.2799730753</v>
      </c>
      <c r="GJ62" s="1154">
        <f t="shared" si="97"/>
        <v>388741.62799730757</v>
      </c>
      <c r="GK62" s="1154">
        <f t="shared" si="98"/>
        <v>97185.406999326893</v>
      </c>
      <c r="GL62" s="1166">
        <v>15000</v>
      </c>
      <c r="GM62" s="1154">
        <f t="shared" si="99"/>
        <v>373741.62799730757</v>
      </c>
      <c r="GN62" s="1060">
        <f t="shared" si="100"/>
        <v>35</v>
      </c>
      <c r="GO62" s="1154">
        <f t="shared" si="101"/>
        <v>10678.332228494502</v>
      </c>
      <c r="GS62" s="1010">
        <f t="shared" si="102"/>
        <v>3887416.2799730753</v>
      </c>
      <c r="GT62" s="1011">
        <f t="shared" si="103"/>
        <v>0.125</v>
      </c>
      <c r="GU62" s="1010">
        <f t="shared" si="104"/>
        <v>485927.03499663441</v>
      </c>
      <c r="GV62" s="1010">
        <f t="shared" si="105"/>
        <v>30000</v>
      </c>
      <c r="GW62" s="1010">
        <f t="shared" si="106"/>
        <v>455927.03499663441</v>
      </c>
      <c r="GX62" s="1010">
        <f t="shared" si="107"/>
        <v>13</v>
      </c>
      <c r="GY62" s="1010">
        <f t="shared" si="108"/>
        <v>35071.31038435649</v>
      </c>
      <c r="GZ62" s="1011">
        <f t="shared" si="109"/>
        <v>0.875</v>
      </c>
      <c r="HA62" s="1010">
        <f t="shared" si="110"/>
        <v>3401489.2449764409</v>
      </c>
      <c r="HB62" s="1010">
        <f t="shared" si="111"/>
        <v>26371.709911492839</v>
      </c>
      <c r="HC62" s="1010">
        <f t="shared" si="112"/>
        <v>30573.546963853019</v>
      </c>
      <c r="HD62" s="1010">
        <f t="shared" si="113"/>
        <v>39494.174331272035</v>
      </c>
      <c r="HE62" s="1010">
        <f t="shared" si="114"/>
        <v>67353.563872642146</v>
      </c>
      <c r="HG62" s="1010">
        <f t="shared" si="115"/>
        <v>3887416.2799730753</v>
      </c>
      <c r="HH62" s="1011">
        <f t="shared" si="116"/>
        <v>0.125</v>
      </c>
      <c r="HI62" s="1010">
        <f t="shared" si="117"/>
        <v>485927.03499663441</v>
      </c>
      <c r="HJ62" s="1010">
        <f t="shared" si="118"/>
        <v>30000</v>
      </c>
      <c r="HK62" s="1010">
        <f t="shared" si="119"/>
        <v>455927.03499663441</v>
      </c>
      <c r="HL62" s="1012">
        <f t="shared" si="120"/>
        <v>33</v>
      </c>
      <c r="HM62" s="1167">
        <f t="shared" si="121"/>
        <v>13815.970757473769</v>
      </c>
      <c r="HN62" s="1168">
        <f t="shared" si="122"/>
        <v>0.875</v>
      </c>
      <c r="HO62" s="1167">
        <f t="shared" si="123"/>
        <v>3401489.2449764409</v>
      </c>
      <c r="HP62" s="1146">
        <f t="shared" si="124"/>
        <v>26371.709911492839</v>
      </c>
      <c r="HQ62" s="1146">
        <f t="shared" si="125"/>
        <v>30573.546963853019</v>
      </c>
      <c r="HR62" s="1146">
        <f t="shared" si="126"/>
        <v>39494.174331272035</v>
      </c>
      <c r="HS62" s="1146">
        <f t="shared" si="127"/>
        <v>67353.563872642146</v>
      </c>
      <c r="HU62" s="1167">
        <f t="shared" si="128"/>
        <v>-21255.33962688272</v>
      </c>
      <c r="HX62" s="1154"/>
      <c r="HY62" s="1154"/>
      <c r="IB62" s="1154"/>
      <c r="IC62" s="1154"/>
      <c r="ID62" s="1154"/>
      <c r="IE62" s="1154"/>
      <c r="IG62" s="1060"/>
    </row>
    <row r="63" spans="1:241" ht="14.25" hidden="1" customHeight="1">
      <c r="A63" s="1186">
        <f t="shared" si="141"/>
        <v>57</v>
      </c>
      <c r="B63" s="824" t="s">
        <v>149</v>
      </c>
      <c r="C63" s="855">
        <f t="shared" si="196"/>
        <v>6</v>
      </c>
      <c r="D63" s="856" t="s">
        <v>502</v>
      </c>
      <c r="E63" s="857" t="str">
        <f t="shared" si="23"/>
        <v>5th Floor</v>
      </c>
      <c r="F63" s="1185"/>
      <c r="G63" s="764" t="s">
        <v>218</v>
      </c>
      <c r="H63" s="764" t="s">
        <v>503</v>
      </c>
      <c r="I63" s="764" t="s">
        <v>476</v>
      </c>
      <c r="J63" s="1139">
        <v>22</v>
      </c>
      <c r="K63" s="1142"/>
      <c r="L63" s="764" t="s">
        <v>344</v>
      </c>
      <c r="M63" s="764" t="s">
        <v>477</v>
      </c>
      <c r="N63" s="856">
        <f t="shared" si="24"/>
        <v>100909.09090909091</v>
      </c>
      <c r="O63" s="1138">
        <f t="shared" si="136"/>
        <v>2220000</v>
      </c>
      <c r="P63" s="1138">
        <f t="shared" si="142"/>
        <v>22400</v>
      </c>
      <c r="Q63" s="1138">
        <f t="shared" si="8"/>
        <v>50000</v>
      </c>
      <c r="R63" s="1138"/>
      <c r="S63" s="1138"/>
      <c r="T63" s="1138"/>
      <c r="U63" s="1138"/>
      <c r="V63" s="1138"/>
      <c r="W63" s="858">
        <f t="shared" si="197"/>
        <v>22000</v>
      </c>
      <c r="X63" s="1138"/>
      <c r="Y63" s="1138">
        <f t="shared" si="198"/>
        <v>20000</v>
      </c>
      <c r="Z63" s="1138">
        <f t="shared" si="137"/>
        <v>75000</v>
      </c>
      <c r="AA63" s="1138">
        <f t="shared" si="138"/>
        <v>189400</v>
      </c>
      <c r="AB63" s="1138">
        <f t="shared" si="28"/>
        <v>2409400</v>
      </c>
      <c r="AC63" s="1138">
        <f t="shared" si="29"/>
        <v>60235</v>
      </c>
      <c r="AD63" s="1138">
        <f t="shared" si="30"/>
        <v>2469635</v>
      </c>
      <c r="AE63" s="1138">
        <f t="shared" si="31"/>
        <v>61740.875</v>
      </c>
      <c r="AF63" s="1138">
        <f t="shared" si="32"/>
        <v>2531375.875</v>
      </c>
      <c r="AG63" s="1138">
        <f t="shared" si="33"/>
        <v>63284.396875000006</v>
      </c>
      <c r="AH63" s="1138">
        <f t="shared" si="34"/>
        <v>2594660.2718750001</v>
      </c>
      <c r="AI63" s="1138">
        <f t="shared" si="144"/>
        <v>129733.01359375002</v>
      </c>
      <c r="AJ63" s="1138">
        <f t="shared" si="35"/>
        <v>2724393.2854687502</v>
      </c>
      <c r="AK63" s="1138">
        <f t="shared" si="36"/>
        <v>27243.932854687504</v>
      </c>
      <c r="AL63" s="1138">
        <f t="shared" si="37"/>
        <v>27537.409960060559</v>
      </c>
      <c r="AM63" s="1138"/>
      <c r="AN63" s="1138"/>
      <c r="AO63" s="1138">
        <f t="shared" si="38"/>
        <v>2779174.6282834979</v>
      </c>
      <c r="AP63" s="1138">
        <f t="shared" si="39"/>
        <v>375188.57481827226</v>
      </c>
      <c r="AQ63" s="1248">
        <f t="shared" si="40"/>
        <v>3154363.20310177</v>
      </c>
      <c r="AR63" s="1248">
        <f t="shared" si="195"/>
        <v>3154363.20310177</v>
      </c>
      <c r="AS63" s="1248"/>
      <c r="AT63" s="1248"/>
      <c r="AU63" s="1248">
        <f t="shared" si="42"/>
        <v>0</v>
      </c>
      <c r="AV63" s="1140">
        <f t="shared" si="43"/>
        <v>0</v>
      </c>
      <c r="AW63" s="1140">
        <f t="shared" si="44"/>
        <v>3154363.20310177</v>
      </c>
      <c r="AX63" s="1139">
        <f t="shared" si="45"/>
        <v>39429.540038772131</v>
      </c>
      <c r="AY63" s="831" t="s">
        <v>478</v>
      </c>
      <c r="AZ63" s="831">
        <f t="shared" si="46"/>
        <v>3193792.7431405419</v>
      </c>
      <c r="BA63" s="831">
        <f t="shared" si="47"/>
        <v>119767.22786777031</v>
      </c>
      <c r="BB63" s="831"/>
      <c r="BC63" s="831">
        <f t="shared" si="189"/>
        <v>33600</v>
      </c>
      <c r="BD63" s="831"/>
      <c r="BE63" s="831">
        <f t="shared" si="48"/>
        <v>3347159.9710083124</v>
      </c>
      <c r="BF63" s="831"/>
      <c r="BG63" s="831">
        <f t="shared" si="49"/>
        <v>3347159.9710083124</v>
      </c>
      <c r="BH63" s="831"/>
      <c r="BI63" s="831">
        <f t="shared" si="50"/>
        <v>3347159.9710083124</v>
      </c>
      <c r="BJ63" s="831"/>
      <c r="BK63" s="831">
        <f t="shared" si="51"/>
        <v>3347159.9710083124</v>
      </c>
      <c r="BL63" s="831"/>
      <c r="BM63" s="831">
        <f t="shared" si="52"/>
        <v>3347159.9710083124</v>
      </c>
      <c r="BN63" s="831"/>
      <c r="BO63" s="831">
        <f t="shared" si="53"/>
        <v>3347159.9710083124</v>
      </c>
      <c r="BP63" s="831"/>
      <c r="BQ63" s="831">
        <f t="shared" si="54"/>
        <v>3347159.9710083124</v>
      </c>
      <c r="BR63" s="831"/>
      <c r="BS63" s="831">
        <f t="shared" si="55"/>
        <v>3347159.9710083124</v>
      </c>
      <c r="BT63" s="831"/>
      <c r="BU63" s="831">
        <f t="shared" si="56"/>
        <v>3347159.9710083124</v>
      </c>
      <c r="BV63" s="831"/>
      <c r="BW63" s="831">
        <f t="shared" si="57"/>
        <v>56400</v>
      </c>
      <c r="BX63" s="831">
        <f t="shared" si="58"/>
        <v>3403559.9710083124</v>
      </c>
      <c r="BY63" s="831"/>
      <c r="BZ63" s="831">
        <f t="shared" si="59"/>
        <v>3403559.9710083124</v>
      </c>
      <c r="CA63" s="1260">
        <f t="shared" si="60"/>
        <v>3403559.9710083124</v>
      </c>
      <c r="CB63" s="1260">
        <f t="shared" si="61"/>
        <v>3403559.9710083124</v>
      </c>
      <c r="CC63" s="1260"/>
      <c r="CD63" s="1260">
        <f t="shared" si="62"/>
        <v>0</v>
      </c>
      <c r="CE63" s="1260">
        <f t="shared" si="63"/>
        <v>0</v>
      </c>
      <c r="CF63" s="1260">
        <f t="shared" si="64"/>
        <v>0</v>
      </c>
      <c r="CG63" s="1266">
        <f t="shared" si="65"/>
        <v>3403559.9710083124</v>
      </c>
      <c r="CH63" s="1141">
        <f t="shared" si="66"/>
        <v>3403559.9710083124</v>
      </c>
      <c r="CI63" s="1142">
        <f t="shared" si="67"/>
        <v>0</v>
      </c>
      <c r="CJ63" s="1141">
        <f t="shared" si="68"/>
        <v>348864.89702835202</v>
      </c>
      <c r="CK63" s="1141">
        <f t="shared" si="69"/>
        <v>119124.59898529094</v>
      </c>
      <c r="CL63" s="1143">
        <f t="shared" si="139"/>
        <v>3871549.4670219556</v>
      </c>
      <c r="CM63" s="1144">
        <f t="shared" si="71"/>
        <v>0.125</v>
      </c>
      <c r="CN63" s="1141">
        <f t="shared" si="72"/>
        <v>483943.68337774446</v>
      </c>
      <c r="CO63" s="1141">
        <f t="shared" si="73"/>
        <v>30000</v>
      </c>
      <c r="CP63" s="1141">
        <f t="shared" si="74"/>
        <v>453943.68337774446</v>
      </c>
      <c r="CQ63" s="1145">
        <f t="shared" si="75"/>
        <v>13</v>
      </c>
      <c r="CR63" s="1141">
        <f t="shared" si="76"/>
        <v>34918.744875211109</v>
      </c>
      <c r="CS63" s="1144">
        <f t="shared" si="77"/>
        <v>0.875</v>
      </c>
      <c r="CT63" s="1141">
        <f t="shared" si="78"/>
        <v>3387605.783644211</v>
      </c>
      <c r="CU63" s="1146">
        <f t="shared" si="12"/>
        <v>26264.071583557004</v>
      </c>
      <c r="CV63" s="1146">
        <f t="shared" si="13"/>
        <v>30448.758488426069</v>
      </c>
      <c r="CW63" s="1146">
        <f t="shared" si="14"/>
        <v>39332.975573114454</v>
      </c>
      <c r="CX63" s="1146">
        <f t="shared" si="15"/>
        <v>67078.654698375394</v>
      </c>
      <c r="CY63" s="1146">
        <f t="shared" si="79"/>
        <v>275185.98535879696</v>
      </c>
      <c r="CZ63" s="1146">
        <f t="shared" si="80"/>
        <v>108889.75389857864</v>
      </c>
      <c r="DA63" s="1146">
        <f t="shared" si="81"/>
        <v>78649.527014168751</v>
      </c>
      <c r="DB63" s="1146">
        <f t="shared" si="82"/>
        <v>59855.910894997673</v>
      </c>
      <c r="DC63" s="1146"/>
      <c r="DD63" s="1146"/>
      <c r="DE63" s="1146"/>
      <c r="DF63" s="1146"/>
      <c r="DG63" s="1146"/>
      <c r="DH63" s="1146"/>
      <c r="DI63" s="1146"/>
      <c r="DJ63" s="1146"/>
      <c r="DK63" s="1146"/>
      <c r="DL63" s="1146"/>
      <c r="DM63" s="1146"/>
      <c r="DN63" s="1146"/>
      <c r="DO63" s="1146"/>
      <c r="DP63" s="1146"/>
      <c r="DQ63" s="1146"/>
      <c r="DR63" s="1146"/>
      <c r="DS63" s="1146"/>
      <c r="DT63" s="1146"/>
      <c r="DU63" s="1146"/>
      <c r="DV63" s="1146"/>
      <c r="DW63" s="1146"/>
      <c r="DX63" s="1146"/>
      <c r="DY63" s="1146"/>
      <c r="DZ63" s="1146"/>
      <c r="EA63" s="1147">
        <f t="shared" si="83"/>
        <v>0</v>
      </c>
      <c r="EB63" s="1148">
        <f t="shared" si="84"/>
        <v>0</v>
      </c>
      <c r="EC63" s="1190">
        <f t="shared" si="132"/>
        <v>45839</v>
      </c>
      <c r="ED63" s="1031">
        <f t="shared" si="16"/>
        <v>20</v>
      </c>
      <c r="EE63" s="1191"/>
      <c r="EF63" s="1032">
        <f t="shared" si="17"/>
        <v>45904</v>
      </c>
      <c r="EG63" s="1029">
        <f t="shared" si="85"/>
        <v>22</v>
      </c>
      <c r="EH63" s="859" t="s">
        <v>490</v>
      </c>
      <c r="EI63" s="859" t="s">
        <v>480</v>
      </c>
      <c r="EJ63" s="860">
        <f t="shared" si="18"/>
        <v>0</v>
      </c>
      <c r="EK63" s="860">
        <f t="shared" si="19"/>
        <v>0</v>
      </c>
      <c r="EL63" s="861">
        <f t="shared" si="20"/>
        <v>0</v>
      </c>
      <c r="EM63" s="1197"/>
      <c r="EN63" s="860"/>
      <c r="EO63" s="860"/>
      <c r="EP63" s="860">
        <f t="shared" si="21"/>
        <v>0</v>
      </c>
      <c r="EQ63" s="1197"/>
      <c r="ER63" s="1200"/>
      <c r="ES63" s="1197"/>
      <c r="ET63" s="1194" t="s">
        <v>218</v>
      </c>
      <c r="EU63" s="1197" t="b">
        <f t="shared" si="22"/>
        <v>1</v>
      </c>
      <c r="EV63" s="1197" t="s">
        <v>571</v>
      </c>
      <c r="EW63" s="1197" t="s">
        <v>482</v>
      </c>
      <c r="EX63" s="1197"/>
      <c r="EY63" s="1128" t="s">
        <v>483</v>
      </c>
      <c r="EZ63" s="1128" t="s">
        <v>484</v>
      </c>
      <c r="FA63" s="1169">
        <f t="shared" si="86"/>
        <v>0</v>
      </c>
      <c r="FI63" s="1309" t="s">
        <v>149</v>
      </c>
      <c r="FJ63" s="1159" t="s">
        <v>149</v>
      </c>
      <c r="FK63" s="1160" t="b">
        <f t="shared" si="87"/>
        <v>1</v>
      </c>
      <c r="FL63" s="1131"/>
      <c r="FM63" s="1161"/>
      <c r="FO63" s="1060"/>
      <c r="FP63" s="1169"/>
      <c r="FQ63" s="1203"/>
      <c r="FU63" s="1295"/>
      <c r="FV63" s="1295"/>
      <c r="FW63" s="1023">
        <v>0.15</v>
      </c>
      <c r="FX63" s="1162">
        <v>14267.916911801822</v>
      </c>
      <c r="FY63" s="1163">
        <v>14713.789315295629</v>
      </c>
      <c r="GA63" s="1164">
        <f t="shared" si="89"/>
        <v>3871549.4670219556</v>
      </c>
      <c r="GB63" s="1165">
        <f t="shared" si="90"/>
        <v>0.15</v>
      </c>
      <c r="GC63" s="1154">
        <f t="shared" si="91"/>
        <v>580732.42005329335</v>
      </c>
      <c r="GD63" s="1164">
        <f t="shared" si="92"/>
        <v>30000</v>
      </c>
      <c r="GE63" s="1154">
        <f t="shared" si="93"/>
        <v>550732.42005329335</v>
      </c>
      <c r="GF63" s="1060">
        <f t="shared" si="94"/>
        <v>35</v>
      </c>
      <c r="GG63" s="1166">
        <f t="shared" si="95"/>
        <v>15735.212001522666</v>
      </c>
      <c r="GI63" s="1164">
        <f t="shared" si="96"/>
        <v>3871549.4670219556</v>
      </c>
      <c r="GJ63" s="1154">
        <f t="shared" si="97"/>
        <v>387154.94670219556</v>
      </c>
      <c r="GK63" s="1154">
        <f t="shared" si="98"/>
        <v>96788.736675548891</v>
      </c>
      <c r="GL63" s="1166">
        <v>15000</v>
      </c>
      <c r="GM63" s="1154">
        <f t="shared" si="99"/>
        <v>372154.94670219556</v>
      </c>
      <c r="GN63" s="1060">
        <f t="shared" si="100"/>
        <v>35</v>
      </c>
      <c r="GO63" s="1154">
        <f t="shared" si="101"/>
        <v>10632.998477205587</v>
      </c>
      <c r="GS63" s="1010">
        <f t="shared" si="102"/>
        <v>3871549.4670219556</v>
      </c>
      <c r="GT63" s="1011">
        <f t="shared" si="103"/>
        <v>0.125</v>
      </c>
      <c r="GU63" s="1010">
        <f t="shared" si="104"/>
        <v>483943.68337774446</v>
      </c>
      <c r="GV63" s="1010">
        <f t="shared" si="105"/>
        <v>30000</v>
      </c>
      <c r="GW63" s="1010">
        <f t="shared" si="106"/>
        <v>453943.68337774446</v>
      </c>
      <c r="GX63" s="1010">
        <f t="shared" si="107"/>
        <v>13</v>
      </c>
      <c r="GY63" s="1010">
        <f t="shared" si="108"/>
        <v>34918.744875211109</v>
      </c>
      <c r="GZ63" s="1011">
        <f t="shared" si="109"/>
        <v>0.875</v>
      </c>
      <c r="HA63" s="1010">
        <f t="shared" si="110"/>
        <v>3387605.783644211</v>
      </c>
      <c r="HB63" s="1010">
        <f t="shared" si="111"/>
        <v>26264.071583557004</v>
      </c>
      <c r="HC63" s="1010">
        <f t="shared" si="112"/>
        <v>30448.758488426069</v>
      </c>
      <c r="HD63" s="1010">
        <f t="shared" si="113"/>
        <v>39332.975573114454</v>
      </c>
      <c r="HE63" s="1010">
        <f t="shared" si="114"/>
        <v>67078.654698375394</v>
      </c>
      <c r="HG63" s="1010">
        <f t="shared" si="115"/>
        <v>3871549.4670219556</v>
      </c>
      <c r="HH63" s="1011">
        <f t="shared" si="116"/>
        <v>0.125</v>
      </c>
      <c r="HI63" s="1010">
        <f t="shared" si="117"/>
        <v>483943.68337774446</v>
      </c>
      <c r="HJ63" s="1010">
        <f t="shared" si="118"/>
        <v>30000</v>
      </c>
      <c r="HK63" s="1010">
        <f t="shared" si="119"/>
        <v>453943.68337774446</v>
      </c>
      <c r="HL63" s="1012">
        <f t="shared" si="120"/>
        <v>33</v>
      </c>
      <c r="HM63" s="1167">
        <f t="shared" si="121"/>
        <v>13755.869193264984</v>
      </c>
      <c r="HN63" s="1168">
        <f t="shared" si="122"/>
        <v>0.875</v>
      </c>
      <c r="HO63" s="1167">
        <f t="shared" si="123"/>
        <v>3387605.783644211</v>
      </c>
      <c r="HP63" s="1146">
        <f t="shared" si="124"/>
        <v>26264.071583557004</v>
      </c>
      <c r="HQ63" s="1146">
        <f t="shared" si="125"/>
        <v>30448.758488426069</v>
      </c>
      <c r="HR63" s="1146">
        <f t="shared" si="126"/>
        <v>39332.975573114454</v>
      </c>
      <c r="HS63" s="1146">
        <f t="shared" si="127"/>
        <v>67078.654698375394</v>
      </c>
      <c r="HU63" s="1167">
        <f t="shared" si="128"/>
        <v>-21162.875681946127</v>
      </c>
      <c r="HX63" s="1154"/>
      <c r="HY63" s="1154"/>
      <c r="IB63" s="1154"/>
      <c r="IC63" s="1154"/>
      <c r="ID63" s="1154"/>
      <c r="IE63" s="1154"/>
      <c r="IG63" s="1060"/>
    </row>
    <row r="64" spans="1:241" ht="14.25" hidden="1" customHeight="1">
      <c r="A64" s="1186">
        <f t="shared" si="141"/>
        <v>58</v>
      </c>
      <c r="B64" s="824" t="s">
        <v>149</v>
      </c>
      <c r="C64" s="855">
        <f t="shared" si="196"/>
        <v>7</v>
      </c>
      <c r="D64" s="856" t="s">
        <v>502</v>
      </c>
      <c r="E64" s="857" t="str">
        <f t="shared" si="23"/>
        <v>5th Floor</v>
      </c>
      <c r="F64" s="1185"/>
      <c r="G64" s="764" t="s">
        <v>219</v>
      </c>
      <c r="H64" s="764" t="s">
        <v>506</v>
      </c>
      <c r="I64" s="764" t="s">
        <v>476</v>
      </c>
      <c r="J64" s="831">
        <v>22</v>
      </c>
      <c r="K64" s="1142"/>
      <c r="L64" s="764" t="s">
        <v>344</v>
      </c>
      <c r="M64" s="764" t="s">
        <v>117</v>
      </c>
      <c r="N64" s="856">
        <f t="shared" si="24"/>
        <v>100909.09090909091</v>
      </c>
      <c r="O64" s="1138">
        <f t="shared" si="136"/>
        <v>2220000</v>
      </c>
      <c r="P64" s="1138">
        <f t="shared" si="142"/>
        <v>22400</v>
      </c>
      <c r="Q64" s="1138">
        <f t="shared" si="8"/>
        <v>50000</v>
      </c>
      <c r="R64" s="1138"/>
      <c r="S64" s="1138"/>
      <c r="T64" s="1138"/>
      <c r="U64" s="1138"/>
      <c r="V64" s="858">
        <f t="shared" ref="V64:V65" si="199">J64*$V$5</f>
        <v>55000</v>
      </c>
      <c r="W64" s="1138"/>
      <c r="X64" s="1138"/>
      <c r="Y64" s="1138">
        <f t="shared" si="198"/>
        <v>20000</v>
      </c>
      <c r="Z64" s="1138">
        <f t="shared" si="137"/>
        <v>75000</v>
      </c>
      <c r="AA64" s="1138">
        <f t="shared" si="138"/>
        <v>222400</v>
      </c>
      <c r="AB64" s="1138">
        <f t="shared" si="28"/>
        <v>2442400</v>
      </c>
      <c r="AC64" s="1138">
        <f t="shared" si="29"/>
        <v>61060</v>
      </c>
      <c r="AD64" s="1138">
        <f t="shared" si="30"/>
        <v>2503460</v>
      </c>
      <c r="AE64" s="1138">
        <f t="shared" si="31"/>
        <v>62586.5</v>
      </c>
      <c r="AF64" s="1138">
        <f t="shared" si="32"/>
        <v>2566046.5</v>
      </c>
      <c r="AG64" s="1138">
        <f t="shared" si="33"/>
        <v>64151.162500000006</v>
      </c>
      <c r="AH64" s="1138">
        <f t="shared" si="34"/>
        <v>2630197.6625000001</v>
      </c>
      <c r="AI64" s="1138">
        <f t="shared" si="144"/>
        <v>131509.88312500002</v>
      </c>
      <c r="AJ64" s="1138">
        <f t="shared" si="35"/>
        <v>2761707.5456250003</v>
      </c>
      <c r="AK64" s="1138">
        <f t="shared" si="36"/>
        <v>27617.075456250004</v>
      </c>
      <c r="AL64" s="1138">
        <f t="shared" si="37"/>
        <v>27537.409960060559</v>
      </c>
      <c r="AM64" s="1138"/>
      <c r="AN64" s="1138"/>
      <c r="AO64" s="1138">
        <f t="shared" si="38"/>
        <v>2816862.0310413106</v>
      </c>
      <c r="AP64" s="1138">
        <f t="shared" si="39"/>
        <v>380276.37419057696</v>
      </c>
      <c r="AQ64" s="1248">
        <f t="shared" si="40"/>
        <v>3197138.4052318875</v>
      </c>
      <c r="AR64" s="1248">
        <f t="shared" ref="AR64:AR65" si="200">AQ64-AT64</f>
        <v>3197138.4052318875</v>
      </c>
      <c r="AS64" s="1248"/>
      <c r="AT64" s="1248">
        <f t="shared" ref="AT64:AT65" si="201">AS64*J64</f>
        <v>0</v>
      </c>
      <c r="AU64" s="1248">
        <f t="shared" si="42"/>
        <v>0</v>
      </c>
      <c r="AV64" s="1140">
        <f t="shared" si="43"/>
        <v>0</v>
      </c>
      <c r="AW64" s="1140">
        <f t="shared" si="44"/>
        <v>3197138.4052318875</v>
      </c>
      <c r="AX64" s="1139">
        <f t="shared" si="45"/>
        <v>39964.230065398595</v>
      </c>
      <c r="AY64" s="831" t="s">
        <v>478</v>
      </c>
      <c r="AZ64" s="831">
        <f t="shared" si="46"/>
        <v>3237102.6352972859</v>
      </c>
      <c r="BA64" s="831">
        <f t="shared" si="47"/>
        <v>121391.34882364821</v>
      </c>
      <c r="BB64" s="831"/>
      <c r="BC64" s="831">
        <f t="shared" si="189"/>
        <v>33600</v>
      </c>
      <c r="BD64" s="831"/>
      <c r="BE64" s="831">
        <f t="shared" si="48"/>
        <v>3392093.9841209343</v>
      </c>
      <c r="BF64" s="831"/>
      <c r="BG64" s="831">
        <f t="shared" si="49"/>
        <v>3392093.9841209343</v>
      </c>
      <c r="BH64" s="831"/>
      <c r="BI64" s="831">
        <f t="shared" si="50"/>
        <v>3392093.9841209343</v>
      </c>
      <c r="BJ64" s="831"/>
      <c r="BK64" s="831">
        <f t="shared" si="51"/>
        <v>3392093.9841209343</v>
      </c>
      <c r="BL64" s="831"/>
      <c r="BM64" s="831">
        <f t="shared" si="52"/>
        <v>3392093.9841209343</v>
      </c>
      <c r="BN64" s="831"/>
      <c r="BO64" s="831">
        <f t="shared" si="53"/>
        <v>3392093.9841209343</v>
      </c>
      <c r="BP64" s="831"/>
      <c r="BQ64" s="831">
        <f t="shared" si="54"/>
        <v>3392093.9841209343</v>
      </c>
      <c r="BR64" s="831"/>
      <c r="BS64" s="831">
        <f t="shared" si="55"/>
        <v>3392093.9841209343</v>
      </c>
      <c r="BT64" s="831"/>
      <c r="BU64" s="831">
        <f t="shared" si="56"/>
        <v>3392093.9841209343</v>
      </c>
      <c r="BV64" s="831"/>
      <c r="BW64" s="831">
        <f t="shared" si="57"/>
        <v>56400</v>
      </c>
      <c r="BX64" s="831">
        <f t="shared" si="58"/>
        <v>3448493.9841209343</v>
      </c>
      <c r="BY64" s="831"/>
      <c r="BZ64" s="831">
        <f t="shared" si="59"/>
        <v>3448493.9841209343</v>
      </c>
      <c r="CA64" s="1260">
        <f t="shared" si="60"/>
        <v>3448493.9841209343</v>
      </c>
      <c r="CB64" s="1260">
        <f t="shared" si="61"/>
        <v>3448493.9841209343</v>
      </c>
      <c r="CC64" s="1260"/>
      <c r="CD64" s="1260">
        <f t="shared" si="62"/>
        <v>0</v>
      </c>
      <c r="CE64" s="1260">
        <f t="shared" si="63"/>
        <v>0</v>
      </c>
      <c r="CF64" s="1260">
        <f t="shared" si="64"/>
        <v>0</v>
      </c>
      <c r="CG64" s="1266">
        <f t="shared" si="65"/>
        <v>3448493.9841209343</v>
      </c>
      <c r="CH64" s="1141">
        <f t="shared" si="66"/>
        <v>3448493.9841209343</v>
      </c>
      <c r="CI64" s="1142">
        <f t="shared" si="67"/>
        <v>0</v>
      </c>
      <c r="CJ64" s="1141">
        <f t="shared" si="68"/>
        <v>353470.63337239577</v>
      </c>
      <c r="CK64" s="1141">
        <f t="shared" si="69"/>
        <v>120697.28944423271</v>
      </c>
      <c r="CL64" s="1143">
        <f t="shared" si="139"/>
        <v>3922661.9069375629</v>
      </c>
      <c r="CM64" s="1144">
        <f t="shared" si="71"/>
        <v>0.125</v>
      </c>
      <c r="CN64" s="1141">
        <f t="shared" si="72"/>
        <v>490332.73836719536</v>
      </c>
      <c r="CO64" s="1141">
        <f t="shared" si="73"/>
        <v>30000</v>
      </c>
      <c r="CP64" s="1141">
        <f t="shared" si="74"/>
        <v>460332.73836719536</v>
      </c>
      <c r="CQ64" s="1145">
        <f t="shared" si="75"/>
        <v>13</v>
      </c>
      <c r="CR64" s="1141">
        <f t="shared" si="76"/>
        <v>35410.210643630409</v>
      </c>
      <c r="CS64" s="1144">
        <f t="shared" si="77"/>
        <v>0.875</v>
      </c>
      <c r="CT64" s="1141">
        <f t="shared" si="78"/>
        <v>3432329.1685703676</v>
      </c>
      <c r="CU64" s="1146">
        <f t="shared" si="12"/>
        <v>26610.81151086223</v>
      </c>
      <c r="CV64" s="1146">
        <f t="shared" si="13"/>
        <v>30850.744915824522</v>
      </c>
      <c r="CW64" s="1146">
        <f t="shared" si="14"/>
        <v>39852.251994042977</v>
      </c>
      <c r="CX64" s="1146">
        <f t="shared" si="15"/>
        <v>67964.231322694686</v>
      </c>
      <c r="CY64" s="1146">
        <f t="shared" si="79"/>
        <v>278819.00807026657</v>
      </c>
      <c r="CZ64" s="1146">
        <f t="shared" si="80"/>
        <v>110327.32328803747</v>
      </c>
      <c r="DA64" s="1146">
        <f t="shared" si="81"/>
        <v>79687.863023599843</v>
      </c>
      <c r="DB64" s="1146">
        <f t="shared" si="82"/>
        <v>60646.132400695707</v>
      </c>
      <c r="DC64" s="1146"/>
      <c r="DD64" s="1146"/>
      <c r="DE64" s="1146"/>
      <c r="DF64" s="1146"/>
      <c r="DG64" s="1146"/>
      <c r="DH64" s="1146"/>
      <c r="DI64" s="1146"/>
      <c r="DJ64" s="1146"/>
      <c r="DK64" s="1146"/>
      <c r="DL64" s="1146"/>
      <c r="DM64" s="1146"/>
      <c r="DN64" s="1146"/>
      <c r="DO64" s="1146"/>
      <c r="DP64" s="1146"/>
      <c r="DQ64" s="1146"/>
      <c r="DR64" s="1146"/>
      <c r="DS64" s="1146"/>
      <c r="DT64" s="1146"/>
      <c r="DU64" s="1146"/>
      <c r="DV64" s="1146"/>
      <c r="DW64" s="1146"/>
      <c r="DX64" s="1146"/>
      <c r="DY64" s="1146"/>
      <c r="DZ64" s="1146"/>
      <c r="EA64" s="1147">
        <f t="shared" si="83"/>
        <v>0</v>
      </c>
      <c r="EB64" s="1148">
        <f t="shared" si="84"/>
        <v>0</v>
      </c>
      <c r="EC64" s="1190">
        <f t="shared" si="132"/>
        <v>45839</v>
      </c>
      <c r="ED64" s="1031">
        <f t="shared" si="16"/>
        <v>20</v>
      </c>
      <c r="EE64" s="1191"/>
      <c r="EF64" s="1032">
        <f t="shared" si="17"/>
        <v>45904</v>
      </c>
      <c r="EG64" s="1029">
        <f t="shared" si="85"/>
        <v>22</v>
      </c>
      <c r="EH64" s="859" t="s">
        <v>490</v>
      </c>
      <c r="EI64" s="859" t="s">
        <v>480</v>
      </c>
      <c r="EJ64" s="860">
        <f t="shared" si="18"/>
        <v>0</v>
      </c>
      <c r="EK64" s="860">
        <f t="shared" si="19"/>
        <v>0</v>
      </c>
      <c r="EL64" s="861">
        <f t="shared" si="20"/>
        <v>0</v>
      </c>
      <c r="EM64" s="1197"/>
      <c r="EN64" s="860"/>
      <c r="EO64" s="860"/>
      <c r="EP64" s="860">
        <f t="shared" si="21"/>
        <v>0</v>
      </c>
      <c r="EQ64" s="1197"/>
      <c r="ER64" s="1200"/>
      <c r="ES64" s="1197"/>
      <c r="ET64" s="1194" t="s">
        <v>219</v>
      </c>
      <c r="EU64" s="1197" t="b">
        <f t="shared" si="22"/>
        <v>1</v>
      </c>
      <c r="EV64" s="1197" t="s">
        <v>572</v>
      </c>
      <c r="EW64" s="1197" t="s">
        <v>482</v>
      </c>
      <c r="EX64" s="1197"/>
      <c r="EY64" s="1128" t="s">
        <v>483</v>
      </c>
      <c r="EZ64" s="1128" t="s">
        <v>484</v>
      </c>
      <c r="FA64" s="1169">
        <f t="shared" si="86"/>
        <v>0</v>
      </c>
      <c r="FI64" s="1309" t="s">
        <v>149</v>
      </c>
      <c r="FJ64" s="1159" t="s">
        <v>149</v>
      </c>
      <c r="FK64" s="1160" t="b">
        <f t="shared" si="87"/>
        <v>1</v>
      </c>
      <c r="FL64" s="1131"/>
      <c r="FM64" s="1161"/>
      <c r="FO64" s="1060"/>
      <c r="FP64" s="1169"/>
      <c r="FQ64" s="1203"/>
      <c r="FU64" s="1295"/>
      <c r="FV64" s="1295"/>
      <c r="FW64" s="1023">
        <v>0.15</v>
      </c>
      <c r="FX64" s="1162">
        <v>14768.952243498632</v>
      </c>
      <c r="FY64" s="1163">
        <v>15230.482001107965</v>
      </c>
      <c r="GA64" s="1164">
        <f t="shared" si="89"/>
        <v>3922661.9069375629</v>
      </c>
      <c r="GB64" s="1165">
        <f t="shared" si="90"/>
        <v>0.15</v>
      </c>
      <c r="GC64" s="1154">
        <f t="shared" si="91"/>
        <v>588399.28604063438</v>
      </c>
      <c r="GD64" s="1164">
        <f t="shared" si="92"/>
        <v>30000</v>
      </c>
      <c r="GE64" s="1154">
        <f t="shared" si="93"/>
        <v>558399.28604063438</v>
      </c>
      <c r="GF64" s="1060">
        <f t="shared" si="94"/>
        <v>35</v>
      </c>
      <c r="GG64" s="1166">
        <f t="shared" si="95"/>
        <v>15954.265315446697</v>
      </c>
      <c r="GI64" s="1164">
        <f t="shared" si="96"/>
        <v>3922661.9069375629</v>
      </c>
      <c r="GJ64" s="1154">
        <f t="shared" si="97"/>
        <v>392266.19069375633</v>
      </c>
      <c r="GK64" s="1154">
        <f t="shared" si="98"/>
        <v>98066.547673439083</v>
      </c>
      <c r="GL64" s="1166">
        <v>15000</v>
      </c>
      <c r="GM64" s="1154">
        <f t="shared" si="99"/>
        <v>377266.19069375633</v>
      </c>
      <c r="GN64" s="1060">
        <f t="shared" si="100"/>
        <v>35</v>
      </c>
      <c r="GO64" s="1154">
        <f t="shared" si="101"/>
        <v>10779.034019821609</v>
      </c>
      <c r="GS64" s="1010">
        <f t="shared" si="102"/>
        <v>3922661.9069375629</v>
      </c>
      <c r="GT64" s="1011">
        <f t="shared" si="103"/>
        <v>0.125</v>
      </c>
      <c r="GU64" s="1010">
        <f t="shared" si="104"/>
        <v>490332.73836719536</v>
      </c>
      <c r="GV64" s="1010">
        <f t="shared" si="105"/>
        <v>30000</v>
      </c>
      <c r="GW64" s="1010">
        <f t="shared" si="106"/>
        <v>460332.73836719536</v>
      </c>
      <c r="GX64" s="1010">
        <f t="shared" si="107"/>
        <v>13</v>
      </c>
      <c r="GY64" s="1010">
        <f t="shared" si="108"/>
        <v>35410.210643630409</v>
      </c>
      <c r="GZ64" s="1011">
        <f t="shared" si="109"/>
        <v>0.875</v>
      </c>
      <c r="HA64" s="1010">
        <f t="shared" si="110"/>
        <v>3432329.1685703676</v>
      </c>
      <c r="HB64" s="1010">
        <f t="shared" si="111"/>
        <v>26610.81151086223</v>
      </c>
      <c r="HC64" s="1010">
        <f t="shared" si="112"/>
        <v>30850.744915824522</v>
      </c>
      <c r="HD64" s="1010">
        <f t="shared" si="113"/>
        <v>39852.251994042977</v>
      </c>
      <c r="HE64" s="1010">
        <f t="shared" si="114"/>
        <v>67964.231322694686</v>
      </c>
      <c r="HG64" s="1010">
        <f t="shared" si="115"/>
        <v>3922661.9069375629</v>
      </c>
      <c r="HH64" s="1011">
        <f t="shared" si="116"/>
        <v>0.125</v>
      </c>
      <c r="HI64" s="1010">
        <f t="shared" si="117"/>
        <v>490332.73836719536</v>
      </c>
      <c r="HJ64" s="1010">
        <f t="shared" si="118"/>
        <v>30000</v>
      </c>
      <c r="HK64" s="1010">
        <f t="shared" si="119"/>
        <v>460332.73836719536</v>
      </c>
      <c r="HL64" s="1012">
        <f t="shared" si="120"/>
        <v>33</v>
      </c>
      <c r="HM64" s="1167">
        <f t="shared" si="121"/>
        <v>13949.476920218041</v>
      </c>
      <c r="HN64" s="1168">
        <f t="shared" si="122"/>
        <v>0.875</v>
      </c>
      <c r="HO64" s="1167">
        <f t="shared" si="123"/>
        <v>3432329.1685703676</v>
      </c>
      <c r="HP64" s="1146">
        <f t="shared" si="124"/>
        <v>26610.81151086223</v>
      </c>
      <c r="HQ64" s="1146">
        <f t="shared" si="125"/>
        <v>30850.744915824522</v>
      </c>
      <c r="HR64" s="1146">
        <f t="shared" si="126"/>
        <v>39852.251994042977</v>
      </c>
      <c r="HS64" s="1146">
        <f t="shared" si="127"/>
        <v>67964.231322694686</v>
      </c>
      <c r="HU64" s="1167">
        <f t="shared" si="128"/>
        <v>-21460.73372341237</v>
      </c>
      <c r="HX64" s="1154"/>
      <c r="HY64" s="1154"/>
      <c r="IB64" s="1154"/>
      <c r="IC64" s="1154"/>
      <c r="ID64" s="1154"/>
      <c r="IE64" s="1154"/>
      <c r="IG64" s="1060"/>
    </row>
    <row r="65" spans="1:241" ht="14.25" hidden="1" customHeight="1">
      <c r="A65" s="1186">
        <f t="shared" si="141"/>
        <v>59</v>
      </c>
      <c r="B65" s="824" t="s">
        <v>149</v>
      </c>
      <c r="C65" s="855">
        <f t="shared" si="196"/>
        <v>8</v>
      </c>
      <c r="D65" s="856" t="s">
        <v>502</v>
      </c>
      <c r="E65" s="857" t="str">
        <f t="shared" si="23"/>
        <v>5th Floor</v>
      </c>
      <c r="F65" s="1185"/>
      <c r="G65" s="764" t="s">
        <v>220</v>
      </c>
      <c r="H65" s="764" t="s">
        <v>508</v>
      </c>
      <c r="I65" s="764" t="s">
        <v>476</v>
      </c>
      <c r="J65" s="831">
        <v>22</v>
      </c>
      <c r="K65" s="1142"/>
      <c r="L65" s="764" t="s">
        <v>500</v>
      </c>
      <c r="M65" s="764" t="s">
        <v>117</v>
      </c>
      <c r="N65" s="856">
        <f t="shared" si="24"/>
        <v>100909.09090909091</v>
      </c>
      <c r="O65" s="1138">
        <f t="shared" si="136"/>
        <v>2220000</v>
      </c>
      <c r="P65" s="1138">
        <f t="shared" si="142"/>
        <v>22400</v>
      </c>
      <c r="Q65" s="1138">
        <f t="shared" si="8"/>
        <v>50000</v>
      </c>
      <c r="R65" s="1138"/>
      <c r="S65" s="1138"/>
      <c r="T65" s="1138"/>
      <c r="U65" s="1138"/>
      <c r="V65" s="858">
        <f t="shared" si="199"/>
        <v>55000</v>
      </c>
      <c r="W65" s="1138"/>
      <c r="X65" s="1138"/>
      <c r="Y65" s="1138">
        <f t="shared" si="198"/>
        <v>20000</v>
      </c>
      <c r="Z65" s="1138">
        <f t="shared" si="137"/>
        <v>75000</v>
      </c>
      <c r="AA65" s="1138">
        <f t="shared" si="138"/>
        <v>222400</v>
      </c>
      <c r="AB65" s="1138">
        <f t="shared" si="28"/>
        <v>2442400</v>
      </c>
      <c r="AC65" s="1138">
        <f t="shared" si="29"/>
        <v>61060</v>
      </c>
      <c r="AD65" s="1138">
        <f t="shared" si="30"/>
        <v>2503460</v>
      </c>
      <c r="AE65" s="1138">
        <f t="shared" si="31"/>
        <v>62586.5</v>
      </c>
      <c r="AF65" s="1138">
        <f t="shared" si="32"/>
        <v>2566046.5</v>
      </c>
      <c r="AG65" s="1138">
        <f t="shared" si="33"/>
        <v>64151.162500000006</v>
      </c>
      <c r="AH65" s="1138">
        <f t="shared" si="34"/>
        <v>2630197.6625000001</v>
      </c>
      <c r="AI65" s="1138">
        <f t="shared" si="144"/>
        <v>131509.88312500002</v>
      </c>
      <c r="AJ65" s="1138">
        <f t="shared" si="35"/>
        <v>2761707.5456250003</v>
      </c>
      <c r="AK65" s="1138">
        <f t="shared" si="36"/>
        <v>27617.075456250004</v>
      </c>
      <c r="AL65" s="1138">
        <f t="shared" si="37"/>
        <v>27537.409960060559</v>
      </c>
      <c r="AM65" s="1138"/>
      <c r="AN65" s="1138"/>
      <c r="AO65" s="1138">
        <f t="shared" si="38"/>
        <v>2816862.0310413106</v>
      </c>
      <c r="AP65" s="1138">
        <f t="shared" si="39"/>
        <v>380276.37419057696</v>
      </c>
      <c r="AQ65" s="1248">
        <f t="shared" si="40"/>
        <v>3197138.4052318875</v>
      </c>
      <c r="AR65" s="1248">
        <f t="shared" si="200"/>
        <v>3197138.4052318875</v>
      </c>
      <c r="AS65" s="1248"/>
      <c r="AT65" s="1248">
        <f t="shared" si="201"/>
        <v>0</v>
      </c>
      <c r="AU65" s="1248">
        <f t="shared" si="42"/>
        <v>0</v>
      </c>
      <c r="AV65" s="1140">
        <f t="shared" si="43"/>
        <v>0</v>
      </c>
      <c r="AW65" s="1140">
        <f t="shared" si="44"/>
        <v>3197138.4052318875</v>
      </c>
      <c r="AX65" s="1139">
        <f t="shared" si="45"/>
        <v>39964.230065398595</v>
      </c>
      <c r="AY65" s="831" t="s">
        <v>478</v>
      </c>
      <c r="AZ65" s="831">
        <f t="shared" si="46"/>
        <v>3237102.6352972859</v>
      </c>
      <c r="BA65" s="831">
        <f t="shared" si="47"/>
        <v>121391.34882364821</v>
      </c>
      <c r="BB65" s="831"/>
      <c r="BC65" s="831">
        <f t="shared" si="189"/>
        <v>33600</v>
      </c>
      <c r="BD65" s="831"/>
      <c r="BE65" s="831">
        <f t="shared" si="48"/>
        <v>3392093.9841209343</v>
      </c>
      <c r="BF65" s="831"/>
      <c r="BG65" s="831">
        <f t="shared" si="49"/>
        <v>3392093.9841209343</v>
      </c>
      <c r="BH65" s="831"/>
      <c r="BI65" s="831">
        <f t="shared" si="50"/>
        <v>3392093.9841209343</v>
      </c>
      <c r="BJ65" s="831"/>
      <c r="BK65" s="831">
        <f t="shared" si="51"/>
        <v>3392093.9841209343</v>
      </c>
      <c r="BL65" s="831"/>
      <c r="BM65" s="831">
        <f t="shared" si="52"/>
        <v>3392093.9841209343</v>
      </c>
      <c r="BN65" s="831"/>
      <c r="BO65" s="831">
        <f t="shared" si="53"/>
        <v>3392093.9841209343</v>
      </c>
      <c r="BP65" s="831"/>
      <c r="BQ65" s="831">
        <f t="shared" si="54"/>
        <v>3392093.9841209343</v>
      </c>
      <c r="BR65" s="831"/>
      <c r="BS65" s="831">
        <f t="shared" si="55"/>
        <v>3392093.9841209343</v>
      </c>
      <c r="BT65" s="831"/>
      <c r="BU65" s="831">
        <f t="shared" si="56"/>
        <v>3392093.9841209343</v>
      </c>
      <c r="BV65" s="831"/>
      <c r="BW65" s="831">
        <f t="shared" si="57"/>
        <v>56400</v>
      </c>
      <c r="BX65" s="831">
        <f t="shared" si="58"/>
        <v>3448493.9841209343</v>
      </c>
      <c r="BY65" s="831"/>
      <c r="BZ65" s="831">
        <f t="shared" si="59"/>
        <v>3448493.9841209343</v>
      </c>
      <c r="CA65" s="1260">
        <f t="shared" si="60"/>
        <v>3448493.9841209343</v>
      </c>
      <c r="CB65" s="1260">
        <f t="shared" si="61"/>
        <v>3448493.9841209343</v>
      </c>
      <c r="CC65" s="1260"/>
      <c r="CD65" s="1260">
        <f t="shared" si="62"/>
        <v>0</v>
      </c>
      <c r="CE65" s="1260">
        <f t="shared" si="63"/>
        <v>0</v>
      </c>
      <c r="CF65" s="1260">
        <f t="shared" si="64"/>
        <v>0</v>
      </c>
      <c r="CG65" s="1266">
        <f t="shared" si="65"/>
        <v>3448493.9841209343</v>
      </c>
      <c r="CH65" s="1141">
        <f t="shared" si="66"/>
        <v>3448493.9841209343</v>
      </c>
      <c r="CI65" s="1142">
        <f t="shared" si="67"/>
        <v>0</v>
      </c>
      <c r="CJ65" s="1141">
        <f t="shared" si="68"/>
        <v>353470.63337239577</v>
      </c>
      <c r="CK65" s="1141">
        <f t="shared" si="69"/>
        <v>120697.28944423271</v>
      </c>
      <c r="CL65" s="1143">
        <f t="shared" si="139"/>
        <v>3922661.9069375629</v>
      </c>
      <c r="CM65" s="1144">
        <f t="shared" si="71"/>
        <v>0.125</v>
      </c>
      <c r="CN65" s="1141">
        <f t="shared" si="72"/>
        <v>490332.73836719536</v>
      </c>
      <c r="CO65" s="1141">
        <f t="shared" si="73"/>
        <v>30000</v>
      </c>
      <c r="CP65" s="1141">
        <f t="shared" si="74"/>
        <v>460332.73836719536</v>
      </c>
      <c r="CQ65" s="1145">
        <f t="shared" si="75"/>
        <v>13</v>
      </c>
      <c r="CR65" s="1141">
        <f t="shared" si="76"/>
        <v>35410.210643630409</v>
      </c>
      <c r="CS65" s="1144">
        <f t="shared" si="77"/>
        <v>0.875</v>
      </c>
      <c r="CT65" s="1141">
        <f t="shared" si="78"/>
        <v>3432329.1685703676</v>
      </c>
      <c r="CU65" s="1146">
        <f t="shared" si="12"/>
        <v>26610.81151086223</v>
      </c>
      <c r="CV65" s="1146">
        <f t="shared" si="13"/>
        <v>30850.744915824522</v>
      </c>
      <c r="CW65" s="1146">
        <f t="shared" si="14"/>
        <v>39852.251994042977</v>
      </c>
      <c r="CX65" s="1146">
        <f t="shared" si="15"/>
        <v>67964.231322694686</v>
      </c>
      <c r="CY65" s="1146">
        <f t="shared" si="79"/>
        <v>278819.00807026657</v>
      </c>
      <c r="CZ65" s="1146">
        <f t="shared" si="80"/>
        <v>110327.32328803747</v>
      </c>
      <c r="DA65" s="1146">
        <f t="shared" si="81"/>
        <v>79687.863023599843</v>
      </c>
      <c r="DB65" s="1146">
        <f t="shared" si="82"/>
        <v>60646.132400695707</v>
      </c>
      <c r="DC65" s="1146"/>
      <c r="DD65" s="1146"/>
      <c r="DE65" s="1146"/>
      <c r="DF65" s="1146"/>
      <c r="DG65" s="1146"/>
      <c r="DH65" s="1146"/>
      <c r="DI65" s="1146"/>
      <c r="DJ65" s="1146"/>
      <c r="DK65" s="1146"/>
      <c r="DL65" s="1146"/>
      <c r="DM65" s="1146"/>
      <c r="DN65" s="1146"/>
      <c r="DO65" s="1146"/>
      <c r="DP65" s="1146"/>
      <c r="DQ65" s="1146"/>
      <c r="DR65" s="1146"/>
      <c r="DS65" s="1146"/>
      <c r="DT65" s="1146"/>
      <c r="DU65" s="1146"/>
      <c r="DV65" s="1146"/>
      <c r="DW65" s="1146"/>
      <c r="DX65" s="1146"/>
      <c r="DY65" s="1146"/>
      <c r="DZ65" s="1146"/>
      <c r="EA65" s="1147">
        <f t="shared" si="83"/>
        <v>0</v>
      </c>
      <c r="EB65" s="1148">
        <f t="shared" si="84"/>
        <v>0</v>
      </c>
      <c r="EC65" s="1190">
        <f t="shared" si="132"/>
        <v>45839</v>
      </c>
      <c r="ED65" s="1031">
        <f t="shared" si="16"/>
        <v>20</v>
      </c>
      <c r="EE65" s="1191"/>
      <c r="EF65" s="1032">
        <f t="shared" si="17"/>
        <v>45904</v>
      </c>
      <c r="EG65" s="1029">
        <f t="shared" si="85"/>
        <v>22</v>
      </c>
      <c r="EH65" s="859" t="s">
        <v>490</v>
      </c>
      <c r="EI65" s="859" t="s">
        <v>480</v>
      </c>
      <c r="EJ65" s="860">
        <f t="shared" si="18"/>
        <v>0</v>
      </c>
      <c r="EK65" s="860">
        <f t="shared" si="19"/>
        <v>0</v>
      </c>
      <c r="EL65" s="861">
        <f t="shared" si="20"/>
        <v>0</v>
      </c>
      <c r="EM65" s="1197"/>
      <c r="EN65" s="860"/>
      <c r="EO65" s="860"/>
      <c r="EP65" s="860">
        <f t="shared" si="21"/>
        <v>0</v>
      </c>
      <c r="EQ65" s="1197"/>
      <c r="ER65" s="1200"/>
      <c r="ES65" s="1197"/>
      <c r="ET65" s="1194" t="s">
        <v>220</v>
      </c>
      <c r="EU65" s="1197" t="b">
        <f t="shared" si="22"/>
        <v>1</v>
      </c>
      <c r="EV65" s="1197" t="s">
        <v>573</v>
      </c>
      <c r="EW65" s="1197" t="s">
        <v>482</v>
      </c>
      <c r="EX65" s="1197"/>
      <c r="EY65" s="1128" t="s">
        <v>483</v>
      </c>
      <c r="EZ65" s="1128" t="s">
        <v>484</v>
      </c>
      <c r="FA65" s="1169">
        <f t="shared" si="86"/>
        <v>0</v>
      </c>
      <c r="FI65" s="1309" t="s">
        <v>149</v>
      </c>
      <c r="FJ65" s="1159" t="s">
        <v>149</v>
      </c>
      <c r="FK65" s="1160" t="b">
        <f t="shared" si="87"/>
        <v>1</v>
      </c>
      <c r="FL65" s="1131"/>
      <c r="FM65" s="1161"/>
      <c r="FO65" s="1060"/>
      <c r="FP65" s="1169"/>
      <c r="FQ65" s="1203"/>
      <c r="FU65" s="1295"/>
      <c r="FV65" s="1295"/>
      <c r="FW65" s="1023">
        <v>0.15</v>
      </c>
      <c r="FX65" s="1162">
        <v>14768.952243498632</v>
      </c>
      <c r="FY65" s="1163">
        <v>15230.482001107965</v>
      </c>
      <c r="GA65" s="1164">
        <f t="shared" si="89"/>
        <v>3922661.9069375629</v>
      </c>
      <c r="GB65" s="1165">
        <f t="shared" si="90"/>
        <v>0.15</v>
      </c>
      <c r="GC65" s="1154">
        <f t="shared" si="91"/>
        <v>588399.28604063438</v>
      </c>
      <c r="GD65" s="1164">
        <f t="shared" si="92"/>
        <v>30000</v>
      </c>
      <c r="GE65" s="1154">
        <f t="shared" si="93"/>
        <v>558399.28604063438</v>
      </c>
      <c r="GF65" s="1060">
        <f t="shared" si="94"/>
        <v>35</v>
      </c>
      <c r="GG65" s="1166">
        <f t="shared" si="95"/>
        <v>15954.265315446697</v>
      </c>
      <c r="GI65" s="1164">
        <f t="shared" si="96"/>
        <v>3922661.9069375629</v>
      </c>
      <c r="GJ65" s="1154">
        <f t="shared" si="97"/>
        <v>392266.19069375633</v>
      </c>
      <c r="GK65" s="1154">
        <f t="shared" si="98"/>
        <v>98066.547673439083</v>
      </c>
      <c r="GL65" s="1166">
        <v>15000</v>
      </c>
      <c r="GM65" s="1154">
        <f t="shared" si="99"/>
        <v>377266.19069375633</v>
      </c>
      <c r="GN65" s="1060">
        <f t="shared" si="100"/>
        <v>35</v>
      </c>
      <c r="GO65" s="1154">
        <f t="shared" si="101"/>
        <v>10779.034019821609</v>
      </c>
      <c r="GS65" s="1010">
        <f t="shared" si="102"/>
        <v>3922661.9069375629</v>
      </c>
      <c r="GT65" s="1011">
        <f t="shared" si="103"/>
        <v>0.125</v>
      </c>
      <c r="GU65" s="1010">
        <f t="shared" si="104"/>
        <v>490332.73836719536</v>
      </c>
      <c r="GV65" s="1010">
        <f t="shared" si="105"/>
        <v>30000</v>
      </c>
      <c r="GW65" s="1010">
        <f t="shared" si="106"/>
        <v>460332.73836719536</v>
      </c>
      <c r="GX65" s="1010">
        <f t="shared" si="107"/>
        <v>13</v>
      </c>
      <c r="GY65" s="1010">
        <f t="shared" si="108"/>
        <v>35410.210643630409</v>
      </c>
      <c r="GZ65" s="1011">
        <f t="shared" si="109"/>
        <v>0.875</v>
      </c>
      <c r="HA65" s="1010">
        <f t="shared" si="110"/>
        <v>3432329.1685703676</v>
      </c>
      <c r="HB65" s="1010">
        <f t="shared" si="111"/>
        <v>26610.81151086223</v>
      </c>
      <c r="HC65" s="1010">
        <f t="shared" si="112"/>
        <v>30850.744915824522</v>
      </c>
      <c r="HD65" s="1010">
        <f t="shared" si="113"/>
        <v>39852.251994042977</v>
      </c>
      <c r="HE65" s="1010">
        <f t="shared" si="114"/>
        <v>67964.231322694686</v>
      </c>
      <c r="HG65" s="1010">
        <f t="shared" si="115"/>
        <v>3922661.9069375629</v>
      </c>
      <c r="HH65" s="1011">
        <f t="shared" si="116"/>
        <v>0.125</v>
      </c>
      <c r="HI65" s="1010">
        <f t="shared" si="117"/>
        <v>490332.73836719536</v>
      </c>
      <c r="HJ65" s="1010">
        <f t="shared" si="118"/>
        <v>30000</v>
      </c>
      <c r="HK65" s="1010">
        <f t="shared" si="119"/>
        <v>460332.73836719536</v>
      </c>
      <c r="HL65" s="1012">
        <f t="shared" si="120"/>
        <v>33</v>
      </c>
      <c r="HM65" s="1167">
        <f t="shared" si="121"/>
        <v>13949.476920218041</v>
      </c>
      <c r="HN65" s="1168">
        <f t="shared" si="122"/>
        <v>0.875</v>
      </c>
      <c r="HO65" s="1167">
        <f t="shared" si="123"/>
        <v>3432329.1685703676</v>
      </c>
      <c r="HP65" s="1146">
        <f t="shared" si="124"/>
        <v>26610.81151086223</v>
      </c>
      <c r="HQ65" s="1146">
        <f t="shared" si="125"/>
        <v>30850.744915824522</v>
      </c>
      <c r="HR65" s="1146">
        <f t="shared" si="126"/>
        <v>39852.251994042977</v>
      </c>
      <c r="HS65" s="1146">
        <f t="shared" si="127"/>
        <v>67964.231322694686</v>
      </c>
      <c r="HU65" s="1167">
        <f t="shared" si="128"/>
        <v>-21460.73372341237</v>
      </c>
      <c r="HX65" s="1154"/>
      <c r="HY65" s="1154"/>
      <c r="IB65" s="1154"/>
      <c r="IC65" s="1154"/>
      <c r="ID65" s="1154"/>
      <c r="IE65" s="1154"/>
      <c r="IG65" s="1060"/>
    </row>
    <row r="66" spans="1:241" ht="14.25" hidden="1" customHeight="1">
      <c r="A66" s="1186">
        <f t="shared" si="141"/>
        <v>60</v>
      </c>
      <c r="B66" s="824" t="s">
        <v>149</v>
      </c>
      <c r="C66" s="855">
        <f t="shared" si="196"/>
        <v>9</v>
      </c>
      <c r="D66" s="856" t="s">
        <v>502</v>
      </c>
      <c r="E66" s="857" t="str">
        <f t="shared" si="23"/>
        <v>5th Floor</v>
      </c>
      <c r="F66" s="1185"/>
      <c r="G66" s="764" t="s">
        <v>221</v>
      </c>
      <c r="H66" s="764" t="s">
        <v>512</v>
      </c>
      <c r="I66" s="764" t="s">
        <v>476</v>
      </c>
      <c r="J66" s="1139">
        <v>22</v>
      </c>
      <c r="K66" s="1142"/>
      <c r="L66" s="764" t="s">
        <v>500</v>
      </c>
      <c r="M66" s="764" t="s">
        <v>93</v>
      </c>
      <c r="N66" s="856">
        <f t="shared" si="24"/>
        <v>100909.09090909091</v>
      </c>
      <c r="O66" s="1138">
        <f t="shared" si="136"/>
        <v>2220000</v>
      </c>
      <c r="P66" s="1138">
        <f t="shared" si="142"/>
        <v>22400</v>
      </c>
      <c r="Q66" s="1138">
        <f t="shared" si="8"/>
        <v>50000</v>
      </c>
      <c r="R66" s="1138"/>
      <c r="S66" s="1138"/>
      <c r="T66" s="1138"/>
      <c r="U66" s="1138"/>
      <c r="V66" s="858"/>
      <c r="W66" s="1138"/>
      <c r="X66" s="1138"/>
      <c r="Y66" s="1138">
        <f t="shared" si="198"/>
        <v>20000</v>
      </c>
      <c r="Z66" s="1138">
        <f t="shared" si="137"/>
        <v>75000</v>
      </c>
      <c r="AA66" s="1138">
        <f t="shared" si="138"/>
        <v>167400</v>
      </c>
      <c r="AB66" s="1138">
        <f t="shared" si="28"/>
        <v>2387400</v>
      </c>
      <c r="AC66" s="1138">
        <f t="shared" si="29"/>
        <v>59685</v>
      </c>
      <c r="AD66" s="1138">
        <f t="shared" si="30"/>
        <v>2447085</v>
      </c>
      <c r="AE66" s="1138">
        <f t="shared" si="31"/>
        <v>61177.125</v>
      </c>
      <c r="AF66" s="1138">
        <f t="shared" si="32"/>
        <v>2508262.125</v>
      </c>
      <c r="AG66" s="1138">
        <f t="shared" si="33"/>
        <v>62706.553125000006</v>
      </c>
      <c r="AH66" s="1138">
        <f t="shared" si="34"/>
        <v>2570968.6781250001</v>
      </c>
      <c r="AI66" s="1138">
        <f t="shared" si="144"/>
        <v>128548.43390625001</v>
      </c>
      <c r="AJ66" s="1138">
        <f t="shared" si="35"/>
        <v>2699517.1120312503</v>
      </c>
      <c r="AK66" s="1138">
        <f t="shared" si="36"/>
        <v>26995.171120312501</v>
      </c>
      <c r="AL66" s="1138">
        <f t="shared" si="37"/>
        <v>27537.409960060559</v>
      </c>
      <c r="AM66" s="1138"/>
      <c r="AN66" s="1138"/>
      <c r="AO66" s="1138">
        <f t="shared" si="38"/>
        <v>2754049.6931116232</v>
      </c>
      <c r="AP66" s="1138">
        <f t="shared" si="39"/>
        <v>371796.70857006917</v>
      </c>
      <c r="AQ66" s="1248">
        <f t="shared" si="40"/>
        <v>3125846.4016816923</v>
      </c>
      <c r="AR66" s="1248">
        <f t="shared" ref="AR66:AR74" si="202">AQ66</f>
        <v>3125846.4016816923</v>
      </c>
      <c r="AS66" s="1248"/>
      <c r="AT66" s="1248"/>
      <c r="AU66" s="1248">
        <f t="shared" si="42"/>
        <v>0</v>
      </c>
      <c r="AV66" s="1140">
        <f t="shared" si="43"/>
        <v>0</v>
      </c>
      <c r="AW66" s="1140">
        <f t="shared" si="44"/>
        <v>3125846.4016816923</v>
      </c>
      <c r="AX66" s="1139">
        <f t="shared" si="45"/>
        <v>39073.080021021153</v>
      </c>
      <c r="AY66" s="831" t="s">
        <v>478</v>
      </c>
      <c r="AZ66" s="831">
        <f t="shared" si="46"/>
        <v>3164919.4817027133</v>
      </c>
      <c r="BA66" s="831">
        <f t="shared" si="47"/>
        <v>118684.48056385174</v>
      </c>
      <c r="BB66" s="831"/>
      <c r="BC66" s="831">
        <f t="shared" si="189"/>
        <v>33600</v>
      </c>
      <c r="BD66" s="831"/>
      <c r="BE66" s="831">
        <f t="shared" si="48"/>
        <v>3317203.9622665648</v>
      </c>
      <c r="BF66" s="831"/>
      <c r="BG66" s="831">
        <f t="shared" si="49"/>
        <v>3317203.9622665648</v>
      </c>
      <c r="BH66" s="831"/>
      <c r="BI66" s="831">
        <f t="shared" si="50"/>
        <v>3317203.9622665648</v>
      </c>
      <c r="BJ66" s="831"/>
      <c r="BK66" s="831">
        <f t="shared" si="51"/>
        <v>3317203.9622665648</v>
      </c>
      <c r="BL66" s="831"/>
      <c r="BM66" s="831">
        <f t="shared" si="52"/>
        <v>3317203.9622665648</v>
      </c>
      <c r="BN66" s="831"/>
      <c r="BO66" s="831">
        <f t="shared" si="53"/>
        <v>3317203.9622665648</v>
      </c>
      <c r="BP66" s="831"/>
      <c r="BQ66" s="831">
        <f t="shared" si="54"/>
        <v>3317203.9622665648</v>
      </c>
      <c r="BR66" s="831"/>
      <c r="BS66" s="831">
        <f t="shared" si="55"/>
        <v>3317203.9622665648</v>
      </c>
      <c r="BT66" s="831"/>
      <c r="BU66" s="831">
        <f t="shared" si="56"/>
        <v>3317203.9622665648</v>
      </c>
      <c r="BV66" s="831"/>
      <c r="BW66" s="831">
        <f t="shared" si="57"/>
        <v>56400</v>
      </c>
      <c r="BX66" s="831">
        <f t="shared" si="58"/>
        <v>3373603.9622665648</v>
      </c>
      <c r="BY66" s="831"/>
      <c r="BZ66" s="831">
        <f t="shared" si="59"/>
        <v>3373603.9622665648</v>
      </c>
      <c r="CA66" s="1260">
        <f t="shared" si="60"/>
        <v>3373603.9622665648</v>
      </c>
      <c r="CB66" s="1260">
        <f t="shared" si="61"/>
        <v>3373603.9622665648</v>
      </c>
      <c r="CC66" s="1260"/>
      <c r="CD66" s="1260">
        <f t="shared" si="62"/>
        <v>0</v>
      </c>
      <c r="CE66" s="1260">
        <f t="shared" si="63"/>
        <v>0</v>
      </c>
      <c r="CF66" s="1260">
        <f t="shared" si="64"/>
        <v>0</v>
      </c>
      <c r="CG66" s="1266">
        <f t="shared" si="65"/>
        <v>3373603.9622665648</v>
      </c>
      <c r="CH66" s="1141">
        <f t="shared" si="66"/>
        <v>3373603.9622665648</v>
      </c>
      <c r="CI66" s="1142">
        <f t="shared" si="67"/>
        <v>0</v>
      </c>
      <c r="CJ66" s="1141">
        <f t="shared" si="68"/>
        <v>345794.40613232285</v>
      </c>
      <c r="CK66" s="1141">
        <f t="shared" si="69"/>
        <v>118076.13867932979</v>
      </c>
      <c r="CL66" s="1143">
        <f t="shared" si="139"/>
        <v>3837474.5070782173</v>
      </c>
      <c r="CM66" s="1144">
        <f t="shared" si="71"/>
        <v>0.125</v>
      </c>
      <c r="CN66" s="1141">
        <f t="shared" si="72"/>
        <v>479684.31338477717</v>
      </c>
      <c r="CO66" s="1141">
        <f t="shared" si="73"/>
        <v>30000</v>
      </c>
      <c r="CP66" s="1141">
        <f t="shared" si="74"/>
        <v>449684.31338477717</v>
      </c>
      <c r="CQ66" s="1145">
        <f t="shared" si="75"/>
        <v>13</v>
      </c>
      <c r="CR66" s="1141">
        <f t="shared" si="76"/>
        <v>34591.101029598241</v>
      </c>
      <c r="CS66" s="1144">
        <f t="shared" si="77"/>
        <v>0.875</v>
      </c>
      <c r="CT66" s="1141">
        <f t="shared" si="78"/>
        <v>3357790.1936934404</v>
      </c>
      <c r="CU66" s="1146">
        <f t="shared" si="12"/>
        <v>26032.91163202019</v>
      </c>
      <c r="CV66" s="1146">
        <f t="shared" si="13"/>
        <v>30180.767536827112</v>
      </c>
      <c r="CW66" s="1146">
        <f t="shared" si="14"/>
        <v>38986.791292495443</v>
      </c>
      <c r="CX66" s="1146">
        <f t="shared" si="15"/>
        <v>66488.270282162528</v>
      </c>
      <c r="CY66" s="1146">
        <f t="shared" si="79"/>
        <v>272763.97021781723</v>
      </c>
      <c r="CZ66" s="1146">
        <f t="shared" si="80"/>
        <v>107931.37430560609</v>
      </c>
      <c r="DA66" s="1146">
        <f t="shared" si="81"/>
        <v>77957.303007881361</v>
      </c>
      <c r="DB66" s="1146">
        <f t="shared" si="82"/>
        <v>59329.096557865647</v>
      </c>
      <c r="DC66" s="1146"/>
      <c r="DD66" s="1146"/>
      <c r="DE66" s="1146"/>
      <c r="DF66" s="1146"/>
      <c r="DG66" s="1146"/>
      <c r="DH66" s="1146"/>
      <c r="DI66" s="1146"/>
      <c r="DJ66" s="1146"/>
      <c r="DK66" s="1146"/>
      <c r="DL66" s="1146"/>
      <c r="DM66" s="1146"/>
      <c r="DN66" s="1146"/>
      <c r="DO66" s="1146"/>
      <c r="DP66" s="1146"/>
      <c r="DQ66" s="1146"/>
      <c r="DR66" s="1146"/>
      <c r="DS66" s="1146"/>
      <c r="DT66" s="1146"/>
      <c r="DU66" s="1146"/>
      <c r="DV66" s="1146"/>
      <c r="DW66" s="1146"/>
      <c r="DX66" s="1146"/>
      <c r="DY66" s="1146"/>
      <c r="DZ66" s="1146"/>
      <c r="EA66" s="1147">
        <f t="shared" si="83"/>
        <v>0</v>
      </c>
      <c r="EB66" s="1148">
        <f t="shared" si="84"/>
        <v>0</v>
      </c>
      <c r="EC66" s="1190">
        <f t="shared" si="132"/>
        <v>45839</v>
      </c>
      <c r="ED66" s="1031">
        <f t="shared" si="16"/>
        <v>20</v>
      </c>
      <c r="EE66" s="1191"/>
      <c r="EF66" s="1032">
        <f t="shared" si="17"/>
        <v>45904</v>
      </c>
      <c r="EG66" s="1029">
        <f t="shared" si="85"/>
        <v>22</v>
      </c>
      <c r="EH66" s="859" t="s">
        <v>490</v>
      </c>
      <c r="EI66" s="859" t="s">
        <v>480</v>
      </c>
      <c r="EJ66" s="860">
        <f t="shared" si="18"/>
        <v>0</v>
      </c>
      <c r="EK66" s="860">
        <f t="shared" si="19"/>
        <v>0</v>
      </c>
      <c r="EL66" s="861">
        <f t="shared" si="20"/>
        <v>0</v>
      </c>
      <c r="EM66" s="1197"/>
      <c r="EN66" s="860"/>
      <c r="EO66" s="860"/>
      <c r="EP66" s="860">
        <f t="shared" si="21"/>
        <v>0</v>
      </c>
      <c r="EQ66" s="1197"/>
      <c r="ER66" s="1200"/>
      <c r="ES66" s="1197"/>
      <c r="ET66" s="1194" t="s">
        <v>221</v>
      </c>
      <c r="EU66" s="1197" t="b">
        <f t="shared" si="22"/>
        <v>1</v>
      </c>
      <c r="EV66" s="1197" t="s">
        <v>574</v>
      </c>
      <c r="EW66" s="1197" t="s">
        <v>482</v>
      </c>
      <c r="EX66" s="1197"/>
      <c r="EY66" s="1128" t="s">
        <v>483</v>
      </c>
      <c r="EZ66" s="1128" t="s">
        <v>484</v>
      </c>
      <c r="FA66" s="1169">
        <f t="shared" si="86"/>
        <v>0</v>
      </c>
      <c r="FI66" s="1309" t="s">
        <v>149</v>
      </c>
      <c r="FJ66" s="1159" t="s">
        <v>149</v>
      </c>
      <c r="FK66" s="1160" t="b">
        <f t="shared" si="87"/>
        <v>1</v>
      </c>
      <c r="FL66" s="1131"/>
      <c r="FM66" s="1161"/>
      <c r="FO66" s="888"/>
      <c r="FP66" s="1169"/>
      <c r="FQ66" s="1203"/>
      <c r="FU66" s="1295"/>
      <c r="FV66" s="1295"/>
      <c r="FW66" s="1023">
        <v>0.125</v>
      </c>
      <c r="FX66" s="1162">
        <v>11693.99224417181</v>
      </c>
      <c r="FY66" s="1163">
        <v>12059.429501802178</v>
      </c>
      <c r="GA66" s="1164">
        <f t="shared" si="89"/>
        <v>3837474.5070782173</v>
      </c>
      <c r="GB66" s="1165">
        <f t="shared" si="90"/>
        <v>0.15</v>
      </c>
      <c r="GC66" s="1154">
        <f t="shared" si="91"/>
        <v>575621.17606173258</v>
      </c>
      <c r="GD66" s="1164">
        <f t="shared" si="92"/>
        <v>30000</v>
      </c>
      <c r="GE66" s="1154">
        <f t="shared" si="93"/>
        <v>545621.17606173258</v>
      </c>
      <c r="GF66" s="1060">
        <f t="shared" si="94"/>
        <v>35</v>
      </c>
      <c r="GG66" s="1166">
        <f t="shared" si="95"/>
        <v>15589.176458906644</v>
      </c>
      <c r="GI66" s="1164">
        <f t="shared" si="96"/>
        <v>3837474.5070782173</v>
      </c>
      <c r="GJ66" s="1154">
        <f t="shared" si="97"/>
        <v>383747.45070782176</v>
      </c>
      <c r="GK66" s="1154">
        <f t="shared" si="98"/>
        <v>95936.862676955439</v>
      </c>
      <c r="GL66" s="1166">
        <v>15000</v>
      </c>
      <c r="GM66" s="1154">
        <f t="shared" si="99"/>
        <v>368747.45070782176</v>
      </c>
      <c r="GN66" s="1060">
        <f t="shared" si="100"/>
        <v>35</v>
      </c>
      <c r="GO66" s="1154">
        <f t="shared" si="101"/>
        <v>10535.641448794908</v>
      </c>
      <c r="GS66" s="1010">
        <f t="shared" si="102"/>
        <v>3837474.5070782173</v>
      </c>
      <c r="GT66" s="1011">
        <f t="shared" si="103"/>
        <v>0.125</v>
      </c>
      <c r="GU66" s="1010">
        <f t="shared" si="104"/>
        <v>479684.31338477717</v>
      </c>
      <c r="GV66" s="1010">
        <f t="shared" si="105"/>
        <v>30000</v>
      </c>
      <c r="GW66" s="1010">
        <f t="shared" si="106"/>
        <v>449684.31338477717</v>
      </c>
      <c r="GX66" s="1010">
        <f t="shared" si="107"/>
        <v>13</v>
      </c>
      <c r="GY66" s="1010">
        <f t="shared" si="108"/>
        <v>34591.101029598241</v>
      </c>
      <c r="GZ66" s="1011">
        <f t="shared" si="109"/>
        <v>0.875</v>
      </c>
      <c r="HA66" s="1010">
        <f t="shared" si="110"/>
        <v>3357790.1936934404</v>
      </c>
      <c r="HB66" s="1010">
        <f t="shared" si="111"/>
        <v>26032.91163202019</v>
      </c>
      <c r="HC66" s="1010">
        <f t="shared" si="112"/>
        <v>30180.767536827112</v>
      </c>
      <c r="HD66" s="1010">
        <f t="shared" si="113"/>
        <v>38986.791292495443</v>
      </c>
      <c r="HE66" s="1010">
        <f t="shared" si="114"/>
        <v>66488.270282162528</v>
      </c>
      <c r="HG66" s="1010">
        <f t="shared" si="115"/>
        <v>3837474.5070782173</v>
      </c>
      <c r="HH66" s="1011">
        <f t="shared" si="116"/>
        <v>0.125</v>
      </c>
      <c r="HI66" s="1010">
        <f t="shared" si="117"/>
        <v>479684.31338477717</v>
      </c>
      <c r="HJ66" s="1010">
        <f t="shared" si="118"/>
        <v>30000</v>
      </c>
      <c r="HK66" s="1010">
        <f t="shared" si="119"/>
        <v>449684.31338477717</v>
      </c>
      <c r="HL66" s="1012">
        <f t="shared" si="120"/>
        <v>33</v>
      </c>
      <c r="HM66" s="1167">
        <f t="shared" si="121"/>
        <v>13626.797375296277</v>
      </c>
      <c r="HN66" s="1168">
        <f t="shared" si="122"/>
        <v>0.875</v>
      </c>
      <c r="HO66" s="1167">
        <f t="shared" si="123"/>
        <v>3357790.1936934404</v>
      </c>
      <c r="HP66" s="1146">
        <f t="shared" si="124"/>
        <v>26032.91163202019</v>
      </c>
      <c r="HQ66" s="1146">
        <f t="shared" si="125"/>
        <v>30180.767536827112</v>
      </c>
      <c r="HR66" s="1146">
        <f t="shared" si="126"/>
        <v>38986.791292495443</v>
      </c>
      <c r="HS66" s="1146">
        <f t="shared" si="127"/>
        <v>66488.270282162528</v>
      </c>
      <c r="HU66" s="1167">
        <f t="shared" si="128"/>
        <v>-20964.303654301963</v>
      </c>
      <c r="HX66" s="1154"/>
      <c r="HY66" s="1154"/>
      <c r="IB66" s="1154"/>
      <c r="IC66" s="1154"/>
      <c r="ID66" s="1154"/>
      <c r="IE66" s="1154"/>
      <c r="IG66" s="1060"/>
    </row>
    <row r="67" spans="1:241" ht="14.25" hidden="1" customHeight="1">
      <c r="A67" s="1186">
        <f t="shared" si="141"/>
        <v>61</v>
      </c>
      <c r="B67" s="824" t="s">
        <v>149</v>
      </c>
      <c r="C67" s="855">
        <f t="shared" si="196"/>
        <v>10</v>
      </c>
      <c r="D67" s="856" t="s">
        <v>502</v>
      </c>
      <c r="E67" s="857" t="str">
        <f t="shared" si="23"/>
        <v>5th Floor</v>
      </c>
      <c r="F67" s="1185"/>
      <c r="G67" s="764" t="s">
        <v>222</v>
      </c>
      <c r="H67" s="764" t="s">
        <v>516</v>
      </c>
      <c r="I67" s="764" t="s">
        <v>476</v>
      </c>
      <c r="J67" s="1139">
        <v>22</v>
      </c>
      <c r="K67" s="1142"/>
      <c r="L67" s="764" t="s">
        <v>500</v>
      </c>
      <c r="M67" s="764" t="s">
        <v>93</v>
      </c>
      <c r="N67" s="856">
        <f t="shared" si="24"/>
        <v>100909.09090909091</v>
      </c>
      <c r="O67" s="1138">
        <f t="shared" si="136"/>
        <v>2220000</v>
      </c>
      <c r="P67" s="1138">
        <f t="shared" si="142"/>
        <v>22400</v>
      </c>
      <c r="Q67" s="1138">
        <f t="shared" si="8"/>
        <v>50000</v>
      </c>
      <c r="R67" s="1138"/>
      <c r="S67" s="1138"/>
      <c r="T67" s="1138"/>
      <c r="U67" s="1138"/>
      <c r="V67" s="1138"/>
      <c r="W67" s="858"/>
      <c r="X67" s="1138"/>
      <c r="Y67" s="1138">
        <f t="shared" si="198"/>
        <v>20000</v>
      </c>
      <c r="Z67" s="1138">
        <f t="shared" si="137"/>
        <v>75000</v>
      </c>
      <c r="AA67" s="1138">
        <f t="shared" si="138"/>
        <v>167400</v>
      </c>
      <c r="AB67" s="1138">
        <f t="shared" si="28"/>
        <v>2387400</v>
      </c>
      <c r="AC67" s="1138">
        <f t="shared" si="29"/>
        <v>59685</v>
      </c>
      <c r="AD67" s="1138">
        <f t="shared" si="30"/>
        <v>2447085</v>
      </c>
      <c r="AE67" s="1138">
        <f t="shared" si="31"/>
        <v>61177.125</v>
      </c>
      <c r="AF67" s="1138">
        <f t="shared" si="32"/>
        <v>2508262.125</v>
      </c>
      <c r="AG67" s="1138">
        <f t="shared" si="33"/>
        <v>62706.553125000006</v>
      </c>
      <c r="AH67" s="1138">
        <f t="shared" si="34"/>
        <v>2570968.6781250001</v>
      </c>
      <c r="AI67" s="1138">
        <f t="shared" si="144"/>
        <v>128548.43390625001</v>
      </c>
      <c r="AJ67" s="1138">
        <f t="shared" si="35"/>
        <v>2699517.1120312503</v>
      </c>
      <c r="AK67" s="1138">
        <f t="shared" si="36"/>
        <v>26995.171120312501</v>
      </c>
      <c r="AL67" s="1138">
        <f t="shared" si="37"/>
        <v>27537.409960060559</v>
      </c>
      <c r="AM67" s="1138"/>
      <c r="AN67" s="1138"/>
      <c r="AO67" s="1138">
        <f t="shared" si="38"/>
        <v>2754049.6931116232</v>
      </c>
      <c r="AP67" s="1138">
        <f t="shared" si="39"/>
        <v>371796.70857006917</v>
      </c>
      <c r="AQ67" s="1248">
        <f t="shared" si="40"/>
        <v>3125846.4016816923</v>
      </c>
      <c r="AR67" s="1248">
        <f t="shared" si="202"/>
        <v>3125846.4016816923</v>
      </c>
      <c r="AS67" s="1248"/>
      <c r="AT67" s="1248"/>
      <c r="AU67" s="1248">
        <f t="shared" si="42"/>
        <v>0</v>
      </c>
      <c r="AV67" s="1140">
        <f t="shared" si="43"/>
        <v>0</v>
      </c>
      <c r="AW67" s="1140">
        <f t="shared" si="44"/>
        <v>3125846.4016816923</v>
      </c>
      <c r="AX67" s="1139">
        <f t="shared" si="45"/>
        <v>39073.080021021153</v>
      </c>
      <c r="AY67" s="831" t="s">
        <v>478</v>
      </c>
      <c r="AZ67" s="831">
        <f t="shared" si="46"/>
        <v>3164919.4817027133</v>
      </c>
      <c r="BA67" s="831">
        <f t="shared" si="47"/>
        <v>118684.48056385174</v>
      </c>
      <c r="BB67" s="831"/>
      <c r="BC67" s="831">
        <f t="shared" si="189"/>
        <v>33600</v>
      </c>
      <c r="BD67" s="831"/>
      <c r="BE67" s="831">
        <f t="shared" si="48"/>
        <v>3317203.9622665648</v>
      </c>
      <c r="BF67" s="831"/>
      <c r="BG67" s="831">
        <f t="shared" si="49"/>
        <v>3317203.9622665648</v>
      </c>
      <c r="BH67" s="831"/>
      <c r="BI67" s="831">
        <f t="shared" si="50"/>
        <v>3317203.9622665648</v>
      </c>
      <c r="BJ67" s="831"/>
      <c r="BK67" s="831">
        <f t="shared" si="51"/>
        <v>3317203.9622665648</v>
      </c>
      <c r="BL67" s="831"/>
      <c r="BM67" s="831">
        <f t="shared" si="52"/>
        <v>3317203.9622665648</v>
      </c>
      <c r="BN67" s="831"/>
      <c r="BO67" s="831">
        <f t="shared" si="53"/>
        <v>3317203.9622665648</v>
      </c>
      <c r="BP67" s="831"/>
      <c r="BQ67" s="831">
        <f t="shared" si="54"/>
        <v>3317203.9622665648</v>
      </c>
      <c r="BR67" s="831"/>
      <c r="BS67" s="831">
        <f t="shared" si="55"/>
        <v>3317203.9622665648</v>
      </c>
      <c r="BT67" s="831"/>
      <c r="BU67" s="831">
        <f t="shared" si="56"/>
        <v>3317203.9622665648</v>
      </c>
      <c r="BV67" s="831"/>
      <c r="BW67" s="831">
        <f t="shared" si="57"/>
        <v>56400</v>
      </c>
      <c r="BX67" s="831">
        <f t="shared" si="58"/>
        <v>3373603.9622665648</v>
      </c>
      <c r="BY67" s="831"/>
      <c r="BZ67" s="831">
        <f t="shared" si="59"/>
        <v>3373603.9622665648</v>
      </c>
      <c r="CA67" s="1260">
        <f t="shared" si="60"/>
        <v>3373603.9622665648</v>
      </c>
      <c r="CB67" s="1260">
        <f t="shared" si="61"/>
        <v>3373603.9622665648</v>
      </c>
      <c r="CC67" s="1260"/>
      <c r="CD67" s="1260">
        <f t="shared" si="62"/>
        <v>0</v>
      </c>
      <c r="CE67" s="1260">
        <f t="shared" si="63"/>
        <v>0</v>
      </c>
      <c r="CF67" s="1260">
        <f t="shared" si="64"/>
        <v>0</v>
      </c>
      <c r="CG67" s="1266">
        <f t="shared" si="65"/>
        <v>3373603.9622665648</v>
      </c>
      <c r="CH67" s="1141">
        <f t="shared" si="66"/>
        <v>3373603.9622665648</v>
      </c>
      <c r="CI67" s="1142">
        <f t="shared" si="67"/>
        <v>0</v>
      </c>
      <c r="CJ67" s="1141">
        <f t="shared" si="68"/>
        <v>345794.40613232285</v>
      </c>
      <c r="CK67" s="1141">
        <f t="shared" si="69"/>
        <v>118076.13867932979</v>
      </c>
      <c r="CL67" s="1143">
        <f t="shared" si="139"/>
        <v>3837474.5070782173</v>
      </c>
      <c r="CM67" s="1144">
        <f t="shared" si="71"/>
        <v>0.125</v>
      </c>
      <c r="CN67" s="1141">
        <f t="shared" si="72"/>
        <v>479684.31338477717</v>
      </c>
      <c r="CO67" s="1141">
        <f t="shared" si="73"/>
        <v>30000</v>
      </c>
      <c r="CP67" s="1141">
        <f t="shared" si="74"/>
        <v>449684.31338477717</v>
      </c>
      <c r="CQ67" s="1145">
        <f t="shared" si="75"/>
        <v>13</v>
      </c>
      <c r="CR67" s="1141">
        <f t="shared" si="76"/>
        <v>34591.101029598241</v>
      </c>
      <c r="CS67" s="1144">
        <f t="shared" si="77"/>
        <v>0.875</v>
      </c>
      <c r="CT67" s="1141">
        <f t="shared" si="78"/>
        <v>3357790.1936934404</v>
      </c>
      <c r="CU67" s="1146">
        <f t="shared" si="12"/>
        <v>26032.91163202019</v>
      </c>
      <c r="CV67" s="1146">
        <f t="shared" si="13"/>
        <v>30180.767536827112</v>
      </c>
      <c r="CW67" s="1146">
        <f t="shared" si="14"/>
        <v>38986.791292495443</v>
      </c>
      <c r="CX67" s="1146">
        <f t="shared" si="15"/>
        <v>66488.270282162528</v>
      </c>
      <c r="CY67" s="1146">
        <f t="shared" si="79"/>
        <v>272763.97021781723</v>
      </c>
      <c r="CZ67" s="1146">
        <f t="shared" si="80"/>
        <v>107931.37430560609</v>
      </c>
      <c r="DA67" s="1146">
        <f t="shared" si="81"/>
        <v>77957.303007881361</v>
      </c>
      <c r="DB67" s="1146">
        <f t="shared" si="82"/>
        <v>59329.096557865647</v>
      </c>
      <c r="DC67" s="1146"/>
      <c r="DD67" s="1146"/>
      <c r="DE67" s="1146"/>
      <c r="DF67" s="1146"/>
      <c r="DG67" s="1146"/>
      <c r="DH67" s="1146"/>
      <c r="DI67" s="1146"/>
      <c r="DJ67" s="1146"/>
      <c r="DK67" s="1146"/>
      <c r="DL67" s="1146"/>
      <c r="DM67" s="1146"/>
      <c r="DN67" s="1146"/>
      <c r="DO67" s="1146"/>
      <c r="DP67" s="1146"/>
      <c r="DQ67" s="1146"/>
      <c r="DR67" s="1146"/>
      <c r="DS67" s="1146"/>
      <c r="DT67" s="1146"/>
      <c r="DU67" s="1146"/>
      <c r="DV67" s="1146"/>
      <c r="DW67" s="1146"/>
      <c r="DX67" s="1146"/>
      <c r="DY67" s="1146"/>
      <c r="DZ67" s="1146"/>
      <c r="EA67" s="1147">
        <f t="shared" si="83"/>
        <v>0</v>
      </c>
      <c r="EB67" s="1148">
        <f t="shared" si="84"/>
        <v>0</v>
      </c>
      <c r="EC67" s="1190">
        <f t="shared" si="132"/>
        <v>45839</v>
      </c>
      <c r="ED67" s="1031">
        <f t="shared" si="16"/>
        <v>20</v>
      </c>
      <c r="EE67" s="1191"/>
      <c r="EF67" s="1032">
        <f t="shared" si="17"/>
        <v>45904</v>
      </c>
      <c r="EG67" s="1029">
        <f t="shared" si="85"/>
        <v>22</v>
      </c>
      <c r="EH67" s="859" t="s">
        <v>490</v>
      </c>
      <c r="EI67" s="859" t="s">
        <v>480</v>
      </c>
      <c r="EJ67" s="860">
        <f t="shared" si="18"/>
        <v>0</v>
      </c>
      <c r="EK67" s="860">
        <f t="shared" si="19"/>
        <v>0</v>
      </c>
      <c r="EL67" s="861">
        <f t="shared" si="20"/>
        <v>0</v>
      </c>
      <c r="EM67" s="1197"/>
      <c r="EN67" s="860"/>
      <c r="EO67" s="860"/>
      <c r="EP67" s="860">
        <f t="shared" si="21"/>
        <v>0</v>
      </c>
      <c r="EQ67" s="1197"/>
      <c r="ER67" s="1200"/>
      <c r="ES67" s="1197"/>
      <c r="ET67" s="1194" t="s">
        <v>222</v>
      </c>
      <c r="EU67" s="1197" t="b">
        <f t="shared" si="22"/>
        <v>1</v>
      </c>
      <c r="EV67" s="1197" t="s">
        <v>575</v>
      </c>
      <c r="EW67" s="1197" t="s">
        <v>482</v>
      </c>
      <c r="EX67" s="1197"/>
      <c r="EY67" s="1128" t="s">
        <v>483</v>
      </c>
      <c r="EZ67" s="1128" t="s">
        <v>484</v>
      </c>
      <c r="FA67" s="1169">
        <f t="shared" si="86"/>
        <v>0</v>
      </c>
      <c r="FI67" s="1309" t="s">
        <v>149</v>
      </c>
      <c r="FJ67" s="1159" t="s">
        <v>149</v>
      </c>
      <c r="FK67" s="1160" t="b">
        <f t="shared" si="87"/>
        <v>1</v>
      </c>
      <c r="FL67" s="1131"/>
      <c r="FM67" s="1161"/>
      <c r="FO67" s="1060"/>
      <c r="FP67" s="1169"/>
      <c r="FQ67" s="1203"/>
      <c r="FU67" s="1295"/>
      <c r="FV67" s="1295"/>
      <c r="FW67" s="1023">
        <v>0.15</v>
      </c>
      <c r="FX67" s="1162">
        <v>14123.699783915263</v>
      </c>
      <c r="FY67" s="1163">
        <v>14565.065402162614</v>
      </c>
      <c r="GA67" s="1164">
        <f t="shared" si="89"/>
        <v>3837474.5070782173</v>
      </c>
      <c r="GB67" s="1165">
        <f t="shared" si="90"/>
        <v>0.15</v>
      </c>
      <c r="GC67" s="1154">
        <f t="shared" si="91"/>
        <v>575621.17606173258</v>
      </c>
      <c r="GD67" s="1164">
        <f t="shared" si="92"/>
        <v>30000</v>
      </c>
      <c r="GE67" s="1154">
        <f t="shared" si="93"/>
        <v>545621.17606173258</v>
      </c>
      <c r="GF67" s="1060">
        <f t="shared" si="94"/>
        <v>35</v>
      </c>
      <c r="GG67" s="1166">
        <f t="shared" si="95"/>
        <v>15589.176458906644</v>
      </c>
      <c r="GI67" s="1164">
        <f t="shared" si="96"/>
        <v>3837474.5070782173</v>
      </c>
      <c r="GJ67" s="1154">
        <f t="shared" si="97"/>
        <v>383747.45070782176</v>
      </c>
      <c r="GK67" s="1154">
        <f t="shared" si="98"/>
        <v>95936.862676955439</v>
      </c>
      <c r="GL67" s="1166">
        <v>15000</v>
      </c>
      <c r="GM67" s="1154">
        <f t="shared" si="99"/>
        <v>368747.45070782176</v>
      </c>
      <c r="GN67" s="1060">
        <f t="shared" si="100"/>
        <v>35</v>
      </c>
      <c r="GO67" s="1154">
        <f t="shared" si="101"/>
        <v>10535.641448794908</v>
      </c>
      <c r="GS67" s="1010">
        <f t="shared" si="102"/>
        <v>3837474.5070782173</v>
      </c>
      <c r="GT67" s="1011">
        <f t="shared" si="103"/>
        <v>0.125</v>
      </c>
      <c r="GU67" s="1010">
        <f t="shared" si="104"/>
        <v>479684.31338477717</v>
      </c>
      <c r="GV67" s="1010">
        <f t="shared" si="105"/>
        <v>30000</v>
      </c>
      <c r="GW67" s="1010">
        <f t="shared" si="106"/>
        <v>449684.31338477717</v>
      </c>
      <c r="GX67" s="1010">
        <f t="shared" si="107"/>
        <v>13</v>
      </c>
      <c r="GY67" s="1010">
        <f t="shared" si="108"/>
        <v>34591.101029598241</v>
      </c>
      <c r="GZ67" s="1011">
        <f t="shared" si="109"/>
        <v>0.875</v>
      </c>
      <c r="HA67" s="1010">
        <f t="shared" si="110"/>
        <v>3357790.1936934404</v>
      </c>
      <c r="HB67" s="1010">
        <f t="shared" si="111"/>
        <v>26032.91163202019</v>
      </c>
      <c r="HC67" s="1010">
        <f t="shared" si="112"/>
        <v>30180.767536827112</v>
      </c>
      <c r="HD67" s="1010">
        <f t="shared" si="113"/>
        <v>38986.791292495443</v>
      </c>
      <c r="HE67" s="1010">
        <f t="shared" si="114"/>
        <v>66488.270282162528</v>
      </c>
      <c r="HG67" s="1010">
        <f t="shared" si="115"/>
        <v>3837474.5070782173</v>
      </c>
      <c r="HH67" s="1011">
        <f t="shared" si="116"/>
        <v>0.125</v>
      </c>
      <c r="HI67" s="1010">
        <f t="shared" si="117"/>
        <v>479684.31338477717</v>
      </c>
      <c r="HJ67" s="1010">
        <f t="shared" si="118"/>
        <v>30000</v>
      </c>
      <c r="HK67" s="1010">
        <f t="shared" si="119"/>
        <v>449684.31338477717</v>
      </c>
      <c r="HL67" s="1012">
        <f t="shared" si="120"/>
        <v>33</v>
      </c>
      <c r="HM67" s="1167">
        <f t="shared" si="121"/>
        <v>13626.797375296277</v>
      </c>
      <c r="HN67" s="1168">
        <f t="shared" si="122"/>
        <v>0.875</v>
      </c>
      <c r="HO67" s="1167">
        <f t="shared" si="123"/>
        <v>3357790.1936934404</v>
      </c>
      <c r="HP67" s="1146">
        <f t="shared" si="124"/>
        <v>26032.91163202019</v>
      </c>
      <c r="HQ67" s="1146">
        <f t="shared" si="125"/>
        <v>30180.767536827112</v>
      </c>
      <c r="HR67" s="1146">
        <f t="shared" si="126"/>
        <v>38986.791292495443</v>
      </c>
      <c r="HS67" s="1146">
        <f t="shared" si="127"/>
        <v>66488.270282162528</v>
      </c>
      <c r="HU67" s="1167">
        <f t="shared" si="128"/>
        <v>-20964.303654301963</v>
      </c>
      <c r="HX67" s="1154"/>
      <c r="HY67" s="1154"/>
      <c r="IB67" s="1154"/>
      <c r="IC67" s="1154"/>
      <c r="ID67" s="1154"/>
      <c r="IE67" s="1154"/>
      <c r="IG67" s="1060"/>
    </row>
    <row r="68" spans="1:241" ht="14.25" hidden="1" customHeight="1">
      <c r="A68" s="1186">
        <f t="shared" si="141"/>
        <v>62</v>
      </c>
      <c r="B68" s="824" t="s">
        <v>149</v>
      </c>
      <c r="C68" s="855">
        <f t="shared" si="196"/>
        <v>11</v>
      </c>
      <c r="D68" s="856" t="s">
        <v>502</v>
      </c>
      <c r="E68" s="857" t="str">
        <f t="shared" si="23"/>
        <v>5th Floor</v>
      </c>
      <c r="F68" s="1185"/>
      <c r="G68" s="764" t="s">
        <v>223</v>
      </c>
      <c r="H68" s="764" t="s">
        <v>517</v>
      </c>
      <c r="I68" s="764" t="s">
        <v>476</v>
      </c>
      <c r="J68" s="1139">
        <v>22</v>
      </c>
      <c r="K68" s="1142"/>
      <c r="L68" s="764" t="s">
        <v>500</v>
      </c>
      <c r="M68" s="764" t="s">
        <v>93</v>
      </c>
      <c r="N68" s="856">
        <f t="shared" si="24"/>
        <v>100909.09090909091</v>
      </c>
      <c r="O68" s="1138">
        <f t="shared" si="136"/>
        <v>2220000</v>
      </c>
      <c r="P68" s="1138">
        <f t="shared" si="142"/>
        <v>22400</v>
      </c>
      <c r="Q68" s="1138">
        <f t="shared" si="8"/>
        <v>50000</v>
      </c>
      <c r="R68" s="1138"/>
      <c r="S68" s="1138"/>
      <c r="T68" s="1138"/>
      <c r="U68" s="1138"/>
      <c r="V68" s="1138"/>
      <c r="W68" s="858"/>
      <c r="X68" s="1138"/>
      <c r="Y68" s="1138">
        <f t="shared" si="198"/>
        <v>20000</v>
      </c>
      <c r="Z68" s="1138">
        <f t="shared" si="137"/>
        <v>75000</v>
      </c>
      <c r="AA68" s="1138">
        <f t="shared" si="138"/>
        <v>167400</v>
      </c>
      <c r="AB68" s="1138">
        <f t="shared" si="28"/>
        <v>2387400</v>
      </c>
      <c r="AC68" s="1138">
        <f t="shared" si="29"/>
        <v>59685</v>
      </c>
      <c r="AD68" s="1138">
        <f t="shared" si="30"/>
        <v>2447085</v>
      </c>
      <c r="AE68" s="1138">
        <f t="shared" si="31"/>
        <v>61177.125</v>
      </c>
      <c r="AF68" s="1138">
        <f t="shared" si="32"/>
        <v>2508262.125</v>
      </c>
      <c r="AG68" s="1138">
        <f t="shared" si="33"/>
        <v>62706.553125000006</v>
      </c>
      <c r="AH68" s="1138">
        <f t="shared" si="34"/>
        <v>2570968.6781250001</v>
      </c>
      <c r="AI68" s="1138">
        <f t="shared" si="144"/>
        <v>128548.43390625001</v>
      </c>
      <c r="AJ68" s="1138">
        <f t="shared" si="35"/>
        <v>2699517.1120312503</v>
      </c>
      <c r="AK68" s="1138">
        <f t="shared" si="36"/>
        <v>26995.171120312501</v>
      </c>
      <c r="AL68" s="1138">
        <f t="shared" si="37"/>
        <v>27537.409960060559</v>
      </c>
      <c r="AM68" s="1138"/>
      <c r="AN68" s="1138"/>
      <c r="AO68" s="1138">
        <f t="shared" si="38"/>
        <v>2754049.6931116232</v>
      </c>
      <c r="AP68" s="1138">
        <f t="shared" si="39"/>
        <v>371796.70857006917</v>
      </c>
      <c r="AQ68" s="1248">
        <f t="shared" si="40"/>
        <v>3125846.4016816923</v>
      </c>
      <c r="AR68" s="1248">
        <f t="shared" si="202"/>
        <v>3125846.4016816923</v>
      </c>
      <c r="AS68" s="1248"/>
      <c r="AT68" s="1248"/>
      <c r="AU68" s="1248">
        <f t="shared" si="42"/>
        <v>0</v>
      </c>
      <c r="AV68" s="1140">
        <f t="shared" si="43"/>
        <v>0</v>
      </c>
      <c r="AW68" s="1140">
        <f t="shared" si="44"/>
        <v>3125846.4016816923</v>
      </c>
      <c r="AX68" s="1139">
        <f t="shared" si="45"/>
        <v>39073.080021021153</v>
      </c>
      <c r="AY68" s="831" t="s">
        <v>478</v>
      </c>
      <c r="AZ68" s="831">
        <f t="shared" si="46"/>
        <v>3164919.4817027133</v>
      </c>
      <c r="BA68" s="831">
        <f t="shared" si="47"/>
        <v>118684.48056385174</v>
      </c>
      <c r="BB68" s="831"/>
      <c r="BC68" s="831">
        <f t="shared" si="189"/>
        <v>33600</v>
      </c>
      <c r="BD68" s="831"/>
      <c r="BE68" s="831">
        <f t="shared" si="48"/>
        <v>3317203.9622665648</v>
      </c>
      <c r="BF68" s="831"/>
      <c r="BG68" s="831">
        <f t="shared" si="49"/>
        <v>3317203.9622665648</v>
      </c>
      <c r="BH68" s="831"/>
      <c r="BI68" s="831">
        <f t="shared" si="50"/>
        <v>3317203.9622665648</v>
      </c>
      <c r="BJ68" s="831"/>
      <c r="BK68" s="831">
        <f t="shared" si="51"/>
        <v>3317203.9622665648</v>
      </c>
      <c r="BL68" s="831"/>
      <c r="BM68" s="831">
        <f t="shared" si="52"/>
        <v>3317203.9622665648</v>
      </c>
      <c r="BN68" s="831"/>
      <c r="BO68" s="831">
        <f t="shared" si="53"/>
        <v>3317203.9622665648</v>
      </c>
      <c r="BP68" s="831"/>
      <c r="BQ68" s="831">
        <f t="shared" si="54"/>
        <v>3317203.9622665648</v>
      </c>
      <c r="BR68" s="831"/>
      <c r="BS68" s="831">
        <f t="shared" si="55"/>
        <v>3317203.9622665648</v>
      </c>
      <c r="BT68" s="831"/>
      <c r="BU68" s="831">
        <f t="shared" si="56"/>
        <v>3317203.9622665648</v>
      </c>
      <c r="BV68" s="831"/>
      <c r="BW68" s="831">
        <f t="shared" si="57"/>
        <v>56400</v>
      </c>
      <c r="BX68" s="831">
        <f t="shared" si="58"/>
        <v>3373603.9622665648</v>
      </c>
      <c r="BY68" s="831"/>
      <c r="BZ68" s="831">
        <f t="shared" si="59"/>
        <v>3373603.9622665648</v>
      </c>
      <c r="CA68" s="1260">
        <f t="shared" si="60"/>
        <v>3373603.9622665648</v>
      </c>
      <c r="CB68" s="1260">
        <f t="shared" si="61"/>
        <v>3373603.9622665648</v>
      </c>
      <c r="CC68" s="1260"/>
      <c r="CD68" s="1260">
        <f t="shared" si="62"/>
        <v>0</v>
      </c>
      <c r="CE68" s="1260">
        <f t="shared" si="63"/>
        <v>0</v>
      </c>
      <c r="CF68" s="1260">
        <f t="shared" si="64"/>
        <v>0</v>
      </c>
      <c r="CG68" s="1266">
        <f t="shared" si="65"/>
        <v>3373603.9622665648</v>
      </c>
      <c r="CH68" s="1141">
        <f t="shared" si="66"/>
        <v>3373603.9622665648</v>
      </c>
      <c r="CI68" s="1142">
        <f t="shared" si="67"/>
        <v>0</v>
      </c>
      <c r="CJ68" s="1141">
        <f t="shared" si="68"/>
        <v>345794.40613232285</v>
      </c>
      <c r="CK68" s="1141">
        <f t="shared" si="69"/>
        <v>118076.13867932979</v>
      </c>
      <c r="CL68" s="1143">
        <f t="shared" si="139"/>
        <v>3837474.5070782173</v>
      </c>
      <c r="CM68" s="1144">
        <f t="shared" si="71"/>
        <v>0.125</v>
      </c>
      <c r="CN68" s="1141">
        <f t="shared" si="72"/>
        <v>479684.31338477717</v>
      </c>
      <c r="CO68" s="1141">
        <f t="shared" si="73"/>
        <v>30000</v>
      </c>
      <c r="CP68" s="1141">
        <f t="shared" si="74"/>
        <v>449684.31338477717</v>
      </c>
      <c r="CQ68" s="1145">
        <f t="shared" si="75"/>
        <v>13</v>
      </c>
      <c r="CR68" s="1141">
        <f t="shared" si="76"/>
        <v>34591.101029598241</v>
      </c>
      <c r="CS68" s="1144">
        <f t="shared" si="77"/>
        <v>0.875</v>
      </c>
      <c r="CT68" s="1141">
        <f t="shared" si="78"/>
        <v>3357790.1936934404</v>
      </c>
      <c r="CU68" s="1146">
        <f t="shared" si="12"/>
        <v>26032.91163202019</v>
      </c>
      <c r="CV68" s="1146">
        <f t="shared" si="13"/>
        <v>30180.767536827112</v>
      </c>
      <c r="CW68" s="1146">
        <f t="shared" si="14"/>
        <v>38986.791292495443</v>
      </c>
      <c r="CX68" s="1146">
        <f t="shared" si="15"/>
        <v>66488.270282162528</v>
      </c>
      <c r="CY68" s="1146">
        <f t="shared" si="79"/>
        <v>272763.97021781723</v>
      </c>
      <c r="CZ68" s="1146">
        <f t="shared" si="80"/>
        <v>107931.37430560609</v>
      </c>
      <c r="DA68" s="1146">
        <f t="shared" si="81"/>
        <v>77957.303007881361</v>
      </c>
      <c r="DB68" s="1146">
        <f t="shared" si="82"/>
        <v>59329.096557865647</v>
      </c>
      <c r="DC68" s="1146"/>
      <c r="DD68" s="1146"/>
      <c r="DE68" s="1146"/>
      <c r="DF68" s="1146"/>
      <c r="DG68" s="1146"/>
      <c r="DH68" s="1146"/>
      <c r="DI68" s="1146"/>
      <c r="DJ68" s="1146"/>
      <c r="DK68" s="1146"/>
      <c r="DL68" s="1146"/>
      <c r="DM68" s="1146"/>
      <c r="DN68" s="1146"/>
      <c r="DO68" s="1146"/>
      <c r="DP68" s="1146"/>
      <c r="DQ68" s="1146"/>
      <c r="DR68" s="1146"/>
      <c r="DS68" s="1146"/>
      <c r="DT68" s="1146"/>
      <c r="DU68" s="1146"/>
      <c r="DV68" s="1146"/>
      <c r="DW68" s="1146"/>
      <c r="DX68" s="1146"/>
      <c r="DY68" s="1146"/>
      <c r="DZ68" s="1146"/>
      <c r="EA68" s="1147">
        <f t="shared" si="83"/>
        <v>0</v>
      </c>
      <c r="EB68" s="1148">
        <f t="shared" si="84"/>
        <v>0</v>
      </c>
      <c r="EC68" s="1190">
        <f t="shared" si="132"/>
        <v>45839</v>
      </c>
      <c r="ED68" s="1031">
        <f t="shared" si="16"/>
        <v>20</v>
      </c>
      <c r="EE68" s="1191"/>
      <c r="EF68" s="1032">
        <f t="shared" si="17"/>
        <v>45904</v>
      </c>
      <c r="EG68" s="1029">
        <f t="shared" si="85"/>
        <v>22</v>
      </c>
      <c r="EH68" s="859" t="s">
        <v>490</v>
      </c>
      <c r="EI68" s="859" t="s">
        <v>480</v>
      </c>
      <c r="EJ68" s="860">
        <f t="shared" si="18"/>
        <v>0</v>
      </c>
      <c r="EK68" s="860">
        <f t="shared" si="19"/>
        <v>0</v>
      </c>
      <c r="EL68" s="861">
        <f t="shared" si="20"/>
        <v>0</v>
      </c>
      <c r="EM68" s="1197"/>
      <c r="EN68" s="860"/>
      <c r="EO68" s="860"/>
      <c r="EP68" s="860">
        <f t="shared" si="21"/>
        <v>0</v>
      </c>
      <c r="EQ68" s="1197"/>
      <c r="ER68" s="1200"/>
      <c r="ES68" s="1197"/>
      <c r="ET68" s="1194" t="s">
        <v>223</v>
      </c>
      <c r="EU68" s="1197" t="b">
        <f t="shared" si="22"/>
        <v>1</v>
      </c>
      <c r="EV68" s="1197" t="s">
        <v>576</v>
      </c>
      <c r="EW68" s="1197" t="s">
        <v>482</v>
      </c>
      <c r="EX68" s="1197"/>
      <c r="EY68" s="1128" t="s">
        <v>483</v>
      </c>
      <c r="EZ68" s="1128" t="s">
        <v>484</v>
      </c>
      <c r="FA68" s="1169">
        <f t="shared" si="86"/>
        <v>0</v>
      </c>
      <c r="FI68" s="1309" t="s">
        <v>149</v>
      </c>
      <c r="FJ68" s="1159" t="s">
        <v>149</v>
      </c>
      <c r="FK68" s="1160" t="b">
        <f t="shared" si="87"/>
        <v>1</v>
      </c>
      <c r="FL68" s="1131"/>
      <c r="FM68" s="1161"/>
      <c r="FO68" s="1060"/>
      <c r="FP68" s="1169"/>
      <c r="FQ68" s="1203"/>
      <c r="FU68" s="1295"/>
      <c r="FV68" s="1295"/>
      <c r="FW68" s="1023">
        <v>0.15</v>
      </c>
      <c r="FX68" s="1162">
        <v>14123.699783915263</v>
      </c>
      <c r="FY68" s="1163">
        <v>14565.065402162614</v>
      </c>
      <c r="GA68" s="1164">
        <f t="shared" si="89"/>
        <v>3837474.5070782173</v>
      </c>
      <c r="GB68" s="1165">
        <f t="shared" si="90"/>
        <v>0.15</v>
      </c>
      <c r="GC68" s="1154">
        <f t="shared" si="91"/>
        <v>575621.17606173258</v>
      </c>
      <c r="GD68" s="1164">
        <f t="shared" si="92"/>
        <v>30000</v>
      </c>
      <c r="GE68" s="1154">
        <f t="shared" si="93"/>
        <v>545621.17606173258</v>
      </c>
      <c r="GF68" s="1060">
        <f t="shared" si="94"/>
        <v>35</v>
      </c>
      <c r="GG68" s="1166">
        <f t="shared" si="95"/>
        <v>15589.176458906644</v>
      </c>
      <c r="GI68" s="1164">
        <f t="shared" si="96"/>
        <v>3837474.5070782173</v>
      </c>
      <c r="GJ68" s="1154">
        <f t="shared" si="97"/>
        <v>383747.45070782176</v>
      </c>
      <c r="GK68" s="1154">
        <f t="shared" si="98"/>
        <v>95936.862676955439</v>
      </c>
      <c r="GL68" s="1166">
        <v>15000</v>
      </c>
      <c r="GM68" s="1154">
        <f t="shared" si="99"/>
        <v>368747.45070782176</v>
      </c>
      <c r="GN68" s="1060">
        <f t="shared" si="100"/>
        <v>35</v>
      </c>
      <c r="GO68" s="1154">
        <f t="shared" si="101"/>
        <v>10535.641448794908</v>
      </c>
      <c r="GS68" s="1010">
        <f t="shared" si="102"/>
        <v>3837474.5070782173</v>
      </c>
      <c r="GT68" s="1011">
        <f t="shared" si="103"/>
        <v>0.125</v>
      </c>
      <c r="GU68" s="1010">
        <f t="shared" si="104"/>
        <v>479684.31338477717</v>
      </c>
      <c r="GV68" s="1010">
        <f t="shared" si="105"/>
        <v>30000</v>
      </c>
      <c r="GW68" s="1010">
        <f t="shared" si="106"/>
        <v>449684.31338477717</v>
      </c>
      <c r="GX68" s="1010">
        <f t="shared" si="107"/>
        <v>13</v>
      </c>
      <c r="GY68" s="1010">
        <f t="shared" si="108"/>
        <v>34591.101029598241</v>
      </c>
      <c r="GZ68" s="1011">
        <f t="shared" si="109"/>
        <v>0.875</v>
      </c>
      <c r="HA68" s="1010">
        <f t="shared" si="110"/>
        <v>3357790.1936934404</v>
      </c>
      <c r="HB68" s="1010">
        <f t="shared" si="111"/>
        <v>26032.91163202019</v>
      </c>
      <c r="HC68" s="1010">
        <f t="shared" si="112"/>
        <v>30180.767536827112</v>
      </c>
      <c r="HD68" s="1010">
        <f t="shared" si="113"/>
        <v>38986.791292495443</v>
      </c>
      <c r="HE68" s="1010">
        <f t="shared" si="114"/>
        <v>66488.270282162528</v>
      </c>
      <c r="HG68" s="1010">
        <f t="shared" si="115"/>
        <v>3837474.5070782173</v>
      </c>
      <c r="HH68" s="1011">
        <f t="shared" si="116"/>
        <v>0.125</v>
      </c>
      <c r="HI68" s="1010">
        <f t="shared" si="117"/>
        <v>479684.31338477717</v>
      </c>
      <c r="HJ68" s="1010">
        <f t="shared" si="118"/>
        <v>30000</v>
      </c>
      <c r="HK68" s="1010">
        <f t="shared" si="119"/>
        <v>449684.31338477717</v>
      </c>
      <c r="HL68" s="1012">
        <f t="shared" si="120"/>
        <v>33</v>
      </c>
      <c r="HM68" s="1167">
        <f t="shared" si="121"/>
        <v>13626.797375296277</v>
      </c>
      <c r="HN68" s="1168">
        <f t="shared" si="122"/>
        <v>0.875</v>
      </c>
      <c r="HO68" s="1167">
        <f t="shared" si="123"/>
        <v>3357790.1936934404</v>
      </c>
      <c r="HP68" s="1146">
        <f t="shared" si="124"/>
        <v>26032.91163202019</v>
      </c>
      <c r="HQ68" s="1146">
        <f t="shared" si="125"/>
        <v>30180.767536827112</v>
      </c>
      <c r="HR68" s="1146">
        <f t="shared" si="126"/>
        <v>38986.791292495443</v>
      </c>
      <c r="HS68" s="1146">
        <f t="shared" si="127"/>
        <v>66488.270282162528</v>
      </c>
      <c r="HU68" s="1167">
        <f t="shared" si="128"/>
        <v>-20964.303654301963</v>
      </c>
      <c r="HX68" s="1154"/>
      <c r="HY68" s="1154"/>
      <c r="IB68" s="1154"/>
      <c r="IC68" s="1154"/>
      <c r="ID68" s="1154"/>
      <c r="IE68" s="1154"/>
      <c r="IG68" s="1060"/>
    </row>
    <row r="69" spans="1:241" ht="14.25" hidden="1" customHeight="1">
      <c r="A69" s="1186">
        <f t="shared" si="141"/>
        <v>63</v>
      </c>
      <c r="B69" s="824" t="s">
        <v>149</v>
      </c>
      <c r="C69" s="855">
        <f t="shared" si="196"/>
        <v>12</v>
      </c>
      <c r="D69" s="856" t="s">
        <v>502</v>
      </c>
      <c r="E69" s="857" t="str">
        <f t="shared" si="23"/>
        <v>5th Floor</v>
      </c>
      <c r="F69" s="1185"/>
      <c r="G69" s="764" t="s">
        <v>224</v>
      </c>
      <c r="H69" s="764" t="s">
        <v>520</v>
      </c>
      <c r="I69" s="764" t="s">
        <v>476</v>
      </c>
      <c r="J69" s="1139">
        <v>22</v>
      </c>
      <c r="K69" s="1142"/>
      <c r="L69" s="764" t="s">
        <v>500</v>
      </c>
      <c r="M69" s="764" t="s">
        <v>93</v>
      </c>
      <c r="N69" s="856">
        <f t="shared" si="24"/>
        <v>100909.09090909091</v>
      </c>
      <c r="O69" s="1138">
        <f t="shared" si="136"/>
        <v>2220000</v>
      </c>
      <c r="P69" s="1138">
        <f t="shared" si="142"/>
        <v>22400</v>
      </c>
      <c r="Q69" s="1138">
        <f t="shared" si="8"/>
        <v>50000</v>
      </c>
      <c r="R69" s="1138"/>
      <c r="S69" s="1138"/>
      <c r="T69" s="1138"/>
      <c r="U69" s="1138"/>
      <c r="V69" s="1138"/>
      <c r="W69" s="858"/>
      <c r="X69" s="1138"/>
      <c r="Y69" s="1138">
        <f t="shared" si="198"/>
        <v>20000</v>
      </c>
      <c r="Z69" s="1138">
        <f t="shared" si="137"/>
        <v>75000</v>
      </c>
      <c r="AA69" s="1138">
        <f t="shared" si="138"/>
        <v>167400</v>
      </c>
      <c r="AB69" s="1138">
        <f t="shared" si="28"/>
        <v>2387400</v>
      </c>
      <c r="AC69" s="1138">
        <f t="shared" si="29"/>
        <v>59685</v>
      </c>
      <c r="AD69" s="1138">
        <f t="shared" si="30"/>
        <v>2447085</v>
      </c>
      <c r="AE69" s="1138">
        <f t="shared" si="31"/>
        <v>61177.125</v>
      </c>
      <c r="AF69" s="1138">
        <f t="shared" si="32"/>
        <v>2508262.125</v>
      </c>
      <c r="AG69" s="1138">
        <f t="shared" si="33"/>
        <v>62706.553125000006</v>
      </c>
      <c r="AH69" s="1138">
        <f t="shared" si="34"/>
        <v>2570968.6781250001</v>
      </c>
      <c r="AI69" s="1138">
        <f t="shared" si="144"/>
        <v>128548.43390625001</v>
      </c>
      <c r="AJ69" s="1138">
        <f t="shared" si="35"/>
        <v>2699517.1120312503</v>
      </c>
      <c r="AK69" s="1138">
        <f t="shared" si="36"/>
        <v>26995.171120312501</v>
      </c>
      <c r="AL69" s="1138">
        <f t="shared" si="37"/>
        <v>27537.409960060559</v>
      </c>
      <c r="AM69" s="1138"/>
      <c r="AN69" s="1138"/>
      <c r="AO69" s="1138">
        <f t="shared" si="38"/>
        <v>2754049.6931116232</v>
      </c>
      <c r="AP69" s="1138">
        <f t="shared" si="39"/>
        <v>371796.70857006917</v>
      </c>
      <c r="AQ69" s="1248">
        <f t="shared" si="40"/>
        <v>3125846.4016816923</v>
      </c>
      <c r="AR69" s="1248">
        <f t="shared" si="202"/>
        <v>3125846.4016816923</v>
      </c>
      <c r="AS69" s="1248"/>
      <c r="AT69" s="1248"/>
      <c r="AU69" s="1248">
        <f t="shared" si="42"/>
        <v>0</v>
      </c>
      <c r="AV69" s="1140">
        <f t="shared" si="43"/>
        <v>0</v>
      </c>
      <c r="AW69" s="1140">
        <f t="shared" si="44"/>
        <v>3125846.4016816923</v>
      </c>
      <c r="AX69" s="1139">
        <f t="shared" si="45"/>
        <v>39073.080021021153</v>
      </c>
      <c r="AY69" s="831" t="s">
        <v>478</v>
      </c>
      <c r="AZ69" s="831">
        <f t="shared" si="46"/>
        <v>3164919.4817027133</v>
      </c>
      <c r="BA69" s="831">
        <f t="shared" si="47"/>
        <v>118684.48056385174</v>
      </c>
      <c r="BB69" s="831"/>
      <c r="BC69" s="831">
        <f t="shared" si="189"/>
        <v>33600</v>
      </c>
      <c r="BD69" s="831"/>
      <c r="BE69" s="831">
        <f t="shared" si="48"/>
        <v>3317203.9622665648</v>
      </c>
      <c r="BF69" s="831"/>
      <c r="BG69" s="831">
        <f t="shared" si="49"/>
        <v>3317203.9622665648</v>
      </c>
      <c r="BH69" s="831"/>
      <c r="BI69" s="831">
        <f t="shared" si="50"/>
        <v>3317203.9622665648</v>
      </c>
      <c r="BJ69" s="831"/>
      <c r="BK69" s="831">
        <f t="shared" si="51"/>
        <v>3317203.9622665648</v>
      </c>
      <c r="BL69" s="831"/>
      <c r="BM69" s="831">
        <f t="shared" si="52"/>
        <v>3317203.9622665648</v>
      </c>
      <c r="BN69" s="831"/>
      <c r="BO69" s="831">
        <f t="shared" si="53"/>
        <v>3317203.9622665648</v>
      </c>
      <c r="BP69" s="831"/>
      <c r="BQ69" s="831">
        <f t="shared" si="54"/>
        <v>3317203.9622665648</v>
      </c>
      <c r="BR69" s="831"/>
      <c r="BS69" s="831">
        <f t="shared" si="55"/>
        <v>3317203.9622665648</v>
      </c>
      <c r="BT69" s="831"/>
      <c r="BU69" s="831">
        <f t="shared" si="56"/>
        <v>3317203.9622665648</v>
      </c>
      <c r="BV69" s="831"/>
      <c r="BW69" s="831">
        <f t="shared" si="57"/>
        <v>56400</v>
      </c>
      <c r="BX69" s="831">
        <f t="shared" si="58"/>
        <v>3373603.9622665648</v>
      </c>
      <c r="BY69" s="831"/>
      <c r="BZ69" s="831">
        <f t="shared" si="59"/>
        <v>3373603.9622665648</v>
      </c>
      <c r="CA69" s="1260">
        <f t="shared" si="60"/>
        <v>3373603.9622665648</v>
      </c>
      <c r="CB69" s="1260">
        <f t="shared" si="61"/>
        <v>3373603.9622665648</v>
      </c>
      <c r="CC69" s="1260"/>
      <c r="CD69" s="1260">
        <f t="shared" si="62"/>
        <v>0</v>
      </c>
      <c r="CE69" s="1260">
        <f t="shared" si="63"/>
        <v>0</v>
      </c>
      <c r="CF69" s="1260">
        <f t="shared" si="64"/>
        <v>0</v>
      </c>
      <c r="CG69" s="1266">
        <f t="shared" si="65"/>
        <v>3373603.9622665648</v>
      </c>
      <c r="CH69" s="1141">
        <f t="shared" si="66"/>
        <v>3373603.9622665648</v>
      </c>
      <c r="CI69" s="1142">
        <f t="shared" si="67"/>
        <v>0</v>
      </c>
      <c r="CJ69" s="1141">
        <f t="shared" si="68"/>
        <v>345794.40613232285</v>
      </c>
      <c r="CK69" s="1141">
        <f t="shared" si="69"/>
        <v>118076.13867932979</v>
      </c>
      <c r="CL69" s="1143">
        <f t="shared" si="139"/>
        <v>3837474.5070782173</v>
      </c>
      <c r="CM69" s="1144">
        <f t="shared" si="71"/>
        <v>0.125</v>
      </c>
      <c r="CN69" s="1141">
        <f t="shared" si="72"/>
        <v>479684.31338477717</v>
      </c>
      <c r="CO69" s="1141">
        <f t="shared" si="73"/>
        <v>30000</v>
      </c>
      <c r="CP69" s="1141">
        <f t="shared" si="74"/>
        <v>449684.31338477717</v>
      </c>
      <c r="CQ69" s="1145">
        <f t="shared" si="75"/>
        <v>13</v>
      </c>
      <c r="CR69" s="1141">
        <f t="shared" si="76"/>
        <v>34591.101029598241</v>
      </c>
      <c r="CS69" s="1144">
        <f t="shared" si="77"/>
        <v>0.875</v>
      </c>
      <c r="CT69" s="1141">
        <f t="shared" si="78"/>
        <v>3357790.1936934404</v>
      </c>
      <c r="CU69" s="1146">
        <f t="shared" si="12"/>
        <v>26032.91163202019</v>
      </c>
      <c r="CV69" s="1146">
        <f t="shared" si="13"/>
        <v>30180.767536827112</v>
      </c>
      <c r="CW69" s="1146">
        <f t="shared" si="14"/>
        <v>38986.791292495443</v>
      </c>
      <c r="CX69" s="1146">
        <f t="shared" si="15"/>
        <v>66488.270282162528</v>
      </c>
      <c r="CY69" s="1146">
        <f t="shared" si="79"/>
        <v>272763.97021781723</v>
      </c>
      <c r="CZ69" s="1146">
        <f t="shared" si="80"/>
        <v>107931.37430560609</v>
      </c>
      <c r="DA69" s="1146">
        <f t="shared" si="81"/>
        <v>77957.303007881361</v>
      </c>
      <c r="DB69" s="1146">
        <f t="shared" si="82"/>
        <v>59329.096557865647</v>
      </c>
      <c r="DC69" s="1146"/>
      <c r="DD69" s="1146"/>
      <c r="DE69" s="1146"/>
      <c r="DF69" s="1146"/>
      <c r="DG69" s="1146"/>
      <c r="DH69" s="1146"/>
      <c r="DI69" s="1146"/>
      <c r="DJ69" s="1146"/>
      <c r="DK69" s="1146"/>
      <c r="DL69" s="1146"/>
      <c r="DM69" s="1146"/>
      <c r="DN69" s="1146"/>
      <c r="DO69" s="1146"/>
      <c r="DP69" s="1146"/>
      <c r="DQ69" s="1146"/>
      <c r="DR69" s="1146"/>
      <c r="DS69" s="1146"/>
      <c r="DT69" s="1146"/>
      <c r="DU69" s="1146"/>
      <c r="DV69" s="1146"/>
      <c r="DW69" s="1146"/>
      <c r="DX69" s="1146"/>
      <c r="DY69" s="1146"/>
      <c r="DZ69" s="1146"/>
      <c r="EA69" s="1147">
        <f t="shared" si="83"/>
        <v>0</v>
      </c>
      <c r="EB69" s="1148">
        <f t="shared" si="84"/>
        <v>0</v>
      </c>
      <c r="EC69" s="1190">
        <f t="shared" si="132"/>
        <v>45839</v>
      </c>
      <c r="ED69" s="1031">
        <f t="shared" si="16"/>
        <v>20</v>
      </c>
      <c r="EE69" s="1191"/>
      <c r="EF69" s="1032">
        <f t="shared" si="17"/>
        <v>45904</v>
      </c>
      <c r="EG69" s="1029">
        <f t="shared" si="85"/>
        <v>22</v>
      </c>
      <c r="EH69" s="859" t="s">
        <v>490</v>
      </c>
      <c r="EI69" s="859" t="s">
        <v>480</v>
      </c>
      <c r="EJ69" s="860">
        <f t="shared" si="18"/>
        <v>0</v>
      </c>
      <c r="EK69" s="860">
        <f t="shared" si="19"/>
        <v>0</v>
      </c>
      <c r="EL69" s="861">
        <f t="shared" si="20"/>
        <v>0</v>
      </c>
      <c r="EM69" s="1197"/>
      <c r="EN69" s="860"/>
      <c r="EO69" s="860"/>
      <c r="EP69" s="860">
        <f t="shared" si="21"/>
        <v>0</v>
      </c>
      <c r="EQ69" s="1197"/>
      <c r="ER69" s="1200"/>
      <c r="ES69" s="1197"/>
      <c r="ET69" s="1194" t="s">
        <v>224</v>
      </c>
      <c r="EU69" s="1197" t="b">
        <f t="shared" si="22"/>
        <v>1</v>
      </c>
      <c r="EV69" s="1197" t="s">
        <v>577</v>
      </c>
      <c r="EW69" s="1197" t="s">
        <v>482</v>
      </c>
      <c r="EX69" s="1197"/>
      <c r="EY69" s="1128" t="s">
        <v>483</v>
      </c>
      <c r="EZ69" s="1128" t="s">
        <v>484</v>
      </c>
      <c r="FA69" s="1169">
        <f t="shared" si="86"/>
        <v>0</v>
      </c>
      <c r="FI69" s="1309" t="s">
        <v>149</v>
      </c>
      <c r="FJ69" s="1159" t="s">
        <v>149</v>
      </c>
      <c r="FK69" s="1160" t="b">
        <f t="shared" si="87"/>
        <v>1</v>
      </c>
      <c r="FL69" s="1131"/>
      <c r="FM69" s="1161"/>
      <c r="FO69" s="1060"/>
      <c r="FP69" s="1169"/>
      <c r="FQ69" s="1203"/>
      <c r="FU69" s="1295"/>
      <c r="FV69" s="1295"/>
      <c r="FW69" s="1023">
        <v>0.15</v>
      </c>
      <c r="FX69" s="1162">
        <v>14123.699783915263</v>
      </c>
      <c r="FY69" s="1163">
        <v>14565.065402162614</v>
      </c>
      <c r="GA69" s="1164">
        <f t="shared" si="89"/>
        <v>3837474.5070782173</v>
      </c>
      <c r="GB69" s="1165">
        <f t="shared" si="90"/>
        <v>0.15</v>
      </c>
      <c r="GC69" s="1154">
        <f t="shared" si="91"/>
        <v>575621.17606173258</v>
      </c>
      <c r="GD69" s="1164">
        <f t="shared" si="92"/>
        <v>30000</v>
      </c>
      <c r="GE69" s="1154">
        <f t="shared" si="93"/>
        <v>545621.17606173258</v>
      </c>
      <c r="GF69" s="1060">
        <f t="shared" si="94"/>
        <v>35</v>
      </c>
      <c r="GG69" s="1166">
        <f t="shared" si="95"/>
        <v>15589.176458906644</v>
      </c>
      <c r="GI69" s="1164">
        <f t="shared" si="96"/>
        <v>3837474.5070782173</v>
      </c>
      <c r="GJ69" s="1154">
        <f t="shared" si="97"/>
        <v>383747.45070782176</v>
      </c>
      <c r="GK69" s="1154">
        <f t="shared" si="98"/>
        <v>95936.862676955439</v>
      </c>
      <c r="GL69" s="1166">
        <v>15000</v>
      </c>
      <c r="GM69" s="1154">
        <f t="shared" si="99"/>
        <v>368747.45070782176</v>
      </c>
      <c r="GN69" s="1060">
        <f t="shared" si="100"/>
        <v>35</v>
      </c>
      <c r="GO69" s="1154">
        <f t="shared" si="101"/>
        <v>10535.641448794908</v>
      </c>
      <c r="GS69" s="1010">
        <f t="shared" si="102"/>
        <v>3837474.5070782173</v>
      </c>
      <c r="GT69" s="1011">
        <f t="shared" si="103"/>
        <v>0.125</v>
      </c>
      <c r="GU69" s="1010">
        <f t="shared" si="104"/>
        <v>479684.31338477717</v>
      </c>
      <c r="GV69" s="1010">
        <f t="shared" si="105"/>
        <v>30000</v>
      </c>
      <c r="GW69" s="1010">
        <f t="shared" si="106"/>
        <v>449684.31338477717</v>
      </c>
      <c r="GX69" s="1010">
        <f t="shared" si="107"/>
        <v>13</v>
      </c>
      <c r="GY69" s="1010">
        <f t="shared" si="108"/>
        <v>34591.101029598241</v>
      </c>
      <c r="GZ69" s="1011">
        <f t="shared" si="109"/>
        <v>0.875</v>
      </c>
      <c r="HA69" s="1010">
        <f t="shared" si="110"/>
        <v>3357790.1936934404</v>
      </c>
      <c r="HB69" s="1010">
        <f t="shared" si="111"/>
        <v>26032.91163202019</v>
      </c>
      <c r="HC69" s="1010">
        <f t="shared" si="112"/>
        <v>30180.767536827112</v>
      </c>
      <c r="HD69" s="1010">
        <f t="shared" si="113"/>
        <v>38986.791292495443</v>
      </c>
      <c r="HE69" s="1010">
        <f t="shared" si="114"/>
        <v>66488.270282162528</v>
      </c>
      <c r="HG69" s="1010">
        <f t="shared" si="115"/>
        <v>3837474.5070782173</v>
      </c>
      <c r="HH69" s="1011">
        <f t="shared" si="116"/>
        <v>0.125</v>
      </c>
      <c r="HI69" s="1010">
        <f t="shared" si="117"/>
        <v>479684.31338477717</v>
      </c>
      <c r="HJ69" s="1010">
        <f t="shared" si="118"/>
        <v>30000</v>
      </c>
      <c r="HK69" s="1010">
        <f t="shared" si="119"/>
        <v>449684.31338477717</v>
      </c>
      <c r="HL69" s="1012">
        <f t="shared" si="120"/>
        <v>33</v>
      </c>
      <c r="HM69" s="1167">
        <f t="shared" si="121"/>
        <v>13626.797375296277</v>
      </c>
      <c r="HN69" s="1168">
        <f t="shared" si="122"/>
        <v>0.875</v>
      </c>
      <c r="HO69" s="1167">
        <f t="shared" si="123"/>
        <v>3357790.1936934404</v>
      </c>
      <c r="HP69" s="1146">
        <f t="shared" si="124"/>
        <v>26032.91163202019</v>
      </c>
      <c r="HQ69" s="1146">
        <f t="shared" si="125"/>
        <v>30180.767536827112</v>
      </c>
      <c r="HR69" s="1146">
        <f t="shared" si="126"/>
        <v>38986.791292495443</v>
      </c>
      <c r="HS69" s="1146">
        <f t="shared" si="127"/>
        <v>66488.270282162528</v>
      </c>
      <c r="HU69" s="1167">
        <f t="shared" si="128"/>
        <v>-20964.303654301963</v>
      </c>
      <c r="HX69" s="1154"/>
      <c r="HY69" s="1154"/>
      <c r="IB69" s="1154"/>
      <c r="IC69" s="1154"/>
      <c r="ID69" s="1154"/>
      <c r="IE69" s="1154"/>
      <c r="IG69" s="1060"/>
    </row>
    <row r="70" spans="1:241" ht="14.25" hidden="1" customHeight="1">
      <c r="A70" s="1186">
        <f t="shared" si="141"/>
        <v>64</v>
      </c>
      <c r="B70" s="824" t="s">
        <v>149</v>
      </c>
      <c r="C70" s="855">
        <f t="shared" si="196"/>
        <v>13</v>
      </c>
      <c r="D70" s="856" t="s">
        <v>502</v>
      </c>
      <c r="E70" s="857" t="str">
        <f t="shared" si="23"/>
        <v>5th Floor</v>
      </c>
      <c r="F70" s="1185"/>
      <c r="G70" s="764" t="s">
        <v>225</v>
      </c>
      <c r="H70" s="764" t="s">
        <v>525</v>
      </c>
      <c r="I70" s="764" t="s">
        <v>476</v>
      </c>
      <c r="J70" s="1139">
        <v>22</v>
      </c>
      <c r="K70" s="1142"/>
      <c r="L70" s="764" t="s">
        <v>500</v>
      </c>
      <c r="M70" s="764" t="s">
        <v>93</v>
      </c>
      <c r="N70" s="856">
        <f t="shared" si="24"/>
        <v>100909.09090909091</v>
      </c>
      <c r="O70" s="1138">
        <f t="shared" si="136"/>
        <v>2220000</v>
      </c>
      <c r="P70" s="1138">
        <f t="shared" si="142"/>
        <v>22400</v>
      </c>
      <c r="Q70" s="1138">
        <f t="shared" si="8"/>
        <v>50000</v>
      </c>
      <c r="R70" s="1138"/>
      <c r="S70" s="1138"/>
      <c r="T70" s="1138"/>
      <c r="U70" s="1138"/>
      <c r="V70" s="1138"/>
      <c r="W70" s="858"/>
      <c r="X70" s="1138"/>
      <c r="Y70" s="1138">
        <f t="shared" si="198"/>
        <v>20000</v>
      </c>
      <c r="Z70" s="1138">
        <f t="shared" si="137"/>
        <v>75000</v>
      </c>
      <c r="AA70" s="1138">
        <f t="shared" si="138"/>
        <v>167400</v>
      </c>
      <c r="AB70" s="1138">
        <f t="shared" si="28"/>
        <v>2387400</v>
      </c>
      <c r="AC70" s="1138">
        <f t="shared" si="29"/>
        <v>59685</v>
      </c>
      <c r="AD70" s="1138">
        <f t="shared" si="30"/>
        <v>2447085</v>
      </c>
      <c r="AE70" s="1138">
        <f t="shared" si="31"/>
        <v>61177.125</v>
      </c>
      <c r="AF70" s="1138">
        <f t="shared" si="32"/>
        <v>2508262.125</v>
      </c>
      <c r="AG70" s="1138">
        <f t="shared" si="33"/>
        <v>62706.553125000006</v>
      </c>
      <c r="AH70" s="1138">
        <f t="shared" si="34"/>
        <v>2570968.6781250001</v>
      </c>
      <c r="AI70" s="1138">
        <f t="shared" si="144"/>
        <v>128548.43390625001</v>
      </c>
      <c r="AJ70" s="1138">
        <f t="shared" si="35"/>
        <v>2699517.1120312503</v>
      </c>
      <c r="AK70" s="1138">
        <f t="shared" si="36"/>
        <v>26995.171120312501</v>
      </c>
      <c r="AL70" s="1138">
        <f t="shared" si="37"/>
        <v>27537.409960060559</v>
      </c>
      <c r="AM70" s="1138"/>
      <c r="AN70" s="1138"/>
      <c r="AO70" s="1138">
        <f t="shared" si="38"/>
        <v>2754049.6931116232</v>
      </c>
      <c r="AP70" s="1138">
        <f t="shared" si="39"/>
        <v>371796.70857006917</v>
      </c>
      <c r="AQ70" s="1248">
        <f t="shared" si="40"/>
        <v>3125846.4016816923</v>
      </c>
      <c r="AR70" s="1248">
        <f t="shared" si="202"/>
        <v>3125846.4016816923</v>
      </c>
      <c r="AS70" s="1248"/>
      <c r="AT70" s="1248"/>
      <c r="AU70" s="1248">
        <f t="shared" si="42"/>
        <v>0</v>
      </c>
      <c r="AV70" s="1140">
        <f t="shared" si="43"/>
        <v>0</v>
      </c>
      <c r="AW70" s="1140">
        <f t="shared" si="44"/>
        <v>3125846.4016816923</v>
      </c>
      <c r="AX70" s="1139">
        <f t="shared" si="45"/>
        <v>39073.080021021153</v>
      </c>
      <c r="AY70" s="831" t="s">
        <v>478</v>
      </c>
      <c r="AZ70" s="831">
        <f t="shared" si="46"/>
        <v>3164919.4817027133</v>
      </c>
      <c r="BA70" s="831">
        <f t="shared" si="47"/>
        <v>118684.48056385174</v>
      </c>
      <c r="BB70" s="831"/>
      <c r="BC70" s="831">
        <f t="shared" si="189"/>
        <v>33600</v>
      </c>
      <c r="BD70" s="831"/>
      <c r="BE70" s="831">
        <f t="shared" si="48"/>
        <v>3317203.9622665648</v>
      </c>
      <c r="BF70" s="831"/>
      <c r="BG70" s="831">
        <f t="shared" si="49"/>
        <v>3317203.9622665648</v>
      </c>
      <c r="BH70" s="831"/>
      <c r="BI70" s="831">
        <f t="shared" si="50"/>
        <v>3317203.9622665648</v>
      </c>
      <c r="BJ70" s="831"/>
      <c r="BK70" s="831">
        <f t="shared" si="51"/>
        <v>3317203.9622665648</v>
      </c>
      <c r="BL70" s="831"/>
      <c r="BM70" s="831">
        <f t="shared" si="52"/>
        <v>3317203.9622665648</v>
      </c>
      <c r="BN70" s="831"/>
      <c r="BO70" s="831">
        <f t="shared" si="53"/>
        <v>3317203.9622665648</v>
      </c>
      <c r="BP70" s="831"/>
      <c r="BQ70" s="831">
        <f t="shared" si="54"/>
        <v>3317203.9622665648</v>
      </c>
      <c r="BR70" s="831"/>
      <c r="BS70" s="831">
        <f t="shared" si="55"/>
        <v>3317203.9622665648</v>
      </c>
      <c r="BT70" s="831"/>
      <c r="BU70" s="831">
        <f t="shared" si="56"/>
        <v>3317203.9622665648</v>
      </c>
      <c r="BV70" s="831"/>
      <c r="BW70" s="831">
        <f t="shared" si="57"/>
        <v>56400</v>
      </c>
      <c r="BX70" s="831">
        <f t="shared" si="58"/>
        <v>3373603.9622665648</v>
      </c>
      <c r="BY70" s="831"/>
      <c r="BZ70" s="831">
        <f t="shared" si="59"/>
        <v>3373603.9622665648</v>
      </c>
      <c r="CA70" s="1260">
        <f t="shared" si="60"/>
        <v>3373603.9622665648</v>
      </c>
      <c r="CB70" s="1260">
        <f t="shared" si="61"/>
        <v>3373603.9622665648</v>
      </c>
      <c r="CC70" s="1260"/>
      <c r="CD70" s="1260">
        <f t="shared" si="62"/>
        <v>0</v>
      </c>
      <c r="CE70" s="1260">
        <f t="shared" si="63"/>
        <v>0</v>
      </c>
      <c r="CF70" s="1260">
        <f t="shared" si="64"/>
        <v>0</v>
      </c>
      <c r="CG70" s="1266">
        <f t="shared" si="65"/>
        <v>3373603.9622665648</v>
      </c>
      <c r="CH70" s="1141">
        <f t="shared" si="66"/>
        <v>3373603.9622665648</v>
      </c>
      <c r="CI70" s="1142">
        <f t="shared" si="67"/>
        <v>0</v>
      </c>
      <c r="CJ70" s="1141">
        <f t="shared" si="68"/>
        <v>345794.40613232285</v>
      </c>
      <c r="CK70" s="1141">
        <f t="shared" si="69"/>
        <v>118076.13867932979</v>
      </c>
      <c r="CL70" s="1143">
        <f t="shared" si="139"/>
        <v>3837474.5070782173</v>
      </c>
      <c r="CM70" s="1144">
        <f t="shared" si="71"/>
        <v>0.125</v>
      </c>
      <c r="CN70" s="1141">
        <f t="shared" si="72"/>
        <v>479684.31338477717</v>
      </c>
      <c r="CO70" s="1141">
        <f t="shared" si="73"/>
        <v>30000</v>
      </c>
      <c r="CP70" s="1141">
        <f t="shared" si="74"/>
        <v>449684.31338477717</v>
      </c>
      <c r="CQ70" s="1145">
        <f t="shared" si="75"/>
        <v>13</v>
      </c>
      <c r="CR70" s="1141">
        <f t="shared" si="76"/>
        <v>34591.101029598241</v>
      </c>
      <c r="CS70" s="1144">
        <f t="shared" si="77"/>
        <v>0.875</v>
      </c>
      <c r="CT70" s="1141">
        <f t="shared" si="78"/>
        <v>3357790.1936934404</v>
      </c>
      <c r="CU70" s="1146">
        <f t="shared" si="12"/>
        <v>26032.91163202019</v>
      </c>
      <c r="CV70" s="1146">
        <f t="shared" si="13"/>
        <v>30180.767536827112</v>
      </c>
      <c r="CW70" s="1146">
        <f t="shared" si="14"/>
        <v>38986.791292495443</v>
      </c>
      <c r="CX70" s="1146">
        <f t="shared" si="15"/>
        <v>66488.270282162528</v>
      </c>
      <c r="CY70" s="1146">
        <f t="shared" si="79"/>
        <v>272763.97021781723</v>
      </c>
      <c r="CZ70" s="1146">
        <f t="shared" si="80"/>
        <v>107931.37430560609</v>
      </c>
      <c r="DA70" s="1146">
        <f t="shared" si="81"/>
        <v>77957.303007881361</v>
      </c>
      <c r="DB70" s="1146">
        <f t="shared" si="82"/>
        <v>59329.096557865647</v>
      </c>
      <c r="DC70" s="1146"/>
      <c r="DD70" s="1146"/>
      <c r="DE70" s="1146"/>
      <c r="DF70" s="1146"/>
      <c r="DG70" s="1146"/>
      <c r="DH70" s="1146"/>
      <c r="DI70" s="1146"/>
      <c r="DJ70" s="1146"/>
      <c r="DK70" s="1146"/>
      <c r="DL70" s="1146"/>
      <c r="DM70" s="1146"/>
      <c r="DN70" s="1146"/>
      <c r="DO70" s="1146"/>
      <c r="DP70" s="1146"/>
      <c r="DQ70" s="1146"/>
      <c r="DR70" s="1146"/>
      <c r="DS70" s="1146"/>
      <c r="DT70" s="1146"/>
      <c r="DU70" s="1146"/>
      <c r="DV70" s="1146"/>
      <c r="DW70" s="1146"/>
      <c r="DX70" s="1146"/>
      <c r="DY70" s="1146"/>
      <c r="DZ70" s="1146"/>
      <c r="EA70" s="1147">
        <f t="shared" si="83"/>
        <v>0</v>
      </c>
      <c r="EB70" s="1148">
        <f t="shared" si="84"/>
        <v>0</v>
      </c>
      <c r="EC70" s="1190">
        <f t="shared" si="132"/>
        <v>45839</v>
      </c>
      <c r="ED70" s="1031">
        <f t="shared" si="16"/>
        <v>20</v>
      </c>
      <c r="EE70" s="1191"/>
      <c r="EF70" s="1032">
        <f t="shared" si="17"/>
        <v>45904</v>
      </c>
      <c r="EG70" s="1029">
        <f t="shared" si="85"/>
        <v>22</v>
      </c>
      <c r="EH70" s="859" t="s">
        <v>490</v>
      </c>
      <c r="EI70" s="859" t="s">
        <v>480</v>
      </c>
      <c r="EJ70" s="860">
        <f t="shared" si="18"/>
        <v>0</v>
      </c>
      <c r="EK70" s="860">
        <f t="shared" si="19"/>
        <v>0</v>
      </c>
      <c r="EL70" s="861">
        <f t="shared" si="20"/>
        <v>0</v>
      </c>
      <c r="EM70" s="1197"/>
      <c r="EN70" s="860"/>
      <c r="EO70" s="860"/>
      <c r="EP70" s="860">
        <f t="shared" si="21"/>
        <v>0</v>
      </c>
      <c r="EQ70" s="1197"/>
      <c r="ER70" s="1200"/>
      <c r="ES70" s="1197"/>
      <c r="ET70" s="1194" t="s">
        <v>225</v>
      </c>
      <c r="EU70" s="1197" t="b">
        <f t="shared" si="22"/>
        <v>1</v>
      </c>
      <c r="EV70" s="1197" t="s">
        <v>578</v>
      </c>
      <c r="EW70" s="1197" t="s">
        <v>482</v>
      </c>
      <c r="EX70" s="1197"/>
      <c r="EY70" s="1128" t="s">
        <v>483</v>
      </c>
      <c r="EZ70" s="1128" t="s">
        <v>484</v>
      </c>
      <c r="FA70" s="1169">
        <f t="shared" si="86"/>
        <v>0</v>
      </c>
      <c r="FI70" s="1309" t="s">
        <v>149</v>
      </c>
      <c r="FJ70" s="1159" t="s">
        <v>149</v>
      </c>
      <c r="FK70" s="1160" t="b">
        <f t="shared" si="87"/>
        <v>1</v>
      </c>
      <c r="FL70" s="1131"/>
      <c r="FM70" s="1161"/>
      <c r="FO70" s="1060"/>
      <c r="FP70" s="1169"/>
      <c r="FQ70" s="1203"/>
      <c r="FU70" s="1295"/>
      <c r="FV70" s="1295"/>
      <c r="FW70" s="1023">
        <v>0.15</v>
      </c>
      <c r="FX70" s="1162">
        <v>14123.699783915263</v>
      </c>
      <c r="FY70" s="1163">
        <v>14565.065402162614</v>
      </c>
      <c r="GA70" s="1164">
        <f t="shared" si="89"/>
        <v>3837474.5070782173</v>
      </c>
      <c r="GB70" s="1165">
        <f t="shared" si="90"/>
        <v>0.15</v>
      </c>
      <c r="GC70" s="1154">
        <f t="shared" si="91"/>
        <v>575621.17606173258</v>
      </c>
      <c r="GD70" s="1164">
        <f t="shared" si="92"/>
        <v>30000</v>
      </c>
      <c r="GE70" s="1154">
        <f t="shared" si="93"/>
        <v>545621.17606173258</v>
      </c>
      <c r="GF70" s="1060">
        <f t="shared" si="94"/>
        <v>35</v>
      </c>
      <c r="GG70" s="1166">
        <f t="shared" si="95"/>
        <v>15589.176458906644</v>
      </c>
      <c r="GI70" s="1164">
        <f t="shared" si="96"/>
        <v>3837474.5070782173</v>
      </c>
      <c r="GJ70" s="1154">
        <f t="shared" si="97"/>
        <v>383747.45070782176</v>
      </c>
      <c r="GK70" s="1154">
        <f t="shared" si="98"/>
        <v>95936.862676955439</v>
      </c>
      <c r="GL70" s="1166">
        <v>15000</v>
      </c>
      <c r="GM70" s="1154">
        <f t="shared" si="99"/>
        <v>368747.45070782176</v>
      </c>
      <c r="GN70" s="1060">
        <f t="shared" si="100"/>
        <v>35</v>
      </c>
      <c r="GO70" s="1154">
        <f t="shared" si="101"/>
        <v>10535.641448794908</v>
      </c>
      <c r="GS70" s="1010">
        <f t="shared" si="102"/>
        <v>3837474.5070782173</v>
      </c>
      <c r="GT70" s="1011">
        <f t="shared" si="103"/>
        <v>0.125</v>
      </c>
      <c r="GU70" s="1010">
        <f t="shared" si="104"/>
        <v>479684.31338477717</v>
      </c>
      <c r="GV70" s="1010">
        <f t="shared" si="105"/>
        <v>30000</v>
      </c>
      <c r="GW70" s="1010">
        <f t="shared" si="106"/>
        <v>449684.31338477717</v>
      </c>
      <c r="GX70" s="1010">
        <f t="shared" si="107"/>
        <v>13</v>
      </c>
      <c r="GY70" s="1010">
        <f t="shared" si="108"/>
        <v>34591.101029598241</v>
      </c>
      <c r="GZ70" s="1011">
        <f t="shared" si="109"/>
        <v>0.875</v>
      </c>
      <c r="HA70" s="1010">
        <f t="shared" si="110"/>
        <v>3357790.1936934404</v>
      </c>
      <c r="HB70" s="1010">
        <f t="shared" si="111"/>
        <v>26032.91163202019</v>
      </c>
      <c r="HC70" s="1010">
        <f t="shared" si="112"/>
        <v>30180.767536827112</v>
      </c>
      <c r="HD70" s="1010">
        <f t="shared" si="113"/>
        <v>38986.791292495443</v>
      </c>
      <c r="HE70" s="1010">
        <f t="shared" si="114"/>
        <v>66488.270282162528</v>
      </c>
      <c r="HG70" s="1010">
        <f t="shared" si="115"/>
        <v>3837474.5070782173</v>
      </c>
      <c r="HH70" s="1011">
        <f t="shared" si="116"/>
        <v>0.125</v>
      </c>
      <c r="HI70" s="1010">
        <f t="shared" si="117"/>
        <v>479684.31338477717</v>
      </c>
      <c r="HJ70" s="1010">
        <f t="shared" si="118"/>
        <v>30000</v>
      </c>
      <c r="HK70" s="1010">
        <f t="shared" si="119"/>
        <v>449684.31338477717</v>
      </c>
      <c r="HL70" s="1012">
        <f t="shared" si="120"/>
        <v>33</v>
      </c>
      <c r="HM70" s="1167">
        <f t="shared" si="121"/>
        <v>13626.797375296277</v>
      </c>
      <c r="HN70" s="1168">
        <f t="shared" si="122"/>
        <v>0.875</v>
      </c>
      <c r="HO70" s="1167">
        <f t="shared" si="123"/>
        <v>3357790.1936934404</v>
      </c>
      <c r="HP70" s="1146">
        <f t="shared" si="124"/>
        <v>26032.91163202019</v>
      </c>
      <c r="HQ70" s="1146">
        <f t="shared" si="125"/>
        <v>30180.767536827112</v>
      </c>
      <c r="HR70" s="1146">
        <f t="shared" si="126"/>
        <v>38986.791292495443</v>
      </c>
      <c r="HS70" s="1146">
        <f t="shared" si="127"/>
        <v>66488.270282162528</v>
      </c>
      <c r="HU70" s="1167">
        <f t="shared" si="128"/>
        <v>-20964.303654301963</v>
      </c>
      <c r="HX70" s="1154"/>
      <c r="HY70" s="1154"/>
      <c r="IB70" s="1154"/>
      <c r="IC70" s="1154"/>
      <c r="ID70" s="1154"/>
      <c r="IE70" s="1154"/>
      <c r="IG70" s="1060"/>
    </row>
    <row r="71" spans="1:241" ht="14.25" hidden="1" customHeight="1">
      <c r="A71" s="1186">
        <f t="shared" si="141"/>
        <v>65</v>
      </c>
      <c r="B71" s="824" t="s">
        <v>149</v>
      </c>
      <c r="C71" s="855">
        <f t="shared" si="196"/>
        <v>14</v>
      </c>
      <c r="D71" s="856" t="s">
        <v>502</v>
      </c>
      <c r="E71" s="857" t="str">
        <f t="shared" si="23"/>
        <v>5th Floor</v>
      </c>
      <c r="F71" s="1185"/>
      <c r="G71" s="764" t="s">
        <v>226</v>
      </c>
      <c r="H71" s="764" t="s">
        <v>529</v>
      </c>
      <c r="I71" s="764" t="s">
        <v>476</v>
      </c>
      <c r="J71" s="1139">
        <v>22</v>
      </c>
      <c r="K71" s="1142"/>
      <c r="L71" s="764" t="s">
        <v>500</v>
      </c>
      <c r="M71" s="764" t="s">
        <v>93</v>
      </c>
      <c r="N71" s="856">
        <f t="shared" si="24"/>
        <v>100909.09090909091</v>
      </c>
      <c r="O71" s="1138">
        <f t="shared" si="136"/>
        <v>2220000</v>
      </c>
      <c r="P71" s="1138">
        <f t="shared" si="142"/>
        <v>22400</v>
      </c>
      <c r="Q71" s="1138">
        <f t="shared" ref="Q71:Q134" si="203">$Q$5</f>
        <v>50000</v>
      </c>
      <c r="R71" s="1138"/>
      <c r="S71" s="1138"/>
      <c r="T71" s="1138"/>
      <c r="U71" s="1138"/>
      <c r="V71" s="1138"/>
      <c r="W71" s="1138"/>
      <c r="X71" s="1138"/>
      <c r="Y71" s="1138">
        <f t="shared" si="198"/>
        <v>20000</v>
      </c>
      <c r="Z71" s="1138">
        <f t="shared" si="137"/>
        <v>75000</v>
      </c>
      <c r="AA71" s="1138">
        <f t="shared" si="138"/>
        <v>167400</v>
      </c>
      <c r="AB71" s="1138">
        <f t="shared" si="28"/>
        <v>2387400</v>
      </c>
      <c r="AC71" s="1138">
        <f t="shared" si="29"/>
        <v>59685</v>
      </c>
      <c r="AD71" s="1138">
        <f t="shared" si="30"/>
        <v>2447085</v>
      </c>
      <c r="AE71" s="1138">
        <f t="shared" si="31"/>
        <v>61177.125</v>
      </c>
      <c r="AF71" s="1138">
        <f t="shared" si="32"/>
        <v>2508262.125</v>
      </c>
      <c r="AG71" s="1138">
        <f t="shared" si="33"/>
        <v>62706.553125000006</v>
      </c>
      <c r="AH71" s="1138">
        <f t="shared" si="34"/>
        <v>2570968.6781250001</v>
      </c>
      <c r="AI71" s="1138">
        <f t="shared" si="144"/>
        <v>128548.43390625001</v>
      </c>
      <c r="AJ71" s="1138">
        <f t="shared" si="35"/>
        <v>2699517.1120312503</v>
      </c>
      <c r="AK71" s="1138">
        <f t="shared" si="36"/>
        <v>26995.171120312501</v>
      </c>
      <c r="AL71" s="1138">
        <f t="shared" si="37"/>
        <v>27537.409960060559</v>
      </c>
      <c r="AM71" s="1138"/>
      <c r="AN71" s="1138"/>
      <c r="AO71" s="1138">
        <f t="shared" si="38"/>
        <v>2754049.6931116232</v>
      </c>
      <c r="AP71" s="1138">
        <f t="shared" si="39"/>
        <v>371796.70857006917</v>
      </c>
      <c r="AQ71" s="1248">
        <f t="shared" si="40"/>
        <v>3125846.4016816923</v>
      </c>
      <c r="AR71" s="1248">
        <f t="shared" si="202"/>
        <v>3125846.4016816923</v>
      </c>
      <c r="AS71" s="1248"/>
      <c r="AT71" s="1248"/>
      <c r="AU71" s="1248">
        <f t="shared" si="42"/>
        <v>0</v>
      </c>
      <c r="AV71" s="1140">
        <f t="shared" si="43"/>
        <v>0</v>
      </c>
      <c r="AW71" s="1140">
        <f t="shared" si="44"/>
        <v>3125846.4016816923</v>
      </c>
      <c r="AX71" s="1139">
        <f t="shared" si="45"/>
        <v>39073.080021021153</v>
      </c>
      <c r="AY71" s="831" t="s">
        <v>478</v>
      </c>
      <c r="AZ71" s="831">
        <f t="shared" si="46"/>
        <v>3164919.4817027133</v>
      </c>
      <c r="BA71" s="831">
        <f t="shared" si="47"/>
        <v>118684.48056385174</v>
      </c>
      <c r="BB71" s="831"/>
      <c r="BC71" s="831">
        <f t="shared" si="189"/>
        <v>33600</v>
      </c>
      <c r="BD71" s="831"/>
      <c r="BE71" s="831">
        <f t="shared" si="48"/>
        <v>3317203.9622665648</v>
      </c>
      <c r="BF71" s="831"/>
      <c r="BG71" s="831">
        <f t="shared" si="49"/>
        <v>3317203.9622665648</v>
      </c>
      <c r="BH71" s="831"/>
      <c r="BI71" s="831">
        <f t="shared" si="50"/>
        <v>3317203.9622665648</v>
      </c>
      <c r="BJ71" s="831"/>
      <c r="BK71" s="831">
        <f t="shared" si="51"/>
        <v>3317203.9622665648</v>
      </c>
      <c r="BL71" s="831"/>
      <c r="BM71" s="831">
        <f t="shared" si="52"/>
        <v>3317203.9622665648</v>
      </c>
      <c r="BN71" s="831"/>
      <c r="BO71" s="831">
        <f t="shared" si="53"/>
        <v>3317203.9622665648</v>
      </c>
      <c r="BP71" s="831"/>
      <c r="BQ71" s="831">
        <f t="shared" si="54"/>
        <v>3317203.9622665648</v>
      </c>
      <c r="BR71" s="831"/>
      <c r="BS71" s="831">
        <f t="shared" si="55"/>
        <v>3317203.9622665648</v>
      </c>
      <c r="BT71" s="831"/>
      <c r="BU71" s="831">
        <f t="shared" si="56"/>
        <v>3317203.9622665648</v>
      </c>
      <c r="BV71" s="831"/>
      <c r="BW71" s="831">
        <f t="shared" si="57"/>
        <v>56400</v>
      </c>
      <c r="BX71" s="831">
        <f t="shared" si="58"/>
        <v>3373603.9622665648</v>
      </c>
      <c r="BY71" s="831"/>
      <c r="BZ71" s="831">
        <f t="shared" si="59"/>
        <v>3373603.9622665648</v>
      </c>
      <c r="CA71" s="1260">
        <f t="shared" si="60"/>
        <v>3373603.9622665648</v>
      </c>
      <c r="CB71" s="1260">
        <f t="shared" si="61"/>
        <v>3373603.9622665648</v>
      </c>
      <c r="CC71" s="1260"/>
      <c r="CD71" s="1260">
        <f t="shared" si="62"/>
        <v>0</v>
      </c>
      <c r="CE71" s="1260">
        <f t="shared" si="63"/>
        <v>0</v>
      </c>
      <c r="CF71" s="1260">
        <f t="shared" si="64"/>
        <v>0</v>
      </c>
      <c r="CG71" s="1266">
        <f t="shared" si="65"/>
        <v>3373603.9622665648</v>
      </c>
      <c r="CH71" s="1141">
        <f t="shared" si="66"/>
        <v>3373603.9622665648</v>
      </c>
      <c r="CI71" s="1142">
        <f t="shared" si="67"/>
        <v>0</v>
      </c>
      <c r="CJ71" s="1141">
        <f t="shared" si="68"/>
        <v>345794.40613232285</v>
      </c>
      <c r="CK71" s="1141">
        <f t="shared" si="69"/>
        <v>118076.13867932979</v>
      </c>
      <c r="CL71" s="1143">
        <f t="shared" si="139"/>
        <v>3837474.5070782173</v>
      </c>
      <c r="CM71" s="1144">
        <f t="shared" si="71"/>
        <v>0.125</v>
      </c>
      <c r="CN71" s="1141">
        <f t="shared" si="72"/>
        <v>479684.31338477717</v>
      </c>
      <c r="CO71" s="1141">
        <f t="shared" si="73"/>
        <v>30000</v>
      </c>
      <c r="CP71" s="1141">
        <f t="shared" si="74"/>
        <v>449684.31338477717</v>
      </c>
      <c r="CQ71" s="1145">
        <f t="shared" si="75"/>
        <v>13</v>
      </c>
      <c r="CR71" s="1141">
        <f t="shared" si="76"/>
        <v>34591.101029598241</v>
      </c>
      <c r="CS71" s="1144">
        <f t="shared" si="77"/>
        <v>0.875</v>
      </c>
      <c r="CT71" s="1141">
        <f t="shared" si="78"/>
        <v>3357790.1936934404</v>
      </c>
      <c r="CU71" s="1146">
        <f t="shared" ref="CU71:CU134" si="204">-PMT($CU$5/12,240,CT71,0)</f>
        <v>26032.91163202019</v>
      </c>
      <c r="CV71" s="1146">
        <f t="shared" ref="CV71:CV134" si="205">-PMT($CU$5/12,180,CT71,0)</f>
        <v>30180.767536827112</v>
      </c>
      <c r="CW71" s="1146">
        <f t="shared" ref="CW71:CW134" si="206">-PMT($CU$5/12,120,CT71,0)</f>
        <v>38986.791292495443</v>
      </c>
      <c r="CX71" s="1146">
        <f t="shared" ref="CX71:CX134" si="207">-PMT($CU$5/12,60,CT71,0)</f>
        <v>66488.270282162528</v>
      </c>
      <c r="CY71" s="1146">
        <f t="shared" si="79"/>
        <v>272763.97021781723</v>
      </c>
      <c r="CZ71" s="1146">
        <f t="shared" si="80"/>
        <v>107931.37430560609</v>
      </c>
      <c r="DA71" s="1146">
        <f t="shared" si="81"/>
        <v>77957.303007881361</v>
      </c>
      <c r="DB71" s="1146">
        <f t="shared" si="82"/>
        <v>59329.096557865647</v>
      </c>
      <c r="DC71" s="1146"/>
      <c r="DD71" s="1146"/>
      <c r="DE71" s="1146"/>
      <c r="DF71" s="1146"/>
      <c r="DG71" s="1146"/>
      <c r="DH71" s="1146"/>
      <c r="DI71" s="1146"/>
      <c r="DJ71" s="1146"/>
      <c r="DK71" s="1146"/>
      <c r="DL71" s="1146"/>
      <c r="DM71" s="1146"/>
      <c r="DN71" s="1146"/>
      <c r="DO71" s="1146"/>
      <c r="DP71" s="1146"/>
      <c r="DQ71" s="1146"/>
      <c r="DR71" s="1146"/>
      <c r="DS71" s="1146"/>
      <c r="DT71" s="1146"/>
      <c r="DU71" s="1146"/>
      <c r="DV71" s="1146"/>
      <c r="DW71" s="1146"/>
      <c r="DX71" s="1146"/>
      <c r="DY71" s="1146"/>
      <c r="DZ71" s="1146"/>
      <c r="EA71" s="1147">
        <f t="shared" ref="EA71:EA134" si="208">AT71/AR71</f>
        <v>0</v>
      </c>
      <c r="EB71" s="1148">
        <f t="shared" si="84"/>
        <v>0</v>
      </c>
      <c r="EC71" s="1190">
        <f t="shared" si="132"/>
        <v>45839</v>
      </c>
      <c r="ED71" s="1031">
        <f t="shared" ref="ED71:ED134" si="209">(YEAR(EC71)-YEAR($ED$5))*12+MONTH(EC71)-MONTH($ED$5)</f>
        <v>20</v>
      </c>
      <c r="EE71" s="1191"/>
      <c r="EF71" s="1032">
        <f t="shared" ref="EF71:EF134" si="210">EC71+65</f>
        <v>45904</v>
      </c>
      <c r="EG71" s="1029">
        <f t="shared" si="85"/>
        <v>22</v>
      </c>
      <c r="EH71" s="859" t="s">
        <v>490</v>
      </c>
      <c r="EI71" s="859" t="s">
        <v>480</v>
      </c>
      <c r="EJ71" s="860">
        <f t="shared" ref="EJ71:EJ134" si="211">EK71/J71</f>
        <v>0</v>
      </c>
      <c r="EK71" s="860">
        <f t="shared" ref="EK71:EK134" si="212">AV71</f>
        <v>0</v>
      </c>
      <c r="EL71" s="861">
        <f t="shared" ref="EL71:EL134" si="213">AV71/AR71</f>
        <v>0</v>
      </c>
      <c r="EM71" s="1197"/>
      <c r="EN71" s="860"/>
      <c r="EO71" s="860"/>
      <c r="EP71" s="860">
        <f t="shared" ref="EP71:EP134" si="214">EN71-EO71</f>
        <v>0</v>
      </c>
      <c r="EQ71" s="1197"/>
      <c r="ER71" s="1200"/>
      <c r="ES71" s="1197"/>
      <c r="ET71" s="1194" t="s">
        <v>226</v>
      </c>
      <c r="EU71" s="1197" t="b">
        <f t="shared" ref="EU71:EU134" si="215">G71=ET71</f>
        <v>1</v>
      </c>
      <c r="EV71" s="1197" t="s">
        <v>578</v>
      </c>
      <c r="EW71" s="1197" t="s">
        <v>482</v>
      </c>
      <c r="EX71" s="1197"/>
      <c r="EY71" s="1128" t="s">
        <v>483</v>
      </c>
      <c r="EZ71" s="1128" t="s">
        <v>484</v>
      </c>
      <c r="FA71" s="1169">
        <f t="shared" si="86"/>
        <v>0</v>
      </c>
      <c r="FI71" s="1309" t="s">
        <v>149</v>
      </c>
      <c r="FJ71" s="1159" t="s">
        <v>149</v>
      </c>
      <c r="FK71" s="1160" t="b">
        <f t="shared" si="87"/>
        <v>1</v>
      </c>
      <c r="FL71" s="1131"/>
      <c r="FM71" s="1161"/>
      <c r="FO71" s="1060"/>
      <c r="FP71" s="1169"/>
      <c r="FQ71" s="1203"/>
      <c r="FU71" s="1295"/>
      <c r="FV71" s="1295"/>
      <c r="FW71" s="1023">
        <v>0.15</v>
      </c>
      <c r="FX71" s="1162">
        <v>14123.699783915263</v>
      </c>
      <c r="FY71" s="1163">
        <v>14565.065402162614</v>
      </c>
      <c r="GA71" s="1164">
        <f t="shared" si="89"/>
        <v>3837474.5070782173</v>
      </c>
      <c r="GB71" s="1165">
        <f t="shared" si="90"/>
        <v>0.15</v>
      </c>
      <c r="GC71" s="1154">
        <f t="shared" si="91"/>
        <v>575621.17606173258</v>
      </c>
      <c r="GD71" s="1164">
        <f t="shared" si="92"/>
        <v>30000</v>
      </c>
      <c r="GE71" s="1154">
        <f t="shared" si="93"/>
        <v>545621.17606173258</v>
      </c>
      <c r="GF71" s="1060">
        <f t="shared" si="94"/>
        <v>35</v>
      </c>
      <c r="GG71" s="1166">
        <f t="shared" si="95"/>
        <v>15589.176458906644</v>
      </c>
      <c r="GI71" s="1164">
        <f t="shared" si="96"/>
        <v>3837474.5070782173</v>
      </c>
      <c r="GJ71" s="1154">
        <f t="shared" si="97"/>
        <v>383747.45070782176</v>
      </c>
      <c r="GK71" s="1154">
        <f t="shared" si="98"/>
        <v>95936.862676955439</v>
      </c>
      <c r="GL71" s="1166">
        <v>15000</v>
      </c>
      <c r="GM71" s="1154">
        <f t="shared" si="99"/>
        <v>368747.45070782176</v>
      </c>
      <c r="GN71" s="1060">
        <f t="shared" si="100"/>
        <v>35</v>
      </c>
      <c r="GO71" s="1154">
        <f t="shared" si="101"/>
        <v>10535.641448794908</v>
      </c>
      <c r="GS71" s="1010">
        <f t="shared" si="102"/>
        <v>3837474.5070782173</v>
      </c>
      <c r="GT71" s="1011">
        <f t="shared" si="103"/>
        <v>0.125</v>
      </c>
      <c r="GU71" s="1010">
        <f t="shared" si="104"/>
        <v>479684.31338477717</v>
      </c>
      <c r="GV71" s="1010">
        <f t="shared" si="105"/>
        <v>30000</v>
      </c>
      <c r="GW71" s="1010">
        <f t="shared" si="106"/>
        <v>449684.31338477717</v>
      </c>
      <c r="GX71" s="1010">
        <f t="shared" si="107"/>
        <v>13</v>
      </c>
      <c r="GY71" s="1010">
        <f t="shared" si="108"/>
        <v>34591.101029598241</v>
      </c>
      <c r="GZ71" s="1011">
        <f t="shared" si="109"/>
        <v>0.875</v>
      </c>
      <c r="HA71" s="1010">
        <f t="shared" si="110"/>
        <v>3357790.1936934404</v>
      </c>
      <c r="HB71" s="1010">
        <f t="shared" si="111"/>
        <v>26032.91163202019</v>
      </c>
      <c r="HC71" s="1010">
        <f t="shared" si="112"/>
        <v>30180.767536827112</v>
      </c>
      <c r="HD71" s="1010">
        <f t="shared" si="113"/>
        <v>38986.791292495443</v>
      </c>
      <c r="HE71" s="1010">
        <f t="shared" si="114"/>
        <v>66488.270282162528</v>
      </c>
      <c r="HG71" s="1010">
        <f t="shared" si="115"/>
        <v>3837474.5070782173</v>
      </c>
      <c r="HH71" s="1011">
        <f t="shared" si="116"/>
        <v>0.125</v>
      </c>
      <c r="HI71" s="1010">
        <f t="shared" si="117"/>
        <v>479684.31338477717</v>
      </c>
      <c r="HJ71" s="1010">
        <f t="shared" si="118"/>
        <v>30000</v>
      </c>
      <c r="HK71" s="1010">
        <f t="shared" si="119"/>
        <v>449684.31338477717</v>
      </c>
      <c r="HL71" s="1012">
        <f t="shared" si="120"/>
        <v>33</v>
      </c>
      <c r="HM71" s="1167">
        <f t="shared" si="121"/>
        <v>13626.797375296277</v>
      </c>
      <c r="HN71" s="1168">
        <f t="shared" si="122"/>
        <v>0.875</v>
      </c>
      <c r="HO71" s="1167">
        <f t="shared" si="123"/>
        <v>3357790.1936934404</v>
      </c>
      <c r="HP71" s="1146">
        <f t="shared" si="124"/>
        <v>26032.91163202019</v>
      </c>
      <c r="HQ71" s="1146">
        <f t="shared" si="125"/>
        <v>30180.767536827112</v>
      </c>
      <c r="HR71" s="1146">
        <f t="shared" si="126"/>
        <v>38986.791292495443</v>
      </c>
      <c r="HS71" s="1146">
        <f t="shared" si="127"/>
        <v>66488.270282162528</v>
      </c>
      <c r="HU71" s="1167">
        <f t="shared" si="128"/>
        <v>-20964.303654301963</v>
      </c>
      <c r="HX71" s="1154"/>
      <c r="HY71" s="1154"/>
      <c r="IB71" s="1154"/>
      <c r="IC71" s="1154"/>
      <c r="ID71" s="1154"/>
      <c r="IE71" s="1154"/>
      <c r="IG71" s="1060"/>
    </row>
    <row r="72" spans="1:241" ht="14.25" hidden="1" customHeight="1">
      <c r="A72" s="1186">
        <f t="shared" si="141"/>
        <v>66</v>
      </c>
      <c r="B72" s="824" t="s">
        <v>149</v>
      </c>
      <c r="C72" s="855">
        <f t="shared" si="196"/>
        <v>15</v>
      </c>
      <c r="D72" s="856" t="s">
        <v>502</v>
      </c>
      <c r="E72" s="857" t="str">
        <f t="shared" ref="E72:E135" si="216">D72</f>
        <v>5th Floor</v>
      </c>
      <c r="F72" s="1185"/>
      <c r="G72" s="764" t="s">
        <v>227</v>
      </c>
      <c r="H72" s="764" t="s">
        <v>533</v>
      </c>
      <c r="I72" s="764" t="s">
        <v>476</v>
      </c>
      <c r="J72" s="1139">
        <v>22</v>
      </c>
      <c r="K72" s="1142"/>
      <c r="L72" s="764" t="s">
        <v>500</v>
      </c>
      <c r="M72" s="764" t="s">
        <v>93</v>
      </c>
      <c r="N72" s="856">
        <f t="shared" ref="N72:N135" si="217">$N$5</f>
        <v>100909.09090909091</v>
      </c>
      <c r="O72" s="1138">
        <f t="shared" si="136"/>
        <v>2220000</v>
      </c>
      <c r="P72" s="1138">
        <f t="shared" si="142"/>
        <v>22400</v>
      </c>
      <c r="Q72" s="1138">
        <f t="shared" si="203"/>
        <v>50000</v>
      </c>
      <c r="R72" s="1138"/>
      <c r="S72" s="1138"/>
      <c r="T72" s="1138"/>
      <c r="U72" s="1138"/>
      <c r="V72" s="858"/>
      <c r="W72" s="858"/>
      <c r="X72" s="1138"/>
      <c r="Y72" s="1138">
        <f t="shared" si="198"/>
        <v>20000</v>
      </c>
      <c r="Z72" s="1138">
        <f t="shared" si="137"/>
        <v>75000</v>
      </c>
      <c r="AA72" s="1138">
        <f t="shared" si="138"/>
        <v>167400</v>
      </c>
      <c r="AB72" s="1138">
        <f t="shared" ref="AB72:AB135" si="218">O72+AA72</f>
        <v>2387400</v>
      </c>
      <c r="AC72" s="1138">
        <f t="shared" ref="AC72:AC135" si="219">AB72*$AC$5</f>
        <v>59685</v>
      </c>
      <c r="AD72" s="1138">
        <f t="shared" ref="AD72:AD135" si="220">AB72+AC72</f>
        <v>2447085</v>
      </c>
      <c r="AE72" s="1138">
        <f t="shared" ref="AE72:AE135" si="221">AD72*$AE$5</f>
        <v>61177.125</v>
      </c>
      <c r="AF72" s="1138">
        <f t="shared" ref="AF72:AF135" si="222">AD72+AE72</f>
        <v>2508262.125</v>
      </c>
      <c r="AG72" s="1138">
        <f t="shared" ref="AG72:AG135" si="223">AF72*$AG$5</f>
        <v>62706.553125000006</v>
      </c>
      <c r="AH72" s="1138">
        <f t="shared" ref="AH72:AH135" si="224">AF72+AG72</f>
        <v>2570968.6781250001</v>
      </c>
      <c r="AI72" s="1138">
        <f t="shared" ref="AI72:AI135" si="225">AH72*$AI$5</f>
        <v>128548.43390625001</v>
      </c>
      <c r="AJ72" s="1138">
        <f t="shared" ref="AJ72:AJ135" si="226">AH72+AI72</f>
        <v>2699517.1120312503</v>
      </c>
      <c r="AK72" s="1138">
        <f t="shared" ref="AK72:AK135" si="227">AJ72*$AK$5</f>
        <v>26995.171120312501</v>
      </c>
      <c r="AL72" s="1138">
        <f t="shared" ref="AL72:AL135" si="228">$AL$5</f>
        <v>27537.409960060559</v>
      </c>
      <c r="AM72" s="1138"/>
      <c r="AN72" s="1138"/>
      <c r="AO72" s="1138">
        <f t="shared" ref="AO72:AO135" si="229">AJ72+AK72+AL72+AM72+AN72</f>
        <v>2754049.6931116232</v>
      </c>
      <c r="AP72" s="1138">
        <f t="shared" ref="AP72:AP135" si="230">AO72*$AP$5</f>
        <v>371796.70857006917</v>
      </c>
      <c r="AQ72" s="1248">
        <f t="shared" ref="AQ72:AQ135" si="231">AO72+AP72</f>
        <v>3125846.4016816923</v>
      </c>
      <c r="AR72" s="1248">
        <f t="shared" si="202"/>
        <v>3125846.4016816923</v>
      </c>
      <c r="AS72" s="1248"/>
      <c r="AT72" s="1248"/>
      <c r="AU72" s="1248">
        <f t="shared" ref="AU72:AU135" si="232">AT72*$AU$5</f>
        <v>0</v>
      </c>
      <c r="AV72" s="1140">
        <f t="shared" ref="AV72:AV135" si="233">AT72+AU72</f>
        <v>0</v>
      </c>
      <c r="AW72" s="1140">
        <f t="shared" ref="AW72:AW135" si="234">AQ72+AU72</f>
        <v>3125846.4016816923</v>
      </c>
      <c r="AX72" s="1139">
        <f t="shared" ref="AX72:AX135" si="235">AW72*$AX$5</f>
        <v>39073.080021021153</v>
      </c>
      <c r="AY72" s="831" t="s">
        <v>478</v>
      </c>
      <c r="AZ72" s="831">
        <f t="shared" ref="AZ72:AZ135" si="236">AW72+AX72+AY72</f>
        <v>3164919.4817027133</v>
      </c>
      <c r="BA72" s="831">
        <f t="shared" ref="BA72:BA135" si="237">AZ72*$BA$5</f>
        <v>118684.48056385174</v>
      </c>
      <c r="BB72" s="831"/>
      <c r="BC72" s="831">
        <f t="shared" si="189"/>
        <v>33600</v>
      </c>
      <c r="BD72" s="831"/>
      <c r="BE72" s="831">
        <f t="shared" ref="BE72:BE135" si="238">AZ72+BA72+BB72+BC72+BD72</f>
        <v>3317203.9622665648</v>
      </c>
      <c r="BF72" s="831"/>
      <c r="BG72" s="831">
        <f t="shared" ref="BG72:BG135" si="239">BE72+BF72</f>
        <v>3317203.9622665648</v>
      </c>
      <c r="BH72" s="831"/>
      <c r="BI72" s="831">
        <f t="shared" ref="BI72:BI135" si="240">BG72+BH72</f>
        <v>3317203.9622665648</v>
      </c>
      <c r="BJ72" s="831"/>
      <c r="BK72" s="831">
        <f t="shared" ref="BK72:BK135" si="241">BI72+BJ72</f>
        <v>3317203.9622665648</v>
      </c>
      <c r="BL72" s="831"/>
      <c r="BM72" s="831">
        <f t="shared" ref="BM72:BM135" si="242">BK72+BL72</f>
        <v>3317203.9622665648</v>
      </c>
      <c r="BN72" s="831"/>
      <c r="BO72" s="831">
        <f t="shared" ref="BO72:BO135" si="243">BM72+BN72</f>
        <v>3317203.9622665648</v>
      </c>
      <c r="BP72" s="831"/>
      <c r="BQ72" s="831">
        <f t="shared" ref="BQ72:BQ135" si="244">BO72+BP72</f>
        <v>3317203.9622665648</v>
      </c>
      <c r="BR72" s="831"/>
      <c r="BS72" s="831">
        <f t="shared" ref="BS72:BS135" si="245">BQ72+BR72</f>
        <v>3317203.9622665648</v>
      </c>
      <c r="BT72" s="831"/>
      <c r="BU72" s="831">
        <f t="shared" ref="BU72:BU135" si="246">BS72+BT72</f>
        <v>3317203.9622665648</v>
      </c>
      <c r="BV72" s="831"/>
      <c r="BW72" s="831">
        <f t="shared" ref="BW72:BW135" si="247">$BW$2+$BW$3-BC72</f>
        <v>56400</v>
      </c>
      <c r="BX72" s="831">
        <f t="shared" ref="BX72:BX135" si="248">SUM(BU72:BW72)</f>
        <v>3373603.9622665648</v>
      </c>
      <c r="BY72" s="831"/>
      <c r="BZ72" s="831">
        <f t="shared" ref="BZ72:BZ135" si="249">BX72+BY72</f>
        <v>3373603.9622665648</v>
      </c>
      <c r="CA72" s="1260">
        <f t="shared" ref="CA72:CA135" si="250">BZ72</f>
        <v>3373603.9622665648</v>
      </c>
      <c r="CB72" s="1260">
        <f t="shared" ref="CB72:CB135" si="251">CA72-CD72</f>
        <v>3373603.9622665648</v>
      </c>
      <c r="CC72" s="1260"/>
      <c r="CD72" s="1260">
        <f t="shared" ref="CD72:CD135" si="252">CC72*J72</f>
        <v>0</v>
      </c>
      <c r="CE72" s="1260">
        <f t="shared" ref="CE72:CE135" si="253">CD72*$CE$5</f>
        <v>0</v>
      </c>
      <c r="CF72" s="1260">
        <f t="shared" ref="CF72:CF135" si="254">CD72+CE72</f>
        <v>0</v>
      </c>
      <c r="CG72" s="1266">
        <f t="shared" ref="CG72:CG135" si="255">CA72+CE72</f>
        <v>3373603.9622665648</v>
      </c>
      <c r="CH72" s="1141">
        <f t="shared" ref="CH72:CH135" si="256">CG72</f>
        <v>3373603.9622665648</v>
      </c>
      <c r="CI72" s="1142">
        <f t="shared" ref="CI72:CI135" si="257">IF(CB72&lt;=$CB$3,0,12%*CB72)</f>
        <v>0</v>
      </c>
      <c r="CJ72" s="1141">
        <f t="shared" ref="CJ72:CJ135" si="258">CH72*CJ$5</f>
        <v>345794.40613232285</v>
      </c>
      <c r="CK72" s="1141">
        <f t="shared" ref="CK72:CK135" si="259">CH72*CK$5</f>
        <v>118076.13867932979</v>
      </c>
      <c r="CL72" s="1143">
        <f t="shared" si="139"/>
        <v>3837474.5070782173</v>
      </c>
      <c r="CM72" s="1144">
        <f t="shared" ref="CM72:CM135" si="260">$CM$5</f>
        <v>0.125</v>
      </c>
      <c r="CN72" s="1141">
        <f t="shared" ref="CN72:CN156" si="261">CL72*CM72</f>
        <v>479684.31338477717</v>
      </c>
      <c r="CO72" s="1141">
        <f t="shared" ref="CO72:CO135" si="262">$CO$5</f>
        <v>30000</v>
      </c>
      <c r="CP72" s="1141">
        <f t="shared" ref="CP72:CP156" si="263">CN72-CO72</f>
        <v>449684.31338477717</v>
      </c>
      <c r="CQ72" s="1145">
        <f t="shared" ref="CQ72:CQ135" si="264">VLOOKUP(E72,$IF$6:$IH$19,3,FALSE)</f>
        <v>13</v>
      </c>
      <c r="CR72" s="1141">
        <f t="shared" ref="CR72:CR156" si="265">CP72/CQ72</f>
        <v>34591.101029598241</v>
      </c>
      <c r="CS72" s="1144">
        <f t="shared" ref="CS72:CS135" si="266">100%-CM72</f>
        <v>0.875</v>
      </c>
      <c r="CT72" s="1141">
        <f t="shared" ref="CT72:CT135" si="267">CL72*CS72</f>
        <v>3357790.1936934404</v>
      </c>
      <c r="CU72" s="1146">
        <f t="shared" si="204"/>
        <v>26032.91163202019</v>
      </c>
      <c r="CV72" s="1146">
        <f t="shared" si="205"/>
        <v>30180.767536827112</v>
      </c>
      <c r="CW72" s="1146">
        <f t="shared" si="206"/>
        <v>38986.791292495443</v>
      </c>
      <c r="CX72" s="1146">
        <f t="shared" si="207"/>
        <v>66488.270282162528</v>
      </c>
      <c r="CY72" s="1146">
        <f t="shared" ref="CY72:CY135" si="268">(CL72*80%)*$CY$5</f>
        <v>272763.97021781723</v>
      </c>
      <c r="CZ72" s="1146">
        <f t="shared" ref="CZ72:CZ135" si="269">(CL72*80%)*$CZ$5</f>
        <v>107931.37430560609</v>
      </c>
      <c r="DA72" s="1146">
        <f t="shared" ref="DA72:DA135" si="270">(CL72*80%)*$DA$5</f>
        <v>77957.303007881361</v>
      </c>
      <c r="DB72" s="1146">
        <f t="shared" ref="DB72:DB135" si="271">(CL72*80%)*$DB$5</f>
        <v>59329.096557865647</v>
      </c>
      <c r="DC72" s="1146"/>
      <c r="DD72" s="1146"/>
      <c r="DE72" s="1146"/>
      <c r="DF72" s="1146"/>
      <c r="DG72" s="1146"/>
      <c r="DH72" s="1146"/>
      <c r="DI72" s="1146"/>
      <c r="DJ72" s="1146"/>
      <c r="DK72" s="1146"/>
      <c r="DL72" s="1146"/>
      <c r="DM72" s="1146"/>
      <c r="DN72" s="1146"/>
      <c r="DO72" s="1146"/>
      <c r="DP72" s="1146"/>
      <c r="DQ72" s="1146"/>
      <c r="DR72" s="1146"/>
      <c r="DS72" s="1146"/>
      <c r="DT72" s="1146"/>
      <c r="DU72" s="1146"/>
      <c r="DV72" s="1146"/>
      <c r="DW72" s="1146"/>
      <c r="DX72" s="1146"/>
      <c r="DY72" s="1146"/>
      <c r="DZ72" s="1146"/>
      <c r="EA72" s="1147">
        <f t="shared" si="208"/>
        <v>0</v>
      </c>
      <c r="EB72" s="1148">
        <f t="shared" ref="EB72:EB135" si="272">CF72/CB72</f>
        <v>0</v>
      </c>
      <c r="EC72" s="1190">
        <f t="shared" si="132"/>
        <v>45839</v>
      </c>
      <c r="ED72" s="1031">
        <f t="shared" si="209"/>
        <v>20</v>
      </c>
      <c r="EE72" s="1191"/>
      <c r="EF72" s="1032">
        <f t="shared" si="210"/>
        <v>45904</v>
      </c>
      <c r="EG72" s="1029">
        <f t="shared" ref="EG72:EG135" si="273">(YEAR(EF72)-YEAR($EG$5))*12+MONTH(EF72)-MONTH($EG$5)+$EG$4+$EG$3</f>
        <v>22</v>
      </c>
      <c r="EH72" s="859" t="s">
        <v>490</v>
      </c>
      <c r="EI72" s="859" t="s">
        <v>480</v>
      </c>
      <c r="EJ72" s="860">
        <f t="shared" si="211"/>
        <v>0</v>
      </c>
      <c r="EK72" s="860">
        <f t="shared" si="212"/>
        <v>0</v>
      </c>
      <c r="EL72" s="861">
        <f t="shared" si="213"/>
        <v>0</v>
      </c>
      <c r="EM72" s="1197"/>
      <c r="EN72" s="860"/>
      <c r="EO72" s="860"/>
      <c r="EP72" s="860">
        <f t="shared" si="214"/>
        <v>0</v>
      </c>
      <c r="EQ72" s="1197"/>
      <c r="ER72" s="1200"/>
      <c r="ES72" s="1197"/>
      <c r="ET72" s="1194" t="s">
        <v>227</v>
      </c>
      <c r="EU72" s="1197" t="b">
        <f t="shared" si="215"/>
        <v>1</v>
      </c>
      <c r="EV72" s="1197" t="s">
        <v>579</v>
      </c>
      <c r="EW72" s="1197" t="s">
        <v>482</v>
      </c>
      <c r="EX72" s="1197"/>
      <c r="EY72" s="1128" t="s">
        <v>483</v>
      </c>
      <c r="EZ72" s="1128" t="s">
        <v>484</v>
      </c>
      <c r="FA72" s="1169">
        <f t="shared" ref="FA72:FA135" si="274">CA72-CH72</f>
        <v>0</v>
      </c>
      <c r="FI72" s="1309" t="s">
        <v>149</v>
      </c>
      <c r="FJ72" s="1159" t="s">
        <v>149</v>
      </c>
      <c r="FK72" s="1160" t="b">
        <f t="shared" ref="FK72:FK135" si="275">FI72=FJ72</f>
        <v>1</v>
      </c>
      <c r="FL72" s="1131"/>
      <c r="FM72" s="1161"/>
      <c r="FO72" s="1060"/>
      <c r="FP72" s="1169"/>
      <c r="FQ72" s="1203"/>
      <c r="FU72" s="1295"/>
      <c r="FV72" s="1295"/>
      <c r="FW72" s="1023">
        <v>0.15</v>
      </c>
      <c r="FX72" s="1162">
        <v>14123.699783915263</v>
      </c>
      <c r="FY72" s="1163">
        <v>14565.065402162614</v>
      </c>
      <c r="GA72" s="1164">
        <f t="shared" ref="GA72:GA135" si="276">CL72</f>
        <v>3837474.5070782173</v>
      </c>
      <c r="GB72" s="1165">
        <f t="shared" ref="GB72:GB135" si="277">$GB$5</f>
        <v>0.15</v>
      </c>
      <c r="GC72" s="1154">
        <f t="shared" ref="GC72:GC135" si="278">GA72*GB72</f>
        <v>575621.17606173258</v>
      </c>
      <c r="GD72" s="1164">
        <f t="shared" ref="GD72:GD135" si="279">CO72</f>
        <v>30000</v>
      </c>
      <c r="GE72" s="1154">
        <f t="shared" ref="GE72:GE135" si="280">GC72-GD72</f>
        <v>545621.17606173258</v>
      </c>
      <c r="GF72" s="1060">
        <f t="shared" ref="GF72:GF135" si="281">$GF$5</f>
        <v>35</v>
      </c>
      <c r="GG72" s="1166">
        <f t="shared" ref="GG72:GG135" si="282">GE72/GF72</f>
        <v>15589.176458906644</v>
      </c>
      <c r="GI72" s="1164">
        <f t="shared" ref="GI72:GI135" si="283">GA72</f>
        <v>3837474.5070782173</v>
      </c>
      <c r="GJ72" s="1154">
        <f t="shared" ref="GJ72:GJ135" si="284">GI72*$GJ$5</f>
        <v>383747.45070782176</v>
      </c>
      <c r="GK72" s="1154">
        <f t="shared" ref="GK72:GK135" si="285">GI72*$GK$5</f>
        <v>95936.862676955439</v>
      </c>
      <c r="GL72" s="1166">
        <v>15000</v>
      </c>
      <c r="GM72" s="1154">
        <f t="shared" ref="GM72:GM135" si="286">GJ72-GL72</f>
        <v>368747.45070782176</v>
      </c>
      <c r="GN72" s="1060">
        <f t="shared" ref="GN72:GN135" si="287">$GN$5</f>
        <v>35</v>
      </c>
      <c r="GO72" s="1154">
        <f t="shared" ref="GO72:GO135" si="288">GM72/GN72</f>
        <v>10535.641448794908</v>
      </c>
      <c r="GS72" s="1010">
        <f t="shared" ref="GS72:GS135" si="289">CL72</f>
        <v>3837474.5070782173</v>
      </c>
      <c r="GT72" s="1011">
        <f t="shared" ref="GT72:GT135" si="290">CM72</f>
        <v>0.125</v>
      </c>
      <c r="GU72" s="1010">
        <f t="shared" ref="GU72:GU135" si="291">CN72</f>
        <v>479684.31338477717</v>
      </c>
      <c r="GV72" s="1010">
        <f t="shared" ref="GV72:GV135" si="292">CO72</f>
        <v>30000</v>
      </c>
      <c r="GW72" s="1010">
        <f t="shared" ref="GW72:GW135" si="293">CP72</f>
        <v>449684.31338477717</v>
      </c>
      <c r="GX72" s="1010">
        <f t="shared" ref="GX72:GX135" si="294">CQ72</f>
        <v>13</v>
      </c>
      <c r="GY72" s="1010">
        <f t="shared" ref="GY72:GY135" si="295">CR72</f>
        <v>34591.101029598241</v>
      </c>
      <c r="GZ72" s="1011">
        <f t="shared" ref="GZ72:GZ135" si="296">CS72</f>
        <v>0.875</v>
      </c>
      <c r="HA72" s="1010">
        <f t="shared" ref="HA72:HA135" si="297">CT72</f>
        <v>3357790.1936934404</v>
      </c>
      <c r="HB72" s="1010">
        <f t="shared" ref="HB72:HB135" si="298">CU72</f>
        <v>26032.91163202019</v>
      </c>
      <c r="HC72" s="1010">
        <f t="shared" ref="HC72:HC135" si="299">CV72</f>
        <v>30180.767536827112</v>
      </c>
      <c r="HD72" s="1010">
        <f t="shared" ref="HD72:HD135" si="300">CW72</f>
        <v>38986.791292495443</v>
      </c>
      <c r="HE72" s="1010">
        <f t="shared" ref="HE72:HE135" si="301">CX72</f>
        <v>66488.270282162528</v>
      </c>
      <c r="HG72" s="1010">
        <f t="shared" ref="HG72:HG135" si="302">GS72</f>
        <v>3837474.5070782173</v>
      </c>
      <c r="HH72" s="1011">
        <f t="shared" ref="HH72:HH135" si="303">GT72</f>
        <v>0.125</v>
      </c>
      <c r="HI72" s="1010">
        <f t="shared" ref="HI72:HI135" si="304">GU72</f>
        <v>479684.31338477717</v>
      </c>
      <c r="HJ72" s="1010">
        <f t="shared" ref="HJ72:HJ135" si="305">GV72</f>
        <v>30000</v>
      </c>
      <c r="HK72" s="1010">
        <f t="shared" ref="HK72:HK135" si="306">GW72</f>
        <v>449684.31338477717</v>
      </c>
      <c r="HL72" s="1012">
        <f t="shared" ref="HL72:HL135" si="307">$HL$5</f>
        <v>33</v>
      </c>
      <c r="HM72" s="1167">
        <f t="shared" ref="HM72:HM135" si="308">HK72/HL72</f>
        <v>13626.797375296277</v>
      </c>
      <c r="HN72" s="1168">
        <f t="shared" ref="HN72:HN135" si="309">100%-HH72</f>
        <v>0.875</v>
      </c>
      <c r="HO72" s="1167">
        <f t="shared" ref="HO72:HO135" si="310">HG72*HN72</f>
        <v>3357790.1936934404</v>
      </c>
      <c r="HP72" s="1146">
        <f t="shared" ref="HP72:HP135" si="311">-PMT(7%/12,240,HO72,0)</f>
        <v>26032.91163202019</v>
      </c>
      <c r="HQ72" s="1146">
        <f t="shared" ref="HQ72:HQ135" si="312">-PMT(7%/12,180,HO72,0)</f>
        <v>30180.767536827112</v>
      </c>
      <c r="HR72" s="1146">
        <f t="shared" ref="HR72:HR135" si="313">-PMT(7%/12,120,HO72,0)</f>
        <v>38986.791292495443</v>
      </c>
      <c r="HS72" s="1146">
        <f t="shared" ref="HS72:HS135" si="314">-PMT(7%/12,60,HO72,0)</f>
        <v>66488.270282162528</v>
      </c>
      <c r="HU72" s="1167">
        <f t="shared" ref="HU72:HU135" si="315">HM72-GY72</f>
        <v>-20964.303654301963</v>
      </c>
      <c r="HX72" s="1154"/>
      <c r="HY72" s="1154"/>
      <c r="IB72" s="1154"/>
      <c r="IC72" s="1154"/>
      <c r="ID72" s="1154"/>
      <c r="IE72" s="1154"/>
      <c r="IG72" s="1060"/>
    </row>
    <row r="73" spans="1:241" ht="14.25" hidden="1" customHeight="1">
      <c r="A73" s="1186">
        <f t="shared" si="141"/>
        <v>67</v>
      </c>
      <c r="B73" s="824" t="s">
        <v>149</v>
      </c>
      <c r="C73" s="855">
        <f t="shared" si="196"/>
        <v>16</v>
      </c>
      <c r="D73" s="856" t="s">
        <v>502</v>
      </c>
      <c r="E73" s="857" t="str">
        <f t="shared" si="216"/>
        <v>5th Floor</v>
      </c>
      <c r="F73" s="1185"/>
      <c r="G73" s="764" t="s">
        <v>228</v>
      </c>
      <c r="H73" s="764" t="s">
        <v>550</v>
      </c>
      <c r="I73" s="764" t="s">
        <v>476</v>
      </c>
      <c r="J73" s="1139">
        <v>22</v>
      </c>
      <c r="K73" s="1142"/>
      <c r="L73" s="764" t="s">
        <v>500</v>
      </c>
      <c r="M73" s="764" t="s">
        <v>93</v>
      </c>
      <c r="N73" s="856">
        <f t="shared" si="217"/>
        <v>100909.09090909091</v>
      </c>
      <c r="O73" s="1138">
        <f t="shared" si="136"/>
        <v>2220000</v>
      </c>
      <c r="P73" s="1138">
        <f t="shared" si="142"/>
        <v>22400</v>
      </c>
      <c r="Q73" s="1138">
        <f t="shared" si="203"/>
        <v>50000</v>
      </c>
      <c r="R73" s="1138"/>
      <c r="S73" s="1138"/>
      <c r="T73" s="1138"/>
      <c r="U73" s="1138"/>
      <c r="V73" s="858"/>
      <c r="W73" s="858"/>
      <c r="X73" s="1138"/>
      <c r="Y73" s="1138">
        <f t="shared" si="198"/>
        <v>20000</v>
      </c>
      <c r="Z73" s="1138">
        <f t="shared" si="137"/>
        <v>75000</v>
      </c>
      <c r="AA73" s="1138">
        <f t="shared" si="138"/>
        <v>167400</v>
      </c>
      <c r="AB73" s="1138">
        <f t="shared" si="218"/>
        <v>2387400</v>
      </c>
      <c r="AC73" s="1138">
        <f t="shared" si="219"/>
        <v>59685</v>
      </c>
      <c r="AD73" s="1138">
        <f t="shared" si="220"/>
        <v>2447085</v>
      </c>
      <c r="AE73" s="1138">
        <f t="shared" si="221"/>
        <v>61177.125</v>
      </c>
      <c r="AF73" s="1138">
        <f t="shared" si="222"/>
        <v>2508262.125</v>
      </c>
      <c r="AG73" s="1138">
        <f t="shared" si="223"/>
        <v>62706.553125000006</v>
      </c>
      <c r="AH73" s="1138">
        <f t="shared" si="224"/>
        <v>2570968.6781250001</v>
      </c>
      <c r="AI73" s="1138">
        <f t="shared" si="225"/>
        <v>128548.43390625001</v>
      </c>
      <c r="AJ73" s="1138">
        <f t="shared" si="226"/>
        <v>2699517.1120312503</v>
      </c>
      <c r="AK73" s="1138">
        <f t="shared" si="227"/>
        <v>26995.171120312501</v>
      </c>
      <c r="AL73" s="1138">
        <f t="shared" si="228"/>
        <v>27537.409960060559</v>
      </c>
      <c r="AM73" s="1138"/>
      <c r="AN73" s="1138"/>
      <c r="AO73" s="1138">
        <f t="shared" si="229"/>
        <v>2754049.6931116232</v>
      </c>
      <c r="AP73" s="1138">
        <f t="shared" si="230"/>
        <v>371796.70857006917</v>
      </c>
      <c r="AQ73" s="1248">
        <f t="shared" si="231"/>
        <v>3125846.4016816923</v>
      </c>
      <c r="AR73" s="1248">
        <f t="shared" si="202"/>
        <v>3125846.4016816923</v>
      </c>
      <c r="AS73" s="1248"/>
      <c r="AT73" s="1248"/>
      <c r="AU73" s="1248">
        <f t="shared" si="232"/>
        <v>0</v>
      </c>
      <c r="AV73" s="1140">
        <f t="shared" si="233"/>
        <v>0</v>
      </c>
      <c r="AW73" s="1140">
        <f t="shared" si="234"/>
        <v>3125846.4016816923</v>
      </c>
      <c r="AX73" s="1139">
        <f t="shared" si="235"/>
        <v>39073.080021021153</v>
      </c>
      <c r="AY73" s="831" t="s">
        <v>478</v>
      </c>
      <c r="AZ73" s="831">
        <f t="shared" si="236"/>
        <v>3164919.4817027133</v>
      </c>
      <c r="BA73" s="831">
        <f t="shared" si="237"/>
        <v>118684.48056385174</v>
      </c>
      <c r="BB73" s="831"/>
      <c r="BC73" s="831">
        <f t="shared" si="189"/>
        <v>33600</v>
      </c>
      <c r="BD73" s="831"/>
      <c r="BE73" s="831">
        <f t="shared" si="238"/>
        <v>3317203.9622665648</v>
      </c>
      <c r="BF73" s="831"/>
      <c r="BG73" s="831">
        <f t="shared" si="239"/>
        <v>3317203.9622665648</v>
      </c>
      <c r="BH73" s="831"/>
      <c r="BI73" s="831">
        <f t="shared" si="240"/>
        <v>3317203.9622665648</v>
      </c>
      <c r="BJ73" s="831"/>
      <c r="BK73" s="831">
        <f t="shared" si="241"/>
        <v>3317203.9622665648</v>
      </c>
      <c r="BL73" s="831"/>
      <c r="BM73" s="831">
        <f t="shared" si="242"/>
        <v>3317203.9622665648</v>
      </c>
      <c r="BN73" s="831"/>
      <c r="BO73" s="831">
        <f t="shared" si="243"/>
        <v>3317203.9622665648</v>
      </c>
      <c r="BP73" s="831"/>
      <c r="BQ73" s="831">
        <f t="shared" si="244"/>
        <v>3317203.9622665648</v>
      </c>
      <c r="BR73" s="831"/>
      <c r="BS73" s="831">
        <f t="shared" si="245"/>
        <v>3317203.9622665648</v>
      </c>
      <c r="BT73" s="831"/>
      <c r="BU73" s="831">
        <f t="shared" si="246"/>
        <v>3317203.9622665648</v>
      </c>
      <c r="BV73" s="831"/>
      <c r="BW73" s="831">
        <f t="shared" si="247"/>
        <v>56400</v>
      </c>
      <c r="BX73" s="831">
        <f t="shared" si="248"/>
        <v>3373603.9622665648</v>
      </c>
      <c r="BY73" s="831"/>
      <c r="BZ73" s="831">
        <f t="shared" si="249"/>
        <v>3373603.9622665648</v>
      </c>
      <c r="CA73" s="1260">
        <f t="shared" si="250"/>
        <v>3373603.9622665648</v>
      </c>
      <c r="CB73" s="1260">
        <f t="shared" si="251"/>
        <v>3373603.9622665648</v>
      </c>
      <c r="CC73" s="1260"/>
      <c r="CD73" s="1260">
        <f t="shared" si="252"/>
        <v>0</v>
      </c>
      <c r="CE73" s="1260">
        <f t="shared" si="253"/>
        <v>0</v>
      </c>
      <c r="CF73" s="1260">
        <f t="shared" si="254"/>
        <v>0</v>
      </c>
      <c r="CG73" s="1266">
        <f t="shared" si="255"/>
        <v>3373603.9622665648</v>
      </c>
      <c r="CH73" s="1141">
        <f t="shared" si="256"/>
        <v>3373603.9622665648</v>
      </c>
      <c r="CI73" s="1142">
        <f t="shared" si="257"/>
        <v>0</v>
      </c>
      <c r="CJ73" s="1141">
        <f t="shared" si="258"/>
        <v>345794.40613232285</v>
      </c>
      <c r="CK73" s="1141">
        <f t="shared" si="259"/>
        <v>118076.13867932979</v>
      </c>
      <c r="CL73" s="1143">
        <f t="shared" si="139"/>
        <v>3837474.5070782173</v>
      </c>
      <c r="CM73" s="1144">
        <f t="shared" si="260"/>
        <v>0.125</v>
      </c>
      <c r="CN73" s="1141">
        <f t="shared" si="261"/>
        <v>479684.31338477717</v>
      </c>
      <c r="CO73" s="1141">
        <f t="shared" si="262"/>
        <v>30000</v>
      </c>
      <c r="CP73" s="1141">
        <f t="shared" si="263"/>
        <v>449684.31338477717</v>
      </c>
      <c r="CQ73" s="1145">
        <f t="shared" si="264"/>
        <v>13</v>
      </c>
      <c r="CR73" s="1141">
        <f t="shared" si="265"/>
        <v>34591.101029598241</v>
      </c>
      <c r="CS73" s="1144">
        <f t="shared" si="266"/>
        <v>0.875</v>
      </c>
      <c r="CT73" s="1141">
        <f t="shared" si="267"/>
        <v>3357790.1936934404</v>
      </c>
      <c r="CU73" s="1146">
        <f t="shared" si="204"/>
        <v>26032.91163202019</v>
      </c>
      <c r="CV73" s="1146">
        <f t="shared" si="205"/>
        <v>30180.767536827112</v>
      </c>
      <c r="CW73" s="1146">
        <f t="shared" si="206"/>
        <v>38986.791292495443</v>
      </c>
      <c r="CX73" s="1146">
        <f t="shared" si="207"/>
        <v>66488.270282162528</v>
      </c>
      <c r="CY73" s="1146">
        <f t="shared" si="268"/>
        <v>272763.97021781723</v>
      </c>
      <c r="CZ73" s="1146">
        <f t="shared" si="269"/>
        <v>107931.37430560609</v>
      </c>
      <c r="DA73" s="1146">
        <f t="shared" si="270"/>
        <v>77957.303007881361</v>
      </c>
      <c r="DB73" s="1146">
        <f t="shared" si="271"/>
        <v>59329.096557865647</v>
      </c>
      <c r="DC73" s="1146"/>
      <c r="DD73" s="1146"/>
      <c r="DE73" s="1146"/>
      <c r="DF73" s="1146"/>
      <c r="DG73" s="1146"/>
      <c r="DH73" s="1146"/>
      <c r="DI73" s="1146"/>
      <c r="DJ73" s="1146"/>
      <c r="DK73" s="1146"/>
      <c r="DL73" s="1146"/>
      <c r="DM73" s="1146"/>
      <c r="DN73" s="1146"/>
      <c r="DO73" s="1146"/>
      <c r="DP73" s="1146"/>
      <c r="DQ73" s="1146"/>
      <c r="DR73" s="1146"/>
      <c r="DS73" s="1146"/>
      <c r="DT73" s="1146"/>
      <c r="DU73" s="1146"/>
      <c r="DV73" s="1146"/>
      <c r="DW73" s="1146"/>
      <c r="DX73" s="1146"/>
      <c r="DY73" s="1146"/>
      <c r="DZ73" s="1146"/>
      <c r="EA73" s="1147">
        <f t="shared" si="208"/>
        <v>0</v>
      </c>
      <c r="EB73" s="1148">
        <f t="shared" si="272"/>
        <v>0</v>
      </c>
      <c r="EC73" s="1190">
        <f t="shared" ref="EC73:EC136" si="316">$EC$7</f>
        <v>45839</v>
      </c>
      <c r="ED73" s="1031">
        <f t="shared" si="209"/>
        <v>20</v>
      </c>
      <c r="EE73" s="1191"/>
      <c r="EF73" s="1032">
        <f t="shared" si="210"/>
        <v>45904</v>
      </c>
      <c r="EG73" s="1029">
        <f t="shared" si="273"/>
        <v>22</v>
      </c>
      <c r="EH73" s="859" t="s">
        <v>490</v>
      </c>
      <c r="EI73" s="859" t="s">
        <v>480</v>
      </c>
      <c r="EJ73" s="860">
        <f t="shared" si="211"/>
        <v>0</v>
      </c>
      <c r="EK73" s="860">
        <f t="shared" si="212"/>
        <v>0</v>
      </c>
      <c r="EL73" s="861">
        <f t="shared" si="213"/>
        <v>0</v>
      </c>
      <c r="EM73" s="1197"/>
      <c r="EN73" s="860"/>
      <c r="EO73" s="860"/>
      <c r="EP73" s="860">
        <f t="shared" si="214"/>
        <v>0</v>
      </c>
      <c r="EQ73" s="1197"/>
      <c r="ER73" s="1200"/>
      <c r="ES73" s="1197"/>
      <c r="ET73" s="1194" t="s">
        <v>228</v>
      </c>
      <c r="EU73" s="1197" t="b">
        <f t="shared" si="215"/>
        <v>1</v>
      </c>
      <c r="EV73" s="1197" t="s">
        <v>580</v>
      </c>
      <c r="EW73" s="1197" t="s">
        <v>482</v>
      </c>
      <c r="EX73" s="1197"/>
      <c r="EY73" s="1128" t="s">
        <v>483</v>
      </c>
      <c r="EZ73" s="1128" t="s">
        <v>484</v>
      </c>
      <c r="FA73" s="1169">
        <f t="shared" si="274"/>
        <v>0</v>
      </c>
      <c r="FI73" s="1309" t="s">
        <v>149</v>
      </c>
      <c r="FJ73" s="1159" t="s">
        <v>149</v>
      </c>
      <c r="FK73" s="1160" t="b">
        <f t="shared" si="275"/>
        <v>1</v>
      </c>
      <c r="FL73" s="1131"/>
      <c r="FM73" s="1161"/>
      <c r="FO73" s="1060"/>
      <c r="FP73" s="1169"/>
      <c r="FQ73" s="1203"/>
      <c r="FU73" s="1295"/>
      <c r="FV73" s="1295"/>
      <c r="FW73" s="1023">
        <v>0.15</v>
      </c>
      <c r="FX73" s="1162">
        <v>14123.699783915263</v>
      </c>
      <c r="FY73" s="1163">
        <v>14565.065402162614</v>
      </c>
      <c r="GA73" s="1164">
        <f t="shared" si="276"/>
        <v>3837474.5070782173</v>
      </c>
      <c r="GB73" s="1165">
        <f t="shared" si="277"/>
        <v>0.15</v>
      </c>
      <c r="GC73" s="1154">
        <f t="shared" si="278"/>
        <v>575621.17606173258</v>
      </c>
      <c r="GD73" s="1164">
        <f t="shared" si="279"/>
        <v>30000</v>
      </c>
      <c r="GE73" s="1154">
        <f t="shared" si="280"/>
        <v>545621.17606173258</v>
      </c>
      <c r="GF73" s="1060">
        <f t="shared" si="281"/>
        <v>35</v>
      </c>
      <c r="GG73" s="1166">
        <f t="shared" si="282"/>
        <v>15589.176458906644</v>
      </c>
      <c r="GI73" s="1164">
        <f t="shared" si="283"/>
        <v>3837474.5070782173</v>
      </c>
      <c r="GJ73" s="1154">
        <f t="shared" si="284"/>
        <v>383747.45070782176</v>
      </c>
      <c r="GK73" s="1154">
        <f t="shared" si="285"/>
        <v>95936.862676955439</v>
      </c>
      <c r="GL73" s="1166">
        <v>15000</v>
      </c>
      <c r="GM73" s="1154">
        <f t="shared" si="286"/>
        <v>368747.45070782176</v>
      </c>
      <c r="GN73" s="1060">
        <f t="shared" si="287"/>
        <v>35</v>
      </c>
      <c r="GO73" s="1154">
        <f t="shared" si="288"/>
        <v>10535.641448794908</v>
      </c>
      <c r="GS73" s="1010">
        <f t="shared" si="289"/>
        <v>3837474.5070782173</v>
      </c>
      <c r="GT73" s="1011">
        <f t="shared" si="290"/>
        <v>0.125</v>
      </c>
      <c r="GU73" s="1010">
        <f t="shared" si="291"/>
        <v>479684.31338477717</v>
      </c>
      <c r="GV73" s="1010">
        <f t="shared" si="292"/>
        <v>30000</v>
      </c>
      <c r="GW73" s="1010">
        <f t="shared" si="293"/>
        <v>449684.31338477717</v>
      </c>
      <c r="GX73" s="1010">
        <f t="shared" si="294"/>
        <v>13</v>
      </c>
      <c r="GY73" s="1010">
        <f t="shared" si="295"/>
        <v>34591.101029598241</v>
      </c>
      <c r="GZ73" s="1011">
        <f t="shared" si="296"/>
        <v>0.875</v>
      </c>
      <c r="HA73" s="1010">
        <f t="shared" si="297"/>
        <v>3357790.1936934404</v>
      </c>
      <c r="HB73" s="1010">
        <f t="shared" si="298"/>
        <v>26032.91163202019</v>
      </c>
      <c r="HC73" s="1010">
        <f t="shared" si="299"/>
        <v>30180.767536827112</v>
      </c>
      <c r="HD73" s="1010">
        <f t="shared" si="300"/>
        <v>38986.791292495443</v>
      </c>
      <c r="HE73" s="1010">
        <f t="shared" si="301"/>
        <v>66488.270282162528</v>
      </c>
      <c r="HG73" s="1010">
        <f t="shared" si="302"/>
        <v>3837474.5070782173</v>
      </c>
      <c r="HH73" s="1011">
        <f t="shared" si="303"/>
        <v>0.125</v>
      </c>
      <c r="HI73" s="1010">
        <f t="shared" si="304"/>
        <v>479684.31338477717</v>
      </c>
      <c r="HJ73" s="1010">
        <f t="shared" si="305"/>
        <v>30000</v>
      </c>
      <c r="HK73" s="1010">
        <f t="shared" si="306"/>
        <v>449684.31338477717</v>
      </c>
      <c r="HL73" s="1012">
        <f t="shared" si="307"/>
        <v>33</v>
      </c>
      <c r="HM73" s="1167">
        <f t="shared" si="308"/>
        <v>13626.797375296277</v>
      </c>
      <c r="HN73" s="1168">
        <f t="shared" si="309"/>
        <v>0.875</v>
      </c>
      <c r="HO73" s="1167">
        <f t="shared" si="310"/>
        <v>3357790.1936934404</v>
      </c>
      <c r="HP73" s="1146">
        <f t="shared" si="311"/>
        <v>26032.91163202019</v>
      </c>
      <c r="HQ73" s="1146">
        <f t="shared" si="312"/>
        <v>30180.767536827112</v>
      </c>
      <c r="HR73" s="1146">
        <f t="shared" si="313"/>
        <v>38986.791292495443</v>
      </c>
      <c r="HS73" s="1146">
        <f t="shared" si="314"/>
        <v>66488.270282162528</v>
      </c>
      <c r="HU73" s="1167">
        <f t="shared" si="315"/>
        <v>-20964.303654301963</v>
      </c>
      <c r="HX73" s="1154"/>
      <c r="HY73" s="1154"/>
      <c r="IB73" s="1154"/>
      <c r="IC73" s="1154"/>
      <c r="ID73" s="1154"/>
      <c r="IE73" s="1154"/>
      <c r="IG73" s="1060"/>
    </row>
    <row r="74" spans="1:241" ht="14.25" hidden="1" customHeight="1">
      <c r="A74" s="1186">
        <f t="shared" si="141"/>
        <v>68</v>
      </c>
      <c r="B74" s="824" t="s">
        <v>149</v>
      </c>
      <c r="C74" s="855">
        <f t="shared" si="196"/>
        <v>17</v>
      </c>
      <c r="D74" s="856" t="s">
        <v>502</v>
      </c>
      <c r="E74" s="857" t="str">
        <f t="shared" si="216"/>
        <v>5th Floor</v>
      </c>
      <c r="F74" s="1185"/>
      <c r="G74" s="764" t="s">
        <v>229</v>
      </c>
      <c r="H74" s="764" t="s">
        <v>552</v>
      </c>
      <c r="I74" s="764" t="s">
        <v>476</v>
      </c>
      <c r="J74" s="1139">
        <v>22</v>
      </c>
      <c r="K74" s="1142"/>
      <c r="L74" s="764" t="s">
        <v>500</v>
      </c>
      <c r="M74" s="764" t="s">
        <v>93</v>
      </c>
      <c r="N74" s="856">
        <f t="shared" si="217"/>
        <v>100909.09090909091</v>
      </c>
      <c r="O74" s="1138">
        <f t="shared" si="136"/>
        <v>2220000</v>
      </c>
      <c r="P74" s="1138">
        <f t="shared" si="142"/>
        <v>22400</v>
      </c>
      <c r="Q74" s="1138">
        <f t="shared" si="203"/>
        <v>50000</v>
      </c>
      <c r="R74" s="1138"/>
      <c r="S74" s="1138"/>
      <c r="T74" s="1138"/>
      <c r="U74" s="1138"/>
      <c r="V74" s="1138"/>
      <c r="W74" s="858"/>
      <c r="X74" s="1138"/>
      <c r="Y74" s="1138">
        <f t="shared" si="198"/>
        <v>20000</v>
      </c>
      <c r="Z74" s="1138">
        <f t="shared" si="137"/>
        <v>75000</v>
      </c>
      <c r="AA74" s="1138">
        <f t="shared" si="138"/>
        <v>167400</v>
      </c>
      <c r="AB74" s="1138">
        <f t="shared" si="218"/>
        <v>2387400</v>
      </c>
      <c r="AC74" s="1138">
        <f t="shared" si="219"/>
        <v>59685</v>
      </c>
      <c r="AD74" s="1138">
        <f t="shared" si="220"/>
        <v>2447085</v>
      </c>
      <c r="AE74" s="1138">
        <f t="shared" si="221"/>
        <v>61177.125</v>
      </c>
      <c r="AF74" s="1138">
        <f t="shared" si="222"/>
        <v>2508262.125</v>
      </c>
      <c r="AG74" s="1138">
        <f t="shared" si="223"/>
        <v>62706.553125000006</v>
      </c>
      <c r="AH74" s="1138">
        <f t="shared" si="224"/>
        <v>2570968.6781250001</v>
      </c>
      <c r="AI74" s="1138">
        <f t="shared" si="225"/>
        <v>128548.43390625001</v>
      </c>
      <c r="AJ74" s="1138">
        <f t="shared" si="226"/>
        <v>2699517.1120312503</v>
      </c>
      <c r="AK74" s="1138">
        <f t="shared" si="227"/>
        <v>26995.171120312501</v>
      </c>
      <c r="AL74" s="1138">
        <f t="shared" si="228"/>
        <v>27537.409960060559</v>
      </c>
      <c r="AM74" s="1138"/>
      <c r="AN74" s="1138"/>
      <c r="AO74" s="1138">
        <f t="shared" si="229"/>
        <v>2754049.6931116232</v>
      </c>
      <c r="AP74" s="1138">
        <f t="shared" si="230"/>
        <v>371796.70857006917</v>
      </c>
      <c r="AQ74" s="1248">
        <f t="shared" si="231"/>
        <v>3125846.4016816923</v>
      </c>
      <c r="AR74" s="1248">
        <f t="shared" si="202"/>
        <v>3125846.4016816923</v>
      </c>
      <c r="AS74" s="1248"/>
      <c r="AT74" s="1248"/>
      <c r="AU74" s="1248">
        <f t="shared" si="232"/>
        <v>0</v>
      </c>
      <c r="AV74" s="1140">
        <f t="shared" si="233"/>
        <v>0</v>
      </c>
      <c r="AW74" s="1140">
        <f t="shared" si="234"/>
        <v>3125846.4016816923</v>
      </c>
      <c r="AX74" s="1139">
        <f t="shared" si="235"/>
        <v>39073.080021021153</v>
      </c>
      <c r="AY74" s="831" t="s">
        <v>478</v>
      </c>
      <c r="AZ74" s="831">
        <f t="shared" si="236"/>
        <v>3164919.4817027133</v>
      </c>
      <c r="BA74" s="831">
        <f t="shared" si="237"/>
        <v>118684.48056385174</v>
      </c>
      <c r="BB74" s="831"/>
      <c r="BC74" s="831">
        <f t="shared" si="189"/>
        <v>33600</v>
      </c>
      <c r="BD74" s="831"/>
      <c r="BE74" s="831">
        <f t="shared" si="238"/>
        <v>3317203.9622665648</v>
      </c>
      <c r="BF74" s="831"/>
      <c r="BG74" s="831">
        <f t="shared" si="239"/>
        <v>3317203.9622665648</v>
      </c>
      <c r="BH74" s="831"/>
      <c r="BI74" s="831">
        <f t="shared" si="240"/>
        <v>3317203.9622665648</v>
      </c>
      <c r="BJ74" s="831"/>
      <c r="BK74" s="831">
        <f t="shared" si="241"/>
        <v>3317203.9622665648</v>
      </c>
      <c r="BL74" s="831"/>
      <c r="BM74" s="831">
        <f t="shared" si="242"/>
        <v>3317203.9622665648</v>
      </c>
      <c r="BN74" s="831"/>
      <c r="BO74" s="831">
        <f t="shared" si="243"/>
        <v>3317203.9622665648</v>
      </c>
      <c r="BP74" s="831"/>
      <c r="BQ74" s="831">
        <f t="shared" si="244"/>
        <v>3317203.9622665648</v>
      </c>
      <c r="BR74" s="831"/>
      <c r="BS74" s="831">
        <f t="shared" si="245"/>
        <v>3317203.9622665648</v>
      </c>
      <c r="BT74" s="831"/>
      <c r="BU74" s="831">
        <f t="shared" si="246"/>
        <v>3317203.9622665648</v>
      </c>
      <c r="BV74" s="831"/>
      <c r="BW74" s="831">
        <f t="shared" si="247"/>
        <v>56400</v>
      </c>
      <c r="BX74" s="831">
        <f t="shared" si="248"/>
        <v>3373603.9622665648</v>
      </c>
      <c r="BY74" s="831"/>
      <c r="BZ74" s="831">
        <f t="shared" si="249"/>
        <v>3373603.9622665648</v>
      </c>
      <c r="CA74" s="1260">
        <f t="shared" si="250"/>
        <v>3373603.9622665648</v>
      </c>
      <c r="CB74" s="1260">
        <f t="shared" si="251"/>
        <v>3373603.9622665648</v>
      </c>
      <c r="CC74" s="1260"/>
      <c r="CD74" s="1260">
        <f t="shared" si="252"/>
        <v>0</v>
      </c>
      <c r="CE74" s="1260">
        <f t="shared" si="253"/>
        <v>0</v>
      </c>
      <c r="CF74" s="1260">
        <f t="shared" si="254"/>
        <v>0</v>
      </c>
      <c r="CG74" s="1266">
        <f t="shared" si="255"/>
        <v>3373603.9622665648</v>
      </c>
      <c r="CH74" s="1141">
        <f t="shared" si="256"/>
        <v>3373603.9622665648</v>
      </c>
      <c r="CI74" s="1142">
        <f t="shared" si="257"/>
        <v>0</v>
      </c>
      <c r="CJ74" s="1141">
        <f t="shared" si="258"/>
        <v>345794.40613232285</v>
      </c>
      <c r="CK74" s="1141">
        <f t="shared" si="259"/>
        <v>118076.13867932979</v>
      </c>
      <c r="CL74" s="1143">
        <f t="shared" si="139"/>
        <v>3837474.5070782173</v>
      </c>
      <c r="CM74" s="1144">
        <f t="shared" si="260"/>
        <v>0.125</v>
      </c>
      <c r="CN74" s="1141">
        <f t="shared" si="261"/>
        <v>479684.31338477717</v>
      </c>
      <c r="CO74" s="1141">
        <f t="shared" si="262"/>
        <v>30000</v>
      </c>
      <c r="CP74" s="1141">
        <f t="shared" si="263"/>
        <v>449684.31338477717</v>
      </c>
      <c r="CQ74" s="1145">
        <f t="shared" si="264"/>
        <v>13</v>
      </c>
      <c r="CR74" s="1141">
        <f t="shared" si="265"/>
        <v>34591.101029598241</v>
      </c>
      <c r="CS74" s="1144">
        <f t="shared" si="266"/>
        <v>0.875</v>
      </c>
      <c r="CT74" s="1141">
        <f t="shared" si="267"/>
        <v>3357790.1936934404</v>
      </c>
      <c r="CU74" s="1146">
        <f t="shared" si="204"/>
        <v>26032.91163202019</v>
      </c>
      <c r="CV74" s="1146">
        <f t="shared" si="205"/>
        <v>30180.767536827112</v>
      </c>
      <c r="CW74" s="1146">
        <f t="shared" si="206"/>
        <v>38986.791292495443</v>
      </c>
      <c r="CX74" s="1146">
        <f t="shared" si="207"/>
        <v>66488.270282162528</v>
      </c>
      <c r="CY74" s="1146">
        <f t="shared" si="268"/>
        <v>272763.97021781723</v>
      </c>
      <c r="CZ74" s="1146">
        <f t="shared" si="269"/>
        <v>107931.37430560609</v>
      </c>
      <c r="DA74" s="1146">
        <f t="shared" si="270"/>
        <v>77957.303007881361</v>
      </c>
      <c r="DB74" s="1146">
        <f t="shared" si="271"/>
        <v>59329.096557865647</v>
      </c>
      <c r="DC74" s="1146"/>
      <c r="DD74" s="1146"/>
      <c r="DE74" s="1146"/>
      <c r="DF74" s="1146"/>
      <c r="DG74" s="1146"/>
      <c r="DH74" s="1146"/>
      <c r="DI74" s="1146"/>
      <c r="DJ74" s="1146"/>
      <c r="DK74" s="1146"/>
      <c r="DL74" s="1146"/>
      <c r="DM74" s="1146"/>
      <c r="DN74" s="1146"/>
      <c r="DO74" s="1146"/>
      <c r="DP74" s="1146"/>
      <c r="DQ74" s="1146"/>
      <c r="DR74" s="1146"/>
      <c r="DS74" s="1146"/>
      <c r="DT74" s="1146"/>
      <c r="DU74" s="1146"/>
      <c r="DV74" s="1146"/>
      <c r="DW74" s="1146"/>
      <c r="DX74" s="1146"/>
      <c r="DY74" s="1146"/>
      <c r="DZ74" s="1146"/>
      <c r="EA74" s="1147">
        <f t="shared" si="208"/>
        <v>0</v>
      </c>
      <c r="EB74" s="1148">
        <f t="shared" si="272"/>
        <v>0</v>
      </c>
      <c r="EC74" s="1190">
        <f t="shared" si="316"/>
        <v>45839</v>
      </c>
      <c r="ED74" s="1031">
        <f t="shared" si="209"/>
        <v>20</v>
      </c>
      <c r="EE74" s="1191"/>
      <c r="EF74" s="1032">
        <f t="shared" si="210"/>
        <v>45904</v>
      </c>
      <c r="EG74" s="1029">
        <f t="shared" si="273"/>
        <v>22</v>
      </c>
      <c r="EH74" s="859" t="s">
        <v>490</v>
      </c>
      <c r="EI74" s="859" t="s">
        <v>480</v>
      </c>
      <c r="EJ74" s="860">
        <f t="shared" si="211"/>
        <v>0</v>
      </c>
      <c r="EK74" s="860">
        <f t="shared" si="212"/>
        <v>0</v>
      </c>
      <c r="EL74" s="861">
        <f t="shared" si="213"/>
        <v>0</v>
      </c>
      <c r="EM74" s="1197"/>
      <c r="EN74" s="860"/>
      <c r="EO74" s="860"/>
      <c r="EP74" s="860">
        <f t="shared" si="214"/>
        <v>0</v>
      </c>
      <c r="EQ74" s="1197"/>
      <c r="ER74" s="1200"/>
      <c r="ES74" s="1197"/>
      <c r="ET74" s="1194" t="s">
        <v>229</v>
      </c>
      <c r="EU74" s="1197" t="b">
        <f t="shared" si="215"/>
        <v>1</v>
      </c>
      <c r="EV74" s="1197" t="s">
        <v>581</v>
      </c>
      <c r="EW74" s="1197" t="s">
        <v>482</v>
      </c>
      <c r="EX74" s="1197"/>
      <c r="EY74" s="1128" t="s">
        <v>483</v>
      </c>
      <c r="EZ74" s="1128" t="s">
        <v>484</v>
      </c>
      <c r="FA74" s="1169">
        <f t="shared" si="274"/>
        <v>0</v>
      </c>
      <c r="FI74" s="1309" t="s">
        <v>149</v>
      </c>
      <c r="FJ74" s="1159" t="s">
        <v>149</v>
      </c>
      <c r="FK74" s="1160" t="b">
        <f t="shared" si="275"/>
        <v>1</v>
      </c>
      <c r="FL74" s="1131"/>
      <c r="FM74" s="1161"/>
      <c r="FO74" s="1060"/>
      <c r="FP74" s="1169"/>
      <c r="FQ74" s="1203"/>
      <c r="FU74" s="1295"/>
      <c r="FV74" s="1295"/>
      <c r="FW74" s="1023">
        <v>0.15</v>
      </c>
      <c r="FX74" s="1162">
        <v>14123.699783915263</v>
      </c>
      <c r="FY74" s="1163">
        <v>14565.065402162614</v>
      </c>
      <c r="GA74" s="1164">
        <f t="shared" si="276"/>
        <v>3837474.5070782173</v>
      </c>
      <c r="GB74" s="1165">
        <f t="shared" si="277"/>
        <v>0.15</v>
      </c>
      <c r="GC74" s="1154">
        <f t="shared" si="278"/>
        <v>575621.17606173258</v>
      </c>
      <c r="GD74" s="1164">
        <f t="shared" si="279"/>
        <v>30000</v>
      </c>
      <c r="GE74" s="1154">
        <f t="shared" si="280"/>
        <v>545621.17606173258</v>
      </c>
      <c r="GF74" s="1060">
        <f t="shared" si="281"/>
        <v>35</v>
      </c>
      <c r="GG74" s="1166">
        <f t="shared" si="282"/>
        <v>15589.176458906644</v>
      </c>
      <c r="GI74" s="1164">
        <f t="shared" si="283"/>
        <v>3837474.5070782173</v>
      </c>
      <c r="GJ74" s="1154">
        <f t="shared" si="284"/>
        <v>383747.45070782176</v>
      </c>
      <c r="GK74" s="1154">
        <f t="shared" si="285"/>
        <v>95936.862676955439</v>
      </c>
      <c r="GL74" s="1166">
        <v>15000</v>
      </c>
      <c r="GM74" s="1154">
        <f t="shared" si="286"/>
        <v>368747.45070782176</v>
      </c>
      <c r="GN74" s="1060">
        <f t="shared" si="287"/>
        <v>35</v>
      </c>
      <c r="GO74" s="1154">
        <f t="shared" si="288"/>
        <v>10535.641448794908</v>
      </c>
      <c r="GS74" s="1010">
        <f t="shared" si="289"/>
        <v>3837474.5070782173</v>
      </c>
      <c r="GT74" s="1011">
        <f t="shared" si="290"/>
        <v>0.125</v>
      </c>
      <c r="GU74" s="1010">
        <f t="shared" si="291"/>
        <v>479684.31338477717</v>
      </c>
      <c r="GV74" s="1010">
        <f t="shared" si="292"/>
        <v>30000</v>
      </c>
      <c r="GW74" s="1010">
        <f t="shared" si="293"/>
        <v>449684.31338477717</v>
      </c>
      <c r="GX74" s="1010">
        <f t="shared" si="294"/>
        <v>13</v>
      </c>
      <c r="GY74" s="1010">
        <f t="shared" si="295"/>
        <v>34591.101029598241</v>
      </c>
      <c r="GZ74" s="1011">
        <f t="shared" si="296"/>
        <v>0.875</v>
      </c>
      <c r="HA74" s="1010">
        <f t="shared" si="297"/>
        <v>3357790.1936934404</v>
      </c>
      <c r="HB74" s="1010">
        <f t="shared" si="298"/>
        <v>26032.91163202019</v>
      </c>
      <c r="HC74" s="1010">
        <f t="shared" si="299"/>
        <v>30180.767536827112</v>
      </c>
      <c r="HD74" s="1010">
        <f t="shared" si="300"/>
        <v>38986.791292495443</v>
      </c>
      <c r="HE74" s="1010">
        <f t="shared" si="301"/>
        <v>66488.270282162528</v>
      </c>
      <c r="HG74" s="1010">
        <f t="shared" si="302"/>
        <v>3837474.5070782173</v>
      </c>
      <c r="HH74" s="1011">
        <f t="shared" si="303"/>
        <v>0.125</v>
      </c>
      <c r="HI74" s="1010">
        <f t="shared" si="304"/>
        <v>479684.31338477717</v>
      </c>
      <c r="HJ74" s="1010">
        <f t="shared" si="305"/>
        <v>30000</v>
      </c>
      <c r="HK74" s="1010">
        <f t="shared" si="306"/>
        <v>449684.31338477717</v>
      </c>
      <c r="HL74" s="1012">
        <f t="shared" si="307"/>
        <v>33</v>
      </c>
      <c r="HM74" s="1167">
        <f t="shared" si="308"/>
        <v>13626.797375296277</v>
      </c>
      <c r="HN74" s="1168">
        <f t="shared" si="309"/>
        <v>0.875</v>
      </c>
      <c r="HO74" s="1167">
        <f t="shared" si="310"/>
        <v>3357790.1936934404</v>
      </c>
      <c r="HP74" s="1146">
        <f t="shared" si="311"/>
        <v>26032.91163202019</v>
      </c>
      <c r="HQ74" s="1146">
        <f t="shared" si="312"/>
        <v>30180.767536827112</v>
      </c>
      <c r="HR74" s="1146">
        <f t="shared" si="313"/>
        <v>38986.791292495443</v>
      </c>
      <c r="HS74" s="1146">
        <f t="shared" si="314"/>
        <v>66488.270282162528</v>
      </c>
      <c r="HU74" s="1167">
        <f t="shared" si="315"/>
        <v>-20964.303654301963</v>
      </c>
      <c r="HX74" s="1154"/>
      <c r="HY74" s="1154"/>
      <c r="IB74" s="1154"/>
      <c r="IC74" s="1154"/>
      <c r="ID74" s="1154"/>
      <c r="IE74" s="1154"/>
      <c r="IG74" s="1060"/>
    </row>
    <row r="75" spans="1:241" ht="14.25" hidden="1" customHeight="1">
      <c r="A75" s="1186">
        <f t="shared" si="141"/>
        <v>69</v>
      </c>
      <c r="B75" s="824" t="s">
        <v>149</v>
      </c>
      <c r="C75" s="855">
        <f t="shared" si="196"/>
        <v>18</v>
      </c>
      <c r="D75" s="856" t="s">
        <v>502</v>
      </c>
      <c r="E75" s="857" t="str">
        <f t="shared" si="216"/>
        <v>5th Floor</v>
      </c>
      <c r="F75" s="1185"/>
      <c r="G75" s="764" t="s">
        <v>230</v>
      </c>
      <c r="H75" s="764" t="s">
        <v>552</v>
      </c>
      <c r="I75" s="764" t="s">
        <v>476</v>
      </c>
      <c r="J75" s="831">
        <v>22</v>
      </c>
      <c r="K75" s="1142"/>
      <c r="L75" s="764" t="s">
        <v>500</v>
      </c>
      <c r="M75" s="764" t="s">
        <v>117</v>
      </c>
      <c r="N75" s="856">
        <f t="shared" si="217"/>
        <v>100909.09090909091</v>
      </c>
      <c r="O75" s="1138">
        <f t="shared" si="136"/>
        <v>2220000</v>
      </c>
      <c r="P75" s="1138">
        <f t="shared" si="142"/>
        <v>22400</v>
      </c>
      <c r="Q75" s="1138">
        <f t="shared" si="203"/>
        <v>50000</v>
      </c>
      <c r="R75" s="1138"/>
      <c r="S75" s="1138"/>
      <c r="T75" s="1138"/>
      <c r="U75" s="1138"/>
      <c r="V75" s="858">
        <f>J75*$V$5</f>
        <v>55000</v>
      </c>
      <c r="W75" s="858"/>
      <c r="X75" s="1138"/>
      <c r="Y75" s="1138">
        <f t="shared" si="198"/>
        <v>20000</v>
      </c>
      <c r="Z75" s="1138">
        <f t="shared" si="137"/>
        <v>75000</v>
      </c>
      <c r="AA75" s="1138">
        <f t="shared" si="138"/>
        <v>222400</v>
      </c>
      <c r="AB75" s="1138">
        <f t="shared" si="218"/>
        <v>2442400</v>
      </c>
      <c r="AC75" s="1138">
        <f t="shared" si="219"/>
        <v>61060</v>
      </c>
      <c r="AD75" s="1138">
        <f t="shared" si="220"/>
        <v>2503460</v>
      </c>
      <c r="AE75" s="1138">
        <f t="shared" si="221"/>
        <v>62586.5</v>
      </c>
      <c r="AF75" s="1138">
        <f t="shared" si="222"/>
        <v>2566046.5</v>
      </c>
      <c r="AG75" s="1138">
        <f t="shared" si="223"/>
        <v>64151.162500000006</v>
      </c>
      <c r="AH75" s="1138">
        <f t="shared" si="224"/>
        <v>2630197.6625000001</v>
      </c>
      <c r="AI75" s="1138">
        <f t="shared" si="225"/>
        <v>131509.88312500002</v>
      </c>
      <c r="AJ75" s="1138">
        <f t="shared" si="226"/>
        <v>2761707.5456250003</v>
      </c>
      <c r="AK75" s="1138">
        <f t="shared" si="227"/>
        <v>27617.075456250004</v>
      </c>
      <c r="AL75" s="1138">
        <f t="shared" si="228"/>
        <v>27537.409960060559</v>
      </c>
      <c r="AM75" s="1138"/>
      <c r="AN75" s="1138"/>
      <c r="AO75" s="1138">
        <f t="shared" si="229"/>
        <v>2816862.0310413106</v>
      </c>
      <c r="AP75" s="1138">
        <f t="shared" si="230"/>
        <v>380276.37419057696</v>
      </c>
      <c r="AQ75" s="1248">
        <f t="shared" si="231"/>
        <v>3197138.4052318875</v>
      </c>
      <c r="AR75" s="1248">
        <f>AQ75-AT75</f>
        <v>3197138.4052318875</v>
      </c>
      <c r="AS75" s="1248"/>
      <c r="AT75" s="1248">
        <f>AS75*J75</f>
        <v>0</v>
      </c>
      <c r="AU75" s="1248">
        <f t="shared" si="232"/>
        <v>0</v>
      </c>
      <c r="AV75" s="1140">
        <f t="shared" si="233"/>
        <v>0</v>
      </c>
      <c r="AW75" s="1140">
        <f t="shared" si="234"/>
        <v>3197138.4052318875</v>
      </c>
      <c r="AX75" s="1139">
        <f t="shared" si="235"/>
        <v>39964.230065398595</v>
      </c>
      <c r="AY75" s="831">
        <v>13444.671373913045</v>
      </c>
      <c r="AZ75" s="831">
        <f t="shared" si="236"/>
        <v>3250547.3066711989</v>
      </c>
      <c r="BA75" s="831">
        <f t="shared" si="237"/>
        <v>121895.52400016996</v>
      </c>
      <c r="BB75" s="831"/>
      <c r="BC75" s="831">
        <f t="shared" si="189"/>
        <v>33600</v>
      </c>
      <c r="BD75" s="831">
        <v>8990.8965517241377</v>
      </c>
      <c r="BE75" s="831">
        <f t="shared" si="238"/>
        <v>3415033.7272230932</v>
      </c>
      <c r="BF75" s="831"/>
      <c r="BG75" s="831">
        <f t="shared" si="239"/>
        <v>3415033.7272230932</v>
      </c>
      <c r="BH75" s="831"/>
      <c r="BI75" s="831">
        <f t="shared" si="240"/>
        <v>3415033.7272230932</v>
      </c>
      <c r="BJ75" s="831"/>
      <c r="BK75" s="831">
        <f t="shared" si="241"/>
        <v>3415033.7272230932</v>
      </c>
      <c r="BL75" s="831"/>
      <c r="BM75" s="831">
        <f t="shared" si="242"/>
        <v>3415033.7272230932</v>
      </c>
      <c r="BN75" s="831"/>
      <c r="BO75" s="831">
        <f t="shared" si="243"/>
        <v>3415033.7272230932</v>
      </c>
      <c r="BP75" s="831">
        <f>$BP$5/37</f>
        <v>5065.3710270270276</v>
      </c>
      <c r="BQ75" s="831">
        <f t="shared" si="244"/>
        <v>3420099.0982501204</v>
      </c>
      <c r="BR75" s="831">
        <f>$BR$5/42</f>
        <v>3544.6104</v>
      </c>
      <c r="BS75" s="831">
        <f t="shared" si="245"/>
        <v>3423643.7086501205</v>
      </c>
      <c r="BT75" s="831">
        <f>$BT$5/41</f>
        <v>1609.3168000000001</v>
      </c>
      <c r="BU75" s="831">
        <f t="shared" si="246"/>
        <v>3425253.0254501207</v>
      </c>
      <c r="BV75" s="831">
        <f>$BV$5/43</f>
        <v>1163.3400930232558</v>
      </c>
      <c r="BW75" s="831">
        <f t="shared" si="247"/>
        <v>56400</v>
      </c>
      <c r="BX75" s="831">
        <f t="shared" si="248"/>
        <v>3482816.3655431438</v>
      </c>
      <c r="BY75" s="831"/>
      <c r="BZ75" s="831">
        <f t="shared" si="249"/>
        <v>3482816.3655431438</v>
      </c>
      <c r="CA75" s="1260">
        <f t="shared" si="250"/>
        <v>3482816.3655431438</v>
      </c>
      <c r="CB75" s="1260">
        <f t="shared" si="251"/>
        <v>3482816.3655431438</v>
      </c>
      <c r="CC75" s="1260"/>
      <c r="CD75" s="1260">
        <f t="shared" si="252"/>
        <v>0</v>
      </c>
      <c r="CE75" s="1260">
        <f t="shared" si="253"/>
        <v>0</v>
      </c>
      <c r="CF75" s="1260">
        <f t="shared" si="254"/>
        <v>0</v>
      </c>
      <c r="CG75" s="1266">
        <f t="shared" si="255"/>
        <v>3482816.3655431438</v>
      </c>
      <c r="CH75" s="1141">
        <f t="shared" si="256"/>
        <v>3482816.3655431438</v>
      </c>
      <c r="CI75" s="1142">
        <f t="shared" si="257"/>
        <v>0</v>
      </c>
      <c r="CJ75" s="1141">
        <f t="shared" si="258"/>
        <v>356988.67746817222</v>
      </c>
      <c r="CK75" s="1141">
        <f t="shared" si="259"/>
        <v>121898.57279401005</v>
      </c>
      <c r="CL75" s="1143">
        <f t="shared" si="139"/>
        <v>3961703.615805326</v>
      </c>
      <c r="CM75" s="1144">
        <f t="shared" si="260"/>
        <v>0.125</v>
      </c>
      <c r="CN75" s="1141">
        <f t="shared" si="261"/>
        <v>495212.95197566575</v>
      </c>
      <c r="CO75" s="1141">
        <f t="shared" si="262"/>
        <v>30000</v>
      </c>
      <c r="CP75" s="1141">
        <f t="shared" si="263"/>
        <v>465212.95197566575</v>
      </c>
      <c r="CQ75" s="1145">
        <f t="shared" si="264"/>
        <v>13</v>
      </c>
      <c r="CR75" s="1141">
        <f t="shared" si="265"/>
        <v>35785.611690435828</v>
      </c>
      <c r="CS75" s="1144">
        <f t="shared" si="266"/>
        <v>0.875</v>
      </c>
      <c r="CT75" s="1141">
        <f t="shared" si="267"/>
        <v>3466490.66382966</v>
      </c>
      <c r="CU75" s="1146">
        <f t="shared" si="204"/>
        <v>26875.665219999013</v>
      </c>
      <c r="CV75" s="1146">
        <f t="shared" si="205"/>
        <v>31157.798092960951</v>
      </c>
      <c r="CW75" s="1146">
        <f t="shared" si="206"/>
        <v>40248.895920282041</v>
      </c>
      <c r="CX75" s="1146">
        <f t="shared" si="207"/>
        <v>68640.669872759157</v>
      </c>
      <c r="CY75" s="1146">
        <f t="shared" si="268"/>
        <v>281594.0549129796</v>
      </c>
      <c r="CZ75" s="1146">
        <f t="shared" si="269"/>
        <v>111425.39580566973</v>
      </c>
      <c r="DA75" s="1146">
        <f t="shared" si="270"/>
        <v>80480.985250870872</v>
      </c>
      <c r="DB75" s="1146">
        <f t="shared" si="271"/>
        <v>61249.734929110469</v>
      </c>
      <c r="DC75" s="1146"/>
      <c r="DD75" s="1146"/>
      <c r="DE75" s="1146"/>
      <c r="DF75" s="1146"/>
      <c r="DG75" s="1146"/>
      <c r="DH75" s="1146"/>
      <c r="DI75" s="1146"/>
      <c r="DJ75" s="1146"/>
      <c r="DK75" s="1146"/>
      <c r="DL75" s="1146"/>
      <c r="DM75" s="1146"/>
      <c r="DN75" s="1146"/>
      <c r="DO75" s="1146"/>
      <c r="DP75" s="1146"/>
      <c r="DQ75" s="1146"/>
      <c r="DR75" s="1146"/>
      <c r="DS75" s="1146"/>
      <c r="DT75" s="1146"/>
      <c r="DU75" s="1146"/>
      <c r="DV75" s="1146"/>
      <c r="DW75" s="1146"/>
      <c r="DX75" s="1146"/>
      <c r="DY75" s="1146"/>
      <c r="DZ75" s="1146"/>
      <c r="EA75" s="1147">
        <f t="shared" si="208"/>
        <v>0</v>
      </c>
      <c r="EB75" s="1148">
        <f t="shared" si="272"/>
        <v>0</v>
      </c>
      <c r="EC75" s="1190">
        <f t="shared" si="316"/>
        <v>45839</v>
      </c>
      <c r="ED75" s="1031">
        <f t="shared" si="209"/>
        <v>20</v>
      </c>
      <c r="EE75" s="1191"/>
      <c r="EF75" s="1032">
        <f t="shared" si="210"/>
        <v>45904</v>
      </c>
      <c r="EG75" s="1029">
        <f t="shared" si="273"/>
        <v>22</v>
      </c>
      <c r="EH75" s="859" t="s">
        <v>490</v>
      </c>
      <c r="EI75" s="859" t="s">
        <v>480</v>
      </c>
      <c r="EJ75" s="860">
        <f t="shared" si="211"/>
        <v>0</v>
      </c>
      <c r="EK75" s="860">
        <f t="shared" si="212"/>
        <v>0</v>
      </c>
      <c r="EL75" s="861">
        <f t="shared" si="213"/>
        <v>0</v>
      </c>
      <c r="EM75" s="1197"/>
      <c r="EN75" s="860"/>
      <c r="EO75" s="860"/>
      <c r="EP75" s="860">
        <f t="shared" si="214"/>
        <v>0</v>
      </c>
      <c r="EQ75" s="1197"/>
      <c r="ER75" s="1200"/>
      <c r="ES75" s="1197"/>
      <c r="ET75" s="1194" t="s">
        <v>230</v>
      </c>
      <c r="EU75" s="1197" t="b">
        <f t="shared" si="215"/>
        <v>1</v>
      </c>
      <c r="EV75" s="1197" t="s">
        <v>582</v>
      </c>
      <c r="EW75" s="1197" t="s">
        <v>482</v>
      </c>
      <c r="EX75" s="1197"/>
      <c r="EY75" s="1128" t="s">
        <v>483</v>
      </c>
      <c r="EZ75" s="1128" t="s">
        <v>484</v>
      </c>
      <c r="FA75" s="1169">
        <f t="shared" si="274"/>
        <v>0</v>
      </c>
      <c r="FI75" s="1309" t="s">
        <v>149</v>
      </c>
      <c r="FJ75" s="1243" t="s">
        <v>149</v>
      </c>
      <c r="FK75" s="1160" t="b">
        <f t="shared" si="275"/>
        <v>1</v>
      </c>
      <c r="FL75" s="1131"/>
      <c r="FM75" s="1161"/>
      <c r="FO75" s="1060"/>
      <c r="FP75" s="1324"/>
      <c r="FQ75" s="1325"/>
      <c r="FR75" s="1178"/>
      <c r="FU75" s="1295"/>
      <c r="FV75" s="1295"/>
      <c r="FW75" s="1023">
        <v>0.15</v>
      </c>
      <c r="FX75" s="1162">
        <v>14768.952243498632</v>
      </c>
      <c r="FY75" s="1163">
        <v>15230.482001107965</v>
      </c>
      <c r="GA75" s="1164">
        <f t="shared" si="276"/>
        <v>3961703.615805326</v>
      </c>
      <c r="GB75" s="1165">
        <f t="shared" si="277"/>
        <v>0.15</v>
      </c>
      <c r="GC75" s="1154">
        <f t="shared" si="278"/>
        <v>594255.54237079888</v>
      </c>
      <c r="GD75" s="1164">
        <f t="shared" si="279"/>
        <v>30000</v>
      </c>
      <c r="GE75" s="1154">
        <f t="shared" si="280"/>
        <v>564255.54237079888</v>
      </c>
      <c r="GF75" s="1060">
        <f t="shared" si="281"/>
        <v>35</v>
      </c>
      <c r="GG75" s="1166">
        <f t="shared" si="282"/>
        <v>16121.586924879968</v>
      </c>
      <c r="GI75" s="1164">
        <f t="shared" si="283"/>
        <v>3961703.615805326</v>
      </c>
      <c r="GJ75" s="1154">
        <f t="shared" si="284"/>
        <v>396170.36158053263</v>
      </c>
      <c r="GK75" s="1154">
        <f t="shared" si="285"/>
        <v>99042.590395133157</v>
      </c>
      <c r="GL75" s="1166">
        <v>15000</v>
      </c>
      <c r="GM75" s="1154">
        <f t="shared" si="286"/>
        <v>381170.36158053263</v>
      </c>
      <c r="GN75" s="1060">
        <f t="shared" si="287"/>
        <v>35</v>
      </c>
      <c r="GO75" s="1154">
        <f t="shared" si="288"/>
        <v>10890.581759443789</v>
      </c>
      <c r="GS75" s="1010">
        <f t="shared" si="289"/>
        <v>3961703.615805326</v>
      </c>
      <c r="GT75" s="1011">
        <f t="shared" si="290"/>
        <v>0.125</v>
      </c>
      <c r="GU75" s="1010">
        <f t="shared" si="291"/>
        <v>495212.95197566575</v>
      </c>
      <c r="GV75" s="1010">
        <f t="shared" si="292"/>
        <v>30000</v>
      </c>
      <c r="GW75" s="1010">
        <f t="shared" si="293"/>
        <v>465212.95197566575</v>
      </c>
      <c r="GX75" s="1010">
        <f t="shared" si="294"/>
        <v>13</v>
      </c>
      <c r="GY75" s="1010">
        <f t="shared" si="295"/>
        <v>35785.611690435828</v>
      </c>
      <c r="GZ75" s="1011">
        <f t="shared" si="296"/>
        <v>0.875</v>
      </c>
      <c r="HA75" s="1010">
        <f t="shared" si="297"/>
        <v>3466490.66382966</v>
      </c>
      <c r="HB75" s="1010">
        <f t="shared" si="298"/>
        <v>26875.665219999013</v>
      </c>
      <c r="HC75" s="1010">
        <f t="shared" si="299"/>
        <v>31157.798092960951</v>
      </c>
      <c r="HD75" s="1010">
        <f t="shared" si="300"/>
        <v>40248.895920282041</v>
      </c>
      <c r="HE75" s="1010">
        <f t="shared" si="301"/>
        <v>68640.669872759157</v>
      </c>
      <c r="HG75" s="1010">
        <f t="shared" si="302"/>
        <v>3961703.615805326</v>
      </c>
      <c r="HH75" s="1011">
        <f t="shared" si="303"/>
        <v>0.125</v>
      </c>
      <c r="HI75" s="1010">
        <f t="shared" si="304"/>
        <v>495212.95197566575</v>
      </c>
      <c r="HJ75" s="1010">
        <f t="shared" si="305"/>
        <v>30000</v>
      </c>
      <c r="HK75" s="1010">
        <f t="shared" si="306"/>
        <v>465212.95197566575</v>
      </c>
      <c r="HL75" s="1012">
        <f t="shared" si="307"/>
        <v>33</v>
      </c>
      <c r="HM75" s="1167">
        <f t="shared" si="308"/>
        <v>14097.36218108078</v>
      </c>
      <c r="HN75" s="1168">
        <f t="shared" si="309"/>
        <v>0.875</v>
      </c>
      <c r="HO75" s="1167">
        <f t="shared" si="310"/>
        <v>3466490.66382966</v>
      </c>
      <c r="HP75" s="1146">
        <f t="shared" si="311"/>
        <v>26875.665219999013</v>
      </c>
      <c r="HQ75" s="1146">
        <f t="shared" si="312"/>
        <v>31157.798092960951</v>
      </c>
      <c r="HR75" s="1146">
        <f t="shared" si="313"/>
        <v>40248.895920282041</v>
      </c>
      <c r="HS75" s="1146">
        <f t="shared" si="314"/>
        <v>68640.669872759157</v>
      </c>
      <c r="HU75" s="1167">
        <f t="shared" si="315"/>
        <v>-21688.249509355046</v>
      </c>
      <c r="HX75" s="1154"/>
      <c r="HY75" s="1154"/>
      <c r="IB75" s="1154"/>
      <c r="IC75" s="1154"/>
      <c r="ID75" s="1154"/>
      <c r="IE75" s="1154"/>
      <c r="IG75" s="1060"/>
    </row>
    <row r="76" spans="1:241" ht="14.25" hidden="1" customHeight="1">
      <c r="A76" s="1186">
        <f t="shared" si="141"/>
        <v>70</v>
      </c>
      <c r="B76" s="824"/>
      <c r="C76" s="855">
        <v>1</v>
      </c>
      <c r="D76" s="856" t="s">
        <v>505</v>
      </c>
      <c r="E76" s="857" t="str">
        <f t="shared" si="216"/>
        <v>6th Floor</v>
      </c>
      <c r="F76" s="1185"/>
      <c r="G76" s="764" t="s">
        <v>232</v>
      </c>
      <c r="H76" s="764" t="s">
        <v>475</v>
      </c>
      <c r="I76" s="764" t="s">
        <v>476</v>
      </c>
      <c r="J76" s="1139">
        <v>22</v>
      </c>
      <c r="K76" s="1142"/>
      <c r="L76" s="764" t="s">
        <v>344</v>
      </c>
      <c r="M76" s="764" t="s">
        <v>477</v>
      </c>
      <c r="N76" s="856">
        <f t="shared" si="217"/>
        <v>100909.09090909091</v>
      </c>
      <c r="O76" s="1138">
        <f t="shared" si="136"/>
        <v>2220000</v>
      </c>
      <c r="P76" s="1138">
        <f t="shared" si="142"/>
        <v>22400</v>
      </c>
      <c r="Q76" s="1138">
        <f t="shared" si="203"/>
        <v>50000</v>
      </c>
      <c r="R76" s="1138"/>
      <c r="S76" s="1138"/>
      <c r="T76" s="1138"/>
      <c r="U76" s="1138"/>
      <c r="V76" s="1138"/>
      <c r="W76" s="858">
        <f>J76*$W$5</f>
        <v>22000</v>
      </c>
      <c r="X76" s="1138"/>
      <c r="Y76" s="1138">
        <f>Y75+Y5</f>
        <v>40000</v>
      </c>
      <c r="Z76" s="1138">
        <f t="shared" si="137"/>
        <v>75000</v>
      </c>
      <c r="AA76" s="1138">
        <f t="shared" si="138"/>
        <v>209400</v>
      </c>
      <c r="AB76" s="1138">
        <f t="shared" si="218"/>
        <v>2429400</v>
      </c>
      <c r="AC76" s="1138">
        <f t="shared" si="219"/>
        <v>60735</v>
      </c>
      <c r="AD76" s="1138">
        <f t="shared" si="220"/>
        <v>2490135</v>
      </c>
      <c r="AE76" s="1138">
        <f t="shared" si="221"/>
        <v>62253.375</v>
      </c>
      <c r="AF76" s="1138">
        <f t="shared" si="222"/>
        <v>2552388.375</v>
      </c>
      <c r="AG76" s="1138">
        <f t="shared" si="223"/>
        <v>63809.709375000006</v>
      </c>
      <c r="AH76" s="1138">
        <f t="shared" si="224"/>
        <v>2616198.0843750001</v>
      </c>
      <c r="AI76" s="1138">
        <f t="shared" si="225"/>
        <v>130809.90421875002</v>
      </c>
      <c r="AJ76" s="1138">
        <f t="shared" si="226"/>
        <v>2747007.9885937502</v>
      </c>
      <c r="AK76" s="1138">
        <f t="shared" si="227"/>
        <v>27470.079885937503</v>
      </c>
      <c r="AL76" s="1138">
        <f t="shared" si="228"/>
        <v>27537.409960060559</v>
      </c>
      <c r="AM76" s="1138"/>
      <c r="AN76" s="1138"/>
      <c r="AO76" s="1138">
        <f t="shared" si="229"/>
        <v>2802015.4784397478</v>
      </c>
      <c r="AP76" s="1138">
        <f t="shared" si="230"/>
        <v>378272.08958936599</v>
      </c>
      <c r="AQ76" s="1248">
        <f t="shared" si="231"/>
        <v>3180287.568029114</v>
      </c>
      <c r="AR76" s="1248">
        <f t="shared" ref="AR76:AR81" si="317">AQ76</f>
        <v>3180287.568029114</v>
      </c>
      <c r="AS76" s="1248"/>
      <c r="AT76" s="1248"/>
      <c r="AU76" s="1248">
        <f t="shared" si="232"/>
        <v>0</v>
      </c>
      <c r="AV76" s="1140">
        <f t="shared" si="233"/>
        <v>0</v>
      </c>
      <c r="AW76" s="1140">
        <f t="shared" si="234"/>
        <v>3180287.568029114</v>
      </c>
      <c r="AX76" s="1139">
        <f t="shared" si="235"/>
        <v>39753.594600363926</v>
      </c>
      <c r="AY76" s="831" t="s">
        <v>478</v>
      </c>
      <c r="AZ76" s="831">
        <f t="shared" si="236"/>
        <v>3220041.1626294781</v>
      </c>
      <c r="BA76" s="831">
        <f t="shared" si="237"/>
        <v>120751.54359860542</v>
      </c>
      <c r="BB76" s="831"/>
      <c r="BC76" s="831">
        <f t="shared" si="189"/>
        <v>33600</v>
      </c>
      <c r="BD76" s="831"/>
      <c r="BE76" s="831">
        <f t="shared" si="238"/>
        <v>3374392.7062280835</v>
      </c>
      <c r="BF76" s="831"/>
      <c r="BG76" s="831">
        <f t="shared" si="239"/>
        <v>3374392.7062280835</v>
      </c>
      <c r="BH76" s="831"/>
      <c r="BI76" s="831">
        <f t="shared" si="240"/>
        <v>3374392.7062280835</v>
      </c>
      <c r="BJ76" s="831"/>
      <c r="BK76" s="831">
        <f t="shared" si="241"/>
        <v>3374392.7062280835</v>
      </c>
      <c r="BL76" s="831"/>
      <c r="BM76" s="831">
        <f t="shared" si="242"/>
        <v>3374392.7062280835</v>
      </c>
      <c r="BN76" s="831"/>
      <c r="BO76" s="831">
        <f t="shared" si="243"/>
        <v>3374392.7062280835</v>
      </c>
      <c r="BP76" s="831"/>
      <c r="BQ76" s="831">
        <f t="shared" si="244"/>
        <v>3374392.7062280835</v>
      </c>
      <c r="BR76" s="831"/>
      <c r="BS76" s="831">
        <f t="shared" si="245"/>
        <v>3374392.7062280835</v>
      </c>
      <c r="BT76" s="831"/>
      <c r="BU76" s="831">
        <f t="shared" si="246"/>
        <v>3374392.7062280835</v>
      </c>
      <c r="BV76" s="831"/>
      <c r="BW76" s="831">
        <f t="shared" si="247"/>
        <v>56400</v>
      </c>
      <c r="BX76" s="831">
        <f t="shared" si="248"/>
        <v>3430792.7062280835</v>
      </c>
      <c r="BY76" s="831"/>
      <c r="BZ76" s="831">
        <f t="shared" si="249"/>
        <v>3430792.7062280835</v>
      </c>
      <c r="CA76" s="1260">
        <f t="shared" si="250"/>
        <v>3430792.7062280835</v>
      </c>
      <c r="CB76" s="1260">
        <f t="shared" si="251"/>
        <v>3430792.7062280835</v>
      </c>
      <c r="CC76" s="1260"/>
      <c r="CD76" s="1260">
        <f t="shared" si="252"/>
        <v>0</v>
      </c>
      <c r="CE76" s="1260">
        <f t="shared" si="253"/>
        <v>0</v>
      </c>
      <c r="CF76" s="1260">
        <f t="shared" si="254"/>
        <v>0</v>
      </c>
      <c r="CG76" s="1266">
        <f t="shared" si="255"/>
        <v>3430792.7062280835</v>
      </c>
      <c r="CH76" s="1141">
        <f t="shared" si="256"/>
        <v>3430792.7062280835</v>
      </c>
      <c r="CI76" s="1142">
        <f t="shared" si="257"/>
        <v>0</v>
      </c>
      <c r="CJ76" s="1141">
        <f t="shared" si="258"/>
        <v>351656.25238837855</v>
      </c>
      <c r="CK76" s="1141">
        <f t="shared" si="259"/>
        <v>120077.74471798293</v>
      </c>
      <c r="CL76" s="1143">
        <f t="shared" si="139"/>
        <v>3902526.7033344451</v>
      </c>
      <c r="CM76" s="1144">
        <f t="shared" si="260"/>
        <v>0.125</v>
      </c>
      <c r="CN76" s="1141">
        <f t="shared" si="261"/>
        <v>487815.83791680564</v>
      </c>
      <c r="CO76" s="1141">
        <f t="shared" si="262"/>
        <v>30000</v>
      </c>
      <c r="CP76" s="1141">
        <f t="shared" si="263"/>
        <v>457815.83791680564</v>
      </c>
      <c r="CQ76" s="1145">
        <f t="shared" si="264"/>
        <v>13</v>
      </c>
      <c r="CR76" s="1141">
        <f t="shared" si="265"/>
        <v>35216.602916677359</v>
      </c>
      <c r="CS76" s="1144">
        <f t="shared" si="266"/>
        <v>0.875</v>
      </c>
      <c r="CT76" s="1141">
        <f t="shared" si="267"/>
        <v>3414710.8654176397</v>
      </c>
      <c r="CU76" s="1146">
        <f t="shared" si="204"/>
        <v>26474.216994045026</v>
      </c>
      <c r="CV76" s="1146">
        <f t="shared" si="205"/>
        <v>30692.386626243318</v>
      </c>
      <c r="CW76" s="1146">
        <f t="shared" si="206"/>
        <v>39647.688555495377</v>
      </c>
      <c r="CX76" s="1146">
        <f t="shared" si="207"/>
        <v>67615.367804023466</v>
      </c>
      <c r="CY76" s="1146">
        <f t="shared" si="268"/>
        <v>277387.81730514218</v>
      </c>
      <c r="CZ76" s="1146">
        <f t="shared" si="269"/>
        <v>109761.00807400823</v>
      </c>
      <c r="DA76" s="1146">
        <f t="shared" si="270"/>
        <v>79278.821565339123</v>
      </c>
      <c r="DB76" s="1146">
        <f t="shared" si="271"/>
        <v>60334.833019663158</v>
      </c>
      <c r="DC76" s="1146"/>
      <c r="DD76" s="1146"/>
      <c r="DE76" s="1146"/>
      <c r="DF76" s="1146"/>
      <c r="DG76" s="1146"/>
      <c r="DH76" s="1146"/>
      <c r="DI76" s="1146"/>
      <c r="DJ76" s="1146"/>
      <c r="DK76" s="1146"/>
      <c r="DL76" s="1146"/>
      <c r="DM76" s="1146"/>
      <c r="DN76" s="1146"/>
      <c r="DO76" s="1146"/>
      <c r="DP76" s="1146"/>
      <c r="DQ76" s="1146"/>
      <c r="DR76" s="1146"/>
      <c r="DS76" s="1146"/>
      <c r="DT76" s="1146"/>
      <c r="DU76" s="1146"/>
      <c r="DV76" s="1146"/>
      <c r="DW76" s="1146"/>
      <c r="DX76" s="1146"/>
      <c r="DY76" s="1146"/>
      <c r="DZ76" s="1146"/>
      <c r="EA76" s="1147">
        <f t="shared" si="208"/>
        <v>0</v>
      </c>
      <c r="EB76" s="1148">
        <f t="shared" si="272"/>
        <v>0</v>
      </c>
      <c r="EC76" s="1190">
        <f t="shared" si="316"/>
        <v>45839</v>
      </c>
      <c r="ED76" s="1031">
        <f t="shared" si="209"/>
        <v>20</v>
      </c>
      <c r="EE76" s="1191"/>
      <c r="EF76" s="1032">
        <f t="shared" si="210"/>
        <v>45904</v>
      </c>
      <c r="EG76" s="1029">
        <f t="shared" si="273"/>
        <v>22</v>
      </c>
      <c r="EH76" s="859" t="s">
        <v>490</v>
      </c>
      <c r="EI76" s="859" t="s">
        <v>480</v>
      </c>
      <c r="EJ76" s="860">
        <f t="shared" si="211"/>
        <v>0</v>
      </c>
      <c r="EK76" s="860">
        <f t="shared" si="212"/>
        <v>0</v>
      </c>
      <c r="EL76" s="861">
        <f t="shared" si="213"/>
        <v>0</v>
      </c>
      <c r="EM76" s="1197"/>
      <c r="EN76" s="860"/>
      <c r="EO76" s="860"/>
      <c r="EP76" s="860">
        <f t="shared" si="214"/>
        <v>0</v>
      </c>
      <c r="EQ76" s="1197"/>
      <c r="ER76" s="1200"/>
      <c r="ES76" s="1197"/>
      <c r="ET76" s="1194" t="s">
        <v>232</v>
      </c>
      <c r="EU76" s="1197" t="b">
        <f t="shared" si="215"/>
        <v>1</v>
      </c>
      <c r="EV76" s="1197"/>
      <c r="EW76" s="1197"/>
      <c r="EX76" s="1197"/>
      <c r="EY76" s="1128" t="s">
        <v>483</v>
      </c>
      <c r="EZ76" s="1128" t="s">
        <v>484</v>
      </c>
      <c r="FA76" s="1169">
        <f t="shared" si="274"/>
        <v>0</v>
      </c>
      <c r="FI76" s="1309" t="s">
        <v>149</v>
      </c>
      <c r="FJ76" s="1159" t="s">
        <v>149</v>
      </c>
      <c r="FK76" s="1160" t="b">
        <f t="shared" si="275"/>
        <v>1</v>
      </c>
      <c r="FL76" s="1131"/>
      <c r="FM76" s="1161"/>
      <c r="FO76" s="888"/>
      <c r="FP76" s="1169"/>
      <c r="FQ76" s="1203"/>
      <c r="FU76" s="1295"/>
      <c r="FV76" s="1295"/>
      <c r="FW76" s="1023">
        <v>0.125</v>
      </c>
      <c r="FX76" s="1162">
        <v>11923.428583991339</v>
      </c>
      <c r="FY76" s="1163">
        <v>12296.035727241069</v>
      </c>
      <c r="GA76" s="1164">
        <f t="shared" si="276"/>
        <v>3902526.7033344451</v>
      </c>
      <c r="GB76" s="1165">
        <f>FW76</f>
        <v>0.125</v>
      </c>
      <c r="GC76" s="1154">
        <f t="shared" si="278"/>
        <v>487815.83791680564</v>
      </c>
      <c r="GD76" s="1164">
        <f t="shared" si="279"/>
        <v>30000</v>
      </c>
      <c r="GE76" s="1154">
        <f t="shared" si="280"/>
        <v>457815.83791680564</v>
      </c>
      <c r="GF76" s="1060">
        <f t="shared" si="281"/>
        <v>35</v>
      </c>
      <c r="GG76" s="1166">
        <f t="shared" si="282"/>
        <v>13080.452511908732</v>
      </c>
      <c r="GI76" s="1164">
        <f t="shared" si="283"/>
        <v>3902526.7033344451</v>
      </c>
      <c r="GJ76" s="1154">
        <f t="shared" si="284"/>
        <v>390252.67033344455</v>
      </c>
      <c r="GK76" s="1154">
        <f t="shared" si="285"/>
        <v>97563.167583361137</v>
      </c>
      <c r="GL76" s="1166">
        <v>15000</v>
      </c>
      <c r="GM76" s="1154">
        <f t="shared" si="286"/>
        <v>375252.67033344455</v>
      </c>
      <c r="GN76" s="1060">
        <f t="shared" si="287"/>
        <v>35</v>
      </c>
      <c r="GO76" s="1154">
        <f t="shared" si="288"/>
        <v>10721.504866669844</v>
      </c>
      <c r="GS76" s="1010">
        <f t="shared" si="289"/>
        <v>3902526.7033344451</v>
      </c>
      <c r="GT76" s="1011">
        <f t="shared" si="290"/>
        <v>0.125</v>
      </c>
      <c r="GU76" s="1010">
        <f t="shared" si="291"/>
        <v>487815.83791680564</v>
      </c>
      <c r="GV76" s="1010">
        <f t="shared" si="292"/>
        <v>30000</v>
      </c>
      <c r="GW76" s="1010">
        <f t="shared" si="293"/>
        <v>457815.83791680564</v>
      </c>
      <c r="GX76" s="1010">
        <f t="shared" si="294"/>
        <v>13</v>
      </c>
      <c r="GY76" s="1010">
        <f t="shared" si="295"/>
        <v>35216.602916677359</v>
      </c>
      <c r="GZ76" s="1011">
        <f t="shared" si="296"/>
        <v>0.875</v>
      </c>
      <c r="HA76" s="1010">
        <f t="shared" si="297"/>
        <v>3414710.8654176397</v>
      </c>
      <c r="HB76" s="1010">
        <f t="shared" si="298"/>
        <v>26474.216994045026</v>
      </c>
      <c r="HC76" s="1010">
        <f t="shared" si="299"/>
        <v>30692.386626243318</v>
      </c>
      <c r="HD76" s="1010">
        <f t="shared" si="300"/>
        <v>39647.688555495377</v>
      </c>
      <c r="HE76" s="1010">
        <f t="shared" si="301"/>
        <v>67615.367804023466</v>
      </c>
      <c r="HG76" s="1010">
        <f t="shared" si="302"/>
        <v>3902526.7033344451</v>
      </c>
      <c r="HH76" s="1011">
        <f t="shared" si="303"/>
        <v>0.125</v>
      </c>
      <c r="HI76" s="1010">
        <f t="shared" si="304"/>
        <v>487815.83791680564</v>
      </c>
      <c r="HJ76" s="1010">
        <f t="shared" si="305"/>
        <v>30000</v>
      </c>
      <c r="HK76" s="1010">
        <f t="shared" si="306"/>
        <v>457815.83791680564</v>
      </c>
      <c r="HL76" s="1012">
        <f t="shared" si="307"/>
        <v>33</v>
      </c>
      <c r="HM76" s="1167">
        <f t="shared" si="308"/>
        <v>13873.20720960017</v>
      </c>
      <c r="HN76" s="1168">
        <f t="shared" si="309"/>
        <v>0.875</v>
      </c>
      <c r="HO76" s="1167">
        <f t="shared" si="310"/>
        <v>3414710.8654176397</v>
      </c>
      <c r="HP76" s="1146">
        <f t="shared" si="311"/>
        <v>26474.216994045026</v>
      </c>
      <c r="HQ76" s="1146">
        <f t="shared" si="312"/>
        <v>30692.386626243318</v>
      </c>
      <c r="HR76" s="1146">
        <f t="shared" si="313"/>
        <v>39647.688555495377</v>
      </c>
      <c r="HS76" s="1146">
        <f t="shared" si="314"/>
        <v>67615.367804023466</v>
      </c>
      <c r="HU76" s="1167">
        <f t="shared" si="315"/>
        <v>-21343.395707077187</v>
      </c>
      <c r="HX76" s="1154"/>
      <c r="HY76" s="1154"/>
      <c r="IB76" s="1154"/>
      <c r="IC76" s="1154"/>
      <c r="ID76" s="1154"/>
      <c r="IE76" s="1154"/>
      <c r="IG76" s="1060"/>
    </row>
    <row r="77" spans="1:241" ht="14.25" customHeight="1">
      <c r="A77" s="1186">
        <f t="shared" si="141"/>
        <v>71</v>
      </c>
      <c r="B77" s="824" t="s">
        <v>149</v>
      </c>
      <c r="C77" s="855">
        <f>C76+1</f>
        <v>2</v>
      </c>
      <c r="D77" s="856" t="s">
        <v>505</v>
      </c>
      <c r="E77" s="857" t="str">
        <f t="shared" si="216"/>
        <v>6th Floor</v>
      </c>
      <c r="F77" s="1185"/>
      <c r="G77" s="764" t="s">
        <v>233</v>
      </c>
      <c r="H77" s="764" t="s">
        <v>489</v>
      </c>
      <c r="I77" s="764" t="s">
        <v>476</v>
      </c>
      <c r="J77" s="1139">
        <v>22</v>
      </c>
      <c r="K77" s="1142"/>
      <c r="L77" s="764" t="s">
        <v>344</v>
      </c>
      <c r="M77" s="764" t="s">
        <v>93</v>
      </c>
      <c r="N77" s="856">
        <f t="shared" si="217"/>
        <v>100909.09090909091</v>
      </c>
      <c r="O77" s="1138">
        <f t="shared" si="136"/>
        <v>2220000</v>
      </c>
      <c r="P77" s="1138">
        <f t="shared" si="142"/>
        <v>22400</v>
      </c>
      <c r="Q77" s="1138">
        <f t="shared" si="203"/>
        <v>50000</v>
      </c>
      <c r="R77" s="1138"/>
      <c r="S77" s="1138"/>
      <c r="T77" s="1138"/>
      <c r="U77" s="1138"/>
      <c r="V77" s="1138"/>
      <c r="W77" s="858"/>
      <c r="X77" s="1138"/>
      <c r="Y77" s="1138">
        <f>$Y$76</f>
        <v>40000</v>
      </c>
      <c r="Z77" s="1138">
        <f t="shared" si="137"/>
        <v>75000</v>
      </c>
      <c r="AA77" s="1138">
        <f t="shared" si="138"/>
        <v>187400</v>
      </c>
      <c r="AB77" s="1138">
        <f t="shared" si="218"/>
        <v>2407400</v>
      </c>
      <c r="AC77" s="1138">
        <f t="shared" si="219"/>
        <v>60185</v>
      </c>
      <c r="AD77" s="1138">
        <f t="shared" si="220"/>
        <v>2467585</v>
      </c>
      <c r="AE77" s="1138">
        <f t="shared" si="221"/>
        <v>61689.625</v>
      </c>
      <c r="AF77" s="1138">
        <f t="shared" si="222"/>
        <v>2529274.625</v>
      </c>
      <c r="AG77" s="1138">
        <f t="shared" si="223"/>
        <v>63231.865625000006</v>
      </c>
      <c r="AH77" s="1138">
        <f t="shared" si="224"/>
        <v>2592506.4906250001</v>
      </c>
      <c r="AI77" s="1138">
        <f t="shared" si="225"/>
        <v>129625.32453125001</v>
      </c>
      <c r="AJ77" s="1138">
        <f t="shared" si="226"/>
        <v>2722131.8151562503</v>
      </c>
      <c r="AK77" s="1138">
        <f t="shared" si="227"/>
        <v>27221.318151562504</v>
      </c>
      <c r="AL77" s="1138">
        <f t="shared" si="228"/>
        <v>27537.409960060559</v>
      </c>
      <c r="AM77" s="1138"/>
      <c r="AN77" s="1138"/>
      <c r="AO77" s="1138">
        <f t="shared" si="229"/>
        <v>2776890.5432678731</v>
      </c>
      <c r="AP77" s="1138">
        <f t="shared" si="230"/>
        <v>374880.2233411629</v>
      </c>
      <c r="AQ77" s="1248">
        <f t="shared" si="231"/>
        <v>3151770.7666090359</v>
      </c>
      <c r="AR77" s="1248">
        <f t="shared" si="317"/>
        <v>3151770.7666090359</v>
      </c>
      <c r="AS77" s="1248"/>
      <c r="AT77" s="1248"/>
      <c r="AU77" s="1248">
        <f t="shared" si="232"/>
        <v>0</v>
      </c>
      <c r="AV77" s="1140">
        <f t="shared" si="233"/>
        <v>0</v>
      </c>
      <c r="AW77" s="1140">
        <f t="shared" si="234"/>
        <v>3151770.7666090359</v>
      </c>
      <c r="AX77" s="1139">
        <f t="shared" si="235"/>
        <v>39397.134582612955</v>
      </c>
      <c r="AY77" s="831" t="s">
        <v>478</v>
      </c>
      <c r="AZ77" s="831">
        <f t="shared" si="236"/>
        <v>3191167.901191649</v>
      </c>
      <c r="BA77" s="831">
        <f t="shared" si="237"/>
        <v>119668.79629468684</v>
      </c>
      <c r="BB77" s="831"/>
      <c r="BC77" s="831">
        <f t="shared" si="189"/>
        <v>33600</v>
      </c>
      <c r="BD77" s="831">
        <v>8990.8965517241377</v>
      </c>
      <c r="BE77" s="831">
        <f t="shared" si="238"/>
        <v>3353427.5940380599</v>
      </c>
      <c r="BF77" s="831">
        <v>42723.767172413798</v>
      </c>
      <c r="BG77" s="831">
        <f t="shared" si="239"/>
        <v>3396151.3612104738</v>
      </c>
      <c r="BH77" s="831"/>
      <c r="BI77" s="831">
        <f t="shared" si="240"/>
        <v>3396151.3612104738</v>
      </c>
      <c r="BJ77" s="831"/>
      <c r="BK77" s="831">
        <f t="shared" si="241"/>
        <v>3396151.3612104738</v>
      </c>
      <c r="BL77" s="831"/>
      <c r="BM77" s="831">
        <f t="shared" si="242"/>
        <v>3396151.3612104738</v>
      </c>
      <c r="BN77" s="831"/>
      <c r="BO77" s="831">
        <f t="shared" si="243"/>
        <v>3396151.3612104738</v>
      </c>
      <c r="BP77" s="831">
        <f t="shared" ref="BP77:BP78" si="318">$BP$5/37</f>
        <v>5065.3710270270276</v>
      </c>
      <c r="BQ77" s="831">
        <f t="shared" si="244"/>
        <v>3401216.7322375011</v>
      </c>
      <c r="BR77" s="831">
        <f t="shared" ref="BR77:BR78" si="319">$BR$5/42</f>
        <v>3544.6104</v>
      </c>
      <c r="BS77" s="831">
        <f t="shared" si="245"/>
        <v>3404761.3426375012</v>
      </c>
      <c r="BT77" s="831">
        <f t="shared" ref="BT77:BT78" si="320">$BT$5/41</f>
        <v>1609.3168000000001</v>
      </c>
      <c r="BU77" s="831">
        <f t="shared" si="246"/>
        <v>3406370.6594375013</v>
      </c>
      <c r="BV77" s="831">
        <f t="shared" ref="BV77:BV78" si="321">$BV$5/43</f>
        <v>1163.3400930232558</v>
      </c>
      <c r="BW77" s="831">
        <f t="shared" si="247"/>
        <v>56400</v>
      </c>
      <c r="BX77" s="831">
        <f t="shared" si="248"/>
        <v>3463933.9995305245</v>
      </c>
      <c r="BY77" s="831">
        <f t="shared" ref="BY77:BY78" si="322">$BY$5/44</f>
        <v>30549.183723443901</v>
      </c>
      <c r="BZ77" s="831">
        <f t="shared" si="249"/>
        <v>3494483.1832539686</v>
      </c>
      <c r="CA77" s="1260">
        <f t="shared" si="250"/>
        <v>3494483.1832539686</v>
      </c>
      <c r="CB77" s="1260">
        <f t="shared" si="251"/>
        <v>3494483.1832539686</v>
      </c>
      <c r="CC77" s="1260"/>
      <c r="CD77" s="1260">
        <f t="shared" si="252"/>
        <v>0</v>
      </c>
      <c r="CE77" s="1260">
        <f t="shared" si="253"/>
        <v>0</v>
      </c>
      <c r="CF77" s="1260">
        <f t="shared" si="254"/>
        <v>0</v>
      </c>
      <c r="CG77" s="1266">
        <f t="shared" si="255"/>
        <v>3494483.1832539686</v>
      </c>
      <c r="CH77" s="1141">
        <f t="shared" si="256"/>
        <v>3494483.1832539686</v>
      </c>
      <c r="CI77" s="1142">
        <f t="shared" si="257"/>
        <v>0</v>
      </c>
      <c r="CJ77" s="1141">
        <f t="shared" si="258"/>
        <v>358184.52628353174</v>
      </c>
      <c r="CK77" s="1141">
        <f t="shared" si="259"/>
        <v>122306.91141388891</v>
      </c>
      <c r="CL77" s="1143">
        <f t="shared" si="139"/>
        <v>3974974.6209513894</v>
      </c>
      <c r="CM77" s="1144">
        <f t="shared" si="260"/>
        <v>0.125</v>
      </c>
      <c r="CN77" s="1141">
        <f t="shared" si="261"/>
        <v>496871.82761892368</v>
      </c>
      <c r="CO77" s="1141">
        <f t="shared" si="262"/>
        <v>30000</v>
      </c>
      <c r="CP77" s="1141">
        <f t="shared" si="263"/>
        <v>466871.82761892368</v>
      </c>
      <c r="CQ77" s="1145">
        <f t="shared" si="264"/>
        <v>13</v>
      </c>
      <c r="CR77" s="1141">
        <f t="shared" si="265"/>
        <v>35913.217509147973</v>
      </c>
      <c r="CS77" s="1144">
        <f t="shared" si="266"/>
        <v>0.875</v>
      </c>
      <c r="CT77" s="1141">
        <f t="shared" si="267"/>
        <v>3478102.7933324659</v>
      </c>
      <c r="CU77" s="1146">
        <f t="shared" si="204"/>
        <v>26965.693936436954</v>
      </c>
      <c r="CV77" s="1146">
        <f t="shared" si="205"/>
        <v>31262.171195780164</v>
      </c>
      <c r="CW77" s="1146">
        <f t="shared" si="206"/>
        <v>40383.722589988094</v>
      </c>
      <c r="CX77" s="1146">
        <f t="shared" si="207"/>
        <v>68870.603954520455</v>
      </c>
      <c r="CY77" s="1146">
        <f t="shared" si="268"/>
        <v>282537.34510181198</v>
      </c>
      <c r="CZ77" s="1146">
        <f t="shared" si="269"/>
        <v>111798.65113836039</v>
      </c>
      <c r="DA77" s="1146">
        <f t="shared" si="270"/>
        <v>80750.582291185419</v>
      </c>
      <c r="DB77" s="1146">
        <f t="shared" si="271"/>
        <v>61454.910688396543</v>
      </c>
      <c r="DC77" s="1146"/>
      <c r="DD77" s="1146"/>
      <c r="DE77" s="1146"/>
      <c r="DF77" s="1146"/>
      <c r="DG77" s="1146"/>
      <c r="DH77" s="1146"/>
      <c r="DI77" s="1146"/>
      <c r="DJ77" s="1146"/>
      <c r="DK77" s="1146"/>
      <c r="DL77" s="1146"/>
      <c r="DM77" s="1146"/>
      <c r="DN77" s="1146"/>
      <c r="DO77" s="1146"/>
      <c r="DP77" s="1146"/>
      <c r="DQ77" s="1146"/>
      <c r="DR77" s="1146"/>
      <c r="DS77" s="1146"/>
      <c r="DT77" s="1146"/>
      <c r="DU77" s="1146"/>
      <c r="DV77" s="1146"/>
      <c r="DW77" s="1146"/>
      <c r="DX77" s="1146"/>
      <c r="DY77" s="1146"/>
      <c r="DZ77" s="1146"/>
      <c r="EA77" s="1147">
        <f t="shared" si="208"/>
        <v>0</v>
      </c>
      <c r="EB77" s="1148">
        <f t="shared" si="272"/>
        <v>0</v>
      </c>
      <c r="EC77" s="1190">
        <f t="shared" si="316"/>
        <v>45839</v>
      </c>
      <c r="ED77" s="1031">
        <f t="shared" si="209"/>
        <v>20</v>
      </c>
      <c r="EE77" s="1191"/>
      <c r="EF77" s="1032">
        <f t="shared" si="210"/>
        <v>45904</v>
      </c>
      <c r="EG77" s="1029">
        <f t="shared" si="273"/>
        <v>22</v>
      </c>
      <c r="EH77" s="859" t="s">
        <v>490</v>
      </c>
      <c r="EI77" s="859" t="s">
        <v>480</v>
      </c>
      <c r="EJ77" s="860">
        <f t="shared" si="211"/>
        <v>0</v>
      </c>
      <c r="EK77" s="860">
        <f t="shared" si="212"/>
        <v>0</v>
      </c>
      <c r="EL77" s="861">
        <f t="shared" si="213"/>
        <v>0</v>
      </c>
      <c r="EM77" s="1197"/>
      <c r="EN77" s="860"/>
      <c r="EO77" s="860"/>
      <c r="EP77" s="860">
        <f t="shared" si="214"/>
        <v>0</v>
      </c>
      <c r="EQ77" s="1197"/>
      <c r="ER77" s="1200"/>
      <c r="ES77" s="1197"/>
      <c r="ET77" s="1194" t="s">
        <v>233</v>
      </c>
      <c r="EU77" s="1197" t="b">
        <f t="shared" si="215"/>
        <v>1</v>
      </c>
      <c r="EV77" s="1197" t="s">
        <v>583</v>
      </c>
      <c r="EW77" s="1197" t="s">
        <v>482</v>
      </c>
      <c r="EX77" s="1197"/>
      <c r="EY77" s="1128" t="s">
        <v>483</v>
      </c>
      <c r="EZ77" s="1128" t="s">
        <v>484</v>
      </c>
      <c r="FA77" s="1169">
        <f t="shared" si="274"/>
        <v>0</v>
      </c>
      <c r="FI77" s="1309" t="s">
        <v>96</v>
      </c>
      <c r="FJ77" s="1159" t="s">
        <v>96</v>
      </c>
      <c r="FK77" s="1160" t="b">
        <f t="shared" si="275"/>
        <v>1</v>
      </c>
      <c r="FL77" s="1131"/>
      <c r="FM77" s="1161"/>
      <c r="FO77" s="1060"/>
      <c r="FP77" s="1324"/>
      <c r="FQ77" s="1325"/>
      <c r="FR77" s="1178"/>
      <c r="FU77" s="1295"/>
      <c r="FV77" s="1295"/>
      <c r="FW77" s="1023">
        <v>0.15</v>
      </c>
      <c r="FX77" s="1162">
        <v>14254.806263812137</v>
      </c>
      <c r="FY77" s="1163">
        <v>14700.268959556266</v>
      </c>
      <c r="GA77" s="1164">
        <f t="shared" si="276"/>
        <v>3974974.6209513894</v>
      </c>
      <c r="GB77" s="1165">
        <f t="shared" si="277"/>
        <v>0.15</v>
      </c>
      <c r="GC77" s="1154">
        <f t="shared" si="278"/>
        <v>596246.19314270839</v>
      </c>
      <c r="GD77" s="1164">
        <f t="shared" si="279"/>
        <v>30000</v>
      </c>
      <c r="GE77" s="1154">
        <f t="shared" si="280"/>
        <v>566246.19314270839</v>
      </c>
      <c r="GF77" s="1060">
        <f t="shared" si="281"/>
        <v>35</v>
      </c>
      <c r="GG77" s="1166">
        <f t="shared" si="282"/>
        <v>16178.462661220239</v>
      </c>
      <c r="GI77" s="1164">
        <f t="shared" si="283"/>
        <v>3974974.6209513894</v>
      </c>
      <c r="GJ77" s="1154">
        <f t="shared" si="284"/>
        <v>397497.46209513897</v>
      </c>
      <c r="GK77" s="1154">
        <f t="shared" si="285"/>
        <v>99374.365523784742</v>
      </c>
      <c r="GL77" s="1166">
        <v>15000</v>
      </c>
      <c r="GM77" s="1154">
        <f t="shared" si="286"/>
        <v>382497.46209513897</v>
      </c>
      <c r="GN77" s="1060">
        <f t="shared" si="287"/>
        <v>35</v>
      </c>
      <c r="GO77" s="1154">
        <f t="shared" si="288"/>
        <v>10928.49891700397</v>
      </c>
      <c r="GS77" s="1010">
        <f t="shared" si="289"/>
        <v>3974974.6209513894</v>
      </c>
      <c r="GT77" s="1011">
        <f t="shared" si="290"/>
        <v>0.125</v>
      </c>
      <c r="GU77" s="1010">
        <f t="shared" si="291"/>
        <v>496871.82761892368</v>
      </c>
      <c r="GV77" s="1010">
        <f t="shared" si="292"/>
        <v>30000</v>
      </c>
      <c r="GW77" s="1010">
        <f t="shared" si="293"/>
        <v>466871.82761892368</v>
      </c>
      <c r="GX77" s="1010">
        <f t="shared" si="294"/>
        <v>13</v>
      </c>
      <c r="GY77" s="1010">
        <f t="shared" si="295"/>
        <v>35913.217509147973</v>
      </c>
      <c r="GZ77" s="1011">
        <f t="shared" si="296"/>
        <v>0.875</v>
      </c>
      <c r="HA77" s="1010">
        <f t="shared" si="297"/>
        <v>3478102.7933324659</v>
      </c>
      <c r="HB77" s="1010">
        <f t="shared" si="298"/>
        <v>26965.693936436954</v>
      </c>
      <c r="HC77" s="1010">
        <f t="shared" si="299"/>
        <v>31262.171195780164</v>
      </c>
      <c r="HD77" s="1010">
        <f t="shared" si="300"/>
        <v>40383.722589988094</v>
      </c>
      <c r="HE77" s="1010">
        <f t="shared" si="301"/>
        <v>68870.603954520455</v>
      </c>
      <c r="HG77" s="1010">
        <f t="shared" si="302"/>
        <v>3974974.6209513894</v>
      </c>
      <c r="HH77" s="1011">
        <f t="shared" si="303"/>
        <v>0.125</v>
      </c>
      <c r="HI77" s="1010">
        <f t="shared" si="304"/>
        <v>496871.82761892368</v>
      </c>
      <c r="HJ77" s="1010">
        <f t="shared" si="305"/>
        <v>30000</v>
      </c>
      <c r="HK77" s="1010">
        <f t="shared" si="306"/>
        <v>466871.82761892368</v>
      </c>
      <c r="HL77" s="1012">
        <f t="shared" si="307"/>
        <v>33</v>
      </c>
      <c r="HM77" s="1167">
        <f t="shared" si="308"/>
        <v>14147.631139967385</v>
      </c>
      <c r="HN77" s="1168">
        <f t="shared" si="309"/>
        <v>0.875</v>
      </c>
      <c r="HO77" s="1167">
        <f t="shared" si="310"/>
        <v>3478102.7933324659</v>
      </c>
      <c r="HP77" s="1146">
        <f t="shared" si="311"/>
        <v>26965.693936436954</v>
      </c>
      <c r="HQ77" s="1146">
        <f t="shared" si="312"/>
        <v>31262.171195780164</v>
      </c>
      <c r="HR77" s="1146">
        <f t="shared" si="313"/>
        <v>40383.722589988094</v>
      </c>
      <c r="HS77" s="1146">
        <f t="shared" si="314"/>
        <v>68870.603954520455</v>
      </c>
      <c r="HU77" s="1167">
        <f t="shared" si="315"/>
        <v>-21765.586369180586</v>
      </c>
      <c r="HX77" s="1154"/>
      <c r="HY77" s="1154"/>
      <c r="IB77" s="1154"/>
      <c r="IC77" s="1154"/>
      <c r="ID77" s="1154"/>
      <c r="IE77" s="1154"/>
      <c r="IG77" s="1060"/>
    </row>
    <row r="78" spans="1:241" ht="14.25" customHeight="1">
      <c r="A78" s="1186">
        <f t="shared" si="141"/>
        <v>72</v>
      </c>
      <c r="B78" s="824" t="s">
        <v>149</v>
      </c>
      <c r="C78" s="855">
        <f t="shared" ref="C78:C93" si="323">C77+1</f>
        <v>3</v>
      </c>
      <c r="D78" s="856" t="s">
        <v>505</v>
      </c>
      <c r="E78" s="857" t="str">
        <f t="shared" si="216"/>
        <v>6th Floor</v>
      </c>
      <c r="F78" s="1185"/>
      <c r="G78" s="764" t="s">
        <v>234</v>
      </c>
      <c r="H78" s="764" t="s">
        <v>493</v>
      </c>
      <c r="I78" s="764" t="s">
        <v>476</v>
      </c>
      <c r="J78" s="1139">
        <v>22</v>
      </c>
      <c r="K78" s="1142"/>
      <c r="L78" s="764" t="s">
        <v>344</v>
      </c>
      <c r="M78" s="764" t="s">
        <v>477</v>
      </c>
      <c r="N78" s="856">
        <f t="shared" si="217"/>
        <v>100909.09090909091</v>
      </c>
      <c r="O78" s="1138">
        <f t="shared" ref="O78:O141" si="324">J78*N78</f>
        <v>2220000</v>
      </c>
      <c r="P78" s="1138">
        <f t="shared" si="142"/>
        <v>22400</v>
      </c>
      <c r="Q78" s="1138">
        <f t="shared" si="203"/>
        <v>50000</v>
      </c>
      <c r="R78" s="1138"/>
      <c r="S78" s="1138"/>
      <c r="T78" s="1138"/>
      <c r="U78" s="1138"/>
      <c r="V78" s="1138"/>
      <c r="W78" s="858">
        <f t="shared" ref="W78:W81" si="325">J78*$W$5</f>
        <v>22000</v>
      </c>
      <c r="X78" s="1138"/>
      <c r="Y78" s="1138">
        <f t="shared" ref="Y78:Y93" si="326">$Y$76</f>
        <v>40000</v>
      </c>
      <c r="Z78" s="1138">
        <f t="shared" ref="Z78:Z141" si="327">$Z$5</f>
        <v>75000</v>
      </c>
      <c r="AA78" s="1138">
        <f t="shared" ref="AA78:AA141" si="328">SUM(P78:Z78)</f>
        <v>209400</v>
      </c>
      <c r="AB78" s="1138">
        <f t="shared" si="218"/>
        <v>2429400</v>
      </c>
      <c r="AC78" s="1138">
        <f t="shared" si="219"/>
        <v>60735</v>
      </c>
      <c r="AD78" s="1138">
        <f t="shared" si="220"/>
        <v>2490135</v>
      </c>
      <c r="AE78" s="1138">
        <f t="shared" si="221"/>
        <v>62253.375</v>
      </c>
      <c r="AF78" s="1138">
        <f t="shared" si="222"/>
        <v>2552388.375</v>
      </c>
      <c r="AG78" s="1138">
        <f t="shared" si="223"/>
        <v>63809.709375000006</v>
      </c>
      <c r="AH78" s="1138">
        <f t="shared" si="224"/>
        <v>2616198.0843750001</v>
      </c>
      <c r="AI78" s="1138">
        <f t="shared" si="225"/>
        <v>130809.90421875002</v>
      </c>
      <c r="AJ78" s="1138">
        <f t="shared" si="226"/>
        <v>2747007.9885937502</v>
      </c>
      <c r="AK78" s="1138">
        <f t="shared" si="227"/>
        <v>27470.079885937503</v>
      </c>
      <c r="AL78" s="1138">
        <f t="shared" si="228"/>
        <v>27537.409960060559</v>
      </c>
      <c r="AM78" s="1138"/>
      <c r="AN78" s="1138"/>
      <c r="AO78" s="1138">
        <f t="shared" si="229"/>
        <v>2802015.4784397478</v>
      </c>
      <c r="AP78" s="1138">
        <f t="shared" si="230"/>
        <v>378272.08958936599</v>
      </c>
      <c r="AQ78" s="1248">
        <f t="shared" si="231"/>
        <v>3180287.568029114</v>
      </c>
      <c r="AR78" s="1248">
        <f t="shared" si="317"/>
        <v>3180287.568029114</v>
      </c>
      <c r="AS78" s="1248"/>
      <c r="AT78" s="1248"/>
      <c r="AU78" s="1248">
        <f t="shared" si="232"/>
        <v>0</v>
      </c>
      <c r="AV78" s="1140">
        <f t="shared" si="233"/>
        <v>0</v>
      </c>
      <c r="AW78" s="1140">
        <f t="shared" si="234"/>
        <v>3180287.568029114</v>
      </c>
      <c r="AX78" s="1139">
        <f t="shared" si="235"/>
        <v>39753.594600363926</v>
      </c>
      <c r="AY78" s="831" t="s">
        <v>478</v>
      </c>
      <c r="AZ78" s="831">
        <f t="shared" si="236"/>
        <v>3220041.1626294781</v>
      </c>
      <c r="BA78" s="831">
        <f t="shared" si="237"/>
        <v>120751.54359860542</v>
      </c>
      <c r="BB78" s="831"/>
      <c r="BC78" s="831">
        <f t="shared" si="189"/>
        <v>33600</v>
      </c>
      <c r="BD78" s="831">
        <v>8990.8965517241377</v>
      </c>
      <c r="BE78" s="831">
        <f t="shared" si="238"/>
        <v>3383383.6027798075</v>
      </c>
      <c r="BF78" s="831">
        <v>42723.767172413798</v>
      </c>
      <c r="BG78" s="831">
        <f t="shared" si="239"/>
        <v>3426107.3699522214</v>
      </c>
      <c r="BH78" s="831"/>
      <c r="BI78" s="831">
        <f t="shared" si="240"/>
        <v>3426107.3699522214</v>
      </c>
      <c r="BJ78" s="831"/>
      <c r="BK78" s="831">
        <f t="shared" si="241"/>
        <v>3426107.3699522214</v>
      </c>
      <c r="BL78" s="831"/>
      <c r="BM78" s="831">
        <f t="shared" si="242"/>
        <v>3426107.3699522214</v>
      </c>
      <c r="BN78" s="831"/>
      <c r="BO78" s="831">
        <f t="shared" si="243"/>
        <v>3426107.3699522214</v>
      </c>
      <c r="BP78" s="831">
        <f t="shared" si="318"/>
        <v>5065.3710270270276</v>
      </c>
      <c r="BQ78" s="831">
        <f t="shared" si="244"/>
        <v>3431172.7409792487</v>
      </c>
      <c r="BR78" s="831">
        <f t="shared" si="319"/>
        <v>3544.6104</v>
      </c>
      <c r="BS78" s="831">
        <f t="shared" si="245"/>
        <v>3434717.3513792488</v>
      </c>
      <c r="BT78" s="831">
        <f t="shared" si="320"/>
        <v>1609.3168000000001</v>
      </c>
      <c r="BU78" s="831">
        <f t="shared" si="246"/>
        <v>3436326.6681792489</v>
      </c>
      <c r="BV78" s="831">
        <f t="shared" si="321"/>
        <v>1163.3400930232558</v>
      </c>
      <c r="BW78" s="831">
        <f t="shared" si="247"/>
        <v>56400</v>
      </c>
      <c r="BX78" s="831">
        <f t="shared" si="248"/>
        <v>3493890.0082722721</v>
      </c>
      <c r="BY78" s="831">
        <f t="shared" si="322"/>
        <v>30549.183723443901</v>
      </c>
      <c r="BZ78" s="831">
        <f t="shared" si="249"/>
        <v>3524439.1919957162</v>
      </c>
      <c r="CA78" s="1260">
        <f t="shared" si="250"/>
        <v>3524439.1919957162</v>
      </c>
      <c r="CB78" s="1260">
        <f t="shared" si="251"/>
        <v>3524439.1919957162</v>
      </c>
      <c r="CC78" s="1260"/>
      <c r="CD78" s="1260">
        <f t="shared" si="252"/>
        <v>0</v>
      </c>
      <c r="CE78" s="1260">
        <f t="shared" si="253"/>
        <v>0</v>
      </c>
      <c r="CF78" s="1260">
        <f t="shared" si="254"/>
        <v>0</v>
      </c>
      <c r="CG78" s="1266">
        <f t="shared" si="255"/>
        <v>3524439.1919957162</v>
      </c>
      <c r="CH78" s="1141">
        <f t="shared" si="256"/>
        <v>3524439.1919957162</v>
      </c>
      <c r="CI78" s="1142">
        <f t="shared" si="257"/>
        <v>0</v>
      </c>
      <c r="CJ78" s="1141">
        <f t="shared" si="258"/>
        <v>361255.01717956091</v>
      </c>
      <c r="CK78" s="1141">
        <f t="shared" si="259"/>
        <v>123355.37171985008</v>
      </c>
      <c r="CL78" s="1143">
        <f t="shared" ref="CL78:CL141" si="329">SUM(CH78:CK78)</f>
        <v>4009049.5808951273</v>
      </c>
      <c r="CM78" s="1144">
        <f t="shared" si="260"/>
        <v>0.125</v>
      </c>
      <c r="CN78" s="1141">
        <f t="shared" si="261"/>
        <v>501131.19761189091</v>
      </c>
      <c r="CO78" s="1141">
        <f t="shared" si="262"/>
        <v>30000</v>
      </c>
      <c r="CP78" s="1141">
        <f t="shared" si="263"/>
        <v>471131.19761189091</v>
      </c>
      <c r="CQ78" s="1145">
        <f t="shared" si="264"/>
        <v>13</v>
      </c>
      <c r="CR78" s="1141">
        <f t="shared" si="265"/>
        <v>36240.86135476084</v>
      </c>
      <c r="CS78" s="1144">
        <f t="shared" si="266"/>
        <v>0.875</v>
      </c>
      <c r="CT78" s="1141">
        <f t="shared" si="267"/>
        <v>3507918.3832832365</v>
      </c>
      <c r="CU78" s="1146">
        <f t="shared" si="204"/>
        <v>27196.853887973768</v>
      </c>
      <c r="CV78" s="1146">
        <f t="shared" si="205"/>
        <v>31530.162147379127</v>
      </c>
      <c r="CW78" s="1146">
        <f t="shared" si="206"/>
        <v>40729.906870607098</v>
      </c>
      <c r="CX78" s="1146">
        <f t="shared" si="207"/>
        <v>69460.988370733321</v>
      </c>
      <c r="CY78" s="1146">
        <f t="shared" si="268"/>
        <v>284959.36024279171</v>
      </c>
      <c r="CZ78" s="1146">
        <f t="shared" si="269"/>
        <v>112757.03073133292</v>
      </c>
      <c r="DA78" s="1146">
        <f t="shared" si="270"/>
        <v>81442.806297472809</v>
      </c>
      <c r="DB78" s="1146">
        <f t="shared" si="271"/>
        <v>61981.725025528562</v>
      </c>
      <c r="DC78" s="1146"/>
      <c r="DD78" s="1146"/>
      <c r="DE78" s="1146"/>
      <c r="DF78" s="1146"/>
      <c r="DG78" s="1146"/>
      <c r="DH78" s="1146"/>
      <c r="DI78" s="1146"/>
      <c r="DJ78" s="1146"/>
      <c r="DK78" s="1146"/>
      <c r="DL78" s="1146"/>
      <c r="DM78" s="1146"/>
      <c r="DN78" s="1146"/>
      <c r="DO78" s="1146"/>
      <c r="DP78" s="1146"/>
      <c r="DQ78" s="1146"/>
      <c r="DR78" s="1146"/>
      <c r="DS78" s="1146"/>
      <c r="DT78" s="1146"/>
      <c r="DU78" s="1146"/>
      <c r="DV78" s="1146"/>
      <c r="DW78" s="1146"/>
      <c r="DX78" s="1146"/>
      <c r="DY78" s="1146"/>
      <c r="DZ78" s="1146"/>
      <c r="EA78" s="1147">
        <f t="shared" si="208"/>
        <v>0</v>
      </c>
      <c r="EB78" s="1148">
        <f t="shared" si="272"/>
        <v>0</v>
      </c>
      <c r="EC78" s="1190">
        <f t="shared" si="316"/>
        <v>45839</v>
      </c>
      <c r="ED78" s="1031">
        <f t="shared" si="209"/>
        <v>20</v>
      </c>
      <c r="EE78" s="1191"/>
      <c r="EF78" s="1032">
        <f t="shared" si="210"/>
        <v>45904</v>
      </c>
      <c r="EG78" s="1029">
        <f t="shared" si="273"/>
        <v>22</v>
      </c>
      <c r="EH78" s="859" t="s">
        <v>490</v>
      </c>
      <c r="EI78" s="859" t="s">
        <v>480</v>
      </c>
      <c r="EJ78" s="860">
        <f t="shared" si="211"/>
        <v>0</v>
      </c>
      <c r="EK78" s="860">
        <f t="shared" si="212"/>
        <v>0</v>
      </c>
      <c r="EL78" s="861">
        <f t="shared" si="213"/>
        <v>0</v>
      </c>
      <c r="EM78" s="1197"/>
      <c r="EN78" s="860"/>
      <c r="EO78" s="860"/>
      <c r="EP78" s="860">
        <f t="shared" si="214"/>
        <v>0</v>
      </c>
      <c r="EQ78" s="1197"/>
      <c r="ER78" s="1200"/>
      <c r="ES78" s="1197"/>
      <c r="ET78" s="1194" t="s">
        <v>234</v>
      </c>
      <c r="EU78" s="1197" t="b">
        <f t="shared" si="215"/>
        <v>1</v>
      </c>
      <c r="EV78" s="1197" t="s">
        <v>583</v>
      </c>
      <c r="EW78" s="1197" t="s">
        <v>482</v>
      </c>
      <c r="EX78" s="1197"/>
      <c r="EY78" s="1128" t="s">
        <v>483</v>
      </c>
      <c r="EZ78" s="1128" t="s">
        <v>484</v>
      </c>
      <c r="FA78" s="1169">
        <f t="shared" si="274"/>
        <v>0</v>
      </c>
      <c r="FI78" s="1309" t="s">
        <v>96</v>
      </c>
      <c r="FJ78" s="1159" t="s">
        <v>96</v>
      </c>
      <c r="FK78" s="1160" t="b">
        <f t="shared" si="275"/>
        <v>1</v>
      </c>
      <c r="FL78" s="1131"/>
      <c r="FM78" s="1161"/>
      <c r="FO78" s="1060"/>
      <c r="FP78" s="1169"/>
      <c r="FQ78" s="1203"/>
      <c r="FU78" s="1295"/>
      <c r="FV78" s="1295"/>
      <c r="FW78" s="1023">
        <v>0.15</v>
      </c>
      <c r="FX78" s="1162">
        <v>14399.023391698698</v>
      </c>
      <c r="FY78" s="1163">
        <v>14848.992872689283</v>
      </c>
      <c r="GA78" s="1164">
        <f t="shared" si="276"/>
        <v>4009049.5808951273</v>
      </c>
      <c r="GB78" s="1165">
        <f t="shared" si="277"/>
        <v>0.15</v>
      </c>
      <c r="GC78" s="1154">
        <f t="shared" si="278"/>
        <v>601357.43713426904</v>
      </c>
      <c r="GD78" s="1164">
        <f t="shared" si="279"/>
        <v>30000</v>
      </c>
      <c r="GE78" s="1154">
        <f t="shared" si="280"/>
        <v>571357.43713426904</v>
      </c>
      <c r="GF78" s="1060">
        <f t="shared" si="281"/>
        <v>35</v>
      </c>
      <c r="GG78" s="1166">
        <f t="shared" si="282"/>
        <v>16324.498203836258</v>
      </c>
      <c r="GI78" s="1164">
        <f t="shared" si="283"/>
        <v>4009049.5808951273</v>
      </c>
      <c r="GJ78" s="1154">
        <f t="shared" si="284"/>
        <v>400904.95808951277</v>
      </c>
      <c r="GK78" s="1154">
        <f t="shared" si="285"/>
        <v>100226.23952237819</v>
      </c>
      <c r="GL78" s="1166">
        <v>15000</v>
      </c>
      <c r="GM78" s="1154">
        <f t="shared" si="286"/>
        <v>385904.95808951277</v>
      </c>
      <c r="GN78" s="1060">
        <f t="shared" si="287"/>
        <v>35</v>
      </c>
      <c r="GO78" s="1154">
        <f t="shared" si="288"/>
        <v>11025.855945414651</v>
      </c>
      <c r="GS78" s="1010">
        <f t="shared" si="289"/>
        <v>4009049.5808951273</v>
      </c>
      <c r="GT78" s="1011">
        <f t="shared" si="290"/>
        <v>0.125</v>
      </c>
      <c r="GU78" s="1010">
        <f t="shared" si="291"/>
        <v>501131.19761189091</v>
      </c>
      <c r="GV78" s="1010">
        <f t="shared" si="292"/>
        <v>30000</v>
      </c>
      <c r="GW78" s="1010">
        <f t="shared" si="293"/>
        <v>471131.19761189091</v>
      </c>
      <c r="GX78" s="1010">
        <f t="shared" si="294"/>
        <v>13</v>
      </c>
      <c r="GY78" s="1010">
        <f t="shared" si="295"/>
        <v>36240.86135476084</v>
      </c>
      <c r="GZ78" s="1011">
        <f t="shared" si="296"/>
        <v>0.875</v>
      </c>
      <c r="HA78" s="1010">
        <f t="shared" si="297"/>
        <v>3507918.3832832365</v>
      </c>
      <c r="HB78" s="1010">
        <f t="shared" si="298"/>
        <v>27196.853887973768</v>
      </c>
      <c r="HC78" s="1010">
        <f t="shared" si="299"/>
        <v>31530.162147379127</v>
      </c>
      <c r="HD78" s="1010">
        <f t="shared" si="300"/>
        <v>40729.906870607098</v>
      </c>
      <c r="HE78" s="1010">
        <f t="shared" si="301"/>
        <v>69460.988370733321</v>
      </c>
      <c r="HG78" s="1010">
        <f t="shared" si="302"/>
        <v>4009049.5808951273</v>
      </c>
      <c r="HH78" s="1011">
        <f t="shared" si="303"/>
        <v>0.125</v>
      </c>
      <c r="HI78" s="1010">
        <f t="shared" si="304"/>
        <v>501131.19761189091</v>
      </c>
      <c r="HJ78" s="1010">
        <f t="shared" si="305"/>
        <v>30000</v>
      </c>
      <c r="HK78" s="1010">
        <f t="shared" si="306"/>
        <v>471131.19761189091</v>
      </c>
      <c r="HL78" s="1012">
        <f t="shared" si="307"/>
        <v>33</v>
      </c>
      <c r="HM78" s="1167">
        <f t="shared" si="308"/>
        <v>14276.702957936088</v>
      </c>
      <c r="HN78" s="1168">
        <f t="shared" si="309"/>
        <v>0.875</v>
      </c>
      <c r="HO78" s="1167">
        <f t="shared" si="310"/>
        <v>3507918.3832832365</v>
      </c>
      <c r="HP78" s="1146">
        <f t="shared" si="311"/>
        <v>27196.853887973768</v>
      </c>
      <c r="HQ78" s="1146">
        <f t="shared" si="312"/>
        <v>31530.162147379127</v>
      </c>
      <c r="HR78" s="1146">
        <f t="shared" si="313"/>
        <v>40729.906870607098</v>
      </c>
      <c r="HS78" s="1146">
        <f t="shared" si="314"/>
        <v>69460.988370733321</v>
      </c>
      <c r="HU78" s="1167">
        <f t="shared" si="315"/>
        <v>-21964.158396824751</v>
      </c>
      <c r="HX78" s="1154"/>
      <c r="HY78" s="1154"/>
      <c r="IB78" s="1154"/>
      <c r="IC78" s="1154"/>
      <c r="ID78" s="1154"/>
      <c r="IE78" s="1154"/>
      <c r="IG78" s="1060"/>
    </row>
    <row r="79" spans="1:241" ht="14.25" hidden="1" customHeight="1">
      <c r="A79" s="1186">
        <f t="shared" ref="A79:A142" si="330">A78+1</f>
        <v>73</v>
      </c>
      <c r="B79" s="824" t="s">
        <v>149</v>
      </c>
      <c r="C79" s="855">
        <f t="shared" si="323"/>
        <v>4</v>
      </c>
      <c r="D79" s="856" t="s">
        <v>505</v>
      </c>
      <c r="E79" s="857" t="str">
        <f t="shared" si="216"/>
        <v>6th Floor</v>
      </c>
      <c r="F79" s="1185"/>
      <c r="G79" s="764" t="s">
        <v>235</v>
      </c>
      <c r="H79" s="764" t="s">
        <v>496</v>
      </c>
      <c r="I79" s="764" t="s">
        <v>476</v>
      </c>
      <c r="J79" s="1139">
        <v>22</v>
      </c>
      <c r="K79" s="1142"/>
      <c r="L79" s="764" t="s">
        <v>344</v>
      </c>
      <c r="M79" s="764" t="s">
        <v>477</v>
      </c>
      <c r="N79" s="856">
        <f t="shared" si="217"/>
        <v>100909.09090909091</v>
      </c>
      <c r="O79" s="1138">
        <f t="shared" si="324"/>
        <v>2220000</v>
      </c>
      <c r="P79" s="1138">
        <f t="shared" ref="P79:P142" si="331">$P$13</f>
        <v>22400</v>
      </c>
      <c r="Q79" s="1138">
        <f t="shared" si="203"/>
        <v>50000</v>
      </c>
      <c r="R79" s="1138"/>
      <c r="S79" s="1138"/>
      <c r="T79" s="1138"/>
      <c r="U79" s="1138"/>
      <c r="V79" s="1138"/>
      <c r="W79" s="858">
        <f t="shared" si="325"/>
        <v>22000</v>
      </c>
      <c r="X79" s="1138"/>
      <c r="Y79" s="1138">
        <f t="shared" si="326"/>
        <v>40000</v>
      </c>
      <c r="Z79" s="1138">
        <f t="shared" si="327"/>
        <v>75000</v>
      </c>
      <c r="AA79" s="1138">
        <f t="shared" si="328"/>
        <v>209400</v>
      </c>
      <c r="AB79" s="1138">
        <f t="shared" si="218"/>
        <v>2429400</v>
      </c>
      <c r="AC79" s="1138">
        <f t="shared" si="219"/>
        <v>60735</v>
      </c>
      <c r="AD79" s="1138">
        <f t="shared" si="220"/>
        <v>2490135</v>
      </c>
      <c r="AE79" s="1138">
        <f t="shared" si="221"/>
        <v>62253.375</v>
      </c>
      <c r="AF79" s="1138">
        <f t="shared" si="222"/>
        <v>2552388.375</v>
      </c>
      <c r="AG79" s="1138">
        <f t="shared" si="223"/>
        <v>63809.709375000006</v>
      </c>
      <c r="AH79" s="1138">
        <f t="shared" si="224"/>
        <v>2616198.0843750001</v>
      </c>
      <c r="AI79" s="1138">
        <f t="shared" si="225"/>
        <v>130809.90421875002</v>
      </c>
      <c r="AJ79" s="1138">
        <f t="shared" si="226"/>
        <v>2747007.9885937502</v>
      </c>
      <c r="AK79" s="1138">
        <f t="shared" si="227"/>
        <v>27470.079885937503</v>
      </c>
      <c r="AL79" s="1138">
        <f t="shared" si="228"/>
        <v>27537.409960060559</v>
      </c>
      <c r="AM79" s="1138"/>
      <c r="AN79" s="1138"/>
      <c r="AO79" s="1138">
        <f t="shared" si="229"/>
        <v>2802015.4784397478</v>
      </c>
      <c r="AP79" s="1138">
        <f t="shared" si="230"/>
        <v>378272.08958936599</v>
      </c>
      <c r="AQ79" s="1248">
        <f t="shared" si="231"/>
        <v>3180287.568029114</v>
      </c>
      <c r="AR79" s="1248">
        <f t="shared" si="317"/>
        <v>3180287.568029114</v>
      </c>
      <c r="AS79" s="1248"/>
      <c r="AT79" s="1248"/>
      <c r="AU79" s="1248">
        <f t="shared" si="232"/>
        <v>0</v>
      </c>
      <c r="AV79" s="1140">
        <f t="shared" si="233"/>
        <v>0</v>
      </c>
      <c r="AW79" s="1140">
        <f t="shared" si="234"/>
        <v>3180287.568029114</v>
      </c>
      <c r="AX79" s="1139">
        <f t="shared" si="235"/>
        <v>39753.594600363926</v>
      </c>
      <c r="AY79" s="831" t="s">
        <v>478</v>
      </c>
      <c r="AZ79" s="831">
        <f t="shared" si="236"/>
        <v>3220041.1626294781</v>
      </c>
      <c r="BA79" s="831">
        <f t="shared" si="237"/>
        <v>120751.54359860542</v>
      </c>
      <c r="BB79" s="831"/>
      <c r="BC79" s="831">
        <f t="shared" si="189"/>
        <v>33600</v>
      </c>
      <c r="BD79" s="831"/>
      <c r="BE79" s="831">
        <f t="shared" si="238"/>
        <v>3374392.7062280835</v>
      </c>
      <c r="BF79" s="831"/>
      <c r="BG79" s="831">
        <f t="shared" si="239"/>
        <v>3374392.7062280835</v>
      </c>
      <c r="BH79" s="831"/>
      <c r="BI79" s="831">
        <f t="shared" si="240"/>
        <v>3374392.7062280835</v>
      </c>
      <c r="BJ79" s="831"/>
      <c r="BK79" s="831">
        <f t="shared" si="241"/>
        <v>3374392.7062280835</v>
      </c>
      <c r="BL79" s="831"/>
      <c r="BM79" s="831">
        <f t="shared" si="242"/>
        <v>3374392.7062280835</v>
      </c>
      <c r="BN79" s="831"/>
      <c r="BO79" s="831">
        <f t="shared" si="243"/>
        <v>3374392.7062280835</v>
      </c>
      <c r="BP79" s="831"/>
      <c r="BQ79" s="831">
        <f t="shared" si="244"/>
        <v>3374392.7062280835</v>
      </c>
      <c r="BR79" s="831"/>
      <c r="BS79" s="831">
        <f t="shared" si="245"/>
        <v>3374392.7062280835</v>
      </c>
      <c r="BT79" s="831"/>
      <c r="BU79" s="831">
        <f t="shared" si="246"/>
        <v>3374392.7062280835</v>
      </c>
      <c r="BV79" s="831"/>
      <c r="BW79" s="831">
        <f t="shared" si="247"/>
        <v>56400</v>
      </c>
      <c r="BX79" s="831">
        <f t="shared" si="248"/>
        <v>3430792.7062280835</v>
      </c>
      <c r="BY79" s="831"/>
      <c r="BZ79" s="831">
        <f t="shared" si="249"/>
        <v>3430792.7062280835</v>
      </c>
      <c r="CA79" s="1260">
        <f t="shared" si="250"/>
        <v>3430792.7062280835</v>
      </c>
      <c r="CB79" s="1260">
        <f t="shared" si="251"/>
        <v>3430792.7062280835</v>
      </c>
      <c r="CC79" s="1260"/>
      <c r="CD79" s="1260">
        <f t="shared" si="252"/>
        <v>0</v>
      </c>
      <c r="CE79" s="1260">
        <f t="shared" si="253"/>
        <v>0</v>
      </c>
      <c r="CF79" s="1260">
        <f t="shared" si="254"/>
        <v>0</v>
      </c>
      <c r="CG79" s="1266">
        <f t="shared" si="255"/>
        <v>3430792.7062280835</v>
      </c>
      <c r="CH79" s="1141">
        <f t="shared" si="256"/>
        <v>3430792.7062280835</v>
      </c>
      <c r="CI79" s="1142">
        <f t="shared" si="257"/>
        <v>0</v>
      </c>
      <c r="CJ79" s="1141">
        <f t="shared" si="258"/>
        <v>351656.25238837855</v>
      </c>
      <c r="CK79" s="1141">
        <f t="shared" si="259"/>
        <v>120077.74471798293</v>
      </c>
      <c r="CL79" s="1143">
        <f t="shared" si="329"/>
        <v>3902526.7033344451</v>
      </c>
      <c r="CM79" s="1144">
        <f t="shared" si="260"/>
        <v>0.125</v>
      </c>
      <c r="CN79" s="1141">
        <f t="shared" si="261"/>
        <v>487815.83791680564</v>
      </c>
      <c r="CO79" s="1141">
        <f t="shared" si="262"/>
        <v>30000</v>
      </c>
      <c r="CP79" s="1141">
        <f t="shared" si="263"/>
        <v>457815.83791680564</v>
      </c>
      <c r="CQ79" s="1145">
        <f t="shared" si="264"/>
        <v>13</v>
      </c>
      <c r="CR79" s="1141">
        <f t="shared" si="265"/>
        <v>35216.602916677359</v>
      </c>
      <c r="CS79" s="1144">
        <f t="shared" si="266"/>
        <v>0.875</v>
      </c>
      <c r="CT79" s="1141">
        <f t="shared" si="267"/>
        <v>3414710.8654176397</v>
      </c>
      <c r="CU79" s="1146">
        <f t="shared" si="204"/>
        <v>26474.216994045026</v>
      </c>
      <c r="CV79" s="1146">
        <f t="shared" si="205"/>
        <v>30692.386626243318</v>
      </c>
      <c r="CW79" s="1146">
        <f t="shared" si="206"/>
        <v>39647.688555495377</v>
      </c>
      <c r="CX79" s="1146">
        <f t="shared" si="207"/>
        <v>67615.367804023466</v>
      </c>
      <c r="CY79" s="1146">
        <f t="shared" si="268"/>
        <v>277387.81730514218</v>
      </c>
      <c r="CZ79" s="1146">
        <f t="shared" si="269"/>
        <v>109761.00807400823</v>
      </c>
      <c r="DA79" s="1146">
        <f t="shared" si="270"/>
        <v>79278.821565339123</v>
      </c>
      <c r="DB79" s="1146">
        <f t="shared" si="271"/>
        <v>60334.833019663158</v>
      </c>
      <c r="DC79" s="1146"/>
      <c r="DD79" s="1146"/>
      <c r="DE79" s="1146"/>
      <c r="DF79" s="1146"/>
      <c r="DG79" s="1146"/>
      <c r="DH79" s="1146"/>
      <c r="DI79" s="1146"/>
      <c r="DJ79" s="1146"/>
      <c r="DK79" s="1146"/>
      <c r="DL79" s="1146"/>
      <c r="DM79" s="1146"/>
      <c r="DN79" s="1146"/>
      <c r="DO79" s="1146"/>
      <c r="DP79" s="1146"/>
      <c r="DQ79" s="1146"/>
      <c r="DR79" s="1146"/>
      <c r="DS79" s="1146"/>
      <c r="DT79" s="1146"/>
      <c r="DU79" s="1146"/>
      <c r="DV79" s="1146"/>
      <c r="DW79" s="1146"/>
      <c r="DX79" s="1146"/>
      <c r="DY79" s="1146"/>
      <c r="DZ79" s="1146"/>
      <c r="EA79" s="1147">
        <f t="shared" si="208"/>
        <v>0</v>
      </c>
      <c r="EB79" s="1148">
        <f t="shared" si="272"/>
        <v>0</v>
      </c>
      <c r="EC79" s="1190">
        <f t="shared" si="316"/>
        <v>45839</v>
      </c>
      <c r="ED79" s="1031">
        <f t="shared" si="209"/>
        <v>20</v>
      </c>
      <c r="EE79" s="1191"/>
      <c r="EF79" s="1032">
        <f t="shared" si="210"/>
        <v>45904</v>
      </c>
      <c r="EG79" s="1029">
        <f t="shared" si="273"/>
        <v>22</v>
      </c>
      <c r="EH79" s="859" t="s">
        <v>490</v>
      </c>
      <c r="EI79" s="859" t="s">
        <v>480</v>
      </c>
      <c r="EJ79" s="860">
        <f t="shared" si="211"/>
        <v>0</v>
      </c>
      <c r="EK79" s="860">
        <f t="shared" si="212"/>
        <v>0</v>
      </c>
      <c r="EL79" s="861">
        <f t="shared" si="213"/>
        <v>0</v>
      </c>
      <c r="EM79" s="1197"/>
      <c r="EN79" s="860"/>
      <c r="EO79" s="860"/>
      <c r="EP79" s="860">
        <f t="shared" si="214"/>
        <v>0</v>
      </c>
      <c r="EQ79" s="1197"/>
      <c r="ER79" s="1200"/>
      <c r="ES79" s="1197"/>
      <c r="ET79" s="1194" t="s">
        <v>235</v>
      </c>
      <c r="EU79" s="1197" t="b">
        <f t="shared" si="215"/>
        <v>1</v>
      </c>
      <c r="EV79" s="1197" t="s">
        <v>584</v>
      </c>
      <c r="EW79" s="1197" t="s">
        <v>482</v>
      </c>
      <c r="EX79" s="1197"/>
      <c r="EY79" s="1128" t="s">
        <v>483</v>
      </c>
      <c r="EZ79" s="1128" t="s">
        <v>484</v>
      </c>
      <c r="FA79" s="1169">
        <f t="shared" si="274"/>
        <v>0</v>
      </c>
      <c r="FI79" s="1309" t="s">
        <v>149</v>
      </c>
      <c r="FJ79" s="1159" t="s">
        <v>149</v>
      </c>
      <c r="FK79" s="1160" t="b">
        <f t="shared" si="275"/>
        <v>1</v>
      </c>
      <c r="FL79" s="1131"/>
      <c r="FM79" s="1161"/>
      <c r="FO79" s="1060"/>
      <c r="FP79" s="1169"/>
      <c r="FQ79" s="1203"/>
      <c r="FU79" s="1295"/>
      <c r="FV79" s="1295"/>
      <c r="FW79" s="1023">
        <v>0.15</v>
      </c>
      <c r="FX79" s="1162">
        <v>14399.023391698698</v>
      </c>
      <c r="FY79" s="1163">
        <v>14848.992872689283</v>
      </c>
      <c r="GA79" s="1164">
        <f t="shared" si="276"/>
        <v>3902526.7033344451</v>
      </c>
      <c r="GB79" s="1165">
        <f t="shared" si="277"/>
        <v>0.15</v>
      </c>
      <c r="GC79" s="1154">
        <f t="shared" si="278"/>
        <v>585379.00550016679</v>
      </c>
      <c r="GD79" s="1164">
        <f t="shared" si="279"/>
        <v>30000</v>
      </c>
      <c r="GE79" s="1154">
        <f t="shared" si="280"/>
        <v>555379.00550016679</v>
      </c>
      <c r="GF79" s="1060">
        <f t="shared" si="281"/>
        <v>35</v>
      </c>
      <c r="GG79" s="1166">
        <f t="shared" si="282"/>
        <v>15867.971585719051</v>
      </c>
      <c r="GI79" s="1164">
        <f t="shared" si="283"/>
        <v>3902526.7033344451</v>
      </c>
      <c r="GJ79" s="1154">
        <f t="shared" si="284"/>
        <v>390252.67033344455</v>
      </c>
      <c r="GK79" s="1154">
        <f t="shared" si="285"/>
        <v>97563.167583361137</v>
      </c>
      <c r="GL79" s="1166">
        <v>15000</v>
      </c>
      <c r="GM79" s="1154">
        <f t="shared" si="286"/>
        <v>375252.67033344455</v>
      </c>
      <c r="GN79" s="1060">
        <f t="shared" si="287"/>
        <v>35</v>
      </c>
      <c r="GO79" s="1154">
        <f t="shared" si="288"/>
        <v>10721.504866669844</v>
      </c>
      <c r="GS79" s="1010">
        <f t="shared" si="289"/>
        <v>3902526.7033344451</v>
      </c>
      <c r="GT79" s="1011">
        <f t="shared" si="290"/>
        <v>0.125</v>
      </c>
      <c r="GU79" s="1010">
        <f t="shared" si="291"/>
        <v>487815.83791680564</v>
      </c>
      <c r="GV79" s="1010">
        <f t="shared" si="292"/>
        <v>30000</v>
      </c>
      <c r="GW79" s="1010">
        <f t="shared" si="293"/>
        <v>457815.83791680564</v>
      </c>
      <c r="GX79" s="1010">
        <f t="shared" si="294"/>
        <v>13</v>
      </c>
      <c r="GY79" s="1010">
        <f t="shared" si="295"/>
        <v>35216.602916677359</v>
      </c>
      <c r="GZ79" s="1011">
        <f t="shared" si="296"/>
        <v>0.875</v>
      </c>
      <c r="HA79" s="1010">
        <f t="shared" si="297"/>
        <v>3414710.8654176397</v>
      </c>
      <c r="HB79" s="1010">
        <f t="shared" si="298"/>
        <v>26474.216994045026</v>
      </c>
      <c r="HC79" s="1010">
        <f t="shared" si="299"/>
        <v>30692.386626243318</v>
      </c>
      <c r="HD79" s="1010">
        <f t="shared" si="300"/>
        <v>39647.688555495377</v>
      </c>
      <c r="HE79" s="1010">
        <f t="shared" si="301"/>
        <v>67615.367804023466</v>
      </c>
      <c r="HG79" s="1010">
        <f t="shared" si="302"/>
        <v>3902526.7033344451</v>
      </c>
      <c r="HH79" s="1011">
        <f t="shared" si="303"/>
        <v>0.125</v>
      </c>
      <c r="HI79" s="1010">
        <f t="shared" si="304"/>
        <v>487815.83791680564</v>
      </c>
      <c r="HJ79" s="1010">
        <f t="shared" si="305"/>
        <v>30000</v>
      </c>
      <c r="HK79" s="1010">
        <f t="shared" si="306"/>
        <v>457815.83791680564</v>
      </c>
      <c r="HL79" s="1012">
        <f t="shared" si="307"/>
        <v>33</v>
      </c>
      <c r="HM79" s="1167">
        <f t="shared" si="308"/>
        <v>13873.20720960017</v>
      </c>
      <c r="HN79" s="1168">
        <f t="shared" si="309"/>
        <v>0.875</v>
      </c>
      <c r="HO79" s="1167">
        <f t="shared" si="310"/>
        <v>3414710.8654176397</v>
      </c>
      <c r="HP79" s="1146">
        <f t="shared" si="311"/>
        <v>26474.216994045026</v>
      </c>
      <c r="HQ79" s="1146">
        <f t="shared" si="312"/>
        <v>30692.386626243318</v>
      </c>
      <c r="HR79" s="1146">
        <f t="shared" si="313"/>
        <v>39647.688555495377</v>
      </c>
      <c r="HS79" s="1146">
        <f t="shared" si="314"/>
        <v>67615.367804023466</v>
      </c>
      <c r="HU79" s="1167">
        <f t="shared" si="315"/>
        <v>-21343.395707077187</v>
      </c>
      <c r="HX79" s="1154"/>
      <c r="HY79" s="1154"/>
      <c r="IB79" s="1154"/>
      <c r="IC79" s="1154"/>
      <c r="ID79" s="1154"/>
      <c r="IE79" s="1154"/>
      <c r="IG79" s="1060"/>
    </row>
    <row r="80" spans="1:241" ht="14.25" customHeight="1">
      <c r="A80" s="1186">
        <f t="shared" si="330"/>
        <v>74</v>
      </c>
      <c r="B80" s="824" t="s">
        <v>149</v>
      </c>
      <c r="C80" s="855">
        <f t="shared" si="323"/>
        <v>5</v>
      </c>
      <c r="D80" s="856" t="s">
        <v>505</v>
      </c>
      <c r="E80" s="857" t="str">
        <f t="shared" si="216"/>
        <v>6th Floor</v>
      </c>
      <c r="F80" s="1185"/>
      <c r="G80" s="764" t="s">
        <v>236</v>
      </c>
      <c r="H80" s="764" t="s">
        <v>499</v>
      </c>
      <c r="I80" s="764" t="s">
        <v>476</v>
      </c>
      <c r="J80" s="1139">
        <v>22</v>
      </c>
      <c r="K80" s="1142"/>
      <c r="L80" s="764" t="s">
        <v>344</v>
      </c>
      <c r="M80" s="764" t="s">
        <v>477</v>
      </c>
      <c r="N80" s="856">
        <f t="shared" si="217"/>
        <v>100909.09090909091</v>
      </c>
      <c r="O80" s="1138">
        <f t="shared" si="324"/>
        <v>2220000</v>
      </c>
      <c r="P80" s="1138">
        <f t="shared" si="331"/>
        <v>22400</v>
      </c>
      <c r="Q80" s="1138">
        <f t="shared" si="203"/>
        <v>50000</v>
      </c>
      <c r="R80" s="1138"/>
      <c r="S80" s="1138"/>
      <c r="T80" s="1138"/>
      <c r="U80" s="1138"/>
      <c r="V80" s="858"/>
      <c r="W80" s="858">
        <f t="shared" si="325"/>
        <v>22000</v>
      </c>
      <c r="X80" s="1138"/>
      <c r="Y80" s="1138">
        <f t="shared" si="326"/>
        <v>40000</v>
      </c>
      <c r="Z80" s="1138">
        <f t="shared" si="327"/>
        <v>75000</v>
      </c>
      <c r="AA80" s="1138">
        <f t="shared" si="328"/>
        <v>209400</v>
      </c>
      <c r="AB80" s="1138">
        <f t="shared" si="218"/>
        <v>2429400</v>
      </c>
      <c r="AC80" s="1138">
        <f t="shared" si="219"/>
        <v>60735</v>
      </c>
      <c r="AD80" s="1138">
        <f t="shared" si="220"/>
        <v>2490135</v>
      </c>
      <c r="AE80" s="1138">
        <f t="shared" si="221"/>
        <v>62253.375</v>
      </c>
      <c r="AF80" s="1138">
        <f t="shared" si="222"/>
        <v>2552388.375</v>
      </c>
      <c r="AG80" s="1138">
        <f t="shared" si="223"/>
        <v>63809.709375000006</v>
      </c>
      <c r="AH80" s="1138">
        <f t="shared" si="224"/>
        <v>2616198.0843750001</v>
      </c>
      <c r="AI80" s="1138">
        <f t="shared" si="225"/>
        <v>130809.90421875002</v>
      </c>
      <c r="AJ80" s="1138">
        <f t="shared" si="226"/>
        <v>2747007.9885937502</v>
      </c>
      <c r="AK80" s="1138">
        <f t="shared" si="227"/>
        <v>27470.079885937503</v>
      </c>
      <c r="AL80" s="1138">
        <f t="shared" si="228"/>
        <v>27537.409960060559</v>
      </c>
      <c r="AM80" s="1138"/>
      <c r="AN80" s="1138"/>
      <c r="AO80" s="1138">
        <f t="shared" si="229"/>
        <v>2802015.4784397478</v>
      </c>
      <c r="AP80" s="1138">
        <f t="shared" si="230"/>
        <v>378272.08958936599</v>
      </c>
      <c r="AQ80" s="1248">
        <f t="shared" si="231"/>
        <v>3180287.568029114</v>
      </c>
      <c r="AR80" s="1248">
        <f t="shared" si="317"/>
        <v>3180287.568029114</v>
      </c>
      <c r="AS80" s="1248"/>
      <c r="AT80" s="1248"/>
      <c r="AU80" s="1248">
        <f t="shared" si="232"/>
        <v>0</v>
      </c>
      <c r="AV80" s="1140">
        <f t="shared" si="233"/>
        <v>0</v>
      </c>
      <c r="AW80" s="1140">
        <f t="shared" si="234"/>
        <v>3180287.568029114</v>
      </c>
      <c r="AX80" s="1139">
        <f t="shared" si="235"/>
        <v>39753.594600363926</v>
      </c>
      <c r="AY80" s="831" t="s">
        <v>478</v>
      </c>
      <c r="AZ80" s="831">
        <f t="shared" si="236"/>
        <v>3220041.1626294781</v>
      </c>
      <c r="BA80" s="831">
        <f t="shared" si="237"/>
        <v>120751.54359860542</v>
      </c>
      <c r="BB80" s="831"/>
      <c r="BC80" s="831">
        <f t="shared" si="189"/>
        <v>33600</v>
      </c>
      <c r="BD80" s="831">
        <v>8990.8965517241377</v>
      </c>
      <c r="BE80" s="831">
        <f t="shared" si="238"/>
        <v>3383383.6027798075</v>
      </c>
      <c r="BF80" s="831">
        <v>42723.767172413798</v>
      </c>
      <c r="BG80" s="831">
        <f t="shared" si="239"/>
        <v>3426107.3699522214</v>
      </c>
      <c r="BH80" s="831"/>
      <c r="BI80" s="831">
        <f t="shared" si="240"/>
        <v>3426107.3699522214</v>
      </c>
      <c r="BJ80" s="831"/>
      <c r="BK80" s="831">
        <f t="shared" si="241"/>
        <v>3426107.3699522214</v>
      </c>
      <c r="BL80" s="831"/>
      <c r="BM80" s="831">
        <f t="shared" si="242"/>
        <v>3426107.3699522214</v>
      </c>
      <c r="BN80" s="831"/>
      <c r="BO80" s="831">
        <f t="shared" si="243"/>
        <v>3426107.3699522214</v>
      </c>
      <c r="BP80" s="831">
        <f>$BP$5/37</f>
        <v>5065.3710270270276</v>
      </c>
      <c r="BQ80" s="831">
        <f t="shared" si="244"/>
        <v>3431172.7409792487</v>
      </c>
      <c r="BR80" s="831">
        <f>$BR$5/42</f>
        <v>3544.6104</v>
      </c>
      <c r="BS80" s="831">
        <f t="shared" si="245"/>
        <v>3434717.3513792488</v>
      </c>
      <c r="BT80" s="831">
        <f>$BT$5/41</f>
        <v>1609.3168000000001</v>
      </c>
      <c r="BU80" s="831">
        <f t="shared" si="246"/>
        <v>3436326.6681792489</v>
      </c>
      <c r="BV80" s="831">
        <f>$BV$5/43</f>
        <v>1163.3400930232558</v>
      </c>
      <c r="BW80" s="831">
        <f t="shared" si="247"/>
        <v>56400</v>
      </c>
      <c r="BX80" s="831">
        <f t="shared" si="248"/>
        <v>3493890.0082722721</v>
      </c>
      <c r="BY80" s="831">
        <f>$BY$5/44</f>
        <v>30549.183723443901</v>
      </c>
      <c r="BZ80" s="831">
        <f t="shared" si="249"/>
        <v>3524439.1919957162</v>
      </c>
      <c r="CA80" s="1260">
        <f t="shared" si="250"/>
        <v>3524439.1919957162</v>
      </c>
      <c r="CB80" s="1260">
        <f t="shared" si="251"/>
        <v>3524439.1919957162</v>
      </c>
      <c r="CC80" s="1260"/>
      <c r="CD80" s="1260">
        <f t="shared" si="252"/>
        <v>0</v>
      </c>
      <c r="CE80" s="1260">
        <f t="shared" si="253"/>
        <v>0</v>
      </c>
      <c r="CF80" s="1260">
        <f t="shared" si="254"/>
        <v>0</v>
      </c>
      <c r="CG80" s="1266">
        <f t="shared" si="255"/>
        <v>3524439.1919957162</v>
      </c>
      <c r="CH80" s="1141">
        <f t="shared" si="256"/>
        <v>3524439.1919957162</v>
      </c>
      <c r="CI80" s="1142">
        <f t="shared" si="257"/>
        <v>0</v>
      </c>
      <c r="CJ80" s="1141">
        <f t="shared" si="258"/>
        <v>361255.01717956091</v>
      </c>
      <c r="CK80" s="1141">
        <f t="shared" si="259"/>
        <v>123355.37171985008</v>
      </c>
      <c r="CL80" s="1143">
        <f t="shared" si="329"/>
        <v>4009049.5808951273</v>
      </c>
      <c r="CM80" s="1144">
        <f t="shared" si="260"/>
        <v>0.125</v>
      </c>
      <c r="CN80" s="1141">
        <f t="shared" si="261"/>
        <v>501131.19761189091</v>
      </c>
      <c r="CO80" s="1141">
        <f t="shared" si="262"/>
        <v>30000</v>
      </c>
      <c r="CP80" s="1141">
        <f t="shared" si="263"/>
        <v>471131.19761189091</v>
      </c>
      <c r="CQ80" s="1145">
        <f t="shared" si="264"/>
        <v>13</v>
      </c>
      <c r="CR80" s="1141">
        <f t="shared" si="265"/>
        <v>36240.86135476084</v>
      </c>
      <c r="CS80" s="1144">
        <f t="shared" si="266"/>
        <v>0.875</v>
      </c>
      <c r="CT80" s="1141">
        <f t="shared" si="267"/>
        <v>3507918.3832832365</v>
      </c>
      <c r="CU80" s="1146">
        <f t="shared" si="204"/>
        <v>27196.853887973768</v>
      </c>
      <c r="CV80" s="1146">
        <f t="shared" si="205"/>
        <v>31530.162147379127</v>
      </c>
      <c r="CW80" s="1146">
        <f t="shared" si="206"/>
        <v>40729.906870607098</v>
      </c>
      <c r="CX80" s="1146">
        <f t="shared" si="207"/>
        <v>69460.988370733321</v>
      </c>
      <c r="CY80" s="1146">
        <f t="shared" si="268"/>
        <v>284959.36024279171</v>
      </c>
      <c r="CZ80" s="1146">
        <f t="shared" si="269"/>
        <v>112757.03073133292</v>
      </c>
      <c r="DA80" s="1146">
        <f t="shared" si="270"/>
        <v>81442.806297472809</v>
      </c>
      <c r="DB80" s="1146">
        <f t="shared" si="271"/>
        <v>61981.725025528562</v>
      </c>
      <c r="DC80" s="1146"/>
      <c r="DD80" s="1146"/>
      <c r="DE80" s="1146"/>
      <c r="DF80" s="1146"/>
      <c r="DG80" s="1146"/>
      <c r="DH80" s="1146"/>
      <c r="DI80" s="1146"/>
      <c r="DJ80" s="1146"/>
      <c r="DK80" s="1146"/>
      <c r="DL80" s="1146"/>
      <c r="DM80" s="1146"/>
      <c r="DN80" s="1146"/>
      <c r="DO80" s="1146"/>
      <c r="DP80" s="1146"/>
      <c r="DQ80" s="1146"/>
      <c r="DR80" s="1146"/>
      <c r="DS80" s="1146"/>
      <c r="DT80" s="1146"/>
      <c r="DU80" s="1146"/>
      <c r="DV80" s="1146"/>
      <c r="DW80" s="1146"/>
      <c r="DX80" s="1146"/>
      <c r="DY80" s="1146"/>
      <c r="DZ80" s="1146"/>
      <c r="EA80" s="1147">
        <f t="shared" si="208"/>
        <v>0</v>
      </c>
      <c r="EB80" s="1148">
        <f t="shared" si="272"/>
        <v>0</v>
      </c>
      <c r="EC80" s="1190">
        <f t="shared" si="316"/>
        <v>45839</v>
      </c>
      <c r="ED80" s="1031">
        <f t="shared" si="209"/>
        <v>20</v>
      </c>
      <c r="EE80" s="1191"/>
      <c r="EF80" s="1032">
        <f t="shared" si="210"/>
        <v>45904</v>
      </c>
      <c r="EG80" s="1029">
        <f t="shared" si="273"/>
        <v>22</v>
      </c>
      <c r="EH80" s="859" t="s">
        <v>490</v>
      </c>
      <c r="EI80" s="859" t="s">
        <v>480</v>
      </c>
      <c r="EJ80" s="860">
        <f t="shared" si="211"/>
        <v>0</v>
      </c>
      <c r="EK80" s="860">
        <f t="shared" si="212"/>
        <v>0</v>
      </c>
      <c r="EL80" s="861">
        <f t="shared" si="213"/>
        <v>0</v>
      </c>
      <c r="EM80" s="1197"/>
      <c r="EN80" s="860"/>
      <c r="EO80" s="860"/>
      <c r="EP80" s="860">
        <f t="shared" si="214"/>
        <v>0</v>
      </c>
      <c r="EQ80" s="1197"/>
      <c r="ER80" s="1200"/>
      <c r="ES80" s="1197"/>
      <c r="ET80" s="1194" t="s">
        <v>236</v>
      </c>
      <c r="EU80" s="1197" t="b">
        <f t="shared" si="215"/>
        <v>1</v>
      </c>
      <c r="EV80" s="1197" t="s">
        <v>585</v>
      </c>
      <c r="EW80" s="1197" t="s">
        <v>482</v>
      </c>
      <c r="EX80" s="1197"/>
      <c r="EY80" s="1128" t="s">
        <v>483</v>
      </c>
      <c r="EZ80" s="1128" t="s">
        <v>484</v>
      </c>
      <c r="FA80" s="1169">
        <f t="shared" si="274"/>
        <v>0</v>
      </c>
      <c r="FI80" s="1309" t="s">
        <v>96</v>
      </c>
      <c r="FJ80" s="1159" t="s">
        <v>96</v>
      </c>
      <c r="FK80" s="1160" t="b">
        <f t="shared" si="275"/>
        <v>1</v>
      </c>
      <c r="FL80" s="1131"/>
      <c r="FM80" s="1161"/>
      <c r="FO80" s="1060"/>
      <c r="FP80" s="1169"/>
      <c r="FQ80" s="1203"/>
      <c r="FU80" s="1295"/>
      <c r="FV80" s="1295"/>
      <c r="FW80" s="1023">
        <v>0.15</v>
      </c>
      <c r="FX80" s="1162">
        <v>14399.023391698698</v>
      </c>
      <c r="FY80" s="1163">
        <v>14848.992872689283</v>
      </c>
      <c r="GA80" s="1164">
        <f t="shared" si="276"/>
        <v>4009049.5808951273</v>
      </c>
      <c r="GB80" s="1165">
        <f t="shared" si="277"/>
        <v>0.15</v>
      </c>
      <c r="GC80" s="1154">
        <f t="shared" si="278"/>
        <v>601357.43713426904</v>
      </c>
      <c r="GD80" s="1164">
        <f t="shared" si="279"/>
        <v>30000</v>
      </c>
      <c r="GE80" s="1154">
        <f t="shared" si="280"/>
        <v>571357.43713426904</v>
      </c>
      <c r="GF80" s="1060">
        <f t="shared" si="281"/>
        <v>35</v>
      </c>
      <c r="GG80" s="1166">
        <f t="shared" si="282"/>
        <v>16324.498203836258</v>
      </c>
      <c r="GI80" s="1164">
        <f t="shared" si="283"/>
        <v>4009049.5808951273</v>
      </c>
      <c r="GJ80" s="1154">
        <f t="shared" si="284"/>
        <v>400904.95808951277</v>
      </c>
      <c r="GK80" s="1154">
        <f t="shared" si="285"/>
        <v>100226.23952237819</v>
      </c>
      <c r="GL80" s="1166">
        <v>15000</v>
      </c>
      <c r="GM80" s="1154">
        <f t="shared" si="286"/>
        <v>385904.95808951277</v>
      </c>
      <c r="GN80" s="1060">
        <f t="shared" si="287"/>
        <v>35</v>
      </c>
      <c r="GO80" s="1154">
        <f t="shared" si="288"/>
        <v>11025.855945414651</v>
      </c>
      <c r="GS80" s="1010">
        <f t="shared" si="289"/>
        <v>4009049.5808951273</v>
      </c>
      <c r="GT80" s="1011">
        <f t="shared" si="290"/>
        <v>0.125</v>
      </c>
      <c r="GU80" s="1010">
        <f t="shared" si="291"/>
        <v>501131.19761189091</v>
      </c>
      <c r="GV80" s="1010">
        <f t="shared" si="292"/>
        <v>30000</v>
      </c>
      <c r="GW80" s="1010">
        <f t="shared" si="293"/>
        <v>471131.19761189091</v>
      </c>
      <c r="GX80" s="1010">
        <f t="shared" si="294"/>
        <v>13</v>
      </c>
      <c r="GY80" s="1010">
        <f t="shared" si="295"/>
        <v>36240.86135476084</v>
      </c>
      <c r="GZ80" s="1011">
        <f t="shared" si="296"/>
        <v>0.875</v>
      </c>
      <c r="HA80" s="1010">
        <f t="shared" si="297"/>
        <v>3507918.3832832365</v>
      </c>
      <c r="HB80" s="1010">
        <f t="shared" si="298"/>
        <v>27196.853887973768</v>
      </c>
      <c r="HC80" s="1010">
        <f t="shared" si="299"/>
        <v>31530.162147379127</v>
      </c>
      <c r="HD80" s="1010">
        <f t="shared" si="300"/>
        <v>40729.906870607098</v>
      </c>
      <c r="HE80" s="1010">
        <f t="shared" si="301"/>
        <v>69460.988370733321</v>
      </c>
      <c r="HG80" s="1010">
        <f t="shared" si="302"/>
        <v>4009049.5808951273</v>
      </c>
      <c r="HH80" s="1011">
        <f t="shared" si="303"/>
        <v>0.125</v>
      </c>
      <c r="HI80" s="1010">
        <f t="shared" si="304"/>
        <v>501131.19761189091</v>
      </c>
      <c r="HJ80" s="1010">
        <f t="shared" si="305"/>
        <v>30000</v>
      </c>
      <c r="HK80" s="1010">
        <f t="shared" si="306"/>
        <v>471131.19761189091</v>
      </c>
      <c r="HL80" s="1012">
        <f t="shared" si="307"/>
        <v>33</v>
      </c>
      <c r="HM80" s="1167">
        <f t="shared" si="308"/>
        <v>14276.702957936088</v>
      </c>
      <c r="HN80" s="1168">
        <f t="shared" si="309"/>
        <v>0.875</v>
      </c>
      <c r="HO80" s="1167">
        <f t="shared" si="310"/>
        <v>3507918.3832832365</v>
      </c>
      <c r="HP80" s="1146">
        <f t="shared" si="311"/>
        <v>27196.853887973768</v>
      </c>
      <c r="HQ80" s="1146">
        <f t="shared" si="312"/>
        <v>31530.162147379127</v>
      </c>
      <c r="HR80" s="1146">
        <f t="shared" si="313"/>
        <v>40729.906870607098</v>
      </c>
      <c r="HS80" s="1146">
        <f t="shared" si="314"/>
        <v>69460.988370733321</v>
      </c>
      <c r="HU80" s="1167">
        <f t="shared" si="315"/>
        <v>-21964.158396824751</v>
      </c>
      <c r="HX80" s="1154"/>
      <c r="HY80" s="1154"/>
      <c r="IB80" s="1154"/>
      <c r="IC80" s="1154"/>
      <c r="ID80" s="1154"/>
      <c r="IE80" s="1154"/>
      <c r="IG80" s="1060"/>
    </row>
    <row r="81" spans="1:241" ht="14.25" hidden="1" customHeight="1">
      <c r="A81" s="1186">
        <f t="shared" si="330"/>
        <v>75</v>
      </c>
      <c r="B81" s="824" t="s">
        <v>149</v>
      </c>
      <c r="C81" s="855">
        <f t="shared" si="323"/>
        <v>6</v>
      </c>
      <c r="D81" s="856" t="s">
        <v>505</v>
      </c>
      <c r="E81" s="857" t="str">
        <f t="shared" si="216"/>
        <v>6th Floor</v>
      </c>
      <c r="F81" s="1185"/>
      <c r="G81" s="764" t="s">
        <v>237</v>
      </c>
      <c r="H81" s="764" t="s">
        <v>503</v>
      </c>
      <c r="I81" s="764" t="s">
        <v>476</v>
      </c>
      <c r="J81" s="1139">
        <v>22</v>
      </c>
      <c r="K81" s="1142"/>
      <c r="L81" s="764" t="s">
        <v>344</v>
      </c>
      <c r="M81" s="764" t="s">
        <v>477</v>
      </c>
      <c r="N81" s="856">
        <f t="shared" si="217"/>
        <v>100909.09090909091</v>
      </c>
      <c r="O81" s="1138">
        <f t="shared" si="324"/>
        <v>2220000</v>
      </c>
      <c r="P81" s="1138">
        <f t="shared" si="331"/>
        <v>22400</v>
      </c>
      <c r="Q81" s="1138">
        <f t="shared" si="203"/>
        <v>50000</v>
      </c>
      <c r="R81" s="1138"/>
      <c r="S81" s="1138"/>
      <c r="T81" s="1138"/>
      <c r="U81" s="1138"/>
      <c r="V81" s="1138"/>
      <c r="W81" s="858">
        <f t="shared" si="325"/>
        <v>22000</v>
      </c>
      <c r="X81" s="1138"/>
      <c r="Y81" s="1138">
        <f t="shared" si="326"/>
        <v>40000</v>
      </c>
      <c r="Z81" s="1138">
        <f t="shared" si="327"/>
        <v>75000</v>
      </c>
      <c r="AA81" s="1138">
        <f t="shared" si="328"/>
        <v>209400</v>
      </c>
      <c r="AB81" s="1138">
        <f t="shared" si="218"/>
        <v>2429400</v>
      </c>
      <c r="AC81" s="1138">
        <f t="shared" si="219"/>
        <v>60735</v>
      </c>
      <c r="AD81" s="1138">
        <f t="shared" si="220"/>
        <v>2490135</v>
      </c>
      <c r="AE81" s="1138">
        <f t="shared" si="221"/>
        <v>62253.375</v>
      </c>
      <c r="AF81" s="1138">
        <f t="shared" si="222"/>
        <v>2552388.375</v>
      </c>
      <c r="AG81" s="1138">
        <f t="shared" si="223"/>
        <v>63809.709375000006</v>
      </c>
      <c r="AH81" s="1138">
        <f t="shared" si="224"/>
        <v>2616198.0843750001</v>
      </c>
      <c r="AI81" s="1138">
        <f t="shared" si="225"/>
        <v>130809.90421875002</v>
      </c>
      <c r="AJ81" s="1138">
        <f t="shared" si="226"/>
        <v>2747007.9885937502</v>
      </c>
      <c r="AK81" s="1138">
        <f t="shared" si="227"/>
        <v>27470.079885937503</v>
      </c>
      <c r="AL81" s="1138">
        <f t="shared" si="228"/>
        <v>27537.409960060559</v>
      </c>
      <c r="AM81" s="1138"/>
      <c r="AN81" s="1138"/>
      <c r="AO81" s="1138">
        <f t="shared" si="229"/>
        <v>2802015.4784397478</v>
      </c>
      <c r="AP81" s="1138">
        <f t="shared" si="230"/>
        <v>378272.08958936599</v>
      </c>
      <c r="AQ81" s="1248">
        <f t="shared" si="231"/>
        <v>3180287.568029114</v>
      </c>
      <c r="AR81" s="1248">
        <f t="shared" si="317"/>
        <v>3180287.568029114</v>
      </c>
      <c r="AS81" s="1248"/>
      <c r="AT81" s="1248"/>
      <c r="AU81" s="1248">
        <f t="shared" si="232"/>
        <v>0</v>
      </c>
      <c r="AV81" s="1140">
        <f t="shared" si="233"/>
        <v>0</v>
      </c>
      <c r="AW81" s="1140">
        <f t="shared" si="234"/>
        <v>3180287.568029114</v>
      </c>
      <c r="AX81" s="1139">
        <f t="shared" si="235"/>
        <v>39753.594600363926</v>
      </c>
      <c r="AY81" s="831" t="s">
        <v>478</v>
      </c>
      <c r="AZ81" s="831">
        <f t="shared" si="236"/>
        <v>3220041.1626294781</v>
      </c>
      <c r="BA81" s="831">
        <f t="shared" si="237"/>
        <v>120751.54359860542</v>
      </c>
      <c r="BB81" s="831"/>
      <c r="BC81" s="831">
        <f t="shared" si="189"/>
        <v>33600</v>
      </c>
      <c r="BD81" s="831"/>
      <c r="BE81" s="831">
        <f t="shared" si="238"/>
        <v>3374392.7062280835</v>
      </c>
      <c r="BF81" s="831"/>
      <c r="BG81" s="831">
        <f t="shared" si="239"/>
        <v>3374392.7062280835</v>
      </c>
      <c r="BH81" s="831"/>
      <c r="BI81" s="831">
        <f t="shared" si="240"/>
        <v>3374392.7062280835</v>
      </c>
      <c r="BJ81" s="831"/>
      <c r="BK81" s="831">
        <f t="shared" si="241"/>
        <v>3374392.7062280835</v>
      </c>
      <c r="BL81" s="831"/>
      <c r="BM81" s="831">
        <f t="shared" si="242"/>
        <v>3374392.7062280835</v>
      </c>
      <c r="BN81" s="831"/>
      <c r="BO81" s="831">
        <f t="shared" si="243"/>
        <v>3374392.7062280835</v>
      </c>
      <c r="BP81" s="831"/>
      <c r="BQ81" s="831">
        <f t="shared" si="244"/>
        <v>3374392.7062280835</v>
      </c>
      <c r="BR81" s="831"/>
      <c r="BS81" s="831">
        <f t="shared" si="245"/>
        <v>3374392.7062280835</v>
      </c>
      <c r="BT81" s="831"/>
      <c r="BU81" s="831">
        <f t="shared" si="246"/>
        <v>3374392.7062280835</v>
      </c>
      <c r="BV81" s="831"/>
      <c r="BW81" s="831">
        <f t="shared" si="247"/>
        <v>56400</v>
      </c>
      <c r="BX81" s="831">
        <f t="shared" si="248"/>
        <v>3430792.7062280835</v>
      </c>
      <c r="BY81" s="831"/>
      <c r="BZ81" s="831">
        <f t="shared" si="249"/>
        <v>3430792.7062280835</v>
      </c>
      <c r="CA81" s="1260">
        <f t="shared" si="250"/>
        <v>3430792.7062280835</v>
      </c>
      <c r="CB81" s="1260">
        <f t="shared" si="251"/>
        <v>3430792.7062280835</v>
      </c>
      <c r="CC81" s="1260"/>
      <c r="CD81" s="1260">
        <f t="shared" si="252"/>
        <v>0</v>
      </c>
      <c r="CE81" s="1260">
        <f t="shared" si="253"/>
        <v>0</v>
      </c>
      <c r="CF81" s="1260">
        <f t="shared" si="254"/>
        <v>0</v>
      </c>
      <c r="CG81" s="1266">
        <f t="shared" si="255"/>
        <v>3430792.7062280835</v>
      </c>
      <c r="CH81" s="1141">
        <f t="shared" si="256"/>
        <v>3430792.7062280835</v>
      </c>
      <c r="CI81" s="1142">
        <f t="shared" si="257"/>
        <v>0</v>
      </c>
      <c r="CJ81" s="1141">
        <f t="shared" si="258"/>
        <v>351656.25238837855</v>
      </c>
      <c r="CK81" s="1141">
        <f t="shared" si="259"/>
        <v>120077.74471798293</v>
      </c>
      <c r="CL81" s="1143">
        <f t="shared" si="329"/>
        <v>3902526.7033344451</v>
      </c>
      <c r="CM81" s="1144">
        <f t="shared" si="260"/>
        <v>0.125</v>
      </c>
      <c r="CN81" s="1141">
        <f t="shared" si="261"/>
        <v>487815.83791680564</v>
      </c>
      <c r="CO81" s="1141">
        <f t="shared" si="262"/>
        <v>30000</v>
      </c>
      <c r="CP81" s="1141">
        <f t="shared" si="263"/>
        <v>457815.83791680564</v>
      </c>
      <c r="CQ81" s="1145">
        <f t="shared" si="264"/>
        <v>13</v>
      </c>
      <c r="CR81" s="1141">
        <f t="shared" si="265"/>
        <v>35216.602916677359</v>
      </c>
      <c r="CS81" s="1144">
        <f t="shared" si="266"/>
        <v>0.875</v>
      </c>
      <c r="CT81" s="1141">
        <f t="shared" si="267"/>
        <v>3414710.8654176397</v>
      </c>
      <c r="CU81" s="1146">
        <f t="shared" si="204"/>
        <v>26474.216994045026</v>
      </c>
      <c r="CV81" s="1146">
        <f t="shared" si="205"/>
        <v>30692.386626243318</v>
      </c>
      <c r="CW81" s="1146">
        <f t="shared" si="206"/>
        <v>39647.688555495377</v>
      </c>
      <c r="CX81" s="1146">
        <f t="shared" si="207"/>
        <v>67615.367804023466</v>
      </c>
      <c r="CY81" s="1146">
        <f t="shared" si="268"/>
        <v>277387.81730514218</v>
      </c>
      <c r="CZ81" s="1146">
        <f t="shared" si="269"/>
        <v>109761.00807400823</v>
      </c>
      <c r="DA81" s="1146">
        <f t="shared" si="270"/>
        <v>79278.821565339123</v>
      </c>
      <c r="DB81" s="1146">
        <f t="shared" si="271"/>
        <v>60334.833019663158</v>
      </c>
      <c r="DC81" s="1146"/>
      <c r="DD81" s="1146"/>
      <c r="DE81" s="1146"/>
      <c r="DF81" s="1146"/>
      <c r="DG81" s="1146"/>
      <c r="DH81" s="1146"/>
      <c r="DI81" s="1146"/>
      <c r="DJ81" s="1146"/>
      <c r="DK81" s="1146"/>
      <c r="DL81" s="1146"/>
      <c r="DM81" s="1146"/>
      <c r="DN81" s="1146"/>
      <c r="DO81" s="1146"/>
      <c r="DP81" s="1146"/>
      <c r="DQ81" s="1146"/>
      <c r="DR81" s="1146"/>
      <c r="DS81" s="1146"/>
      <c r="DT81" s="1146"/>
      <c r="DU81" s="1146"/>
      <c r="DV81" s="1146"/>
      <c r="DW81" s="1146"/>
      <c r="DX81" s="1146"/>
      <c r="DY81" s="1146"/>
      <c r="DZ81" s="1146"/>
      <c r="EA81" s="1147">
        <f t="shared" si="208"/>
        <v>0</v>
      </c>
      <c r="EB81" s="1148">
        <f t="shared" si="272"/>
        <v>0</v>
      </c>
      <c r="EC81" s="1190">
        <f t="shared" si="316"/>
        <v>45839</v>
      </c>
      <c r="ED81" s="1031">
        <f t="shared" si="209"/>
        <v>20</v>
      </c>
      <c r="EE81" s="1191"/>
      <c r="EF81" s="1032">
        <f t="shared" si="210"/>
        <v>45904</v>
      </c>
      <c r="EG81" s="1029">
        <f t="shared" si="273"/>
        <v>22</v>
      </c>
      <c r="EH81" s="859" t="s">
        <v>490</v>
      </c>
      <c r="EI81" s="859" t="s">
        <v>480</v>
      </c>
      <c r="EJ81" s="860">
        <f t="shared" si="211"/>
        <v>0</v>
      </c>
      <c r="EK81" s="860">
        <f t="shared" si="212"/>
        <v>0</v>
      </c>
      <c r="EL81" s="861">
        <f t="shared" si="213"/>
        <v>0</v>
      </c>
      <c r="EM81" s="1197"/>
      <c r="EN81" s="860"/>
      <c r="EO81" s="860"/>
      <c r="EP81" s="860">
        <f t="shared" si="214"/>
        <v>0</v>
      </c>
      <c r="EQ81" s="1197"/>
      <c r="ER81" s="1200"/>
      <c r="ES81" s="1197"/>
      <c r="ET81" s="1194" t="s">
        <v>237</v>
      </c>
      <c r="EU81" s="1197" t="b">
        <f t="shared" si="215"/>
        <v>1</v>
      </c>
      <c r="EV81" s="1197" t="s">
        <v>586</v>
      </c>
      <c r="EW81" s="1197" t="s">
        <v>482</v>
      </c>
      <c r="EX81" s="1197"/>
      <c r="EY81" s="1128" t="s">
        <v>483</v>
      </c>
      <c r="EZ81" s="1128" t="s">
        <v>484</v>
      </c>
      <c r="FA81" s="1169">
        <f t="shared" si="274"/>
        <v>0</v>
      </c>
      <c r="FI81" s="1309" t="s">
        <v>149</v>
      </c>
      <c r="FJ81" s="1159" t="s">
        <v>149</v>
      </c>
      <c r="FK81" s="1160" t="b">
        <f t="shared" si="275"/>
        <v>1</v>
      </c>
      <c r="FL81" s="1131"/>
      <c r="FM81" s="1161"/>
      <c r="FO81" s="1060"/>
      <c r="FP81" s="1169"/>
      <c r="FQ81" s="1203"/>
      <c r="FU81" s="1295"/>
      <c r="FV81" s="1295"/>
      <c r="FW81" s="1023">
        <v>0.15</v>
      </c>
      <c r="FX81" s="1162">
        <v>14399.023391698698</v>
      </c>
      <c r="FY81" s="1163">
        <v>14848.992872689283</v>
      </c>
      <c r="GA81" s="1164">
        <f t="shared" si="276"/>
        <v>3902526.7033344451</v>
      </c>
      <c r="GB81" s="1165">
        <f t="shared" si="277"/>
        <v>0.15</v>
      </c>
      <c r="GC81" s="1154">
        <f t="shared" si="278"/>
        <v>585379.00550016679</v>
      </c>
      <c r="GD81" s="1164">
        <f t="shared" si="279"/>
        <v>30000</v>
      </c>
      <c r="GE81" s="1154">
        <f t="shared" si="280"/>
        <v>555379.00550016679</v>
      </c>
      <c r="GF81" s="1060">
        <f t="shared" si="281"/>
        <v>35</v>
      </c>
      <c r="GG81" s="1166">
        <f t="shared" si="282"/>
        <v>15867.971585719051</v>
      </c>
      <c r="GI81" s="1164">
        <f t="shared" si="283"/>
        <v>3902526.7033344451</v>
      </c>
      <c r="GJ81" s="1154">
        <f t="shared" si="284"/>
        <v>390252.67033344455</v>
      </c>
      <c r="GK81" s="1154">
        <f t="shared" si="285"/>
        <v>97563.167583361137</v>
      </c>
      <c r="GL81" s="1166">
        <v>15000</v>
      </c>
      <c r="GM81" s="1154">
        <f t="shared" si="286"/>
        <v>375252.67033344455</v>
      </c>
      <c r="GN81" s="1060">
        <f t="shared" si="287"/>
        <v>35</v>
      </c>
      <c r="GO81" s="1154">
        <f t="shared" si="288"/>
        <v>10721.504866669844</v>
      </c>
      <c r="GS81" s="1010">
        <f t="shared" si="289"/>
        <v>3902526.7033344451</v>
      </c>
      <c r="GT81" s="1011">
        <f t="shared" si="290"/>
        <v>0.125</v>
      </c>
      <c r="GU81" s="1010">
        <f t="shared" si="291"/>
        <v>487815.83791680564</v>
      </c>
      <c r="GV81" s="1010">
        <f t="shared" si="292"/>
        <v>30000</v>
      </c>
      <c r="GW81" s="1010">
        <f t="shared" si="293"/>
        <v>457815.83791680564</v>
      </c>
      <c r="GX81" s="1010">
        <f t="shared" si="294"/>
        <v>13</v>
      </c>
      <c r="GY81" s="1010">
        <f t="shared" si="295"/>
        <v>35216.602916677359</v>
      </c>
      <c r="GZ81" s="1011">
        <f t="shared" si="296"/>
        <v>0.875</v>
      </c>
      <c r="HA81" s="1010">
        <f t="shared" si="297"/>
        <v>3414710.8654176397</v>
      </c>
      <c r="HB81" s="1010">
        <f t="shared" si="298"/>
        <v>26474.216994045026</v>
      </c>
      <c r="HC81" s="1010">
        <f t="shared" si="299"/>
        <v>30692.386626243318</v>
      </c>
      <c r="HD81" s="1010">
        <f t="shared" si="300"/>
        <v>39647.688555495377</v>
      </c>
      <c r="HE81" s="1010">
        <f t="shared" si="301"/>
        <v>67615.367804023466</v>
      </c>
      <c r="HG81" s="1010">
        <f t="shared" si="302"/>
        <v>3902526.7033344451</v>
      </c>
      <c r="HH81" s="1011">
        <f t="shared" si="303"/>
        <v>0.125</v>
      </c>
      <c r="HI81" s="1010">
        <f t="shared" si="304"/>
        <v>487815.83791680564</v>
      </c>
      <c r="HJ81" s="1010">
        <f t="shared" si="305"/>
        <v>30000</v>
      </c>
      <c r="HK81" s="1010">
        <f t="shared" si="306"/>
        <v>457815.83791680564</v>
      </c>
      <c r="HL81" s="1012">
        <f t="shared" si="307"/>
        <v>33</v>
      </c>
      <c r="HM81" s="1167">
        <f t="shared" si="308"/>
        <v>13873.20720960017</v>
      </c>
      <c r="HN81" s="1168">
        <f t="shared" si="309"/>
        <v>0.875</v>
      </c>
      <c r="HO81" s="1167">
        <f t="shared" si="310"/>
        <v>3414710.8654176397</v>
      </c>
      <c r="HP81" s="1146">
        <f t="shared" si="311"/>
        <v>26474.216994045026</v>
      </c>
      <c r="HQ81" s="1146">
        <f t="shared" si="312"/>
        <v>30692.386626243318</v>
      </c>
      <c r="HR81" s="1146">
        <f t="shared" si="313"/>
        <v>39647.688555495377</v>
      </c>
      <c r="HS81" s="1146">
        <f t="shared" si="314"/>
        <v>67615.367804023466</v>
      </c>
      <c r="HU81" s="1167">
        <f t="shared" si="315"/>
        <v>-21343.395707077187</v>
      </c>
      <c r="HX81" s="1154"/>
      <c r="HY81" s="1154"/>
      <c r="IB81" s="1154"/>
      <c r="IC81" s="1154"/>
      <c r="ID81" s="1154"/>
      <c r="IE81" s="1154"/>
      <c r="IG81" s="1060"/>
    </row>
    <row r="82" spans="1:241" ht="14.25" hidden="1" customHeight="1">
      <c r="A82" s="1186">
        <f t="shared" si="330"/>
        <v>76</v>
      </c>
      <c r="B82" s="824" t="s">
        <v>149</v>
      </c>
      <c r="C82" s="855">
        <f t="shared" si="323"/>
        <v>7</v>
      </c>
      <c r="D82" s="856" t="s">
        <v>505</v>
      </c>
      <c r="E82" s="857" t="str">
        <f t="shared" si="216"/>
        <v>6th Floor</v>
      </c>
      <c r="F82" s="1185"/>
      <c r="G82" s="764" t="s">
        <v>238</v>
      </c>
      <c r="H82" s="764" t="s">
        <v>506</v>
      </c>
      <c r="I82" s="764" t="s">
        <v>476</v>
      </c>
      <c r="J82" s="831">
        <v>22</v>
      </c>
      <c r="K82" s="1142"/>
      <c r="L82" s="764" t="s">
        <v>344</v>
      </c>
      <c r="M82" s="764" t="s">
        <v>117</v>
      </c>
      <c r="N82" s="856">
        <f t="shared" si="217"/>
        <v>100909.09090909091</v>
      </c>
      <c r="O82" s="1138">
        <f t="shared" si="324"/>
        <v>2220000</v>
      </c>
      <c r="P82" s="1138">
        <f t="shared" si="331"/>
        <v>22400</v>
      </c>
      <c r="Q82" s="1138">
        <f t="shared" si="203"/>
        <v>50000</v>
      </c>
      <c r="R82" s="1138"/>
      <c r="S82" s="1138"/>
      <c r="T82" s="1138"/>
      <c r="U82" s="1138"/>
      <c r="V82" s="858">
        <f t="shared" ref="V82:V83" si="332">J82*$V$5</f>
        <v>55000</v>
      </c>
      <c r="W82" s="1138"/>
      <c r="X82" s="1138"/>
      <c r="Y82" s="1138">
        <f t="shared" si="326"/>
        <v>40000</v>
      </c>
      <c r="Z82" s="1138">
        <f t="shared" si="327"/>
        <v>75000</v>
      </c>
      <c r="AA82" s="1138">
        <f t="shared" si="328"/>
        <v>242400</v>
      </c>
      <c r="AB82" s="1138">
        <f t="shared" si="218"/>
        <v>2462400</v>
      </c>
      <c r="AC82" s="1138">
        <f t="shared" si="219"/>
        <v>61560</v>
      </c>
      <c r="AD82" s="1138">
        <f t="shared" si="220"/>
        <v>2523960</v>
      </c>
      <c r="AE82" s="1138">
        <f t="shared" si="221"/>
        <v>63099</v>
      </c>
      <c r="AF82" s="1138">
        <f t="shared" si="222"/>
        <v>2587059</v>
      </c>
      <c r="AG82" s="1138">
        <f t="shared" si="223"/>
        <v>64676.475000000006</v>
      </c>
      <c r="AH82" s="1138">
        <f t="shared" si="224"/>
        <v>2651735.4750000001</v>
      </c>
      <c r="AI82" s="1138">
        <f t="shared" si="225"/>
        <v>132586.77375000002</v>
      </c>
      <c r="AJ82" s="1138">
        <f t="shared" si="226"/>
        <v>2784322.2487500003</v>
      </c>
      <c r="AK82" s="1138">
        <f t="shared" si="227"/>
        <v>27843.222487500003</v>
      </c>
      <c r="AL82" s="1138">
        <f t="shared" si="228"/>
        <v>27537.409960060559</v>
      </c>
      <c r="AM82" s="1138"/>
      <c r="AN82" s="1138"/>
      <c r="AO82" s="1138">
        <f t="shared" si="229"/>
        <v>2839702.8811975606</v>
      </c>
      <c r="AP82" s="1138">
        <f t="shared" si="230"/>
        <v>383359.88896167069</v>
      </c>
      <c r="AQ82" s="1248">
        <f t="shared" si="231"/>
        <v>3223062.7701592315</v>
      </c>
      <c r="AR82" s="1248">
        <f t="shared" ref="AR82:AR83" si="333">AQ82-AT82</f>
        <v>2893062.7701592315</v>
      </c>
      <c r="AS82" s="1248">
        <v>15000</v>
      </c>
      <c r="AT82" s="1248">
        <f t="shared" ref="AT82:AT83" si="334">AS82*J82</f>
        <v>330000</v>
      </c>
      <c r="AU82" s="1248">
        <f t="shared" si="232"/>
        <v>39600</v>
      </c>
      <c r="AV82" s="1140">
        <f t="shared" si="233"/>
        <v>369600</v>
      </c>
      <c r="AW82" s="1140">
        <f t="shared" si="234"/>
        <v>3262662.7701592315</v>
      </c>
      <c r="AX82" s="1139">
        <f t="shared" si="235"/>
        <v>40783.284626990397</v>
      </c>
      <c r="AY82" s="831" t="s">
        <v>478</v>
      </c>
      <c r="AZ82" s="831">
        <f t="shared" si="236"/>
        <v>3303446.0547862221</v>
      </c>
      <c r="BA82" s="831">
        <f t="shared" si="237"/>
        <v>123879.22705448332</v>
      </c>
      <c r="BB82" s="831"/>
      <c r="BC82" s="831">
        <f t="shared" si="189"/>
        <v>33600</v>
      </c>
      <c r="BD82" s="831"/>
      <c r="BE82" s="831">
        <f t="shared" si="238"/>
        <v>3460925.2818407053</v>
      </c>
      <c r="BF82" s="831"/>
      <c r="BG82" s="831">
        <f t="shared" si="239"/>
        <v>3460925.2818407053</v>
      </c>
      <c r="BH82" s="831"/>
      <c r="BI82" s="831">
        <f t="shared" si="240"/>
        <v>3460925.2818407053</v>
      </c>
      <c r="BJ82" s="831"/>
      <c r="BK82" s="831">
        <f t="shared" si="241"/>
        <v>3460925.2818407053</v>
      </c>
      <c r="BL82" s="831"/>
      <c r="BM82" s="831">
        <f t="shared" si="242"/>
        <v>3460925.2818407053</v>
      </c>
      <c r="BN82" s="831"/>
      <c r="BO82" s="831">
        <f t="shared" si="243"/>
        <v>3460925.2818407053</v>
      </c>
      <c r="BP82" s="831"/>
      <c r="BQ82" s="831">
        <f t="shared" si="244"/>
        <v>3460925.2818407053</v>
      </c>
      <c r="BR82" s="831"/>
      <c r="BS82" s="831">
        <f t="shared" si="245"/>
        <v>3460925.2818407053</v>
      </c>
      <c r="BT82" s="831"/>
      <c r="BU82" s="831">
        <f t="shared" si="246"/>
        <v>3460925.2818407053</v>
      </c>
      <c r="BV82" s="831"/>
      <c r="BW82" s="831">
        <f t="shared" si="247"/>
        <v>56400</v>
      </c>
      <c r="BX82" s="831">
        <f t="shared" si="248"/>
        <v>3517325.2818407053</v>
      </c>
      <c r="BY82" s="831"/>
      <c r="BZ82" s="831">
        <f t="shared" si="249"/>
        <v>3517325.2818407053</v>
      </c>
      <c r="CA82" s="1260">
        <f t="shared" si="250"/>
        <v>3517325.2818407053</v>
      </c>
      <c r="CB82" s="1260">
        <f t="shared" si="251"/>
        <v>3517325.2818407053</v>
      </c>
      <c r="CC82" s="1260"/>
      <c r="CD82" s="1260">
        <f t="shared" si="252"/>
        <v>0</v>
      </c>
      <c r="CE82" s="1260">
        <f t="shared" si="253"/>
        <v>0</v>
      </c>
      <c r="CF82" s="1260">
        <f t="shared" si="254"/>
        <v>0</v>
      </c>
      <c r="CG82" s="1266">
        <f t="shared" si="255"/>
        <v>3517325.2818407053</v>
      </c>
      <c r="CH82" s="1141">
        <f t="shared" si="256"/>
        <v>3517325.2818407053</v>
      </c>
      <c r="CI82" s="1142">
        <f t="shared" si="257"/>
        <v>0</v>
      </c>
      <c r="CJ82" s="1141">
        <f t="shared" si="258"/>
        <v>360525.8413886723</v>
      </c>
      <c r="CK82" s="1141">
        <f t="shared" si="259"/>
        <v>123106.3848644247</v>
      </c>
      <c r="CL82" s="1143">
        <f t="shared" si="329"/>
        <v>4000957.5080938023</v>
      </c>
      <c r="CM82" s="1144">
        <f t="shared" si="260"/>
        <v>0.125</v>
      </c>
      <c r="CN82" s="1141">
        <f t="shared" si="261"/>
        <v>500119.68851172528</v>
      </c>
      <c r="CO82" s="1141">
        <f t="shared" si="262"/>
        <v>30000</v>
      </c>
      <c r="CP82" s="1141">
        <f t="shared" si="263"/>
        <v>470119.68851172528</v>
      </c>
      <c r="CQ82" s="1145">
        <f t="shared" si="264"/>
        <v>13</v>
      </c>
      <c r="CR82" s="1141">
        <f t="shared" si="265"/>
        <v>36163.052962440408</v>
      </c>
      <c r="CS82" s="1144">
        <f t="shared" si="266"/>
        <v>0.875</v>
      </c>
      <c r="CT82" s="1141">
        <f t="shared" si="267"/>
        <v>3500837.8195820767</v>
      </c>
      <c r="CU82" s="1146">
        <f t="shared" si="204"/>
        <v>27141.958352962858</v>
      </c>
      <c r="CV82" s="1146">
        <f t="shared" si="205"/>
        <v>31466.520039097391</v>
      </c>
      <c r="CW82" s="1146">
        <f t="shared" si="206"/>
        <v>40647.695522271875</v>
      </c>
      <c r="CX82" s="1146">
        <f t="shared" si="207"/>
        <v>69320.784723109071</v>
      </c>
      <c r="CY82" s="1146">
        <f t="shared" si="268"/>
        <v>284384.18354767363</v>
      </c>
      <c r="CZ82" s="1146">
        <f t="shared" si="269"/>
        <v>112529.43611492126</v>
      </c>
      <c r="DA82" s="1146">
        <f t="shared" si="270"/>
        <v>81278.417929505507</v>
      </c>
      <c r="DB82" s="1146">
        <f t="shared" si="271"/>
        <v>61856.617909455854</v>
      </c>
      <c r="DC82" s="1146"/>
      <c r="DD82" s="1146"/>
      <c r="DE82" s="1146"/>
      <c r="DF82" s="1146"/>
      <c r="DG82" s="1146"/>
      <c r="DH82" s="1146"/>
      <c r="DI82" s="1146"/>
      <c r="DJ82" s="1146"/>
      <c r="DK82" s="1146"/>
      <c r="DL82" s="1146"/>
      <c r="DM82" s="1146"/>
      <c r="DN82" s="1146"/>
      <c r="DO82" s="1146"/>
      <c r="DP82" s="1146"/>
      <c r="DQ82" s="1146"/>
      <c r="DR82" s="1146"/>
      <c r="DS82" s="1146"/>
      <c r="DT82" s="1146"/>
      <c r="DU82" s="1146"/>
      <c r="DV82" s="1146"/>
      <c r="DW82" s="1146"/>
      <c r="DX82" s="1146"/>
      <c r="DY82" s="1146"/>
      <c r="DZ82" s="1146"/>
      <c r="EA82" s="1147">
        <f>AT82/AR82</f>
        <v>0.11406596614626412</v>
      </c>
      <c r="EB82" s="1148">
        <f t="shared" si="272"/>
        <v>0</v>
      </c>
      <c r="EC82" s="1190">
        <f t="shared" si="316"/>
        <v>45839</v>
      </c>
      <c r="ED82" s="1031">
        <f t="shared" si="209"/>
        <v>20</v>
      </c>
      <c r="EE82" s="1191"/>
      <c r="EF82" s="1032">
        <f t="shared" si="210"/>
        <v>45904</v>
      </c>
      <c r="EG82" s="1029">
        <f t="shared" si="273"/>
        <v>22</v>
      </c>
      <c r="EH82" s="859" t="s">
        <v>490</v>
      </c>
      <c r="EI82" s="859" t="s">
        <v>480</v>
      </c>
      <c r="EJ82" s="860">
        <f t="shared" si="211"/>
        <v>16800</v>
      </c>
      <c r="EK82" s="860">
        <f t="shared" si="212"/>
        <v>369600</v>
      </c>
      <c r="EL82" s="861">
        <f t="shared" si="213"/>
        <v>0.12775388208381583</v>
      </c>
      <c r="EM82" s="1197"/>
      <c r="EN82" s="860"/>
      <c r="EO82" s="860"/>
      <c r="EP82" s="860">
        <f t="shared" si="214"/>
        <v>0</v>
      </c>
      <c r="EQ82" s="1197"/>
      <c r="ER82" s="1200"/>
      <c r="ES82" s="1197"/>
      <c r="ET82" s="1194" t="s">
        <v>238</v>
      </c>
      <c r="EU82" s="1197" t="b">
        <f t="shared" si="215"/>
        <v>1</v>
      </c>
      <c r="EV82" s="1197" t="s">
        <v>586</v>
      </c>
      <c r="EW82" s="1197" t="s">
        <v>482</v>
      </c>
      <c r="EX82" s="1197"/>
      <c r="EY82" s="1128" t="s">
        <v>587</v>
      </c>
      <c r="EZ82" s="1128" t="s">
        <v>484</v>
      </c>
      <c r="FA82" s="1169">
        <f t="shared" si="274"/>
        <v>0</v>
      </c>
      <c r="FI82" s="1309" t="s">
        <v>149</v>
      </c>
      <c r="FJ82" s="1159" t="s">
        <v>149</v>
      </c>
      <c r="FK82" s="1160" t="b">
        <f t="shared" si="275"/>
        <v>1</v>
      </c>
      <c r="FL82" s="1131"/>
      <c r="FM82" s="1161"/>
      <c r="FO82" s="1060"/>
      <c r="FP82" s="1169"/>
      <c r="FQ82" s="1203"/>
      <c r="FU82" s="1295"/>
      <c r="FV82" s="1295"/>
      <c r="FW82" s="1023">
        <v>0.15</v>
      </c>
      <c r="FX82" s="1162">
        <v>14900.058723395507</v>
      </c>
      <c r="FY82" s="1163">
        <v>15365.685558501616</v>
      </c>
      <c r="GA82" s="1164">
        <f t="shared" si="276"/>
        <v>4000957.5080938023</v>
      </c>
      <c r="GB82" s="1165">
        <f t="shared" si="277"/>
        <v>0.15</v>
      </c>
      <c r="GC82" s="1154">
        <f t="shared" si="278"/>
        <v>600143.62621407036</v>
      </c>
      <c r="GD82" s="1164">
        <f t="shared" si="279"/>
        <v>30000</v>
      </c>
      <c r="GE82" s="1154">
        <f t="shared" si="280"/>
        <v>570143.62621407036</v>
      </c>
      <c r="GF82" s="1060">
        <f t="shared" si="281"/>
        <v>35</v>
      </c>
      <c r="GG82" s="1166">
        <f t="shared" si="282"/>
        <v>16289.817891830582</v>
      </c>
      <c r="GI82" s="1164">
        <f t="shared" si="283"/>
        <v>4000957.5080938023</v>
      </c>
      <c r="GJ82" s="1154">
        <f t="shared" si="284"/>
        <v>400095.75080938026</v>
      </c>
      <c r="GK82" s="1154">
        <f t="shared" si="285"/>
        <v>100023.93770234507</v>
      </c>
      <c r="GL82" s="1166">
        <v>15000</v>
      </c>
      <c r="GM82" s="1154">
        <f t="shared" si="286"/>
        <v>385095.75080938026</v>
      </c>
      <c r="GN82" s="1060">
        <f t="shared" si="287"/>
        <v>35</v>
      </c>
      <c r="GO82" s="1154">
        <f t="shared" si="288"/>
        <v>11002.735737410865</v>
      </c>
      <c r="GS82" s="1010">
        <f t="shared" si="289"/>
        <v>4000957.5080938023</v>
      </c>
      <c r="GT82" s="1011">
        <f t="shared" si="290"/>
        <v>0.125</v>
      </c>
      <c r="GU82" s="1010">
        <f t="shared" si="291"/>
        <v>500119.68851172528</v>
      </c>
      <c r="GV82" s="1010">
        <f t="shared" si="292"/>
        <v>30000</v>
      </c>
      <c r="GW82" s="1010">
        <f t="shared" si="293"/>
        <v>470119.68851172528</v>
      </c>
      <c r="GX82" s="1010">
        <f t="shared" si="294"/>
        <v>13</v>
      </c>
      <c r="GY82" s="1010">
        <f t="shared" si="295"/>
        <v>36163.052962440408</v>
      </c>
      <c r="GZ82" s="1011">
        <f t="shared" si="296"/>
        <v>0.875</v>
      </c>
      <c r="HA82" s="1010">
        <f t="shared" si="297"/>
        <v>3500837.8195820767</v>
      </c>
      <c r="HB82" s="1010">
        <f t="shared" si="298"/>
        <v>27141.958352962858</v>
      </c>
      <c r="HC82" s="1010">
        <f t="shared" si="299"/>
        <v>31466.520039097391</v>
      </c>
      <c r="HD82" s="1010">
        <f t="shared" si="300"/>
        <v>40647.695522271875</v>
      </c>
      <c r="HE82" s="1010">
        <f t="shared" si="301"/>
        <v>69320.784723109071</v>
      </c>
      <c r="HG82" s="1010">
        <f t="shared" si="302"/>
        <v>4000957.5080938023</v>
      </c>
      <c r="HH82" s="1011">
        <f t="shared" si="303"/>
        <v>0.125</v>
      </c>
      <c r="HI82" s="1010">
        <f t="shared" si="304"/>
        <v>500119.68851172528</v>
      </c>
      <c r="HJ82" s="1010">
        <f t="shared" si="305"/>
        <v>30000</v>
      </c>
      <c r="HK82" s="1010">
        <f t="shared" si="306"/>
        <v>470119.68851172528</v>
      </c>
      <c r="HL82" s="1012">
        <f t="shared" si="307"/>
        <v>33</v>
      </c>
      <c r="HM82" s="1167">
        <f t="shared" si="308"/>
        <v>14246.051167021978</v>
      </c>
      <c r="HN82" s="1168">
        <f t="shared" si="309"/>
        <v>0.875</v>
      </c>
      <c r="HO82" s="1167">
        <f t="shared" si="310"/>
        <v>3500837.8195820767</v>
      </c>
      <c r="HP82" s="1146">
        <f t="shared" si="311"/>
        <v>27141.958352962858</v>
      </c>
      <c r="HQ82" s="1146">
        <f t="shared" si="312"/>
        <v>31466.520039097391</v>
      </c>
      <c r="HR82" s="1146">
        <f t="shared" si="313"/>
        <v>40647.695522271875</v>
      </c>
      <c r="HS82" s="1146">
        <f t="shared" si="314"/>
        <v>69320.784723109071</v>
      </c>
      <c r="HU82" s="1167">
        <f t="shared" si="315"/>
        <v>-21917.00179541843</v>
      </c>
      <c r="HX82" s="1154"/>
      <c r="HY82" s="1154"/>
      <c r="IB82" s="1154"/>
      <c r="IC82" s="1154"/>
      <c r="ID82" s="1154"/>
      <c r="IE82" s="1154"/>
      <c r="IG82" s="1060"/>
    </row>
    <row r="83" spans="1:241" ht="14.25" hidden="1" customHeight="1">
      <c r="A83" s="1186">
        <f t="shared" si="330"/>
        <v>77</v>
      </c>
      <c r="B83" s="824" t="s">
        <v>149</v>
      </c>
      <c r="C83" s="855">
        <f t="shared" si="323"/>
        <v>8</v>
      </c>
      <c r="D83" s="856" t="s">
        <v>505</v>
      </c>
      <c r="E83" s="857" t="str">
        <f t="shared" si="216"/>
        <v>6th Floor</v>
      </c>
      <c r="F83" s="1185"/>
      <c r="G83" s="764" t="s">
        <v>239</v>
      </c>
      <c r="H83" s="764" t="s">
        <v>508</v>
      </c>
      <c r="I83" s="764" t="s">
        <v>476</v>
      </c>
      <c r="J83" s="831">
        <v>22</v>
      </c>
      <c r="K83" s="1142"/>
      <c r="L83" s="764" t="s">
        <v>500</v>
      </c>
      <c r="M83" s="764" t="s">
        <v>117</v>
      </c>
      <c r="N83" s="856">
        <f t="shared" si="217"/>
        <v>100909.09090909091</v>
      </c>
      <c r="O83" s="1138">
        <f t="shared" si="324"/>
        <v>2220000</v>
      </c>
      <c r="P83" s="1138">
        <f t="shared" si="331"/>
        <v>22400</v>
      </c>
      <c r="Q83" s="1138">
        <f t="shared" si="203"/>
        <v>50000</v>
      </c>
      <c r="R83" s="1138"/>
      <c r="S83" s="1138"/>
      <c r="T83" s="1138"/>
      <c r="U83" s="1138"/>
      <c r="V83" s="858">
        <f t="shared" si="332"/>
        <v>55000</v>
      </c>
      <c r="W83" s="1138"/>
      <c r="X83" s="1138"/>
      <c r="Y83" s="1138">
        <f t="shared" si="326"/>
        <v>40000</v>
      </c>
      <c r="Z83" s="1138">
        <f t="shared" si="327"/>
        <v>75000</v>
      </c>
      <c r="AA83" s="1138">
        <f t="shared" si="328"/>
        <v>242400</v>
      </c>
      <c r="AB83" s="1138">
        <f t="shared" si="218"/>
        <v>2462400</v>
      </c>
      <c r="AC83" s="1138">
        <f t="shared" si="219"/>
        <v>61560</v>
      </c>
      <c r="AD83" s="1138">
        <f t="shared" si="220"/>
        <v>2523960</v>
      </c>
      <c r="AE83" s="1138">
        <f t="shared" si="221"/>
        <v>63099</v>
      </c>
      <c r="AF83" s="1138">
        <f t="shared" si="222"/>
        <v>2587059</v>
      </c>
      <c r="AG83" s="1138">
        <f t="shared" si="223"/>
        <v>64676.475000000006</v>
      </c>
      <c r="AH83" s="1138">
        <f t="shared" si="224"/>
        <v>2651735.4750000001</v>
      </c>
      <c r="AI83" s="1138">
        <f t="shared" si="225"/>
        <v>132586.77375000002</v>
      </c>
      <c r="AJ83" s="1138">
        <f t="shared" si="226"/>
        <v>2784322.2487500003</v>
      </c>
      <c r="AK83" s="1138">
        <f t="shared" si="227"/>
        <v>27843.222487500003</v>
      </c>
      <c r="AL83" s="1138">
        <f t="shared" si="228"/>
        <v>27537.409960060559</v>
      </c>
      <c r="AM83" s="1138"/>
      <c r="AN83" s="1138"/>
      <c r="AO83" s="1138">
        <f t="shared" si="229"/>
        <v>2839702.8811975606</v>
      </c>
      <c r="AP83" s="1138">
        <f t="shared" si="230"/>
        <v>383359.88896167069</v>
      </c>
      <c r="AQ83" s="1248">
        <f t="shared" si="231"/>
        <v>3223062.7701592315</v>
      </c>
      <c r="AR83" s="1248">
        <f t="shared" si="333"/>
        <v>2893062.7701592315</v>
      </c>
      <c r="AS83" s="1248">
        <v>15000</v>
      </c>
      <c r="AT83" s="1248">
        <f t="shared" si="334"/>
        <v>330000</v>
      </c>
      <c r="AU83" s="1248">
        <f t="shared" si="232"/>
        <v>39600</v>
      </c>
      <c r="AV83" s="1140">
        <f t="shared" si="233"/>
        <v>369600</v>
      </c>
      <c r="AW83" s="1140">
        <f t="shared" si="234"/>
        <v>3262662.7701592315</v>
      </c>
      <c r="AX83" s="1139">
        <f t="shared" si="235"/>
        <v>40783.284626990397</v>
      </c>
      <c r="AY83" s="831" t="s">
        <v>478</v>
      </c>
      <c r="AZ83" s="831">
        <f t="shared" si="236"/>
        <v>3303446.0547862221</v>
      </c>
      <c r="BA83" s="831">
        <f t="shared" si="237"/>
        <v>123879.22705448332</v>
      </c>
      <c r="BB83" s="831"/>
      <c r="BC83" s="831">
        <f t="shared" si="189"/>
        <v>33600</v>
      </c>
      <c r="BD83" s="831"/>
      <c r="BE83" s="831">
        <f t="shared" si="238"/>
        <v>3460925.2818407053</v>
      </c>
      <c r="BF83" s="831"/>
      <c r="BG83" s="831">
        <f t="shared" si="239"/>
        <v>3460925.2818407053</v>
      </c>
      <c r="BH83" s="831"/>
      <c r="BI83" s="831">
        <f t="shared" si="240"/>
        <v>3460925.2818407053</v>
      </c>
      <c r="BJ83" s="831"/>
      <c r="BK83" s="831">
        <f t="shared" si="241"/>
        <v>3460925.2818407053</v>
      </c>
      <c r="BL83" s="831"/>
      <c r="BM83" s="831">
        <f t="shared" si="242"/>
        <v>3460925.2818407053</v>
      </c>
      <c r="BN83" s="831"/>
      <c r="BO83" s="831">
        <f t="shared" si="243"/>
        <v>3460925.2818407053</v>
      </c>
      <c r="BP83" s="831"/>
      <c r="BQ83" s="831">
        <f t="shared" si="244"/>
        <v>3460925.2818407053</v>
      </c>
      <c r="BR83" s="831"/>
      <c r="BS83" s="831">
        <f t="shared" si="245"/>
        <v>3460925.2818407053</v>
      </c>
      <c r="BT83" s="831"/>
      <c r="BU83" s="831">
        <f t="shared" si="246"/>
        <v>3460925.2818407053</v>
      </c>
      <c r="BV83" s="831"/>
      <c r="BW83" s="831">
        <f t="shared" si="247"/>
        <v>56400</v>
      </c>
      <c r="BX83" s="831">
        <f t="shared" si="248"/>
        <v>3517325.2818407053</v>
      </c>
      <c r="BY83" s="831"/>
      <c r="BZ83" s="831">
        <f t="shared" si="249"/>
        <v>3517325.2818407053</v>
      </c>
      <c r="CA83" s="1260">
        <f t="shared" si="250"/>
        <v>3517325.2818407053</v>
      </c>
      <c r="CB83" s="1260">
        <f t="shared" si="251"/>
        <v>3517325.2818407053</v>
      </c>
      <c r="CC83" s="1260"/>
      <c r="CD83" s="1260">
        <f t="shared" si="252"/>
        <v>0</v>
      </c>
      <c r="CE83" s="1260">
        <f t="shared" si="253"/>
        <v>0</v>
      </c>
      <c r="CF83" s="1260">
        <f t="shared" si="254"/>
        <v>0</v>
      </c>
      <c r="CG83" s="1266">
        <f t="shared" si="255"/>
        <v>3517325.2818407053</v>
      </c>
      <c r="CH83" s="1141">
        <f t="shared" si="256"/>
        <v>3517325.2818407053</v>
      </c>
      <c r="CI83" s="1142">
        <f t="shared" si="257"/>
        <v>0</v>
      </c>
      <c r="CJ83" s="1141">
        <f t="shared" si="258"/>
        <v>360525.8413886723</v>
      </c>
      <c r="CK83" s="1141">
        <f t="shared" si="259"/>
        <v>123106.3848644247</v>
      </c>
      <c r="CL83" s="1143">
        <f t="shared" si="329"/>
        <v>4000957.5080938023</v>
      </c>
      <c r="CM83" s="1144">
        <f t="shared" si="260"/>
        <v>0.125</v>
      </c>
      <c r="CN83" s="1141">
        <f t="shared" si="261"/>
        <v>500119.68851172528</v>
      </c>
      <c r="CO83" s="1141">
        <f t="shared" si="262"/>
        <v>30000</v>
      </c>
      <c r="CP83" s="1141">
        <f t="shared" si="263"/>
        <v>470119.68851172528</v>
      </c>
      <c r="CQ83" s="1145">
        <f t="shared" si="264"/>
        <v>13</v>
      </c>
      <c r="CR83" s="1141">
        <f t="shared" si="265"/>
        <v>36163.052962440408</v>
      </c>
      <c r="CS83" s="1144">
        <f t="shared" si="266"/>
        <v>0.875</v>
      </c>
      <c r="CT83" s="1141">
        <f t="shared" si="267"/>
        <v>3500837.8195820767</v>
      </c>
      <c r="CU83" s="1146">
        <f t="shared" si="204"/>
        <v>27141.958352962858</v>
      </c>
      <c r="CV83" s="1146">
        <f t="shared" si="205"/>
        <v>31466.520039097391</v>
      </c>
      <c r="CW83" s="1146">
        <f t="shared" si="206"/>
        <v>40647.695522271875</v>
      </c>
      <c r="CX83" s="1146">
        <f t="shared" si="207"/>
        <v>69320.784723109071</v>
      </c>
      <c r="CY83" s="1146">
        <f t="shared" si="268"/>
        <v>284384.18354767363</v>
      </c>
      <c r="CZ83" s="1146">
        <f t="shared" si="269"/>
        <v>112529.43611492126</v>
      </c>
      <c r="DA83" s="1146">
        <f t="shared" si="270"/>
        <v>81278.417929505507</v>
      </c>
      <c r="DB83" s="1146">
        <f t="shared" si="271"/>
        <v>61856.617909455854</v>
      </c>
      <c r="DC83" s="1146"/>
      <c r="DD83" s="1146"/>
      <c r="DE83" s="1146"/>
      <c r="DF83" s="1146"/>
      <c r="DG83" s="1146"/>
      <c r="DH83" s="1146"/>
      <c r="DI83" s="1146"/>
      <c r="DJ83" s="1146"/>
      <c r="DK83" s="1146"/>
      <c r="DL83" s="1146"/>
      <c r="DM83" s="1146"/>
      <c r="DN83" s="1146"/>
      <c r="DO83" s="1146"/>
      <c r="DP83" s="1146"/>
      <c r="DQ83" s="1146"/>
      <c r="DR83" s="1146"/>
      <c r="DS83" s="1146"/>
      <c r="DT83" s="1146"/>
      <c r="DU83" s="1146"/>
      <c r="DV83" s="1146"/>
      <c r="DW83" s="1146"/>
      <c r="DX83" s="1146"/>
      <c r="DY83" s="1146"/>
      <c r="DZ83" s="1146"/>
      <c r="EA83" s="1147">
        <f t="shared" si="208"/>
        <v>0.11406596614626412</v>
      </c>
      <c r="EB83" s="1148">
        <f t="shared" si="272"/>
        <v>0</v>
      </c>
      <c r="EC83" s="1190">
        <f t="shared" si="316"/>
        <v>45839</v>
      </c>
      <c r="ED83" s="1031">
        <f t="shared" si="209"/>
        <v>20</v>
      </c>
      <c r="EE83" s="1191"/>
      <c r="EF83" s="1032">
        <f t="shared" si="210"/>
        <v>45904</v>
      </c>
      <c r="EG83" s="1029">
        <f t="shared" si="273"/>
        <v>22</v>
      </c>
      <c r="EH83" s="859" t="s">
        <v>490</v>
      </c>
      <c r="EI83" s="859" t="s">
        <v>480</v>
      </c>
      <c r="EJ83" s="860">
        <f t="shared" si="211"/>
        <v>16800</v>
      </c>
      <c r="EK83" s="860">
        <f t="shared" si="212"/>
        <v>369600</v>
      </c>
      <c r="EL83" s="861">
        <f t="shared" si="213"/>
        <v>0.12775388208381583</v>
      </c>
      <c r="EM83" s="1197"/>
      <c r="EN83" s="860"/>
      <c r="EO83" s="860"/>
      <c r="EP83" s="860">
        <f t="shared" si="214"/>
        <v>0</v>
      </c>
      <c r="EQ83" s="1197"/>
      <c r="ER83" s="1200"/>
      <c r="ES83" s="1197"/>
      <c r="ET83" s="1194" t="s">
        <v>239</v>
      </c>
      <c r="EU83" s="1197" t="b">
        <f t="shared" si="215"/>
        <v>1</v>
      </c>
      <c r="EV83" s="1197" t="s">
        <v>588</v>
      </c>
      <c r="EW83" s="1197" t="s">
        <v>482</v>
      </c>
      <c r="EX83" s="1197"/>
      <c r="EY83" s="1128" t="s">
        <v>587</v>
      </c>
      <c r="EZ83" s="1128" t="s">
        <v>484</v>
      </c>
      <c r="FA83" s="1169">
        <f t="shared" si="274"/>
        <v>0</v>
      </c>
      <c r="FI83" s="1309" t="s">
        <v>149</v>
      </c>
      <c r="FJ83" s="1159" t="s">
        <v>149</v>
      </c>
      <c r="FK83" s="1160" t="b">
        <f t="shared" si="275"/>
        <v>1</v>
      </c>
      <c r="FL83" s="1131"/>
      <c r="FM83" s="1161"/>
      <c r="FO83" s="1060"/>
      <c r="FP83" s="1169"/>
      <c r="FQ83" s="1203"/>
      <c r="FU83" s="1295"/>
      <c r="FV83" s="1295"/>
      <c r="FW83" s="1023">
        <v>0.15</v>
      </c>
      <c r="FX83" s="1162">
        <v>14900.058723395507</v>
      </c>
      <c r="FY83" s="1163">
        <v>15365.685558501616</v>
      </c>
      <c r="GA83" s="1164">
        <f t="shared" si="276"/>
        <v>4000957.5080938023</v>
      </c>
      <c r="GB83" s="1165">
        <f t="shared" si="277"/>
        <v>0.15</v>
      </c>
      <c r="GC83" s="1154">
        <f t="shared" si="278"/>
        <v>600143.62621407036</v>
      </c>
      <c r="GD83" s="1164">
        <f t="shared" si="279"/>
        <v>30000</v>
      </c>
      <c r="GE83" s="1154">
        <f t="shared" si="280"/>
        <v>570143.62621407036</v>
      </c>
      <c r="GF83" s="1060">
        <f t="shared" si="281"/>
        <v>35</v>
      </c>
      <c r="GG83" s="1166">
        <f t="shared" si="282"/>
        <v>16289.817891830582</v>
      </c>
      <c r="GI83" s="1164">
        <f t="shared" si="283"/>
        <v>4000957.5080938023</v>
      </c>
      <c r="GJ83" s="1154">
        <f t="shared" si="284"/>
        <v>400095.75080938026</v>
      </c>
      <c r="GK83" s="1154">
        <f t="shared" si="285"/>
        <v>100023.93770234507</v>
      </c>
      <c r="GL83" s="1166">
        <v>15000</v>
      </c>
      <c r="GM83" s="1154">
        <f t="shared" si="286"/>
        <v>385095.75080938026</v>
      </c>
      <c r="GN83" s="1060">
        <f t="shared" si="287"/>
        <v>35</v>
      </c>
      <c r="GO83" s="1154">
        <f t="shared" si="288"/>
        <v>11002.735737410865</v>
      </c>
      <c r="GS83" s="1010">
        <f t="shared" si="289"/>
        <v>4000957.5080938023</v>
      </c>
      <c r="GT83" s="1011">
        <f t="shared" si="290"/>
        <v>0.125</v>
      </c>
      <c r="GU83" s="1010">
        <f t="shared" si="291"/>
        <v>500119.68851172528</v>
      </c>
      <c r="GV83" s="1010">
        <f t="shared" si="292"/>
        <v>30000</v>
      </c>
      <c r="GW83" s="1010">
        <f t="shared" si="293"/>
        <v>470119.68851172528</v>
      </c>
      <c r="GX83" s="1010">
        <f t="shared" si="294"/>
        <v>13</v>
      </c>
      <c r="GY83" s="1010">
        <f t="shared" si="295"/>
        <v>36163.052962440408</v>
      </c>
      <c r="GZ83" s="1011">
        <f t="shared" si="296"/>
        <v>0.875</v>
      </c>
      <c r="HA83" s="1010">
        <f t="shared" si="297"/>
        <v>3500837.8195820767</v>
      </c>
      <c r="HB83" s="1010">
        <f t="shared" si="298"/>
        <v>27141.958352962858</v>
      </c>
      <c r="HC83" s="1010">
        <f t="shared" si="299"/>
        <v>31466.520039097391</v>
      </c>
      <c r="HD83" s="1010">
        <f t="shared" si="300"/>
        <v>40647.695522271875</v>
      </c>
      <c r="HE83" s="1010">
        <f t="shared" si="301"/>
        <v>69320.784723109071</v>
      </c>
      <c r="HG83" s="1010">
        <f t="shared" si="302"/>
        <v>4000957.5080938023</v>
      </c>
      <c r="HH83" s="1011">
        <f t="shared" si="303"/>
        <v>0.125</v>
      </c>
      <c r="HI83" s="1010">
        <f t="shared" si="304"/>
        <v>500119.68851172528</v>
      </c>
      <c r="HJ83" s="1010">
        <f t="shared" si="305"/>
        <v>30000</v>
      </c>
      <c r="HK83" s="1010">
        <f t="shared" si="306"/>
        <v>470119.68851172528</v>
      </c>
      <c r="HL83" s="1012">
        <f t="shared" si="307"/>
        <v>33</v>
      </c>
      <c r="HM83" s="1167">
        <f t="shared" si="308"/>
        <v>14246.051167021978</v>
      </c>
      <c r="HN83" s="1168">
        <f t="shared" si="309"/>
        <v>0.875</v>
      </c>
      <c r="HO83" s="1167">
        <f t="shared" si="310"/>
        <v>3500837.8195820767</v>
      </c>
      <c r="HP83" s="1146">
        <f t="shared" si="311"/>
        <v>27141.958352962858</v>
      </c>
      <c r="HQ83" s="1146">
        <f t="shared" si="312"/>
        <v>31466.520039097391</v>
      </c>
      <c r="HR83" s="1146">
        <f t="shared" si="313"/>
        <v>40647.695522271875</v>
      </c>
      <c r="HS83" s="1146">
        <f t="shared" si="314"/>
        <v>69320.784723109071</v>
      </c>
      <c r="HU83" s="1167">
        <f t="shared" si="315"/>
        <v>-21917.00179541843</v>
      </c>
      <c r="HX83" s="1154"/>
      <c r="HY83" s="1154"/>
      <c r="IB83" s="1154"/>
      <c r="IC83" s="1154"/>
      <c r="ID83" s="1154"/>
      <c r="IE83" s="1154"/>
      <c r="IG83" s="1060"/>
    </row>
    <row r="84" spans="1:241" ht="14.25" hidden="1" customHeight="1">
      <c r="A84" s="1186">
        <f t="shared" si="330"/>
        <v>78</v>
      </c>
      <c r="B84" s="824" t="s">
        <v>149</v>
      </c>
      <c r="C84" s="855">
        <f t="shared" si="323"/>
        <v>9</v>
      </c>
      <c r="D84" s="856" t="s">
        <v>505</v>
      </c>
      <c r="E84" s="857" t="str">
        <f t="shared" si="216"/>
        <v>6th Floor</v>
      </c>
      <c r="F84" s="1185"/>
      <c r="G84" s="764" t="s">
        <v>240</v>
      </c>
      <c r="H84" s="764" t="s">
        <v>512</v>
      </c>
      <c r="I84" s="764" t="s">
        <v>476</v>
      </c>
      <c r="J84" s="1139">
        <v>22</v>
      </c>
      <c r="K84" s="1142"/>
      <c r="L84" s="764" t="s">
        <v>500</v>
      </c>
      <c r="M84" s="764" t="s">
        <v>93</v>
      </c>
      <c r="N84" s="856">
        <f t="shared" si="217"/>
        <v>100909.09090909091</v>
      </c>
      <c r="O84" s="1138">
        <f t="shared" si="324"/>
        <v>2220000</v>
      </c>
      <c r="P84" s="1138">
        <f t="shared" si="331"/>
        <v>22400</v>
      </c>
      <c r="Q84" s="1138">
        <f t="shared" si="203"/>
        <v>50000</v>
      </c>
      <c r="R84" s="1138"/>
      <c r="S84" s="1138"/>
      <c r="T84" s="1138"/>
      <c r="U84" s="1138"/>
      <c r="V84" s="858"/>
      <c r="W84" s="1138"/>
      <c r="X84" s="1138"/>
      <c r="Y84" s="1138">
        <f t="shared" si="326"/>
        <v>40000</v>
      </c>
      <c r="Z84" s="1138">
        <f t="shared" si="327"/>
        <v>75000</v>
      </c>
      <c r="AA84" s="1138">
        <f t="shared" si="328"/>
        <v>187400</v>
      </c>
      <c r="AB84" s="1138">
        <f t="shared" si="218"/>
        <v>2407400</v>
      </c>
      <c r="AC84" s="1138">
        <f t="shared" si="219"/>
        <v>60185</v>
      </c>
      <c r="AD84" s="1138">
        <f t="shared" si="220"/>
        <v>2467585</v>
      </c>
      <c r="AE84" s="1138">
        <f t="shared" si="221"/>
        <v>61689.625</v>
      </c>
      <c r="AF84" s="1138">
        <f t="shared" si="222"/>
        <v>2529274.625</v>
      </c>
      <c r="AG84" s="1138">
        <f t="shared" si="223"/>
        <v>63231.865625000006</v>
      </c>
      <c r="AH84" s="1138">
        <f t="shared" si="224"/>
        <v>2592506.4906250001</v>
      </c>
      <c r="AI84" s="1138">
        <f t="shared" si="225"/>
        <v>129625.32453125001</v>
      </c>
      <c r="AJ84" s="1138">
        <f t="shared" si="226"/>
        <v>2722131.8151562503</v>
      </c>
      <c r="AK84" s="1138">
        <f t="shared" si="227"/>
        <v>27221.318151562504</v>
      </c>
      <c r="AL84" s="1138">
        <f t="shared" si="228"/>
        <v>27537.409960060559</v>
      </c>
      <c r="AM84" s="1138"/>
      <c r="AN84" s="1138"/>
      <c r="AO84" s="1138">
        <f t="shared" si="229"/>
        <v>2776890.5432678731</v>
      </c>
      <c r="AP84" s="1138">
        <f t="shared" si="230"/>
        <v>374880.2233411629</v>
      </c>
      <c r="AQ84" s="1248">
        <f t="shared" si="231"/>
        <v>3151770.7666090359</v>
      </c>
      <c r="AR84" s="1248">
        <f t="shared" ref="AR84:AR92" si="335">AQ84</f>
        <v>3151770.7666090359</v>
      </c>
      <c r="AS84" s="1248"/>
      <c r="AT84" s="1248"/>
      <c r="AU84" s="1248">
        <f t="shared" si="232"/>
        <v>0</v>
      </c>
      <c r="AV84" s="1140">
        <f t="shared" si="233"/>
        <v>0</v>
      </c>
      <c r="AW84" s="1140">
        <f t="shared" si="234"/>
        <v>3151770.7666090359</v>
      </c>
      <c r="AX84" s="1139">
        <f t="shared" si="235"/>
        <v>39397.134582612955</v>
      </c>
      <c r="AY84" s="831" t="s">
        <v>478</v>
      </c>
      <c r="AZ84" s="831">
        <f t="shared" si="236"/>
        <v>3191167.901191649</v>
      </c>
      <c r="BA84" s="831">
        <f t="shared" si="237"/>
        <v>119668.79629468684</v>
      </c>
      <c r="BB84" s="831"/>
      <c r="BC84" s="831">
        <f t="shared" si="189"/>
        <v>33600</v>
      </c>
      <c r="BD84" s="831"/>
      <c r="BE84" s="831">
        <f t="shared" si="238"/>
        <v>3344436.6974863359</v>
      </c>
      <c r="BF84" s="831"/>
      <c r="BG84" s="831">
        <f t="shared" si="239"/>
        <v>3344436.6974863359</v>
      </c>
      <c r="BH84" s="831"/>
      <c r="BI84" s="831">
        <f t="shared" si="240"/>
        <v>3344436.6974863359</v>
      </c>
      <c r="BJ84" s="831"/>
      <c r="BK84" s="831">
        <f t="shared" si="241"/>
        <v>3344436.6974863359</v>
      </c>
      <c r="BL84" s="831"/>
      <c r="BM84" s="831">
        <f t="shared" si="242"/>
        <v>3344436.6974863359</v>
      </c>
      <c r="BN84" s="831"/>
      <c r="BO84" s="831">
        <f t="shared" si="243"/>
        <v>3344436.6974863359</v>
      </c>
      <c r="BP84" s="831"/>
      <c r="BQ84" s="831">
        <f t="shared" si="244"/>
        <v>3344436.6974863359</v>
      </c>
      <c r="BR84" s="831"/>
      <c r="BS84" s="831">
        <f t="shared" si="245"/>
        <v>3344436.6974863359</v>
      </c>
      <c r="BT84" s="831"/>
      <c r="BU84" s="831">
        <f t="shared" si="246"/>
        <v>3344436.6974863359</v>
      </c>
      <c r="BV84" s="831"/>
      <c r="BW84" s="831">
        <f t="shared" si="247"/>
        <v>56400</v>
      </c>
      <c r="BX84" s="831">
        <f t="shared" si="248"/>
        <v>3400836.6974863359</v>
      </c>
      <c r="BY84" s="831"/>
      <c r="BZ84" s="831">
        <f t="shared" si="249"/>
        <v>3400836.6974863359</v>
      </c>
      <c r="CA84" s="1260">
        <f t="shared" si="250"/>
        <v>3400836.6974863359</v>
      </c>
      <c r="CB84" s="1260">
        <f t="shared" si="251"/>
        <v>3400836.6974863359</v>
      </c>
      <c r="CC84" s="1260"/>
      <c r="CD84" s="1260">
        <f t="shared" si="252"/>
        <v>0</v>
      </c>
      <c r="CE84" s="1260">
        <f t="shared" si="253"/>
        <v>0</v>
      </c>
      <c r="CF84" s="1260">
        <f t="shared" si="254"/>
        <v>0</v>
      </c>
      <c r="CG84" s="1266">
        <f t="shared" si="255"/>
        <v>3400836.6974863359</v>
      </c>
      <c r="CH84" s="1141">
        <f t="shared" si="256"/>
        <v>3400836.6974863359</v>
      </c>
      <c r="CI84" s="1142">
        <f t="shared" si="257"/>
        <v>0</v>
      </c>
      <c r="CJ84" s="1141">
        <f t="shared" si="258"/>
        <v>348585.76149234938</v>
      </c>
      <c r="CK84" s="1141">
        <f t="shared" si="259"/>
        <v>119029.28441202176</v>
      </c>
      <c r="CL84" s="1143">
        <f t="shared" si="329"/>
        <v>3868451.7433907068</v>
      </c>
      <c r="CM84" s="1144">
        <f t="shared" si="260"/>
        <v>0.125</v>
      </c>
      <c r="CN84" s="1141">
        <f t="shared" si="261"/>
        <v>483556.46792383835</v>
      </c>
      <c r="CO84" s="1141">
        <f t="shared" si="262"/>
        <v>30000</v>
      </c>
      <c r="CP84" s="1141">
        <f t="shared" si="263"/>
        <v>453556.46792383835</v>
      </c>
      <c r="CQ84" s="1145">
        <f t="shared" si="264"/>
        <v>13</v>
      </c>
      <c r="CR84" s="1141">
        <f t="shared" si="265"/>
        <v>34888.959071064492</v>
      </c>
      <c r="CS84" s="1144">
        <f t="shared" si="266"/>
        <v>0.875</v>
      </c>
      <c r="CT84" s="1141">
        <f t="shared" si="267"/>
        <v>3384895.2754668687</v>
      </c>
      <c r="CU84" s="1146">
        <f t="shared" si="204"/>
        <v>26243.057042508208</v>
      </c>
      <c r="CV84" s="1146">
        <f t="shared" si="205"/>
        <v>30424.395674644351</v>
      </c>
      <c r="CW84" s="1146">
        <f t="shared" si="206"/>
        <v>39301.504274876366</v>
      </c>
      <c r="CX84" s="1146">
        <f t="shared" si="207"/>
        <v>67024.9833878106</v>
      </c>
      <c r="CY84" s="1146">
        <f t="shared" si="268"/>
        <v>274965.80216416245</v>
      </c>
      <c r="CZ84" s="1146">
        <f t="shared" si="269"/>
        <v>108802.62848103569</v>
      </c>
      <c r="DA84" s="1146">
        <f t="shared" si="270"/>
        <v>78586.597559051719</v>
      </c>
      <c r="DB84" s="1146">
        <f t="shared" si="271"/>
        <v>59808.018682531125</v>
      </c>
      <c r="DC84" s="1146"/>
      <c r="DD84" s="1146"/>
      <c r="DE84" s="1146"/>
      <c r="DF84" s="1146"/>
      <c r="DG84" s="1146"/>
      <c r="DH84" s="1146"/>
      <c r="DI84" s="1146"/>
      <c r="DJ84" s="1146"/>
      <c r="DK84" s="1146"/>
      <c r="DL84" s="1146"/>
      <c r="DM84" s="1146"/>
      <c r="DN84" s="1146"/>
      <c r="DO84" s="1146"/>
      <c r="DP84" s="1146"/>
      <c r="DQ84" s="1146"/>
      <c r="DR84" s="1146"/>
      <c r="DS84" s="1146"/>
      <c r="DT84" s="1146"/>
      <c r="DU84" s="1146"/>
      <c r="DV84" s="1146"/>
      <c r="DW84" s="1146"/>
      <c r="DX84" s="1146"/>
      <c r="DY84" s="1146"/>
      <c r="DZ84" s="1146"/>
      <c r="EA84" s="1147">
        <f t="shared" si="208"/>
        <v>0</v>
      </c>
      <c r="EB84" s="1148">
        <f t="shared" si="272"/>
        <v>0</v>
      </c>
      <c r="EC84" s="1190">
        <f t="shared" si="316"/>
        <v>45839</v>
      </c>
      <c r="ED84" s="1031">
        <f t="shared" si="209"/>
        <v>20</v>
      </c>
      <c r="EE84" s="1191"/>
      <c r="EF84" s="1032">
        <f t="shared" si="210"/>
        <v>45904</v>
      </c>
      <c r="EG84" s="1029">
        <f t="shared" si="273"/>
        <v>22</v>
      </c>
      <c r="EH84" s="859" t="s">
        <v>490</v>
      </c>
      <c r="EI84" s="859" t="s">
        <v>480</v>
      </c>
      <c r="EJ84" s="860">
        <f t="shared" si="211"/>
        <v>0</v>
      </c>
      <c r="EK84" s="860">
        <f t="shared" si="212"/>
        <v>0</v>
      </c>
      <c r="EL84" s="861">
        <f t="shared" si="213"/>
        <v>0</v>
      </c>
      <c r="EM84" s="1197"/>
      <c r="EN84" s="860"/>
      <c r="EO84" s="860"/>
      <c r="EP84" s="860">
        <f t="shared" si="214"/>
        <v>0</v>
      </c>
      <c r="EQ84" s="1197"/>
      <c r="ER84" s="1200"/>
      <c r="ES84" s="1197"/>
      <c r="ET84" s="1194" t="s">
        <v>240</v>
      </c>
      <c r="EU84" s="1197" t="b">
        <f t="shared" si="215"/>
        <v>1</v>
      </c>
      <c r="EV84" s="1197" t="s">
        <v>589</v>
      </c>
      <c r="EW84" s="1197" t="s">
        <v>482</v>
      </c>
      <c r="EX84" s="1197"/>
      <c r="EY84" s="1128" t="s">
        <v>483</v>
      </c>
      <c r="EZ84" s="1128" t="s">
        <v>484</v>
      </c>
      <c r="FA84" s="1169">
        <f t="shared" si="274"/>
        <v>0</v>
      </c>
      <c r="FI84" s="1309" t="s">
        <v>149</v>
      </c>
      <c r="FJ84" s="1159" t="s">
        <v>149</v>
      </c>
      <c r="FK84" s="1160" t="b">
        <f t="shared" si="275"/>
        <v>1</v>
      </c>
      <c r="FL84" s="1131"/>
      <c r="FM84" s="1161"/>
      <c r="FO84" s="1060"/>
      <c r="FP84" s="1169"/>
      <c r="FQ84" s="1203"/>
      <c r="FU84" s="1295"/>
      <c r="FV84" s="1295"/>
      <c r="FW84" s="1023">
        <v>0.15</v>
      </c>
      <c r="FX84" s="1162">
        <v>14254.806263812137</v>
      </c>
      <c r="FY84" s="1163">
        <v>14700.268959556266</v>
      </c>
      <c r="GA84" s="1164">
        <f t="shared" si="276"/>
        <v>3868451.7433907068</v>
      </c>
      <c r="GB84" s="1165">
        <f t="shared" si="277"/>
        <v>0.15</v>
      </c>
      <c r="GC84" s="1154">
        <f t="shared" si="278"/>
        <v>580267.76150860603</v>
      </c>
      <c r="GD84" s="1164">
        <f t="shared" si="279"/>
        <v>30000</v>
      </c>
      <c r="GE84" s="1154">
        <f t="shared" si="280"/>
        <v>550267.76150860603</v>
      </c>
      <c r="GF84" s="1060">
        <f t="shared" si="281"/>
        <v>35</v>
      </c>
      <c r="GG84" s="1166">
        <f t="shared" si="282"/>
        <v>15721.936043103029</v>
      </c>
      <c r="GI84" s="1164">
        <f t="shared" si="283"/>
        <v>3868451.7433907068</v>
      </c>
      <c r="GJ84" s="1154">
        <f t="shared" si="284"/>
        <v>386845.17433907068</v>
      </c>
      <c r="GK84" s="1154">
        <f t="shared" si="285"/>
        <v>96711.293584767671</v>
      </c>
      <c r="GL84" s="1166">
        <v>15000</v>
      </c>
      <c r="GM84" s="1154">
        <f t="shared" si="286"/>
        <v>371845.17433907068</v>
      </c>
      <c r="GN84" s="1060">
        <f t="shared" si="287"/>
        <v>35</v>
      </c>
      <c r="GO84" s="1154">
        <f t="shared" si="288"/>
        <v>10624.147838259163</v>
      </c>
      <c r="GS84" s="1010">
        <f t="shared" si="289"/>
        <v>3868451.7433907068</v>
      </c>
      <c r="GT84" s="1011">
        <f t="shared" si="290"/>
        <v>0.125</v>
      </c>
      <c r="GU84" s="1010">
        <f t="shared" si="291"/>
        <v>483556.46792383835</v>
      </c>
      <c r="GV84" s="1010">
        <f t="shared" si="292"/>
        <v>30000</v>
      </c>
      <c r="GW84" s="1010">
        <f t="shared" si="293"/>
        <v>453556.46792383835</v>
      </c>
      <c r="GX84" s="1010">
        <f t="shared" si="294"/>
        <v>13</v>
      </c>
      <c r="GY84" s="1010">
        <f t="shared" si="295"/>
        <v>34888.959071064492</v>
      </c>
      <c r="GZ84" s="1011">
        <f t="shared" si="296"/>
        <v>0.875</v>
      </c>
      <c r="HA84" s="1010">
        <f t="shared" si="297"/>
        <v>3384895.2754668687</v>
      </c>
      <c r="HB84" s="1010">
        <f t="shared" si="298"/>
        <v>26243.057042508208</v>
      </c>
      <c r="HC84" s="1010">
        <f t="shared" si="299"/>
        <v>30424.395674644351</v>
      </c>
      <c r="HD84" s="1010">
        <f t="shared" si="300"/>
        <v>39301.504274876366</v>
      </c>
      <c r="HE84" s="1010">
        <f t="shared" si="301"/>
        <v>67024.9833878106</v>
      </c>
      <c r="HG84" s="1010">
        <f t="shared" si="302"/>
        <v>3868451.7433907068</v>
      </c>
      <c r="HH84" s="1011">
        <f t="shared" si="303"/>
        <v>0.125</v>
      </c>
      <c r="HI84" s="1010">
        <f t="shared" si="304"/>
        <v>483556.46792383835</v>
      </c>
      <c r="HJ84" s="1010">
        <f t="shared" si="305"/>
        <v>30000</v>
      </c>
      <c r="HK84" s="1010">
        <f t="shared" si="306"/>
        <v>453556.46792383835</v>
      </c>
      <c r="HL84" s="1012">
        <f t="shared" si="307"/>
        <v>33</v>
      </c>
      <c r="HM84" s="1167">
        <f t="shared" si="308"/>
        <v>13744.135391631466</v>
      </c>
      <c r="HN84" s="1168">
        <f t="shared" si="309"/>
        <v>0.875</v>
      </c>
      <c r="HO84" s="1167">
        <f t="shared" si="310"/>
        <v>3384895.2754668687</v>
      </c>
      <c r="HP84" s="1146">
        <f t="shared" si="311"/>
        <v>26243.057042508208</v>
      </c>
      <c r="HQ84" s="1146">
        <f t="shared" si="312"/>
        <v>30424.395674644351</v>
      </c>
      <c r="HR84" s="1146">
        <f t="shared" si="313"/>
        <v>39301.504274876366</v>
      </c>
      <c r="HS84" s="1146">
        <f t="shared" si="314"/>
        <v>67024.9833878106</v>
      </c>
      <c r="HU84" s="1167">
        <f t="shared" si="315"/>
        <v>-21144.823679433026</v>
      </c>
      <c r="HX84" s="1154"/>
      <c r="HY84" s="1154"/>
      <c r="IB84" s="1154"/>
      <c r="IC84" s="1154"/>
      <c r="ID84" s="1154"/>
      <c r="IE84" s="1154"/>
      <c r="IG84" s="1060"/>
    </row>
    <row r="85" spans="1:241" ht="14.25" hidden="1" customHeight="1">
      <c r="A85" s="1186">
        <f t="shared" si="330"/>
        <v>79</v>
      </c>
      <c r="B85" s="824" t="s">
        <v>149</v>
      </c>
      <c r="C85" s="855">
        <f t="shared" si="323"/>
        <v>10</v>
      </c>
      <c r="D85" s="856" t="s">
        <v>505</v>
      </c>
      <c r="E85" s="857" t="str">
        <f t="shared" si="216"/>
        <v>6th Floor</v>
      </c>
      <c r="F85" s="1185"/>
      <c r="G85" s="764" t="s">
        <v>241</v>
      </c>
      <c r="H85" s="764" t="s">
        <v>516</v>
      </c>
      <c r="I85" s="764" t="s">
        <v>476</v>
      </c>
      <c r="J85" s="1139">
        <v>22</v>
      </c>
      <c r="K85" s="1142"/>
      <c r="L85" s="764" t="s">
        <v>500</v>
      </c>
      <c r="M85" s="764" t="s">
        <v>93</v>
      </c>
      <c r="N85" s="856">
        <f t="shared" si="217"/>
        <v>100909.09090909091</v>
      </c>
      <c r="O85" s="1138">
        <f t="shared" si="324"/>
        <v>2220000</v>
      </c>
      <c r="P85" s="1138">
        <f t="shared" si="331"/>
        <v>22400</v>
      </c>
      <c r="Q85" s="1138">
        <f t="shared" si="203"/>
        <v>50000</v>
      </c>
      <c r="R85" s="1138"/>
      <c r="S85" s="1138"/>
      <c r="T85" s="1138"/>
      <c r="U85" s="1138"/>
      <c r="V85" s="1138"/>
      <c r="W85" s="858"/>
      <c r="X85" s="1138"/>
      <c r="Y85" s="1138">
        <f t="shared" si="326"/>
        <v>40000</v>
      </c>
      <c r="Z85" s="1138">
        <f t="shared" si="327"/>
        <v>75000</v>
      </c>
      <c r="AA85" s="1138">
        <f t="shared" si="328"/>
        <v>187400</v>
      </c>
      <c r="AB85" s="1138">
        <f t="shared" si="218"/>
        <v>2407400</v>
      </c>
      <c r="AC85" s="1138">
        <f t="shared" si="219"/>
        <v>60185</v>
      </c>
      <c r="AD85" s="1138">
        <f t="shared" si="220"/>
        <v>2467585</v>
      </c>
      <c r="AE85" s="1138">
        <f t="shared" si="221"/>
        <v>61689.625</v>
      </c>
      <c r="AF85" s="1138">
        <f t="shared" si="222"/>
        <v>2529274.625</v>
      </c>
      <c r="AG85" s="1138">
        <f t="shared" si="223"/>
        <v>63231.865625000006</v>
      </c>
      <c r="AH85" s="1138">
        <f t="shared" si="224"/>
        <v>2592506.4906250001</v>
      </c>
      <c r="AI85" s="1138">
        <f t="shared" si="225"/>
        <v>129625.32453125001</v>
      </c>
      <c r="AJ85" s="1138">
        <f t="shared" si="226"/>
        <v>2722131.8151562503</v>
      </c>
      <c r="AK85" s="1138">
        <f t="shared" si="227"/>
        <v>27221.318151562504</v>
      </c>
      <c r="AL85" s="1138">
        <f t="shared" si="228"/>
        <v>27537.409960060559</v>
      </c>
      <c r="AM85" s="1138"/>
      <c r="AN85" s="1138"/>
      <c r="AO85" s="1138">
        <f t="shared" si="229"/>
        <v>2776890.5432678731</v>
      </c>
      <c r="AP85" s="1138">
        <f t="shared" si="230"/>
        <v>374880.2233411629</v>
      </c>
      <c r="AQ85" s="1248">
        <f t="shared" si="231"/>
        <v>3151770.7666090359</v>
      </c>
      <c r="AR85" s="1248">
        <f t="shared" si="335"/>
        <v>3151770.7666090359</v>
      </c>
      <c r="AS85" s="1248"/>
      <c r="AT85" s="1248"/>
      <c r="AU85" s="1248">
        <f t="shared" si="232"/>
        <v>0</v>
      </c>
      <c r="AV85" s="1140">
        <f t="shared" si="233"/>
        <v>0</v>
      </c>
      <c r="AW85" s="1140">
        <f t="shared" si="234"/>
        <v>3151770.7666090359</v>
      </c>
      <c r="AX85" s="1139">
        <f t="shared" si="235"/>
        <v>39397.134582612955</v>
      </c>
      <c r="AY85" s="831" t="s">
        <v>478</v>
      </c>
      <c r="AZ85" s="831">
        <f t="shared" si="236"/>
        <v>3191167.901191649</v>
      </c>
      <c r="BA85" s="831">
        <f t="shared" si="237"/>
        <v>119668.79629468684</v>
      </c>
      <c r="BB85" s="831"/>
      <c r="BC85" s="831">
        <f t="shared" si="189"/>
        <v>33600</v>
      </c>
      <c r="BD85" s="831"/>
      <c r="BE85" s="831">
        <f t="shared" si="238"/>
        <v>3344436.6974863359</v>
      </c>
      <c r="BF85" s="831"/>
      <c r="BG85" s="831">
        <f t="shared" si="239"/>
        <v>3344436.6974863359</v>
      </c>
      <c r="BH85" s="831"/>
      <c r="BI85" s="831">
        <f t="shared" si="240"/>
        <v>3344436.6974863359</v>
      </c>
      <c r="BJ85" s="831"/>
      <c r="BK85" s="831">
        <f t="shared" si="241"/>
        <v>3344436.6974863359</v>
      </c>
      <c r="BL85" s="831"/>
      <c r="BM85" s="831">
        <f t="shared" si="242"/>
        <v>3344436.6974863359</v>
      </c>
      <c r="BN85" s="831"/>
      <c r="BO85" s="831">
        <f t="shared" si="243"/>
        <v>3344436.6974863359</v>
      </c>
      <c r="BP85" s="831"/>
      <c r="BQ85" s="831">
        <f t="shared" si="244"/>
        <v>3344436.6974863359</v>
      </c>
      <c r="BR85" s="831"/>
      <c r="BS85" s="831">
        <f t="shared" si="245"/>
        <v>3344436.6974863359</v>
      </c>
      <c r="BT85" s="831"/>
      <c r="BU85" s="831">
        <f t="shared" si="246"/>
        <v>3344436.6974863359</v>
      </c>
      <c r="BV85" s="831"/>
      <c r="BW85" s="831">
        <f t="shared" si="247"/>
        <v>56400</v>
      </c>
      <c r="BX85" s="831">
        <f t="shared" si="248"/>
        <v>3400836.6974863359</v>
      </c>
      <c r="BY85" s="831"/>
      <c r="BZ85" s="831">
        <f t="shared" si="249"/>
        <v>3400836.6974863359</v>
      </c>
      <c r="CA85" s="1260">
        <f t="shared" si="250"/>
        <v>3400836.6974863359</v>
      </c>
      <c r="CB85" s="1260">
        <f t="shared" si="251"/>
        <v>3400836.6974863359</v>
      </c>
      <c r="CC85" s="1260"/>
      <c r="CD85" s="1260">
        <f t="shared" si="252"/>
        <v>0</v>
      </c>
      <c r="CE85" s="1260">
        <f t="shared" si="253"/>
        <v>0</v>
      </c>
      <c r="CF85" s="1260">
        <f t="shared" si="254"/>
        <v>0</v>
      </c>
      <c r="CG85" s="1266">
        <f t="shared" si="255"/>
        <v>3400836.6974863359</v>
      </c>
      <c r="CH85" s="1141">
        <f t="shared" si="256"/>
        <v>3400836.6974863359</v>
      </c>
      <c r="CI85" s="1142">
        <f t="shared" si="257"/>
        <v>0</v>
      </c>
      <c r="CJ85" s="1141">
        <f t="shared" si="258"/>
        <v>348585.76149234938</v>
      </c>
      <c r="CK85" s="1141">
        <f t="shared" si="259"/>
        <v>119029.28441202176</v>
      </c>
      <c r="CL85" s="1143">
        <f t="shared" si="329"/>
        <v>3868451.7433907068</v>
      </c>
      <c r="CM85" s="1144">
        <f t="shared" si="260"/>
        <v>0.125</v>
      </c>
      <c r="CN85" s="1141">
        <f t="shared" si="261"/>
        <v>483556.46792383835</v>
      </c>
      <c r="CO85" s="1141">
        <f t="shared" si="262"/>
        <v>30000</v>
      </c>
      <c r="CP85" s="1141">
        <f t="shared" si="263"/>
        <v>453556.46792383835</v>
      </c>
      <c r="CQ85" s="1145">
        <f t="shared" si="264"/>
        <v>13</v>
      </c>
      <c r="CR85" s="1141">
        <f t="shared" si="265"/>
        <v>34888.959071064492</v>
      </c>
      <c r="CS85" s="1144">
        <f t="shared" si="266"/>
        <v>0.875</v>
      </c>
      <c r="CT85" s="1141">
        <f t="shared" si="267"/>
        <v>3384895.2754668687</v>
      </c>
      <c r="CU85" s="1146">
        <f t="shared" si="204"/>
        <v>26243.057042508208</v>
      </c>
      <c r="CV85" s="1146">
        <f t="shared" si="205"/>
        <v>30424.395674644351</v>
      </c>
      <c r="CW85" s="1146">
        <f t="shared" si="206"/>
        <v>39301.504274876366</v>
      </c>
      <c r="CX85" s="1146">
        <f t="shared" si="207"/>
        <v>67024.9833878106</v>
      </c>
      <c r="CY85" s="1146">
        <f t="shared" si="268"/>
        <v>274965.80216416245</v>
      </c>
      <c r="CZ85" s="1146">
        <f t="shared" si="269"/>
        <v>108802.62848103569</v>
      </c>
      <c r="DA85" s="1146">
        <f t="shared" si="270"/>
        <v>78586.597559051719</v>
      </c>
      <c r="DB85" s="1146">
        <f t="shared" si="271"/>
        <v>59808.018682531125</v>
      </c>
      <c r="DC85" s="1146"/>
      <c r="DD85" s="1146"/>
      <c r="DE85" s="1146"/>
      <c r="DF85" s="1146"/>
      <c r="DG85" s="1146"/>
      <c r="DH85" s="1146"/>
      <c r="DI85" s="1146"/>
      <c r="DJ85" s="1146"/>
      <c r="DK85" s="1146"/>
      <c r="DL85" s="1146"/>
      <c r="DM85" s="1146"/>
      <c r="DN85" s="1146"/>
      <c r="DO85" s="1146"/>
      <c r="DP85" s="1146"/>
      <c r="DQ85" s="1146"/>
      <c r="DR85" s="1146"/>
      <c r="DS85" s="1146"/>
      <c r="DT85" s="1146"/>
      <c r="DU85" s="1146"/>
      <c r="DV85" s="1146"/>
      <c r="DW85" s="1146"/>
      <c r="DX85" s="1146"/>
      <c r="DY85" s="1146"/>
      <c r="DZ85" s="1146"/>
      <c r="EA85" s="1147">
        <f t="shared" si="208"/>
        <v>0</v>
      </c>
      <c r="EB85" s="1148">
        <f t="shared" si="272"/>
        <v>0</v>
      </c>
      <c r="EC85" s="1190">
        <f t="shared" si="316"/>
        <v>45839</v>
      </c>
      <c r="ED85" s="1031">
        <f t="shared" si="209"/>
        <v>20</v>
      </c>
      <c r="EE85" s="1191"/>
      <c r="EF85" s="1032">
        <f t="shared" si="210"/>
        <v>45904</v>
      </c>
      <c r="EG85" s="1029">
        <f t="shared" si="273"/>
        <v>22</v>
      </c>
      <c r="EH85" s="859" t="s">
        <v>490</v>
      </c>
      <c r="EI85" s="859" t="s">
        <v>480</v>
      </c>
      <c r="EJ85" s="860">
        <f t="shared" si="211"/>
        <v>0</v>
      </c>
      <c r="EK85" s="860">
        <f t="shared" si="212"/>
        <v>0</v>
      </c>
      <c r="EL85" s="861">
        <f t="shared" si="213"/>
        <v>0</v>
      </c>
      <c r="EM85" s="1197"/>
      <c r="EN85" s="860"/>
      <c r="EO85" s="860"/>
      <c r="EP85" s="860">
        <f t="shared" si="214"/>
        <v>0</v>
      </c>
      <c r="EQ85" s="1197"/>
      <c r="ER85" s="1200"/>
      <c r="ES85" s="1197"/>
      <c r="ET85" s="1194" t="s">
        <v>241</v>
      </c>
      <c r="EU85" s="1197" t="b">
        <f t="shared" si="215"/>
        <v>1</v>
      </c>
      <c r="EV85" s="1197" t="s">
        <v>590</v>
      </c>
      <c r="EW85" s="1197" t="s">
        <v>482</v>
      </c>
      <c r="EX85" s="1197"/>
      <c r="EY85" s="1128" t="s">
        <v>483</v>
      </c>
      <c r="EZ85" s="1128" t="s">
        <v>484</v>
      </c>
      <c r="FA85" s="1169">
        <f t="shared" si="274"/>
        <v>0</v>
      </c>
      <c r="FI85" s="1309" t="s">
        <v>149</v>
      </c>
      <c r="FJ85" s="1159" t="s">
        <v>149</v>
      </c>
      <c r="FK85" s="1160" t="b">
        <f t="shared" si="275"/>
        <v>1</v>
      </c>
      <c r="FL85" s="1131"/>
      <c r="FM85" s="1161"/>
      <c r="FO85" s="1060"/>
      <c r="FP85" s="1166"/>
      <c r="FQ85" s="1203"/>
      <c r="FU85" s="1295"/>
      <c r="FV85" s="1295"/>
      <c r="FW85" s="1023">
        <v>0.15</v>
      </c>
      <c r="FX85" s="1162">
        <v>14254.806263812137</v>
      </c>
      <c r="FY85" s="1163">
        <v>14700.268959556266</v>
      </c>
      <c r="GA85" s="1164">
        <f t="shared" si="276"/>
        <v>3868451.7433907068</v>
      </c>
      <c r="GB85" s="1165">
        <f t="shared" si="277"/>
        <v>0.15</v>
      </c>
      <c r="GC85" s="1154">
        <f t="shared" si="278"/>
        <v>580267.76150860603</v>
      </c>
      <c r="GD85" s="1164">
        <f t="shared" si="279"/>
        <v>30000</v>
      </c>
      <c r="GE85" s="1154">
        <f t="shared" si="280"/>
        <v>550267.76150860603</v>
      </c>
      <c r="GF85" s="1060">
        <f t="shared" si="281"/>
        <v>35</v>
      </c>
      <c r="GG85" s="1166">
        <f t="shared" si="282"/>
        <v>15721.936043103029</v>
      </c>
      <c r="GI85" s="1164">
        <f t="shared" si="283"/>
        <v>3868451.7433907068</v>
      </c>
      <c r="GJ85" s="1154">
        <f t="shared" si="284"/>
        <v>386845.17433907068</v>
      </c>
      <c r="GK85" s="1154">
        <f t="shared" si="285"/>
        <v>96711.293584767671</v>
      </c>
      <c r="GL85" s="1166">
        <v>15000</v>
      </c>
      <c r="GM85" s="1154">
        <f t="shared" si="286"/>
        <v>371845.17433907068</v>
      </c>
      <c r="GN85" s="1060">
        <f t="shared" si="287"/>
        <v>35</v>
      </c>
      <c r="GO85" s="1154">
        <f t="shared" si="288"/>
        <v>10624.147838259163</v>
      </c>
      <c r="GS85" s="1010">
        <f t="shared" si="289"/>
        <v>3868451.7433907068</v>
      </c>
      <c r="GT85" s="1011">
        <f t="shared" si="290"/>
        <v>0.125</v>
      </c>
      <c r="GU85" s="1010">
        <f t="shared" si="291"/>
        <v>483556.46792383835</v>
      </c>
      <c r="GV85" s="1010">
        <f t="shared" si="292"/>
        <v>30000</v>
      </c>
      <c r="GW85" s="1010">
        <f t="shared" si="293"/>
        <v>453556.46792383835</v>
      </c>
      <c r="GX85" s="1010">
        <f t="shared" si="294"/>
        <v>13</v>
      </c>
      <c r="GY85" s="1010">
        <f t="shared" si="295"/>
        <v>34888.959071064492</v>
      </c>
      <c r="GZ85" s="1011">
        <f t="shared" si="296"/>
        <v>0.875</v>
      </c>
      <c r="HA85" s="1010">
        <f t="shared" si="297"/>
        <v>3384895.2754668687</v>
      </c>
      <c r="HB85" s="1010">
        <f t="shared" si="298"/>
        <v>26243.057042508208</v>
      </c>
      <c r="HC85" s="1010">
        <f t="shared" si="299"/>
        <v>30424.395674644351</v>
      </c>
      <c r="HD85" s="1010">
        <f t="shared" si="300"/>
        <v>39301.504274876366</v>
      </c>
      <c r="HE85" s="1010">
        <f t="shared" si="301"/>
        <v>67024.9833878106</v>
      </c>
      <c r="HG85" s="1010">
        <f t="shared" si="302"/>
        <v>3868451.7433907068</v>
      </c>
      <c r="HH85" s="1011">
        <f t="shared" si="303"/>
        <v>0.125</v>
      </c>
      <c r="HI85" s="1010">
        <f t="shared" si="304"/>
        <v>483556.46792383835</v>
      </c>
      <c r="HJ85" s="1010">
        <f t="shared" si="305"/>
        <v>30000</v>
      </c>
      <c r="HK85" s="1010">
        <f t="shared" si="306"/>
        <v>453556.46792383835</v>
      </c>
      <c r="HL85" s="1012">
        <f t="shared" si="307"/>
        <v>33</v>
      </c>
      <c r="HM85" s="1167">
        <f t="shared" si="308"/>
        <v>13744.135391631466</v>
      </c>
      <c r="HN85" s="1168">
        <f t="shared" si="309"/>
        <v>0.875</v>
      </c>
      <c r="HO85" s="1167">
        <f t="shared" si="310"/>
        <v>3384895.2754668687</v>
      </c>
      <c r="HP85" s="1146">
        <f t="shared" si="311"/>
        <v>26243.057042508208</v>
      </c>
      <c r="HQ85" s="1146">
        <f t="shared" si="312"/>
        <v>30424.395674644351</v>
      </c>
      <c r="HR85" s="1146">
        <f t="shared" si="313"/>
        <v>39301.504274876366</v>
      </c>
      <c r="HS85" s="1146">
        <f t="shared" si="314"/>
        <v>67024.9833878106</v>
      </c>
      <c r="HU85" s="1167">
        <f t="shared" si="315"/>
        <v>-21144.823679433026</v>
      </c>
      <c r="HX85" s="1154"/>
      <c r="HY85" s="1154"/>
      <c r="IB85" s="1154"/>
      <c r="IC85" s="1154"/>
      <c r="ID85" s="1154"/>
      <c r="IE85" s="1154"/>
      <c r="IG85" s="1060"/>
    </row>
    <row r="86" spans="1:241" ht="14.25" hidden="1" customHeight="1">
      <c r="A86" s="1186">
        <f t="shared" si="330"/>
        <v>80</v>
      </c>
      <c r="B86" s="824" t="s">
        <v>149</v>
      </c>
      <c r="C86" s="855">
        <f t="shared" si="323"/>
        <v>11</v>
      </c>
      <c r="D86" s="856" t="s">
        <v>505</v>
      </c>
      <c r="E86" s="857" t="str">
        <f t="shared" si="216"/>
        <v>6th Floor</v>
      </c>
      <c r="F86" s="1185"/>
      <c r="G86" s="764" t="s">
        <v>242</v>
      </c>
      <c r="H86" s="764" t="s">
        <v>517</v>
      </c>
      <c r="I86" s="764" t="s">
        <v>476</v>
      </c>
      <c r="J86" s="1139">
        <v>22</v>
      </c>
      <c r="K86" s="1142"/>
      <c r="L86" s="764" t="s">
        <v>500</v>
      </c>
      <c r="M86" s="764" t="s">
        <v>93</v>
      </c>
      <c r="N86" s="856">
        <f t="shared" si="217"/>
        <v>100909.09090909091</v>
      </c>
      <c r="O86" s="1138">
        <f t="shared" si="324"/>
        <v>2220000</v>
      </c>
      <c r="P86" s="1138">
        <f t="shared" si="331"/>
        <v>22400</v>
      </c>
      <c r="Q86" s="1138">
        <f t="shared" si="203"/>
        <v>50000</v>
      </c>
      <c r="R86" s="1138"/>
      <c r="S86" s="1138"/>
      <c r="T86" s="1138"/>
      <c r="U86" s="1138"/>
      <c r="V86" s="1138"/>
      <c r="W86" s="858"/>
      <c r="X86" s="1138"/>
      <c r="Y86" s="1138">
        <f t="shared" si="326"/>
        <v>40000</v>
      </c>
      <c r="Z86" s="1138">
        <f t="shared" si="327"/>
        <v>75000</v>
      </c>
      <c r="AA86" s="1138">
        <f t="shared" si="328"/>
        <v>187400</v>
      </c>
      <c r="AB86" s="1138">
        <f t="shared" si="218"/>
        <v>2407400</v>
      </c>
      <c r="AC86" s="1138">
        <f t="shared" si="219"/>
        <v>60185</v>
      </c>
      <c r="AD86" s="1138">
        <f t="shared" si="220"/>
        <v>2467585</v>
      </c>
      <c r="AE86" s="1138">
        <f t="shared" si="221"/>
        <v>61689.625</v>
      </c>
      <c r="AF86" s="1138">
        <f t="shared" si="222"/>
        <v>2529274.625</v>
      </c>
      <c r="AG86" s="1138">
        <f t="shared" si="223"/>
        <v>63231.865625000006</v>
      </c>
      <c r="AH86" s="1138">
        <f t="shared" si="224"/>
        <v>2592506.4906250001</v>
      </c>
      <c r="AI86" s="1138">
        <f t="shared" si="225"/>
        <v>129625.32453125001</v>
      </c>
      <c r="AJ86" s="1138">
        <f t="shared" si="226"/>
        <v>2722131.8151562503</v>
      </c>
      <c r="AK86" s="1138">
        <f t="shared" si="227"/>
        <v>27221.318151562504</v>
      </c>
      <c r="AL86" s="1138">
        <f t="shared" si="228"/>
        <v>27537.409960060559</v>
      </c>
      <c r="AM86" s="1138"/>
      <c r="AN86" s="1138"/>
      <c r="AO86" s="1138">
        <f t="shared" si="229"/>
        <v>2776890.5432678731</v>
      </c>
      <c r="AP86" s="1138">
        <f t="shared" si="230"/>
        <v>374880.2233411629</v>
      </c>
      <c r="AQ86" s="1248">
        <f t="shared" si="231"/>
        <v>3151770.7666090359</v>
      </c>
      <c r="AR86" s="1248">
        <f t="shared" si="335"/>
        <v>3151770.7666090359</v>
      </c>
      <c r="AS86" s="1248"/>
      <c r="AT86" s="1248"/>
      <c r="AU86" s="1248">
        <f t="shared" si="232"/>
        <v>0</v>
      </c>
      <c r="AV86" s="1140">
        <f t="shared" si="233"/>
        <v>0</v>
      </c>
      <c r="AW86" s="1140">
        <f t="shared" si="234"/>
        <v>3151770.7666090359</v>
      </c>
      <c r="AX86" s="1139">
        <f t="shared" si="235"/>
        <v>39397.134582612955</v>
      </c>
      <c r="AY86" s="831" t="s">
        <v>478</v>
      </c>
      <c r="AZ86" s="831">
        <f t="shared" si="236"/>
        <v>3191167.901191649</v>
      </c>
      <c r="BA86" s="831">
        <f t="shared" si="237"/>
        <v>119668.79629468684</v>
      </c>
      <c r="BB86" s="831"/>
      <c r="BC86" s="831">
        <f t="shared" si="189"/>
        <v>33600</v>
      </c>
      <c r="BD86" s="831"/>
      <c r="BE86" s="831">
        <f t="shared" si="238"/>
        <v>3344436.6974863359</v>
      </c>
      <c r="BF86" s="831"/>
      <c r="BG86" s="831">
        <f t="shared" si="239"/>
        <v>3344436.6974863359</v>
      </c>
      <c r="BH86" s="831"/>
      <c r="BI86" s="831">
        <f t="shared" si="240"/>
        <v>3344436.6974863359</v>
      </c>
      <c r="BJ86" s="831"/>
      <c r="BK86" s="831">
        <f t="shared" si="241"/>
        <v>3344436.6974863359</v>
      </c>
      <c r="BL86" s="831"/>
      <c r="BM86" s="831">
        <f t="shared" si="242"/>
        <v>3344436.6974863359</v>
      </c>
      <c r="BN86" s="831"/>
      <c r="BO86" s="831">
        <f t="shared" si="243"/>
        <v>3344436.6974863359</v>
      </c>
      <c r="BP86" s="831"/>
      <c r="BQ86" s="831">
        <f t="shared" si="244"/>
        <v>3344436.6974863359</v>
      </c>
      <c r="BR86" s="831"/>
      <c r="BS86" s="831">
        <f t="shared" si="245"/>
        <v>3344436.6974863359</v>
      </c>
      <c r="BT86" s="831"/>
      <c r="BU86" s="831">
        <f t="shared" si="246"/>
        <v>3344436.6974863359</v>
      </c>
      <c r="BV86" s="831"/>
      <c r="BW86" s="831">
        <f t="shared" si="247"/>
        <v>56400</v>
      </c>
      <c r="BX86" s="831">
        <f t="shared" si="248"/>
        <v>3400836.6974863359</v>
      </c>
      <c r="BY86" s="831"/>
      <c r="BZ86" s="831">
        <f t="shared" si="249"/>
        <v>3400836.6974863359</v>
      </c>
      <c r="CA86" s="1260">
        <f t="shared" si="250"/>
        <v>3400836.6974863359</v>
      </c>
      <c r="CB86" s="1260">
        <f t="shared" si="251"/>
        <v>3400836.6974863359</v>
      </c>
      <c r="CC86" s="1260"/>
      <c r="CD86" s="1260">
        <f t="shared" si="252"/>
        <v>0</v>
      </c>
      <c r="CE86" s="1260">
        <f t="shared" si="253"/>
        <v>0</v>
      </c>
      <c r="CF86" s="1260">
        <f t="shared" si="254"/>
        <v>0</v>
      </c>
      <c r="CG86" s="1266">
        <f t="shared" si="255"/>
        <v>3400836.6974863359</v>
      </c>
      <c r="CH86" s="1141">
        <f t="shared" si="256"/>
        <v>3400836.6974863359</v>
      </c>
      <c r="CI86" s="1142">
        <f t="shared" si="257"/>
        <v>0</v>
      </c>
      <c r="CJ86" s="1141">
        <f t="shared" si="258"/>
        <v>348585.76149234938</v>
      </c>
      <c r="CK86" s="1141">
        <f t="shared" si="259"/>
        <v>119029.28441202176</v>
      </c>
      <c r="CL86" s="1143">
        <f t="shared" si="329"/>
        <v>3868451.7433907068</v>
      </c>
      <c r="CM86" s="1144">
        <f t="shared" si="260"/>
        <v>0.125</v>
      </c>
      <c r="CN86" s="1141">
        <f t="shared" si="261"/>
        <v>483556.46792383835</v>
      </c>
      <c r="CO86" s="1141">
        <f t="shared" si="262"/>
        <v>30000</v>
      </c>
      <c r="CP86" s="1141">
        <f t="shared" si="263"/>
        <v>453556.46792383835</v>
      </c>
      <c r="CQ86" s="1145">
        <f t="shared" si="264"/>
        <v>13</v>
      </c>
      <c r="CR86" s="1141">
        <f t="shared" si="265"/>
        <v>34888.959071064492</v>
      </c>
      <c r="CS86" s="1144">
        <f t="shared" si="266"/>
        <v>0.875</v>
      </c>
      <c r="CT86" s="1141">
        <f t="shared" si="267"/>
        <v>3384895.2754668687</v>
      </c>
      <c r="CU86" s="1146">
        <f t="shared" si="204"/>
        <v>26243.057042508208</v>
      </c>
      <c r="CV86" s="1146">
        <f t="shared" si="205"/>
        <v>30424.395674644351</v>
      </c>
      <c r="CW86" s="1146">
        <f t="shared" si="206"/>
        <v>39301.504274876366</v>
      </c>
      <c r="CX86" s="1146">
        <f t="shared" si="207"/>
        <v>67024.9833878106</v>
      </c>
      <c r="CY86" s="1146">
        <f t="shared" si="268"/>
        <v>274965.80216416245</v>
      </c>
      <c r="CZ86" s="1146">
        <f t="shared" si="269"/>
        <v>108802.62848103569</v>
      </c>
      <c r="DA86" s="1146">
        <f t="shared" si="270"/>
        <v>78586.597559051719</v>
      </c>
      <c r="DB86" s="1146">
        <f t="shared" si="271"/>
        <v>59808.018682531125</v>
      </c>
      <c r="DC86" s="1146"/>
      <c r="DD86" s="1146"/>
      <c r="DE86" s="1146"/>
      <c r="DF86" s="1146"/>
      <c r="DG86" s="1146"/>
      <c r="DH86" s="1146"/>
      <c r="DI86" s="1146"/>
      <c r="DJ86" s="1146"/>
      <c r="DK86" s="1146"/>
      <c r="DL86" s="1146"/>
      <c r="DM86" s="1146"/>
      <c r="DN86" s="1146"/>
      <c r="DO86" s="1146"/>
      <c r="DP86" s="1146"/>
      <c r="DQ86" s="1146"/>
      <c r="DR86" s="1146"/>
      <c r="DS86" s="1146"/>
      <c r="DT86" s="1146"/>
      <c r="DU86" s="1146"/>
      <c r="DV86" s="1146"/>
      <c r="DW86" s="1146"/>
      <c r="DX86" s="1146"/>
      <c r="DY86" s="1146"/>
      <c r="DZ86" s="1146"/>
      <c r="EA86" s="1147">
        <f t="shared" si="208"/>
        <v>0</v>
      </c>
      <c r="EB86" s="1148">
        <f t="shared" si="272"/>
        <v>0</v>
      </c>
      <c r="EC86" s="1190">
        <f t="shared" si="316"/>
        <v>45839</v>
      </c>
      <c r="ED86" s="1031">
        <f t="shared" si="209"/>
        <v>20</v>
      </c>
      <c r="EE86" s="1191"/>
      <c r="EF86" s="1032">
        <f t="shared" si="210"/>
        <v>45904</v>
      </c>
      <c r="EG86" s="1029">
        <f t="shared" si="273"/>
        <v>22</v>
      </c>
      <c r="EH86" s="859" t="s">
        <v>490</v>
      </c>
      <c r="EI86" s="859" t="s">
        <v>480</v>
      </c>
      <c r="EJ86" s="860">
        <f t="shared" si="211"/>
        <v>0</v>
      </c>
      <c r="EK86" s="860">
        <f t="shared" si="212"/>
        <v>0</v>
      </c>
      <c r="EL86" s="861">
        <f t="shared" si="213"/>
        <v>0</v>
      </c>
      <c r="EM86" s="1197"/>
      <c r="EN86" s="860"/>
      <c r="EO86" s="860"/>
      <c r="EP86" s="860">
        <f t="shared" si="214"/>
        <v>0</v>
      </c>
      <c r="EQ86" s="1197"/>
      <c r="ER86" s="1200"/>
      <c r="ES86" s="1197"/>
      <c r="ET86" s="1194" t="s">
        <v>242</v>
      </c>
      <c r="EU86" s="1197" t="b">
        <f t="shared" si="215"/>
        <v>1</v>
      </c>
      <c r="EV86" s="1197" t="s">
        <v>591</v>
      </c>
      <c r="EW86" s="1197" t="s">
        <v>482</v>
      </c>
      <c r="EX86" s="1197"/>
      <c r="EY86" s="1128" t="s">
        <v>483</v>
      </c>
      <c r="EZ86" s="1128" t="s">
        <v>484</v>
      </c>
      <c r="FA86" s="1169">
        <f t="shared" si="274"/>
        <v>0</v>
      </c>
      <c r="FI86" s="1309" t="s">
        <v>149</v>
      </c>
      <c r="FJ86" s="1159" t="s">
        <v>149</v>
      </c>
      <c r="FK86" s="1160" t="b">
        <f t="shared" si="275"/>
        <v>1</v>
      </c>
      <c r="FL86" s="1131"/>
      <c r="FM86" s="1161"/>
      <c r="FO86" s="1060"/>
      <c r="FP86" s="1166"/>
      <c r="FQ86" s="1203"/>
      <c r="FU86" s="1295"/>
      <c r="FV86" s="1295"/>
      <c r="FW86" s="1023">
        <v>0.15</v>
      </c>
      <c r="FX86" s="1162">
        <v>14254.806263812137</v>
      </c>
      <c r="FY86" s="1163">
        <v>14700.268959556266</v>
      </c>
      <c r="GA86" s="1164">
        <f t="shared" si="276"/>
        <v>3868451.7433907068</v>
      </c>
      <c r="GB86" s="1165">
        <f t="shared" si="277"/>
        <v>0.15</v>
      </c>
      <c r="GC86" s="1154">
        <f t="shared" si="278"/>
        <v>580267.76150860603</v>
      </c>
      <c r="GD86" s="1164">
        <f t="shared" si="279"/>
        <v>30000</v>
      </c>
      <c r="GE86" s="1154">
        <f t="shared" si="280"/>
        <v>550267.76150860603</v>
      </c>
      <c r="GF86" s="1060">
        <f t="shared" si="281"/>
        <v>35</v>
      </c>
      <c r="GG86" s="1166">
        <f t="shared" si="282"/>
        <v>15721.936043103029</v>
      </c>
      <c r="GI86" s="1164">
        <f t="shared" si="283"/>
        <v>3868451.7433907068</v>
      </c>
      <c r="GJ86" s="1154">
        <f t="shared" si="284"/>
        <v>386845.17433907068</v>
      </c>
      <c r="GK86" s="1154">
        <f t="shared" si="285"/>
        <v>96711.293584767671</v>
      </c>
      <c r="GL86" s="1166">
        <v>15000</v>
      </c>
      <c r="GM86" s="1154">
        <f t="shared" si="286"/>
        <v>371845.17433907068</v>
      </c>
      <c r="GN86" s="1060">
        <f t="shared" si="287"/>
        <v>35</v>
      </c>
      <c r="GO86" s="1154">
        <f t="shared" si="288"/>
        <v>10624.147838259163</v>
      </c>
      <c r="GS86" s="1010">
        <f t="shared" si="289"/>
        <v>3868451.7433907068</v>
      </c>
      <c r="GT86" s="1011">
        <f t="shared" si="290"/>
        <v>0.125</v>
      </c>
      <c r="GU86" s="1010">
        <f t="shared" si="291"/>
        <v>483556.46792383835</v>
      </c>
      <c r="GV86" s="1010">
        <f t="shared" si="292"/>
        <v>30000</v>
      </c>
      <c r="GW86" s="1010">
        <f t="shared" si="293"/>
        <v>453556.46792383835</v>
      </c>
      <c r="GX86" s="1010">
        <f t="shared" si="294"/>
        <v>13</v>
      </c>
      <c r="GY86" s="1010">
        <f t="shared" si="295"/>
        <v>34888.959071064492</v>
      </c>
      <c r="GZ86" s="1011">
        <f t="shared" si="296"/>
        <v>0.875</v>
      </c>
      <c r="HA86" s="1010">
        <f t="shared" si="297"/>
        <v>3384895.2754668687</v>
      </c>
      <c r="HB86" s="1010">
        <f t="shared" si="298"/>
        <v>26243.057042508208</v>
      </c>
      <c r="HC86" s="1010">
        <f t="shared" si="299"/>
        <v>30424.395674644351</v>
      </c>
      <c r="HD86" s="1010">
        <f t="shared" si="300"/>
        <v>39301.504274876366</v>
      </c>
      <c r="HE86" s="1010">
        <f t="shared" si="301"/>
        <v>67024.9833878106</v>
      </c>
      <c r="HG86" s="1010">
        <f t="shared" si="302"/>
        <v>3868451.7433907068</v>
      </c>
      <c r="HH86" s="1011">
        <f t="shared" si="303"/>
        <v>0.125</v>
      </c>
      <c r="HI86" s="1010">
        <f t="shared" si="304"/>
        <v>483556.46792383835</v>
      </c>
      <c r="HJ86" s="1010">
        <f t="shared" si="305"/>
        <v>30000</v>
      </c>
      <c r="HK86" s="1010">
        <f t="shared" si="306"/>
        <v>453556.46792383835</v>
      </c>
      <c r="HL86" s="1012">
        <f t="shared" si="307"/>
        <v>33</v>
      </c>
      <c r="HM86" s="1167">
        <f t="shared" si="308"/>
        <v>13744.135391631466</v>
      </c>
      <c r="HN86" s="1168">
        <f t="shared" si="309"/>
        <v>0.875</v>
      </c>
      <c r="HO86" s="1167">
        <f t="shared" si="310"/>
        <v>3384895.2754668687</v>
      </c>
      <c r="HP86" s="1146">
        <f t="shared" si="311"/>
        <v>26243.057042508208</v>
      </c>
      <c r="HQ86" s="1146">
        <f t="shared" si="312"/>
        <v>30424.395674644351</v>
      </c>
      <c r="HR86" s="1146">
        <f t="shared" si="313"/>
        <v>39301.504274876366</v>
      </c>
      <c r="HS86" s="1146">
        <f t="shared" si="314"/>
        <v>67024.9833878106</v>
      </c>
      <c r="HU86" s="1167">
        <f t="shared" si="315"/>
        <v>-21144.823679433026</v>
      </c>
      <c r="HX86" s="1154"/>
      <c r="HY86" s="1154"/>
      <c r="IB86" s="1154"/>
      <c r="IC86" s="1154"/>
      <c r="ID86" s="1154"/>
      <c r="IE86" s="1154"/>
      <c r="IG86" s="1060"/>
    </row>
    <row r="87" spans="1:241" ht="14.25" hidden="1" customHeight="1">
      <c r="A87" s="1186">
        <f t="shared" si="330"/>
        <v>81</v>
      </c>
      <c r="B87" s="824" t="s">
        <v>149</v>
      </c>
      <c r="C87" s="855">
        <f t="shared" si="323"/>
        <v>12</v>
      </c>
      <c r="D87" s="856" t="s">
        <v>505</v>
      </c>
      <c r="E87" s="857" t="str">
        <f t="shared" si="216"/>
        <v>6th Floor</v>
      </c>
      <c r="F87" s="1185"/>
      <c r="G87" s="764" t="s">
        <v>243</v>
      </c>
      <c r="H87" s="764" t="s">
        <v>520</v>
      </c>
      <c r="I87" s="764" t="s">
        <v>476</v>
      </c>
      <c r="J87" s="1139">
        <v>22</v>
      </c>
      <c r="K87" s="1142"/>
      <c r="L87" s="764" t="s">
        <v>500</v>
      </c>
      <c r="M87" s="764" t="s">
        <v>93</v>
      </c>
      <c r="N87" s="856">
        <f t="shared" si="217"/>
        <v>100909.09090909091</v>
      </c>
      <c r="O87" s="1138">
        <f t="shared" si="324"/>
        <v>2220000</v>
      </c>
      <c r="P87" s="1138">
        <f t="shared" si="331"/>
        <v>22400</v>
      </c>
      <c r="Q87" s="1138">
        <f t="shared" si="203"/>
        <v>50000</v>
      </c>
      <c r="R87" s="1138"/>
      <c r="S87" s="1138"/>
      <c r="T87" s="1138"/>
      <c r="U87" s="1138"/>
      <c r="V87" s="1138"/>
      <c r="W87" s="858"/>
      <c r="X87" s="1138"/>
      <c r="Y87" s="1138">
        <f t="shared" si="326"/>
        <v>40000</v>
      </c>
      <c r="Z87" s="1138">
        <f t="shared" si="327"/>
        <v>75000</v>
      </c>
      <c r="AA87" s="1138">
        <f t="shared" si="328"/>
        <v>187400</v>
      </c>
      <c r="AB87" s="1138">
        <f t="shared" si="218"/>
        <v>2407400</v>
      </c>
      <c r="AC87" s="1138">
        <f t="shared" si="219"/>
        <v>60185</v>
      </c>
      <c r="AD87" s="1138">
        <f t="shared" si="220"/>
        <v>2467585</v>
      </c>
      <c r="AE87" s="1138">
        <f t="shared" si="221"/>
        <v>61689.625</v>
      </c>
      <c r="AF87" s="1138">
        <f t="shared" si="222"/>
        <v>2529274.625</v>
      </c>
      <c r="AG87" s="1138">
        <f t="shared" si="223"/>
        <v>63231.865625000006</v>
      </c>
      <c r="AH87" s="1138">
        <f t="shared" si="224"/>
        <v>2592506.4906250001</v>
      </c>
      <c r="AI87" s="1138">
        <f t="shared" si="225"/>
        <v>129625.32453125001</v>
      </c>
      <c r="AJ87" s="1138">
        <f t="shared" si="226"/>
        <v>2722131.8151562503</v>
      </c>
      <c r="AK87" s="1138">
        <f t="shared" si="227"/>
        <v>27221.318151562504</v>
      </c>
      <c r="AL87" s="1138">
        <f t="shared" si="228"/>
        <v>27537.409960060559</v>
      </c>
      <c r="AM87" s="1138"/>
      <c r="AN87" s="1138"/>
      <c r="AO87" s="1138">
        <f t="shared" si="229"/>
        <v>2776890.5432678731</v>
      </c>
      <c r="AP87" s="1138">
        <f t="shared" si="230"/>
        <v>374880.2233411629</v>
      </c>
      <c r="AQ87" s="1248">
        <f t="shared" si="231"/>
        <v>3151770.7666090359</v>
      </c>
      <c r="AR87" s="1248">
        <f t="shared" si="335"/>
        <v>3151770.7666090359</v>
      </c>
      <c r="AS87" s="1248"/>
      <c r="AT87" s="1248"/>
      <c r="AU87" s="1248">
        <f t="shared" si="232"/>
        <v>0</v>
      </c>
      <c r="AV87" s="1140">
        <f t="shared" si="233"/>
        <v>0</v>
      </c>
      <c r="AW87" s="1140">
        <f t="shared" si="234"/>
        <v>3151770.7666090359</v>
      </c>
      <c r="AX87" s="1139">
        <f t="shared" si="235"/>
        <v>39397.134582612955</v>
      </c>
      <c r="AY87" s="831" t="s">
        <v>478</v>
      </c>
      <c r="AZ87" s="831">
        <f t="shared" si="236"/>
        <v>3191167.901191649</v>
      </c>
      <c r="BA87" s="831">
        <f t="shared" si="237"/>
        <v>119668.79629468684</v>
      </c>
      <c r="BB87" s="831"/>
      <c r="BC87" s="831">
        <f t="shared" si="189"/>
        <v>33600</v>
      </c>
      <c r="BD87" s="831"/>
      <c r="BE87" s="831">
        <f t="shared" si="238"/>
        <v>3344436.6974863359</v>
      </c>
      <c r="BF87" s="831"/>
      <c r="BG87" s="831">
        <f t="shared" si="239"/>
        <v>3344436.6974863359</v>
      </c>
      <c r="BH87" s="831"/>
      <c r="BI87" s="831">
        <f t="shared" si="240"/>
        <v>3344436.6974863359</v>
      </c>
      <c r="BJ87" s="831"/>
      <c r="BK87" s="831">
        <f t="shared" si="241"/>
        <v>3344436.6974863359</v>
      </c>
      <c r="BL87" s="831"/>
      <c r="BM87" s="831">
        <f t="shared" si="242"/>
        <v>3344436.6974863359</v>
      </c>
      <c r="BN87" s="831"/>
      <c r="BO87" s="831">
        <f t="shared" si="243"/>
        <v>3344436.6974863359</v>
      </c>
      <c r="BP87" s="831"/>
      <c r="BQ87" s="831">
        <f t="shared" si="244"/>
        <v>3344436.6974863359</v>
      </c>
      <c r="BR87" s="831"/>
      <c r="BS87" s="831">
        <f t="shared" si="245"/>
        <v>3344436.6974863359</v>
      </c>
      <c r="BT87" s="831"/>
      <c r="BU87" s="831">
        <f t="shared" si="246"/>
        <v>3344436.6974863359</v>
      </c>
      <c r="BV87" s="831"/>
      <c r="BW87" s="831">
        <f t="shared" si="247"/>
        <v>56400</v>
      </c>
      <c r="BX87" s="831">
        <f t="shared" si="248"/>
        <v>3400836.6974863359</v>
      </c>
      <c r="BY87" s="831"/>
      <c r="BZ87" s="831">
        <f t="shared" si="249"/>
        <v>3400836.6974863359</v>
      </c>
      <c r="CA87" s="1260">
        <f t="shared" si="250"/>
        <v>3400836.6974863359</v>
      </c>
      <c r="CB87" s="1260">
        <f t="shared" si="251"/>
        <v>3400836.6974863359</v>
      </c>
      <c r="CC87" s="1260"/>
      <c r="CD87" s="1260">
        <f t="shared" si="252"/>
        <v>0</v>
      </c>
      <c r="CE87" s="1260">
        <f t="shared" si="253"/>
        <v>0</v>
      </c>
      <c r="CF87" s="1260">
        <f t="shared" si="254"/>
        <v>0</v>
      </c>
      <c r="CG87" s="1266">
        <f t="shared" si="255"/>
        <v>3400836.6974863359</v>
      </c>
      <c r="CH87" s="1141">
        <f t="shared" si="256"/>
        <v>3400836.6974863359</v>
      </c>
      <c r="CI87" s="1142">
        <f t="shared" si="257"/>
        <v>0</v>
      </c>
      <c r="CJ87" s="1141">
        <f t="shared" si="258"/>
        <v>348585.76149234938</v>
      </c>
      <c r="CK87" s="1141">
        <f t="shared" si="259"/>
        <v>119029.28441202176</v>
      </c>
      <c r="CL87" s="1143">
        <f t="shared" si="329"/>
        <v>3868451.7433907068</v>
      </c>
      <c r="CM87" s="1144">
        <f t="shared" si="260"/>
        <v>0.125</v>
      </c>
      <c r="CN87" s="1141">
        <f t="shared" si="261"/>
        <v>483556.46792383835</v>
      </c>
      <c r="CO87" s="1141">
        <f t="shared" si="262"/>
        <v>30000</v>
      </c>
      <c r="CP87" s="1141">
        <f t="shared" si="263"/>
        <v>453556.46792383835</v>
      </c>
      <c r="CQ87" s="1145">
        <f t="shared" si="264"/>
        <v>13</v>
      </c>
      <c r="CR87" s="1141">
        <f t="shared" si="265"/>
        <v>34888.959071064492</v>
      </c>
      <c r="CS87" s="1144">
        <f t="shared" si="266"/>
        <v>0.875</v>
      </c>
      <c r="CT87" s="1141">
        <f t="shared" si="267"/>
        <v>3384895.2754668687</v>
      </c>
      <c r="CU87" s="1146">
        <f t="shared" si="204"/>
        <v>26243.057042508208</v>
      </c>
      <c r="CV87" s="1146">
        <f t="shared" si="205"/>
        <v>30424.395674644351</v>
      </c>
      <c r="CW87" s="1146">
        <f t="shared" si="206"/>
        <v>39301.504274876366</v>
      </c>
      <c r="CX87" s="1146">
        <f t="shared" si="207"/>
        <v>67024.9833878106</v>
      </c>
      <c r="CY87" s="1146">
        <f t="shared" si="268"/>
        <v>274965.80216416245</v>
      </c>
      <c r="CZ87" s="1146">
        <f t="shared" si="269"/>
        <v>108802.62848103569</v>
      </c>
      <c r="DA87" s="1146">
        <f t="shared" si="270"/>
        <v>78586.597559051719</v>
      </c>
      <c r="DB87" s="1146">
        <f t="shared" si="271"/>
        <v>59808.018682531125</v>
      </c>
      <c r="DC87" s="1146"/>
      <c r="DD87" s="1146"/>
      <c r="DE87" s="1146"/>
      <c r="DF87" s="1146"/>
      <c r="DG87" s="1146"/>
      <c r="DH87" s="1146"/>
      <c r="DI87" s="1146"/>
      <c r="DJ87" s="1146"/>
      <c r="DK87" s="1146"/>
      <c r="DL87" s="1146"/>
      <c r="DM87" s="1146"/>
      <c r="DN87" s="1146"/>
      <c r="DO87" s="1146"/>
      <c r="DP87" s="1146"/>
      <c r="DQ87" s="1146"/>
      <c r="DR87" s="1146"/>
      <c r="DS87" s="1146"/>
      <c r="DT87" s="1146"/>
      <c r="DU87" s="1146"/>
      <c r="DV87" s="1146"/>
      <c r="DW87" s="1146"/>
      <c r="DX87" s="1146"/>
      <c r="DY87" s="1146"/>
      <c r="DZ87" s="1146"/>
      <c r="EA87" s="1147">
        <f t="shared" si="208"/>
        <v>0</v>
      </c>
      <c r="EB87" s="1148">
        <f t="shared" si="272"/>
        <v>0</v>
      </c>
      <c r="EC87" s="1190">
        <f t="shared" si="316"/>
        <v>45839</v>
      </c>
      <c r="ED87" s="1031">
        <f t="shared" si="209"/>
        <v>20</v>
      </c>
      <c r="EE87" s="1191"/>
      <c r="EF87" s="1032">
        <f t="shared" si="210"/>
        <v>45904</v>
      </c>
      <c r="EG87" s="1029">
        <f t="shared" si="273"/>
        <v>22</v>
      </c>
      <c r="EH87" s="859" t="s">
        <v>490</v>
      </c>
      <c r="EI87" s="859" t="s">
        <v>480</v>
      </c>
      <c r="EJ87" s="860">
        <f t="shared" si="211"/>
        <v>0</v>
      </c>
      <c r="EK87" s="860">
        <f t="shared" si="212"/>
        <v>0</v>
      </c>
      <c r="EL87" s="861">
        <f t="shared" si="213"/>
        <v>0</v>
      </c>
      <c r="EM87" s="1197"/>
      <c r="EN87" s="860"/>
      <c r="EO87" s="860"/>
      <c r="EP87" s="860">
        <f t="shared" si="214"/>
        <v>0</v>
      </c>
      <c r="EQ87" s="1197"/>
      <c r="ER87" s="1200"/>
      <c r="ES87" s="1197"/>
      <c r="ET87" s="1194" t="s">
        <v>243</v>
      </c>
      <c r="EU87" s="1197" t="b">
        <f t="shared" si="215"/>
        <v>1</v>
      </c>
      <c r="EV87" s="1197" t="s">
        <v>592</v>
      </c>
      <c r="EW87" s="1197" t="s">
        <v>482</v>
      </c>
      <c r="EX87" s="1197"/>
      <c r="EY87" s="1128" t="s">
        <v>483</v>
      </c>
      <c r="EZ87" s="1128" t="s">
        <v>484</v>
      </c>
      <c r="FA87" s="1169">
        <f t="shared" si="274"/>
        <v>0</v>
      </c>
      <c r="FI87" s="1309" t="s">
        <v>149</v>
      </c>
      <c r="FJ87" s="1159" t="s">
        <v>149</v>
      </c>
      <c r="FK87" s="1160" t="b">
        <f t="shared" si="275"/>
        <v>1</v>
      </c>
      <c r="FL87" s="1131"/>
      <c r="FM87" s="1161"/>
      <c r="FO87" s="1060"/>
      <c r="FP87" s="1166"/>
      <c r="FQ87" s="1203"/>
      <c r="FU87" s="1295"/>
      <c r="FV87" s="1295"/>
      <c r="FW87" s="1023">
        <v>0.15</v>
      </c>
      <c r="FX87" s="1162">
        <v>14254.806263812137</v>
      </c>
      <c r="FY87" s="1163">
        <v>14700.268959556266</v>
      </c>
      <c r="GA87" s="1164">
        <f t="shared" si="276"/>
        <v>3868451.7433907068</v>
      </c>
      <c r="GB87" s="1165">
        <f t="shared" si="277"/>
        <v>0.15</v>
      </c>
      <c r="GC87" s="1154">
        <f t="shared" si="278"/>
        <v>580267.76150860603</v>
      </c>
      <c r="GD87" s="1164">
        <f t="shared" si="279"/>
        <v>30000</v>
      </c>
      <c r="GE87" s="1154">
        <f t="shared" si="280"/>
        <v>550267.76150860603</v>
      </c>
      <c r="GF87" s="1060">
        <f t="shared" si="281"/>
        <v>35</v>
      </c>
      <c r="GG87" s="1166">
        <f t="shared" si="282"/>
        <v>15721.936043103029</v>
      </c>
      <c r="GI87" s="1164">
        <f t="shared" si="283"/>
        <v>3868451.7433907068</v>
      </c>
      <c r="GJ87" s="1154">
        <f t="shared" si="284"/>
        <v>386845.17433907068</v>
      </c>
      <c r="GK87" s="1154">
        <f t="shared" si="285"/>
        <v>96711.293584767671</v>
      </c>
      <c r="GL87" s="1166">
        <v>15000</v>
      </c>
      <c r="GM87" s="1154">
        <f t="shared" si="286"/>
        <v>371845.17433907068</v>
      </c>
      <c r="GN87" s="1060">
        <f t="shared" si="287"/>
        <v>35</v>
      </c>
      <c r="GO87" s="1154">
        <f t="shared" si="288"/>
        <v>10624.147838259163</v>
      </c>
      <c r="GS87" s="1010">
        <f t="shared" si="289"/>
        <v>3868451.7433907068</v>
      </c>
      <c r="GT87" s="1011">
        <f t="shared" si="290"/>
        <v>0.125</v>
      </c>
      <c r="GU87" s="1010">
        <f t="shared" si="291"/>
        <v>483556.46792383835</v>
      </c>
      <c r="GV87" s="1010">
        <f t="shared" si="292"/>
        <v>30000</v>
      </c>
      <c r="GW87" s="1010">
        <f t="shared" si="293"/>
        <v>453556.46792383835</v>
      </c>
      <c r="GX87" s="1010">
        <f t="shared" si="294"/>
        <v>13</v>
      </c>
      <c r="GY87" s="1010">
        <f t="shared" si="295"/>
        <v>34888.959071064492</v>
      </c>
      <c r="GZ87" s="1011">
        <f t="shared" si="296"/>
        <v>0.875</v>
      </c>
      <c r="HA87" s="1010">
        <f t="shared" si="297"/>
        <v>3384895.2754668687</v>
      </c>
      <c r="HB87" s="1010">
        <f t="shared" si="298"/>
        <v>26243.057042508208</v>
      </c>
      <c r="HC87" s="1010">
        <f t="shared" si="299"/>
        <v>30424.395674644351</v>
      </c>
      <c r="HD87" s="1010">
        <f t="shared" si="300"/>
        <v>39301.504274876366</v>
      </c>
      <c r="HE87" s="1010">
        <f t="shared" si="301"/>
        <v>67024.9833878106</v>
      </c>
      <c r="HG87" s="1010">
        <f t="shared" si="302"/>
        <v>3868451.7433907068</v>
      </c>
      <c r="HH87" s="1011">
        <f t="shared" si="303"/>
        <v>0.125</v>
      </c>
      <c r="HI87" s="1010">
        <f t="shared" si="304"/>
        <v>483556.46792383835</v>
      </c>
      <c r="HJ87" s="1010">
        <f t="shared" si="305"/>
        <v>30000</v>
      </c>
      <c r="HK87" s="1010">
        <f t="shared" si="306"/>
        <v>453556.46792383835</v>
      </c>
      <c r="HL87" s="1012">
        <f t="shared" si="307"/>
        <v>33</v>
      </c>
      <c r="HM87" s="1167">
        <f t="shared" si="308"/>
        <v>13744.135391631466</v>
      </c>
      <c r="HN87" s="1168">
        <f t="shared" si="309"/>
        <v>0.875</v>
      </c>
      <c r="HO87" s="1167">
        <f t="shared" si="310"/>
        <v>3384895.2754668687</v>
      </c>
      <c r="HP87" s="1146">
        <f t="shared" si="311"/>
        <v>26243.057042508208</v>
      </c>
      <c r="HQ87" s="1146">
        <f t="shared" si="312"/>
        <v>30424.395674644351</v>
      </c>
      <c r="HR87" s="1146">
        <f t="shared" si="313"/>
        <v>39301.504274876366</v>
      </c>
      <c r="HS87" s="1146">
        <f t="shared" si="314"/>
        <v>67024.9833878106</v>
      </c>
      <c r="HU87" s="1167">
        <f t="shared" si="315"/>
        <v>-21144.823679433026</v>
      </c>
      <c r="HX87" s="1154"/>
      <c r="HY87" s="1154"/>
      <c r="IB87" s="1154"/>
      <c r="IC87" s="1154"/>
      <c r="ID87" s="1154"/>
      <c r="IE87" s="1154"/>
      <c r="IG87" s="1060"/>
    </row>
    <row r="88" spans="1:241" ht="14.25" hidden="1" customHeight="1">
      <c r="A88" s="1186">
        <f t="shared" si="330"/>
        <v>82</v>
      </c>
      <c r="B88" s="824" t="s">
        <v>149</v>
      </c>
      <c r="C88" s="855">
        <f t="shared" si="323"/>
        <v>13</v>
      </c>
      <c r="D88" s="856" t="s">
        <v>505</v>
      </c>
      <c r="E88" s="857" t="str">
        <f t="shared" si="216"/>
        <v>6th Floor</v>
      </c>
      <c r="F88" s="1185"/>
      <c r="G88" s="764" t="s">
        <v>244</v>
      </c>
      <c r="H88" s="764" t="s">
        <v>525</v>
      </c>
      <c r="I88" s="764" t="s">
        <v>476</v>
      </c>
      <c r="J88" s="1139">
        <v>22</v>
      </c>
      <c r="K88" s="1142"/>
      <c r="L88" s="764" t="s">
        <v>500</v>
      </c>
      <c r="M88" s="764" t="s">
        <v>93</v>
      </c>
      <c r="N88" s="856">
        <f t="shared" si="217"/>
        <v>100909.09090909091</v>
      </c>
      <c r="O88" s="1138">
        <f t="shared" si="324"/>
        <v>2220000</v>
      </c>
      <c r="P88" s="1138">
        <f t="shared" si="331"/>
        <v>22400</v>
      </c>
      <c r="Q88" s="1138">
        <f t="shared" si="203"/>
        <v>50000</v>
      </c>
      <c r="R88" s="1138"/>
      <c r="S88" s="1138"/>
      <c r="T88" s="1138"/>
      <c r="U88" s="1138"/>
      <c r="V88" s="1138"/>
      <c r="W88" s="858"/>
      <c r="X88" s="1138"/>
      <c r="Y88" s="1138">
        <f t="shared" si="326"/>
        <v>40000</v>
      </c>
      <c r="Z88" s="1138">
        <f t="shared" si="327"/>
        <v>75000</v>
      </c>
      <c r="AA88" s="1138">
        <f t="shared" si="328"/>
        <v>187400</v>
      </c>
      <c r="AB88" s="1138">
        <f t="shared" si="218"/>
        <v>2407400</v>
      </c>
      <c r="AC88" s="1138">
        <f t="shared" si="219"/>
        <v>60185</v>
      </c>
      <c r="AD88" s="1138">
        <f t="shared" si="220"/>
        <v>2467585</v>
      </c>
      <c r="AE88" s="1138">
        <f t="shared" si="221"/>
        <v>61689.625</v>
      </c>
      <c r="AF88" s="1138">
        <f t="shared" si="222"/>
        <v>2529274.625</v>
      </c>
      <c r="AG88" s="1138">
        <f t="shared" si="223"/>
        <v>63231.865625000006</v>
      </c>
      <c r="AH88" s="1138">
        <f t="shared" si="224"/>
        <v>2592506.4906250001</v>
      </c>
      <c r="AI88" s="1138">
        <f t="shared" si="225"/>
        <v>129625.32453125001</v>
      </c>
      <c r="AJ88" s="1138">
        <f t="shared" si="226"/>
        <v>2722131.8151562503</v>
      </c>
      <c r="AK88" s="1138">
        <f t="shared" si="227"/>
        <v>27221.318151562504</v>
      </c>
      <c r="AL88" s="1138">
        <f t="shared" si="228"/>
        <v>27537.409960060559</v>
      </c>
      <c r="AM88" s="1138"/>
      <c r="AN88" s="1138"/>
      <c r="AO88" s="1138">
        <f t="shared" si="229"/>
        <v>2776890.5432678731</v>
      </c>
      <c r="AP88" s="1138">
        <f t="shared" si="230"/>
        <v>374880.2233411629</v>
      </c>
      <c r="AQ88" s="1248">
        <f t="shared" si="231"/>
        <v>3151770.7666090359</v>
      </c>
      <c r="AR88" s="1248">
        <f t="shared" si="335"/>
        <v>3151770.7666090359</v>
      </c>
      <c r="AS88" s="1248"/>
      <c r="AT88" s="1248"/>
      <c r="AU88" s="1248">
        <f t="shared" si="232"/>
        <v>0</v>
      </c>
      <c r="AV88" s="1140">
        <f t="shared" si="233"/>
        <v>0</v>
      </c>
      <c r="AW88" s="1140">
        <f t="shared" si="234"/>
        <v>3151770.7666090359</v>
      </c>
      <c r="AX88" s="1139">
        <f t="shared" si="235"/>
        <v>39397.134582612955</v>
      </c>
      <c r="AY88" s="831" t="s">
        <v>478</v>
      </c>
      <c r="AZ88" s="831">
        <f t="shared" si="236"/>
        <v>3191167.901191649</v>
      </c>
      <c r="BA88" s="831">
        <f t="shared" si="237"/>
        <v>119668.79629468684</v>
      </c>
      <c r="BB88" s="831"/>
      <c r="BC88" s="831">
        <f t="shared" si="189"/>
        <v>33600</v>
      </c>
      <c r="BD88" s="831">
        <v>8990.8965517241377</v>
      </c>
      <c r="BE88" s="831">
        <f t="shared" si="238"/>
        <v>3353427.5940380599</v>
      </c>
      <c r="BF88" s="831">
        <v>42723.767172413798</v>
      </c>
      <c r="BG88" s="831">
        <f t="shared" si="239"/>
        <v>3396151.3612104738</v>
      </c>
      <c r="BH88" s="831"/>
      <c r="BI88" s="831">
        <f t="shared" si="240"/>
        <v>3396151.3612104738</v>
      </c>
      <c r="BJ88" s="831"/>
      <c r="BK88" s="831">
        <f t="shared" si="241"/>
        <v>3396151.3612104738</v>
      </c>
      <c r="BL88" s="831"/>
      <c r="BM88" s="831">
        <f t="shared" si="242"/>
        <v>3396151.3612104738</v>
      </c>
      <c r="BN88" s="831"/>
      <c r="BO88" s="831">
        <f t="shared" si="243"/>
        <v>3396151.3612104738</v>
      </c>
      <c r="BP88" s="831"/>
      <c r="BQ88" s="831">
        <f t="shared" si="244"/>
        <v>3396151.3612104738</v>
      </c>
      <c r="BR88" s="831"/>
      <c r="BS88" s="831">
        <f t="shared" si="245"/>
        <v>3396151.3612104738</v>
      </c>
      <c r="BT88" s="831"/>
      <c r="BU88" s="831">
        <f t="shared" si="246"/>
        <v>3396151.3612104738</v>
      </c>
      <c r="BV88" s="831"/>
      <c r="BW88" s="831">
        <f t="shared" si="247"/>
        <v>56400</v>
      </c>
      <c r="BX88" s="831">
        <f t="shared" si="248"/>
        <v>3452551.3612104738</v>
      </c>
      <c r="BY88" s="831"/>
      <c r="BZ88" s="831">
        <f t="shared" si="249"/>
        <v>3452551.3612104738</v>
      </c>
      <c r="CA88" s="1260">
        <f t="shared" si="250"/>
        <v>3452551.3612104738</v>
      </c>
      <c r="CB88" s="1260">
        <f t="shared" si="251"/>
        <v>3452551.3612104738</v>
      </c>
      <c r="CC88" s="1260"/>
      <c r="CD88" s="1260">
        <f t="shared" si="252"/>
        <v>0</v>
      </c>
      <c r="CE88" s="1260">
        <f t="shared" si="253"/>
        <v>0</v>
      </c>
      <c r="CF88" s="1260">
        <f t="shared" si="254"/>
        <v>0</v>
      </c>
      <c r="CG88" s="1266">
        <f t="shared" si="255"/>
        <v>3452551.3612104738</v>
      </c>
      <c r="CH88" s="1141">
        <f t="shared" si="256"/>
        <v>3452551.3612104738</v>
      </c>
      <c r="CI88" s="1142">
        <f t="shared" si="257"/>
        <v>0</v>
      </c>
      <c r="CJ88" s="1141">
        <f t="shared" si="258"/>
        <v>353886.51452407357</v>
      </c>
      <c r="CK88" s="1141">
        <f t="shared" si="259"/>
        <v>120839.2976423666</v>
      </c>
      <c r="CL88" s="1143">
        <f t="shared" si="329"/>
        <v>3927277.1733769136</v>
      </c>
      <c r="CM88" s="1144">
        <f t="shared" si="260"/>
        <v>0.125</v>
      </c>
      <c r="CN88" s="1141">
        <f t="shared" si="261"/>
        <v>490909.64667211421</v>
      </c>
      <c r="CO88" s="1141">
        <f t="shared" si="262"/>
        <v>30000</v>
      </c>
      <c r="CP88" s="1141">
        <f t="shared" si="263"/>
        <v>460909.64667211421</v>
      </c>
      <c r="CQ88" s="1145">
        <f t="shared" si="264"/>
        <v>13</v>
      </c>
      <c r="CR88" s="1141">
        <f t="shared" si="265"/>
        <v>35454.588205547247</v>
      </c>
      <c r="CS88" s="1144">
        <f t="shared" si="266"/>
        <v>0.875</v>
      </c>
      <c r="CT88" s="1141">
        <f t="shared" si="267"/>
        <v>3436367.5267047994</v>
      </c>
      <c r="CU88" s="1146">
        <f t="shared" si="204"/>
        <v>26642.120858494956</v>
      </c>
      <c r="CV88" s="1146">
        <f t="shared" si="205"/>
        <v>30887.042820415059</v>
      </c>
      <c r="CW88" s="1146">
        <f t="shared" si="206"/>
        <v>39899.140756195877</v>
      </c>
      <c r="CX88" s="1146">
        <f t="shared" si="207"/>
        <v>68044.195653891613</v>
      </c>
      <c r="CY88" s="1146">
        <f t="shared" si="268"/>
        <v>279147.05673750548</v>
      </c>
      <c r="CZ88" s="1146">
        <f t="shared" si="269"/>
        <v>110457.1305476471</v>
      </c>
      <c r="DA88" s="1146">
        <f t="shared" si="270"/>
        <v>79781.620968730407</v>
      </c>
      <c r="DB88" s="1146">
        <f t="shared" si="271"/>
        <v>60717.486513332929</v>
      </c>
      <c r="DC88" s="1146"/>
      <c r="DD88" s="1146"/>
      <c r="DE88" s="1146"/>
      <c r="DF88" s="1146"/>
      <c r="DG88" s="1146"/>
      <c r="DH88" s="1146"/>
      <c r="DI88" s="1146"/>
      <c r="DJ88" s="1146"/>
      <c r="DK88" s="1146"/>
      <c r="DL88" s="1146"/>
      <c r="DM88" s="1146"/>
      <c r="DN88" s="1146"/>
      <c r="DO88" s="1146"/>
      <c r="DP88" s="1146"/>
      <c r="DQ88" s="1146"/>
      <c r="DR88" s="1146"/>
      <c r="DS88" s="1146"/>
      <c r="DT88" s="1146"/>
      <c r="DU88" s="1146"/>
      <c r="DV88" s="1146"/>
      <c r="DW88" s="1146"/>
      <c r="DX88" s="1146"/>
      <c r="DY88" s="1146"/>
      <c r="DZ88" s="1146"/>
      <c r="EA88" s="1147">
        <f t="shared" si="208"/>
        <v>0</v>
      </c>
      <c r="EB88" s="1148">
        <f t="shared" si="272"/>
        <v>0</v>
      </c>
      <c r="EC88" s="1190">
        <f t="shared" si="316"/>
        <v>45839</v>
      </c>
      <c r="ED88" s="1031">
        <f t="shared" si="209"/>
        <v>20</v>
      </c>
      <c r="EE88" s="1191"/>
      <c r="EF88" s="1032">
        <f t="shared" si="210"/>
        <v>45904</v>
      </c>
      <c r="EG88" s="1029">
        <f t="shared" si="273"/>
        <v>22</v>
      </c>
      <c r="EH88" s="859" t="s">
        <v>490</v>
      </c>
      <c r="EI88" s="859" t="s">
        <v>480</v>
      </c>
      <c r="EJ88" s="860">
        <f t="shared" si="211"/>
        <v>0</v>
      </c>
      <c r="EK88" s="860">
        <f t="shared" si="212"/>
        <v>0</v>
      </c>
      <c r="EL88" s="861">
        <f t="shared" si="213"/>
        <v>0</v>
      </c>
      <c r="EM88" s="1197"/>
      <c r="EN88" s="860"/>
      <c r="EO88" s="860"/>
      <c r="EP88" s="860">
        <f t="shared" si="214"/>
        <v>0</v>
      </c>
      <c r="EQ88" s="1197"/>
      <c r="ER88" s="1200"/>
      <c r="ES88" s="1197"/>
      <c r="ET88" s="1194" t="s">
        <v>244</v>
      </c>
      <c r="EU88" s="1197" t="b">
        <f t="shared" si="215"/>
        <v>1</v>
      </c>
      <c r="EV88" s="1197" t="s">
        <v>548</v>
      </c>
      <c r="EW88" s="1197" t="s">
        <v>482</v>
      </c>
      <c r="EX88" s="1197"/>
      <c r="EY88" s="1128" t="s">
        <v>483</v>
      </c>
      <c r="EZ88" s="1128" t="s">
        <v>484</v>
      </c>
      <c r="FA88" s="1169">
        <f t="shared" si="274"/>
        <v>0</v>
      </c>
      <c r="FI88" s="1309" t="s">
        <v>149</v>
      </c>
      <c r="FJ88" s="1159" t="s">
        <v>149</v>
      </c>
      <c r="FK88" s="1160" t="b">
        <f t="shared" si="275"/>
        <v>1</v>
      </c>
      <c r="FL88" s="1131"/>
      <c r="FM88" s="1161"/>
      <c r="FO88" s="1060"/>
      <c r="FP88" s="1166"/>
      <c r="FQ88" s="1203"/>
      <c r="FU88" s="1295"/>
      <c r="FV88" s="1295"/>
      <c r="FW88" s="1023">
        <v>0.15</v>
      </c>
      <c r="FX88" s="1162">
        <v>14254.806263812137</v>
      </c>
      <c r="FY88" s="1163">
        <v>14700.268959556266</v>
      </c>
      <c r="GA88" s="1164">
        <f t="shared" si="276"/>
        <v>3927277.1733769136</v>
      </c>
      <c r="GB88" s="1165">
        <f t="shared" si="277"/>
        <v>0.15</v>
      </c>
      <c r="GC88" s="1154">
        <f t="shared" si="278"/>
        <v>589091.57600653707</v>
      </c>
      <c r="GD88" s="1164">
        <f t="shared" si="279"/>
        <v>30000</v>
      </c>
      <c r="GE88" s="1154">
        <f t="shared" si="280"/>
        <v>559091.57600653707</v>
      </c>
      <c r="GF88" s="1060">
        <f t="shared" si="281"/>
        <v>35</v>
      </c>
      <c r="GG88" s="1166">
        <f t="shared" si="282"/>
        <v>15974.045028758203</v>
      </c>
      <c r="GI88" s="1164">
        <f t="shared" si="283"/>
        <v>3927277.1733769136</v>
      </c>
      <c r="GJ88" s="1154">
        <f t="shared" si="284"/>
        <v>392727.7173376914</v>
      </c>
      <c r="GK88" s="1154">
        <f t="shared" si="285"/>
        <v>98181.92933442285</v>
      </c>
      <c r="GL88" s="1166">
        <v>15000</v>
      </c>
      <c r="GM88" s="1154">
        <f t="shared" si="286"/>
        <v>377727.7173376914</v>
      </c>
      <c r="GN88" s="1060">
        <f t="shared" si="287"/>
        <v>35</v>
      </c>
      <c r="GO88" s="1154">
        <f t="shared" si="288"/>
        <v>10792.220495362611</v>
      </c>
      <c r="GS88" s="1010">
        <f t="shared" si="289"/>
        <v>3927277.1733769136</v>
      </c>
      <c r="GT88" s="1011">
        <f t="shared" si="290"/>
        <v>0.125</v>
      </c>
      <c r="GU88" s="1010">
        <f t="shared" si="291"/>
        <v>490909.64667211421</v>
      </c>
      <c r="GV88" s="1010">
        <f t="shared" si="292"/>
        <v>30000</v>
      </c>
      <c r="GW88" s="1010">
        <f t="shared" si="293"/>
        <v>460909.64667211421</v>
      </c>
      <c r="GX88" s="1010">
        <f t="shared" si="294"/>
        <v>13</v>
      </c>
      <c r="GY88" s="1010">
        <f t="shared" si="295"/>
        <v>35454.588205547247</v>
      </c>
      <c r="GZ88" s="1011">
        <f t="shared" si="296"/>
        <v>0.875</v>
      </c>
      <c r="HA88" s="1010">
        <f t="shared" si="297"/>
        <v>3436367.5267047994</v>
      </c>
      <c r="HB88" s="1010">
        <f t="shared" si="298"/>
        <v>26642.120858494956</v>
      </c>
      <c r="HC88" s="1010">
        <f t="shared" si="299"/>
        <v>30887.042820415059</v>
      </c>
      <c r="HD88" s="1010">
        <f t="shared" si="300"/>
        <v>39899.140756195877</v>
      </c>
      <c r="HE88" s="1010">
        <f t="shared" si="301"/>
        <v>68044.195653891613</v>
      </c>
      <c r="HG88" s="1010">
        <f t="shared" si="302"/>
        <v>3927277.1733769136</v>
      </c>
      <c r="HH88" s="1011">
        <f t="shared" si="303"/>
        <v>0.125</v>
      </c>
      <c r="HI88" s="1010">
        <f t="shared" si="304"/>
        <v>490909.64667211421</v>
      </c>
      <c r="HJ88" s="1010">
        <f t="shared" si="305"/>
        <v>30000</v>
      </c>
      <c r="HK88" s="1010">
        <f t="shared" si="306"/>
        <v>460909.64667211421</v>
      </c>
      <c r="HL88" s="1012">
        <f t="shared" si="307"/>
        <v>33</v>
      </c>
      <c r="HM88" s="1167">
        <f t="shared" si="308"/>
        <v>13966.958990064068</v>
      </c>
      <c r="HN88" s="1168">
        <f t="shared" si="309"/>
        <v>0.875</v>
      </c>
      <c r="HO88" s="1167">
        <f t="shared" si="310"/>
        <v>3436367.5267047994</v>
      </c>
      <c r="HP88" s="1146">
        <f t="shared" si="311"/>
        <v>26642.120858494956</v>
      </c>
      <c r="HQ88" s="1146">
        <f t="shared" si="312"/>
        <v>30887.042820415059</v>
      </c>
      <c r="HR88" s="1146">
        <f t="shared" si="313"/>
        <v>39899.140756195877</v>
      </c>
      <c r="HS88" s="1146">
        <f t="shared" si="314"/>
        <v>68044.195653891613</v>
      </c>
      <c r="HU88" s="1167">
        <f t="shared" si="315"/>
        <v>-21487.629215483179</v>
      </c>
      <c r="HX88" s="1154"/>
      <c r="HY88" s="1154"/>
      <c r="IB88" s="1154"/>
      <c r="IC88" s="1154"/>
      <c r="ID88" s="1154"/>
      <c r="IE88" s="1154"/>
      <c r="IG88" s="1060"/>
    </row>
    <row r="89" spans="1:241" ht="14.25" hidden="1" customHeight="1">
      <c r="A89" s="1186">
        <f t="shared" si="330"/>
        <v>83</v>
      </c>
      <c r="B89" s="824" t="s">
        <v>149</v>
      </c>
      <c r="C89" s="855">
        <f t="shared" si="323"/>
        <v>14</v>
      </c>
      <c r="D89" s="856" t="s">
        <v>505</v>
      </c>
      <c r="E89" s="857" t="str">
        <f t="shared" si="216"/>
        <v>6th Floor</v>
      </c>
      <c r="F89" s="1185"/>
      <c r="G89" s="764" t="s">
        <v>245</v>
      </c>
      <c r="H89" s="764" t="s">
        <v>529</v>
      </c>
      <c r="I89" s="764" t="s">
        <v>476</v>
      </c>
      <c r="J89" s="1139">
        <v>22</v>
      </c>
      <c r="K89" s="1142"/>
      <c r="L89" s="764" t="s">
        <v>500</v>
      </c>
      <c r="M89" s="764" t="s">
        <v>93</v>
      </c>
      <c r="N89" s="856">
        <f t="shared" si="217"/>
        <v>100909.09090909091</v>
      </c>
      <c r="O89" s="1138">
        <f t="shared" si="324"/>
        <v>2220000</v>
      </c>
      <c r="P89" s="1138">
        <f t="shared" si="331"/>
        <v>22400</v>
      </c>
      <c r="Q89" s="1138">
        <f t="shared" si="203"/>
        <v>50000</v>
      </c>
      <c r="R89" s="1138"/>
      <c r="S89" s="1138"/>
      <c r="T89" s="1138"/>
      <c r="U89" s="1138"/>
      <c r="V89" s="1138"/>
      <c r="W89" s="1138"/>
      <c r="X89" s="1138"/>
      <c r="Y89" s="1138">
        <f t="shared" si="326"/>
        <v>40000</v>
      </c>
      <c r="Z89" s="1138">
        <f t="shared" si="327"/>
        <v>75000</v>
      </c>
      <c r="AA89" s="1138">
        <f t="shared" si="328"/>
        <v>187400</v>
      </c>
      <c r="AB89" s="1138">
        <f t="shared" si="218"/>
        <v>2407400</v>
      </c>
      <c r="AC89" s="1138">
        <f t="shared" si="219"/>
        <v>60185</v>
      </c>
      <c r="AD89" s="1138">
        <f t="shared" si="220"/>
        <v>2467585</v>
      </c>
      <c r="AE89" s="1138">
        <f t="shared" si="221"/>
        <v>61689.625</v>
      </c>
      <c r="AF89" s="1138">
        <f t="shared" si="222"/>
        <v>2529274.625</v>
      </c>
      <c r="AG89" s="1138">
        <f t="shared" si="223"/>
        <v>63231.865625000006</v>
      </c>
      <c r="AH89" s="1138">
        <f t="shared" si="224"/>
        <v>2592506.4906250001</v>
      </c>
      <c r="AI89" s="1138">
        <f t="shared" si="225"/>
        <v>129625.32453125001</v>
      </c>
      <c r="AJ89" s="1138">
        <f t="shared" si="226"/>
        <v>2722131.8151562503</v>
      </c>
      <c r="AK89" s="1138">
        <f t="shared" si="227"/>
        <v>27221.318151562504</v>
      </c>
      <c r="AL89" s="1138">
        <f t="shared" si="228"/>
        <v>27537.409960060559</v>
      </c>
      <c r="AM89" s="1138"/>
      <c r="AN89" s="1138"/>
      <c r="AO89" s="1138">
        <f t="shared" si="229"/>
        <v>2776890.5432678731</v>
      </c>
      <c r="AP89" s="1138">
        <f t="shared" si="230"/>
        <v>374880.2233411629</v>
      </c>
      <c r="AQ89" s="1248">
        <f t="shared" si="231"/>
        <v>3151770.7666090359</v>
      </c>
      <c r="AR89" s="1248">
        <f t="shared" si="335"/>
        <v>3151770.7666090359</v>
      </c>
      <c r="AS89" s="1248"/>
      <c r="AT89" s="1248"/>
      <c r="AU89" s="1248">
        <f t="shared" si="232"/>
        <v>0</v>
      </c>
      <c r="AV89" s="1140">
        <f t="shared" si="233"/>
        <v>0</v>
      </c>
      <c r="AW89" s="1140">
        <f t="shared" si="234"/>
        <v>3151770.7666090359</v>
      </c>
      <c r="AX89" s="1139">
        <f t="shared" si="235"/>
        <v>39397.134582612955</v>
      </c>
      <c r="AY89" s="831" t="s">
        <v>478</v>
      </c>
      <c r="AZ89" s="831">
        <f t="shared" si="236"/>
        <v>3191167.901191649</v>
      </c>
      <c r="BA89" s="831">
        <f t="shared" si="237"/>
        <v>119668.79629468684</v>
      </c>
      <c r="BB89" s="831"/>
      <c r="BC89" s="831">
        <f t="shared" si="189"/>
        <v>33600</v>
      </c>
      <c r="BD89" s="831"/>
      <c r="BE89" s="831">
        <f t="shared" si="238"/>
        <v>3344436.6974863359</v>
      </c>
      <c r="BF89" s="831"/>
      <c r="BG89" s="831">
        <f t="shared" si="239"/>
        <v>3344436.6974863359</v>
      </c>
      <c r="BH89" s="831"/>
      <c r="BI89" s="831">
        <f t="shared" si="240"/>
        <v>3344436.6974863359</v>
      </c>
      <c r="BJ89" s="831"/>
      <c r="BK89" s="831">
        <f t="shared" si="241"/>
        <v>3344436.6974863359</v>
      </c>
      <c r="BL89" s="831"/>
      <c r="BM89" s="831">
        <f t="shared" si="242"/>
        <v>3344436.6974863359</v>
      </c>
      <c r="BN89" s="831"/>
      <c r="BO89" s="831">
        <f t="shared" si="243"/>
        <v>3344436.6974863359</v>
      </c>
      <c r="BP89" s="831"/>
      <c r="BQ89" s="831">
        <f t="shared" si="244"/>
        <v>3344436.6974863359</v>
      </c>
      <c r="BR89" s="831"/>
      <c r="BS89" s="831">
        <f t="shared" si="245"/>
        <v>3344436.6974863359</v>
      </c>
      <c r="BT89" s="831"/>
      <c r="BU89" s="831">
        <f t="shared" si="246"/>
        <v>3344436.6974863359</v>
      </c>
      <c r="BV89" s="831"/>
      <c r="BW89" s="831">
        <f t="shared" si="247"/>
        <v>56400</v>
      </c>
      <c r="BX89" s="831">
        <f t="shared" si="248"/>
        <v>3400836.6974863359</v>
      </c>
      <c r="BY89" s="831"/>
      <c r="BZ89" s="831">
        <f t="shared" si="249"/>
        <v>3400836.6974863359</v>
      </c>
      <c r="CA89" s="1260">
        <f t="shared" si="250"/>
        <v>3400836.6974863359</v>
      </c>
      <c r="CB89" s="1260">
        <f t="shared" si="251"/>
        <v>3400836.6974863359</v>
      </c>
      <c r="CC89" s="1260"/>
      <c r="CD89" s="1260">
        <f t="shared" si="252"/>
        <v>0</v>
      </c>
      <c r="CE89" s="1260">
        <f t="shared" si="253"/>
        <v>0</v>
      </c>
      <c r="CF89" s="1260">
        <f t="shared" si="254"/>
        <v>0</v>
      </c>
      <c r="CG89" s="1266">
        <f t="shared" si="255"/>
        <v>3400836.6974863359</v>
      </c>
      <c r="CH89" s="1141">
        <f t="shared" si="256"/>
        <v>3400836.6974863359</v>
      </c>
      <c r="CI89" s="1142">
        <f t="shared" si="257"/>
        <v>0</v>
      </c>
      <c r="CJ89" s="1141">
        <f t="shared" si="258"/>
        <v>348585.76149234938</v>
      </c>
      <c r="CK89" s="1141">
        <f t="shared" si="259"/>
        <v>119029.28441202176</v>
      </c>
      <c r="CL89" s="1143">
        <f t="shared" si="329"/>
        <v>3868451.7433907068</v>
      </c>
      <c r="CM89" s="1144">
        <f t="shared" si="260"/>
        <v>0.125</v>
      </c>
      <c r="CN89" s="1141">
        <f t="shared" si="261"/>
        <v>483556.46792383835</v>
      </c>
      <c r="CO89" s="1141">
        <f t="shared" si="262"/>
        <v>30000</v>
      </c>
      <c r="CP89" s="1141">
        <f t="shared" si="263"/>
        <v>453556.46792383835</v>
      </c>
      <c r="CQ89" s="1145">
        <f t="shared" si="264"/>
        <v>13</v>
      </c>
      <c r="CR89" s="1141">
        <f t="shared" si="265"/>
        <v>34888.959071064492</v>
      </c>
      <c r="CS89" s="1144">
        <f t="shared" si="266"/>
        <v>0.875</v>
      </c>
      <c r="CT89" s="1141">
        <f t="shared" si="267"/>
        <v>3384895.2754668687</v>
      </c>
      <c r="CU89" s="1146">
        <f t="shared" si="204"/>
        <v>26243.057042508208</v>
      </c>
      <c r="CV89" s="1146">
        <f t="shared" si="205"/>
        <v>30424.395674644351</v>
      </c>
      <c r="CW89" s="1146">
        <f t="shared" si="206"/>
        <v>39301.504274876366</v>
      </c>
      <c r="CX89" s="1146">
        <f t="shared" si="207"/>
        <v>67024.9833878106</v>
      </c>
      <c r="CY89" s="1146">
        <f t="shared" si="268"/>
        <v>274965.80216416245</v>
      </c>
      <c r="CZ89" s="1146">
        <f t="shared" si="269"/>
        <v>108802.62848103569</v>
      </c>
      <c r="DA89" s="1146">
        <f t="shared" si="270"/>
        <v>78586.597559051719</v>
      </c>
      <c r="DB89" s="1146">
        <f t="shared" si="271"/>
        <v>59808.018682531125</v>
      </c>
      <c r="DC89" s="1146"/>
      <c r="DD89" s="1146"/>
      <c r="DE89" s="1146"/>
      <c r="DF89" s="1146"/>
      <c r="DG89" s="1146"/>
      <c r="DH89" s="1146"/>
      <c r="DI89" s="1146"/>
      <c r="DJ89" s="1146"/>
      <c r="DK89" s="1146"/>
      <c r="DL89" s="1146"/>
      <c r="DM89" s="1146"/>
      <c r="DN89" s="1146"/>
      <c r="DO89" s="1146"/>
      <c r="DP89" s="1146"/>
      <c r="DQ89" s="1146"/>
      <c r="DR89" s="1146"/>
      <c r="DS89" s="1146"/>
      <c r="DT89" s="1146"/>
      <c r="DU89" s="1146"/>
      <c r="DV89" s="1146"/>
      <c r="DW89" s="1146"/>
      <c r="DX89" s="1146"/>
      <c r="DY89" s="1146"/>
      <c r="DZ89" s="1146"/>
      <c r="EA89" s="1147">
        <f t="shared" si="208"/>
        <v>0</v>
      </c>
      <c r="EB89" s="1148">
        <f t="shared" si="272"/>
        <v>0</v>
      </c>
      <c r="EC89" s="1190">
        <f t="shared" si="316"/>
        <v>45839</v>
      </c>
      <c r="ED89" s="1031">
        <f t="shared" si="209"/>
        <v>20</v>
      </c>
      <c r="EE89" s="1191"/>
      <c r="EF89" s="1032">
        <f t="shared" si="210"/>
        <v>45904</v>
      </c>
      <c r="EG89" s="1029">
        <f t="shared" si="273"/>
        <v>22</v>
      </c>
      <c r="EH89" s="859" t="s">
        <v>490</v>
      </c>
      <c r="EI89" s="859" t="s">
        <v>480</v>
      </c>
      <c r="EJ89" s="860">
        <f t="shared" si="211"/>
        <v>0</v>
      </c>
      <c r="EK89" s="860">
        <f t="shared" si="212"/>
        <v>0</v>
      </c>
      <c r="EL89" s="861">
        <f t="shared" si="213"/>
        <v>0</v>
      </c>
      <c r="EM89" s="1197"/>
      <c r="EN89" s="860"/>
      <c r="EO89" s="860"/>
      <c r="EP89" s="860">
        <f t="shared" si="214"/>
        <v>0</v>
      </c>
      <c r="EQ89" s="1197"/>
      <c r="ER89" s="1200"/>
      <c r="ES89" s="1197"/>
      <c r="ET89" s="1194" t="s">
        <v>245</v>
      </c>
      <c r="EU89" s="1197" t="b">
        <f t="shared" si="215"/>
        <v>1</v>
      </c>
      <c r="EV89" s="1197" t="s">
        <v>593</v>
      </c>
      <c r="EW89" s="1197" t="s">
        <v>482</v>
      </c>
      <c r="EX89" s="1197"/>
      <c r="EY89" s="1128" t="s">
        <v>483</v>
      </c>
      <c r="EZ89" s="1128" t="s">
        <v>484</v>
      </c>
      <c r="FA89" s="1169">
        <f t="shared" si="274"/>
        <v>0</v>
      </c>
      <c r="FI89" s="1309" t="s">
        <v>149</v>
      </c>
      <c r="FJ89" s="1159" t="s">
        <v>149</v>
      </c>
      <c r="FK89" s="1160" t="b">
        <f t="shared" si="275"/>
        <v>1</v>
      </c>
      <c r="FL89" s="1131"/>
      <c r="FM89" s="1161"/>
      <c r="FO89" s="1060"/>
      <c r="FP89" s="1166"/>
      <c r="FQ89" s="1203"/>
      <c r="FU89" s="1295"/>
      <c r="FV89" s="1295"/>
      <c r="FW89" s="1023">
        <v>0.15</v>
      </c>
      <c r="FX89" s="1162">
        <v>14254.806263812137</v>
      </c>
      <c r="FY89" s="1163">
        <v>14700.268959556266</v>
      </c>
      <c r="GA89" s="1164">
        <f t="shared" si="276"/>
        <v>3868451.7433907068</v>
      </c>
      <c r="GB89" s="1165">
        <f t="shared" si="277"/>
        <v>0.15</v>
      </c>
      <c r="GC89" s="1154">
        <f t="shared" si="278"/>
        <v>580267.76150860603</v>
      </c>
      <c r="GD89" s="1164">
        <f t="shared" si="279"/>
        <v>30000</v>
      </c>
      <c r="GE89" s="1154">
        <f t="shared" si="280"/>
        <v>550267.76150860603</v>
      </c>
      <c r="GF89" s="1060">
        <f t="shared" si="281"/>
        <v>35</v>
      </c>
      <c r="GG89" s="1166">
        <f t="shared" si="282"/>
        <v>15721.936043103029</v>
      </c>
      <c r="GI89" s="1164">
        <f t="shared" si="283"/>
        <v>3868451.7433907068</v>
      </c>
      <c r="GJ89" s="1154">
        <f t="shared" si="284"/>
        <v>386845.17433907068</v>
      </c>
      <c r="GK89" s="1154">
        <f t="shared" si="285"/>
        <v>96711.293584767671</v>
      </c>
      <c r="GL89" s="1166">
        <v>15000</v>
      </c>
      <c r="GM89" s="1154">
        <f t="shared" si="286"/>
        <v>371845.17433907068</v>
      </c>
      <c r="GN89" s="1060">
        <f t="shared" si="287"/>
        <v>35</v>
      </c>
      <c r="GO89" s="1154">
        <f t="shared" si="288"/>
        <v>10624.147838259163</v>
      </c>
      <c r="GS89" s="1010">
        <f t="shared" si="289"/>
        <v>3868451.7433907068</v>
      </c>
      <c r="GT89" s="1011">
        <f t="shared" si="290"/>
        <v>0.125</v>
      </c>
      <c r="GU89" s="1010">
        <f t="shared" si="291"/>
        <v>483556.46792383835</v>
      </c>
      <c r="GV89" s="1010">
        <f t="shared" si="292"/>
        <v>30000</v>
      </c>
      <c r="GW89" s="1010">
        <f t="shared" si="293"/>
        <v>453556.46792383835</v>
      </c>
      <c r="GX89" s="1010">
        <f t="shared" si="294"/>
        <v>13</v>
      </c>
      <c r="GY89" s="1010">
        <f t="shared" si="295"/>
        <v>34888.959071064492</v>
      </c>
      <c r="GZ89" s="1011">
        <f t="shared" si="296"/>
        <v>0.875</v>
      </c>
      <c r="HA89" s="1010">
        <f t="shared" si="297"/>
        <v>3384895.2754668687</v>
      </c>
      <c r="HB89" s="1010">
        <f t="shared" si="298"/>
        <v>26243.057042508208</v>
      </c>
      <c r="HC89" s="1010">
        <f t="shared" si="299"/>
        <v>30424.395674644351</v>
      </c>
      <c r="HD89" s="1010">
        <f t="shared" si="300"/>
        <v>39301.504274876366</v>
      </c>
      <c r="HE89" s="1010">
        <f t="shared" si="301"/>
        <v>67024.9833878106</v>
      </c>
      <c r="HG89" s="1010">
        <f t="shared" si="302"/>
        <v>3868451.7433907068</v>
      </c>
      <c r="HH89" s="1011">
        <f t="shared" si="303"/>
        <v>0.125</v>
      </c>
      <c r="HI89" s="1010">
        <f t="shared" si="304"/>
        <v>483556.46792383835</v>
      </c>
      <c r="HJ89" s="1010">
        <f t="shared" si="305"/>
        <v>30000</v>
      </c>
      <c r="HK89" s="1010">
        <f t="shared" si="306"/>
        <v>453556.46792383835</v>
      </c>
      <c r="HL89" s="1012">
        <f t="shared" si="307"/>
        <v>33</v>
      </c>
      <c r="HM89" s="1167">
        <f t="shared" si="308"/>
        <v>13744.135391631466</v>
      </c>
      <c r="HN89" s="1168">
        <f t="shared" si="309"/>
        <v>0.875</v>
      </c>
      <c r="HO89" s="1167">
        <f t="shared" si="310"/>
        <v>3384895.2754668687</v>
      </c>
      <c r="HP89" s="1146">
        <f t="shared" si="311"/>
        <v>26243.057042508208</v>
      </c>
      <c r="HQ89" s="1146">
        <f t="shared" si="312"/>
        <v>30424.395674644351</v>
      </c>
      <c r="HR89" s="1146">
        <f t="shared" si="313"/>
        <v>39301.504274876366</v>
      </c>
      <c r="HS89" s="1146">
        <f t="shared" si="314"/>
        <v>67024.9833878106</v>
      </c>
      <c r="HU89" s="1167">
        <f t="shared" si="315"/>
        <v>-21144.823679433026</v>
      </c>
      <c r="HX89" s="1154"/>
      <c r="HY89" s="1154"/>
      <c r="IB89" s="1154"/>
      <c r="IC89" s="1154"/>
      <c r="ID89" s="1154"/>
      <c r="IE89" s="1154"/>
      <c r="IG89" s="1060"/>
    </row>
    <row r="90" spans="1:241" ht="14.25" hidden="1" customHeight="1">
      <c r="A90" s="1186">
        <f t="shared" si="330"/>
        <v>84</v>
      </c>
      <c r="B90" s="824" t="s">
        <v>149</v>
      </c>
      <c r="C90" s="855">
        <f t="shared" si="323"/>
        <v>15</v>
      </c>
      <c r="D90" s="856" t="s">
        <v>505</v>
      </c>
      <c r="E90" s="857" t="str">
        <f t="shared" si="216"/>
        <v>6th Floor</v>
      </c>
      <c r="F90" s="1185"/>
      <c r="G90" s="764" t="s">
        <v>246</v>
      </c>
      <c r="H90" s="764" t="s">
        <v>533</v>
      </c>
      <c r="I90" s="764" t="s">
        <v>476</v>
      </c>
      <c r="J90" s="1139">
        <v>22</v>
      </c>
      <c r="K90" s="1142"/>
      <c r="L90" s="764" t="s">
        <v>500</v>
      </c>
      <c r="M90" s="764" t="s">
        <v>93</v>
      </c>
      <c r="N90" s="856">
        <f t="shared" si="217"/>
        <v>100909.09090909091</v>
      </c>
      <c r="O90" s="1138">
        <f t="shared" si="324"/>
        <v>2220000</v>
      </c>
      <c r="P90" s="1138">
        <f t="shared" si="331"/>
        <v>22400</v>
      </c>
      <c r="Q90" s="1138">
        <f t="shared" si="203"/>
        <v>50000</v>
      </c>
      <c r="R90" s="1138"/>
      <c r="S90" s="1138"/>
      <c r="T90" s="1138"/>
      <c r="U90" s="1138"/>
      <c r="V90" s="858"/>
      <c r="W90" s="858"/>
      <c r="X90" s="1138"/>
      <c r="Y90" s="1138">
        <f t="shared" si="326"/>
        <v>40000</v>
      </c>
      <c r="Z90" s="1138">
        <f t="shared" si="327"/>
        <v>75000</v>
      </c>
      <c r="AA90" s="1138">
        <f t="shared" si="328"/>
        <v>187400</v>
      </c>
      <c r="AB90" s="1138">
        <f t="shared" si="218"/>
        <v>2407400</v>
      </c>
      <c r="AC90" s="1138">
        <f t="shared" si="219"/>
        <v>60185</v>
      </c>
      <c r="AD90" s="1138">
        <f t="shared" si="220"/>
        <v>2467585</v>
      </c>
      <c r="AE90" s="1138">
        <f t="shared" si="221"/>
        <v>61689.625</v>
      </c>
      <c r="AF90" s="1138">
        <f t="shared" si="222"/>
        <v>2529274.625</v>
      </c>
      <c r="AG90" s="1138">
        <f t="shared" si="223"/>
        <v>63231.865625000006</v>
      </c>
      <c r="AH90" s="1138">
        <f t="shared" si="224"/>
        <v>2592506.4906250001</v>
      </c>
      <c r="AI90" s="1138">
        <f t="shared" si="225"/>
        <v>129625.32453125001</v>
      </c>
      <c r="AJ90" s="1138">
        <f t="shared" si="226"/>
        <v>2722131.8151562503</v>
      </c>
      <c r="AK90" s="1138">
        <f t="shared" si="227"/>
        <v>27221.318151562504</v>
      </c>
      <c r="AL90" s="1138">
        <f t="shared" si="228"/>
        <v>27537.409960060559</v>
      </c>
      <c r="AM90" s="1138"/>
      <c r="AN90" s="1138"/>
      <c r="AO90" s="1138">
        <f t="shared" si="229"/>
        <v>2776890.5432678731</v>
      </c>
      <c r="AP90" s="1138">
        <f t="shared" si="230"/>
        <v>374880.2233411629</v>
      </c>
      <c r="AQ90" s="1248">
        <f t="shared" si="231"/>
        <v>3151770.7666090359</v>
      </c>
      <c r="AR90" s="1248">
        <f t="shared" si="335"/>
        <v>3151770.7666090359</v>
      </c>
      <c r="AS90" s="1248"/>
      <c r="AT90" s="1248"/>
      <c r="AU90" s="1248">
        <f t="shared" si="232"/>
        <v>0</v>
      </c>
      <c r="AV90" s="1140">
        <f t="shared" si="233"/>
        <v>0</v>
      </c>
      <c r="AW90" s="1140">
        <f t="shared" si="234"/>
        <v>3151770.7666090359</v>
      </c>
      <c r="AX90" s="1139">
        <f t="shared" si="235"/>
        <v>39397.134582612955</v>
      </c>
      <c r="AY90" s="831" t="s">
        <v>478</v>
      </c>
      <c r="AZ90" s="831">
        <f t="shared" si="236"/>
        <v>3191167.901191649</v>
      </c>
      <c r="BA90" s="831">
        <f t="shared" si="237"/>
        <v>119668.79629468684</v>
      </c>
      <c r="BB90" s="831"/>
      <c r="BC90" s="831">
        <f t="shared" si="189"/>
        <v>33600</v>
      </c>
      <c r="BD90" s="831"/>
      <c r="BE90" s="831">
        <f t="shared" si="238"/>
        <v>3344436.6974863359</v>
      </c>
      <c r="BF90" s="831"/>
      <c r="BG90" s="831">
        <f t="shared" si="239"/>
        <v>3344436.6974863359</v>
      </c>
      <c r="BH90" s="831"/>
      <c r="BI90" s="831">
        <f t="shared" si="240"/>
        <v>3344436.6974863359</v>
      </c>
      <c r="BJ90" s="831"/>
      <c r="BK90" s="831">
        <f t="shared" si="241"/>
        <v>3344436.6974863359</v>
      </c>
      <c r="BL90" s="831"/>
      <c r="BM90" s="831">
        <f t="shared" si="242"/>
        <v>3344436.6974863359</v>
      </c>
      <c r="BN90" s="831"/>
      <c r="BO90" s="831">
        <f t="shared" si="243"/>
        <v>3344436.6974863359</v>
      </c>
      <c r="BP90" s="831"/>
      <c r="BQ90" s="831">
        <f t="shared" si="244"/>
        <v>3344436.6974863359</v>
      </c>
      <c r="BR90" s="831"/>
      <c r="BS90" s="831">
        <f t="shared" si="245"/>
        <v>3344436.6974863359</v>
      </c>
      <c r="BT90" s="831"/>
      <c r="BU90" s="831">
        <f t="shared" si="246"/>
        <v>3344436.6974863359</v>
      </c>
      <c r="BV90" s="831"/>
      <c r="BW90" s="831">
        <f t="shared" si="247"/>
        <v>56400</v>
      </c>
      <c r="BX90" s="831">
        <f t="shared" si="248"/>
        <v>3400836.6974863359</v>
      </c>
      <c r="BY90" s="831"/>
      <c r="BZ90" s="831">
        <f t="shared" si="249"/>
        <v>3400836.6974863359</v>
      </c>
      <c r="CA90" s="1260">
        <f t="shared" si="250"/>
        <v>3400836.6974863359</v>
      </c>
      <c r="CB90" s="1260">
        <f t="shared" si="251"/>
        <v>3400836.6974863359</v>
      </c>
      <c r="CC90" s="1260"/>
      <c r="CD90" s="1260">
        <f t="shared" si="252"/>
        <v>0</v>
      </c>
      <c r="CE90" s="1260">
        <f t="shared" si="253"/>
        <v>0</v>
      </c>
      <c r="CF90" s="1260">
        <f t="shared" si="254"/>
        <v>0</v>
      </c>
      <c r="CG90" s="1266">
        <f t="shared" si="255"/>
        <v>3400836.6974863359</v>
      </c>
      <c r="CH90" s="1141">
        <f t="shared" si="256"/>
        <v>3400836.6974863359</v>
      </c>
      <c r="CI90" s="1142">
        <f t="shared" si="257"/>
        <v>0</v>
      </c>
      <c r="CJ90" s="1141">
        <f t="shared" si="258"/>
        <v>348585.76149234938</v>
      </c>
      <c r="CK90" s="1141">
        <f t="shared" si="259"/>
        <v>119029.28441202176</v>
      </c>
      <c r="CL90" s="1143">
        <f t="shared" si="329"/>
        <v>3868451.7433907068</v>
      </c>
      <c r="CM90" s="1144">
        <f t="shared" si="260"/>
        <v>0.125</v>
      </c>
      <c r="CN90" s="1141">
        <f t="shared" si="261"/>
        <v>483556.46792383835</v>
      </c>
      <c r="CO90" s="1141">
        <f t="shared" si="262"/>
        <v>30000</v>
      </c>
      <c r="CP90" s="1141">
        <f t="shared" si="263"/>
        <v>453556.46792383835</v>
      </c>
      <c r="CQ90" s="1145">
        <f t="shared" si="264"/>
        <v>13</v>
      </c>
      <c r="CR90" s="1141">
        <f t="shared" si="265"/>
        <v>34888.959071064492</v>
      </c>
      <c r="CS90" s="1144">
        <f t="shared" si="266"/>
        <v>0.875</v>
      </c>
      <c r="CT90" s="1141">
        <f t="shared" si="267"/>
        <v>3384895.2754668687</v>
      </c>
      <c r="CU90" s="1146">
        <f t="shared" si="204"/>
        <v>26243.057042508208</v>
      </c>
      <c r="CV90" s="1146">
        <f t="shared" si="205"/>
        <v>30424.395674644351</v>
      </c>
      <c r="CW90" s="1146">
        <f t="shared" si="206"/>
        <v>39301.504274876366</v>
      </c>
      <c r="CX90" s="1146">
        <f t="shared" si="207"/>
        <v>67024.9833878106</v>
      </c>
      <c r="CY90" s="1146">
        <f t="shared" si="268"/>
        <v>274965.80216416245</v>
      </c>
      <c r="CZ90" s="1146">
        <f t="shared" si="269"/>
        <v>108802.62848103569</v>
      </c>
      <c r="DA90" s="1146">
        <f t="shared" si="270"/>
        <v>78586.597559051719</v>
      </c>
      <c r="DB90" s="1146">
        <f t="shared" si="271"/>
        <v>59808.018682531125</v>
      </c>
      <c r="DC90" s="1146"/>
      <c r="DD90" s="1146"/>
      <c r="DE90" s="1146"/>
      <c r="DF90" s="1146"/>
      <c r="DG90" s="1146"/>
      <c r="DH90" s="1146"/>
      <c r="DI90" s="1146"/>
      <c r="DJ90" s="1146"/>
      <c r="DK90" s="1146"/>
      <c r="DL90" s="1146"/>
      <c r="DM90" s="1146"/>
      <c r="DN90" s="1146"/>
      <c r="DO90" s="1146"/>
      <c r="DP90" s="1146"/>
      <c r="DQ90" s="1146"/>
      <c r="DR90" s="1146"/>
      <c r="DS90" s="1146"/>
      <c r="DT90" s="1146"/>
      <c r="DU90" s="1146"/>
      <c r="DV90" s="1146"/>
      <c r="DW90" s="1146"/>
      <c r="DX90" s="1146"/>
      <c r="DY90" s="1146"/>
      <c r="DZ90" s="1146"/>
      <c r="EA90" s="1147">
        <f t="shared" si="208"/>
        <v>0</v>
      </c>
      <c r="EB90" s="1148">
        <f t="shared" si="272"/>
        <v>0</v>
      </c>
      <c r="EC90" s="1190">
        <f t="shared" si="316"/>
        <v>45839</v>
      </c>
      <c r="ED90" s="1031">
        <f t="shared" si="209"/>
        <v>20</v>
      </c>
      <c r="EE90" s="1191"/>
      <c r="EF90" s="1032">
        <f t="shared" si="210"/>
        <v>45904</v>
      </c>
      <c r="EG90" s="1029">
        <f t="shared" si="273"/>
        <v>22</v>
      </c>
      <c r="EH90" s="859" t="s">
        <v>490</v>
      </c>
      <c r="EI90" s="859" t="s">
        <v>480</v>
      </c>
      <c r="EJ90" s="860">
        <f t="shared" si="211"/>
        <v>0</v>
      </c>
      <c r="EK90" s="860">
        <f t="shared" si="212"/>
        <v>0</v>
      </c>
      <c r="EL90" s="861">
        <f t="shared" si="213"/>
        <v>0</v>
      </c>
      <c r="EM90" s="1197"/>
      <c r="EN90" s="860"/>
      <c r="EO90" s="860"/>
      <c r="EP90" s="860">
        <f t="shared" si="214"/>
        <v>0</v>
      </c>
      <c r="EQ90" s="1197"/>
      <c r="ER90" s="1200"/>
      <c r="ES90" s="1197"/>
      <c r="ET90" s="1194" t="s">
        <v>246</v>
      </c>
      <c r="EU90" s="1197" t="b">
        <f t="shared" si="215"/>
        <v>1</v>
      </c>
      <c r="EV90" s="1197" t="s">
        <v>594</v>
      </c>
      <c r="EW90" s="1197" t="s">
        <v>482</v>
      </c>
      <c r="EX90" s="1197"/>
      <c r="EY90" s="1128" t="s">
        <v>483</v>
      </c>
      <c r="EZ90" s="1128" t="s">
        <v>484</v>
      </c>
      <c r="FA90" s="1169">
        <f t="shared" si="274"/>
        <v>0</v>
      </c>
      <c r="FI90" s="1309" t="s">
        <v>149</v>
      </c>
      <c r="FJ90" s="1159" t="s">
        <v>149</v>
      </c>
      <c r="FK90" s="1160" t="b">
        <f t="shared" si="275"/>
        <v>1</v>
      </c>
      <c r="FL90" s="1131"/>
      <c r="FM90" s="1161"/>
      <c r="FP90" s="1166"/>
      <c r="FQ90" s="1203"/>
      <c r="FU90" s="1295"/>
      <c r="FV90" s="1295"/>
      <c r="FW90" s="1023">
        <v>0.15</v>
      </c>
      <c r="FX90" s="1162">
        <v>14254.806263812137</v>
      </c>
      <c r="FY90" s="1163">
        <v>14700.268959556266</v>
      </c>
      <c r="GA90" s="1164">
        <f t="shared" si="276"/>
        <v>3868451.7433907068</v>
      </c>
      <c r="GB90" s="1165">
        <f t="shared" si="277"/>
        <v>0.15</v>
      </c>
      <c r="GC90" s="1154">
        <f t="shared" si="278"/>
        <v>580267.76150860603</v>
      </c>
      <c r="GD90" s="1164">
        <f t="shared" si="279"/>
        <v>30000</v>
      </c>
      <c r="GE90" s="1154">
        <f t="shared" si="280"/>
        <v>550267.76150860603</v>
      </c>
      <c r="GF90" s="1060">
        <f t="shared" si="281"/>
        <v>35</v>
      </c>
      <c r="GG90" s="1166">
        <f t="shared" si="282"/>
        <v>15721.936043103029</v>
      </c>
      <c r="GI90" s="1164">
        <f t="shared" si="283"/>
        <v>3868451.7433907068</v>
      </c>
      <c r="GJ90" s="1154">
        <f t="shared" si="284"/>
        <v>386845.17433907068</v>
      </c>
      <c r="GK90" s="1154">
        <f t="shared" si="285"/>
        <v>96711.293584767671</v>
      </c>
      <c r="GL90" s="1166">
        <v>15000</v>
      </c>
      <c r="GM90" s="1154">
        <f t="shared" si="286"/>
        <v>371845.17433907068</v>
      </c>
      <c r="GN90" s="1060">
        <f t="shared" si="287"/>
        <v>35</v>
      </c>
      <c r="GO90" s="1154">
        <f t="shared" si="288"/>
        <v>10624.147838259163</v>
      </c>
      <c r="GS90" s="1010">
        <f t="shared" si="289"/>
        <v>3868451.7433907068</v>
      </c>
      <c r="GT90" s="1011">
        <f t="shared" si="290"/>
        <v>0.125</v>
      </c>
      <c r="GU90" s="1010">
        <f t="shared" si="291"/>
        <v>483556.46792383835</v>
      </c>
      <c r="GV90" s="1010">
        <f t="shared" si="292"/>
        <v>30000</v>
      </c>
      <c r="GW90" s="1010">
        <f t="shared" si="293"/>
        <v>453556.46792383835</v>
      </c>
      <c r="GX90" s="1010">
        <f t="shared" si="294"/>
        <v>13</v>
      </c>
      <c r="GY90" s="1010">
        <f t="shared" si="295"/>
        <v>34888.959071064492</v>
      </c>
      <c r="GZ90" s="1011">
        <f t="shared" si="296"/>
        <v>0.875</v>
      </c>
      <c r="HA90" s="1010">
        <f t="shared" si="297"/>
        <v>3384895.2754668687</v>
      </c>
      <c r="HB90" s="1010">
        <f t="shared" si="298"/>
        <v>26243.057042508208</v>
      </c>
      <c r="HC90" s="1010">
        <f t="shared" si="299"/>
        <v>30424.395674644351</v>
      </c>
      <c r="HD90" s="1010">
        <f t="shared" si="300"/>
        <v>39301.504274876366</v>
      </c>
      <c r="HE90" s="1010">
        <f t="shared" si="301"/>
        <v>67024.9833878106</v>
      </c>
      <c r="HG90" s="1010">
        <f t="shared" si="302"/>
        <v>3868451.7433907068</v>
      </c>
      <c r="HH90" s="1011">
        <f t="shared" si="303"/>
        <v>0.125</v>
      </c>
      <c r="HI90" s="1010">
        <f t="shared" si="304"/>
        <v>483556.46792383835</v>
      </c>
      <c r="HJ90" s="1010">
        <f t="shared" si="305"/>
        <v>30000</v>
      </c>
      <c r="HK90" s="1010">
        <f t="shared" si="306"/>
        <v>453556.46792383835</v>
      </c>
      <c r="HL90" s="1012">
        <f t="shared" si="307"/>
        <v>33</v>
      </c>
      <c r="HM90" s="1167">
        <f t="shared" si="308"/>
        <v>13744.135391631466</v>
      </c>
      <c r="HN90" s="1168">
        <f t="shared" si="309"/>
        <v>0.875</v>
      </c>
      <c r="HO90" s="1167">
        <f t="shared" si="310"/>
        <v>3384895.2754668687</v>
      </c>
      <c r="HP90" s="1146">
        <f t="shared" si="311"/>
        <v>26243.057042508208</v>
      </c>
      <c r="HQ90" s="1146">
        <f t="shared" si="312"/>
        <v>30424.395674644351</v>
      </c>
      <c r="HR90" s="1146">
        <f t="shared" si="313"/>
        <v>39301.504274876366</v>
      </c>
      <c r="HS90" s="1146">
        <f t="shared" si="314"/>
        <v>67024.9833878106</v>
      </c>
      <c r="HU90" s="1167">
        <f t="shared" si="315"/>
        <v>-21144.823679433026</v>
      </c>
      <c r="HX90" s="1154"/>
      <c r="HY90" s="1154"/>
      <c r="IB90" s="1154"/>
      <c r="IC90" s="1154"/>
      <c r="ID90" s="1154"/>
      <c r="IE90" s="1154"/>
      <c r="IG90" s="1060"/>
    </row>
    <row r="91" spans="1:241" ht="14.25" hidden="1" customHeight="1">
      <c r="A91" s="1186">
        <f t="shared" si="330"/>
        <v>85</v>
      </c>
      <c r="B91" s="824" t="s">
        <v>149</v>
      </c>
      <c r="C91" s="855">
        <f t="shared" si="323"/>
        <v>16</v>
      </c>
      <c r="D91" s="856" t="s">
        <v>505</v>
      </c>
      <c r="E91" s="857" t="str">
        <f t="shared" si="216"/>
        <v>6th Floor</v>
      </c>
      <c r="F91" s="1185"/>
      <c r="G91" s="764" t="s">
        <v>247</v>
      </c>
      <c r="H91" s="764" t="s">
        <v>550</v>
      </c>
      <c r="I91" s="764" t="s">
        <v>476</v>
      </c>
      <c r="J91" s="1139">
        <v>22</v>
      </c>
      <c r="K91" s="1142"/>
      <c r="L91" s="764" t="s">
        <v>500</v>
      </c>
      <c r="M91" s="764" t="s">
        <v>93</v>
      </c>
      <c r="N91" s="856">
        <f t="shared" si="217"/>
        <v>100909.09090909091</v>
      </c>
      <c r="O91" s="1138">
        <f t="shared" si="324"/>
        <v>2220000</v>
      </c>
      <c r="P91" s="1138">
        <f t="shared" si="331"/>
        <v>22400</v>
      </c>
      <c r="Q91" s="1138">
        <f t="shared" si="203"/>
        <v>50000</v>
      </c>
      <c r="R91" s="1138"/>
      <c r="S91" s="1138"/>
      <c r="T91" s="1138"/>
      <c r="U91" s="1138"/>
      <c r="V91" s="858"/>
      <c r="W91" s="858"/>
      <c r="X91" s="1138"/>
      <c r="Y91" s="1138">
        <f t="shared" si="326"/>
        <v>40000</v>
      </c>
      <c r="Z91" s="1138">
        <f t="shared" si="327"/>
        <v>75000</v>
      </c>
      <c r="AA91" s="1138">
        <f t="shared" si="328"/>
        <v>187400</v>
      </c>
      <c r="AB91" s="1138">
        <f t="shared" si="218"/>
        <v>2407400</v>
      </c>
      <c r="AC91" s="1138">
        <f t="shared" si="219"/>
        <v>60185</v>
      </c>
      <c r="AD91" s="1138">
        <f t="shared" si="220"/>
        <v>2467585</v>
      </c>
      <c r="AE91" s="1138">
        <f t="shared" si="221"/>
        <v>61689.625</v>
      </c>
      <c r="AF91" s="1138">
        <f t="shared" si="222"/>
        <v>2529274.625</v>
      </c>
      <c r="AG91" s="1138">
        <f t="shared" si="223"/>
        <v>63231.865625000006</v>
      </c>
      <c r="AH91" s="1138">
        <f t="shared" si="224"/>
        <v>2592506.4906250001</v>
      </c>
      <c r="AI91" s="1138">
        <f t="shared" si="225"/>
        <v>129625.32453125001</v>
      </c>
      <c r="AJ91" s="1138">
        <f t="shared" si="226"/>
        <v>2722131.8151562503</v>
      </c>
      <c r="AK91" s="1138">
        <f t="shared" si="227"/>
        <v>27221.318151562504</v>
      </c>
      <c r="AL91" s="1138">
        <f t="shared" si="228"/>
        <v>27537.409960060559</v>
      </c>
      <c r="AM91" s="1138"/>
      <c r="AN91" s="1138"/>
      <c r="AO91" s="1138">
        <f t="shared" si="229"/>
        <v>2776890.5432678731</v>
      </c>
      <c r="AP91" s="1138">
        <f t="shared" si="230"/>
        <v>374880.2233411629</v>
      </c>
      <c r="AQ91" s="1248">
        <f t="shared" si="231"/>
        <v>3151770.7666090359</v>
      </c>
      <c r="AR91" s="1248">
        <f t="shared" si="335"/>
        <v>3151770.7666090359</v>
      </c>
      <c r="AS91" s="1248"/>
      <c r="AT91" s="1248"/>
      <c r="AU91" s="1248">
        <f t="shared" si="232"/>
        <v>0</v>
      </c>
      <c r="AV91" s="1140">
        <f t="shared" si="233"/>
        <v>0</v>
      </c>
      <c r="AW91" s="1140">
        <f t="shared" si="234"/>
        <v>3151770.7666090359</v>
      </c>
      <c r="AX91" s="1139">
        <f t="shared" si="235"/>
        <v>39397.134582612955</v>
      </c>
      <c r="AY91" s="831" t="s">
        <v>478</v>
      </c>
      <c r="AZ91" s="831">
        <f t="shared" si="236"/>
        <v>3191167.901191649</v>
      </c>
      <c r="BA91" s="831">
        <f t="shared" si="237"/>
        <v>119668.79629468684</v>
      </c>
      <c r="BB91" s="831"/>
      <c r="BC91" s="831">
        <f t="shared" si="189"/>
        <v>33600</v>
      </c>
      <c r="BD91" s="831"/>
      <c r="BE91" s="831">
        <f t="shared" si="238"/>
        <v>3344436.6974863359</v>
      </c>
      <c r="BF91" s="831"/>
      <c r="BG91" s="831">
        <f t="shared" si="239"/>
        <v>3344436.6974863359</v>
      </c>
      <c r="BH91" s="831"/>
      <c r="BI91" s="831">
        <f t="shared" si="240"/>
        <v>3344436.6974863359</v>
      </c>
      <c r="BJ91" s="831"/>
      <c r="BK91" s="831">
        <f t="shared" si="241"/>
        <v>3344436.6974863359</v>
      </c>
      <c r="BL91" s="831"/>
      <c r="BM91" s="831">
        <f t="shared" si="242"/>
        <v>3344436.6974863359</v>
      </c>
      <c r="BN91" s="831"/>
      <c r="BO91" s="831">
        <f t="shared" si="243"/>
        <v>3344436.6974863359</v>
      </c>
      <c r="BP91" s="831"/>
      <c r="BQ91" s="831">
        <f t="shared" si="244"/>
        <v>3344436.6974863359</v>
      </c>
      <c r="BR91" s="831"/>
      <c r="BS91" s="831">
        <f t="shared" si="245"/>
        <v>3344436.6974863359</v>
      </c>
      <c r="BT91" s="831"/>
      <c r="BU91" s="831">
        <f t="shared" si="246"/>
        <v>3344436.6974863359</v>
      </c>
      <c r="BV91" s="831"/>
      <c r="BW91" s="831">
        <f t="shared" si="247"/>
        <v>56400</v>
      </c>
      <c r="BX91" s="831">
        <f t="shared" si="248"/>
        <v>3400836.6974863359</v>
      </c>
      <c r="BY91" s="831"/>
      <c r="BZ91" s="831">
        <f t="shared" si="249"/>
        <v>3400836.6974863359</v>
      </c>
      <c r="CA91" s="1260">
        <f t="shared" si="250"/>
        <v>3400836.6974863359</v>
      </c>
      <c r="CB91" s="1260">
        <f t="shared" si="251"/>
        <v>3400836.6974863359</v>
      </c>
      <c r="CC91" s="1260"/>
      <c r="CD91" s="1260">
        <f t="shared" si="252"/>
        <v>0</v>
      </c>
      <c r="CE91" s="1260">
        <f t="shared" si="253"/>
        <v>0</v>
      </c>
      <c r="CF91" s="1260">
        <f t="shared" si="254"/>
        <v>0</v>
      </c>
      <c r="CG91" s="1266">
        <f t="shared" si="255"/>
        <v>3400836.6974863359</v>
      </c>
      <c r="CH91" s="1141">
        <f t="shared" si="256"/>
        <v>3400836.6974863359</v>
      </c>
      <c r="CI91" s="1142">
        <f t="shared" si="257"/>
        <v>0</v>
      </c>
      <c r="CJ91" s="1141">
        <f t="shared" si="258"/>
        <v>348585.76149234938</v>
      </c>
      <c r="CK91" s="1141">
        <f t="shared" si="259"/>
        <v>119029.28441202176</v>
      </c>
      <c r="CL91" s="1143">
        <f t="shared" si="329"/>
        <v>3868451.7433907068</v>
      </c>
      <c r="CM91" s="1144">
        <f t="shared" si="260"/>
        <v>0.125</v>
      </c>
      <c r="CN91" s="1141">
        <f t="shared" si="261"/>
        <v>483556.46792383835</v>
      </c>
      <c r="CO91" s="1141">
        <f t="shared" si="262"/>
        <v>30000</v>
      </c>
      <c r="CP91" s="1141">
        <f t="shared" si="263"/>
        <v>453556.46792383835</v>
      </c>
      <c r="CQ91" s="1145">
        <f t="shared" si="264"/>
        <v>13</v>
      </c>
      <c r="CR91" s="1141">
        <f t="shared" si="265"/>
        <v>34888.959071064492</v>
      </c>
      <c r="CS91" s="1144">
        <f t="shared" si="266"/>
        <v>0.875</v>
      </c>
      <c r="CT91" s="1141">
        <f t="shared" si="267"/>
        <v>3384895.2754668687</v>
      </c>
      <c r="CU91" s="1146">
        <f t="shared" si="204"/>
        <v>26243.057042508208</v>
      </c>
      <c r="CV91" s="1146">
        <f t="shared" si="205"/>
        <v>30424.395674644351</v>
      </c>
      <c r="CW91" s="1146">
        <f t="shared" si="206"/>
        <v>39301.504274876366</v>
      </c>
      <c r="CX91" s="1146">
        <f t="shared" si="207"/>
        <v>67024.9833878106</v>
      </c>
      <c r="CY91" s="1146">
        <f t="shared" si="268"/>
        <v>274965.80216416245</v>
      </c>
      <c r="CZ91" s="1146">
        <f t="shared" si="269"/>
        <v>108802.62848103569</v>
      </c>
      <c r="DA91" s="1146">
        <f t="shared" si="270"/>
        <v>78586.597559051719</v>
      </c>
      <c r="DB91" s="1146">
        <f t="shared" si="271"/>
        <v>59808.018682531125</v>
      </c>
      <c r="DC91" s="1146"/>
      <c r="DD91" s="1146"/>
      <c r="DE91" s="1146"/>
      <c r="DF91" s="1146"/>
      <c r="DG91" s="1146"/>
      <c r="DH91" s="1146"/>
      <c r="DI91" s="1146"/>
      <c r="DJ91" s="1146"/>
      <c r="DK91" s="1146"/>
      <c r="DL91" s="1146"/>
      <c r="DM91" s="1146"/>
      <c r="DN91" s="1146"/>
      <c r="DO91" s="1146"/>
      <c r="DP91" s="1146"/>
      <c r="DQ91" s="1146"/>
      <c r="DR91" s="1146"/>
      <c r="DS91" s="1146"/>
      <c r="DT91" s="1146"/>
      <c r="DU91" s="1146"/>
      <c r="DV91" s="1146"/>
      <c r="DW91" s="1146"/>
      <c r="DX91" s="1146"/>
      <c r="DY91" s="1146"/>
      <c r="DZ91" s="1146"/>
      <c r="EA91" s="1147">
        <f t="shared" si="208"/>
        <v>0</v>
      </c>
      <c r="EB91" s="1148">
        <f t="shared" si="272"/>
        <v>0</v>
      </c>
      <c r="EC91" s="1190">
        <f t="shared" si="316"/>
        <v>45839</v>
      </c>
      <c r="ED91" s="1031">
        <f t="shared" si="209"/>
        <v>20</v>
      </c>
      <c r="EE91" s="1191"/>
      <c r="EF91" s="1032">
        <f t="shared" si="210"/>
        <v>45904</v>
      </c>
      <c r="EG91" s="1029">
        <f t="shared" si="273"/>
        <v>22</v>
      </c>
      <c r="EH91" s="859" t="s">
        <v>490</v>
      </c>
      <c r="EI91" s="859" t="s">
        <v>480</v>
      </c>
      <c r="EJ91" s="860">
        <f t="shared" si="211"/>
        <v>0</v>
      </c>
      <c r="EK91" s="860">
        <f t="shared" si="212"/>
        <v>0</v>
      </c>
      <c r="EL91" s="861">
        <f t="shared" si="213"/>
        <v>0</v>
      </c>
      <c r="EM91" s="1197"/>
      <c r="EN91" s="860"/>
      <c r="EO91" s="860"/>
      <c r="EP91" s="860">
        <f t="shared" si="214"/>
        <v>0</v>
      </c>
      <c r="EQ91" s="1197"/>
      <c r="ER91" s="1200"/>
      <c r="ES91" s="1197"/>
      <c r="ET91" s="1194" t="s">
        <v>247</v>
      </c>
      <c r="EU91" s="1197" t="b">
        <f t="shared" si="215"/>
        <v>1</v>
      </c>
      <c r="EV91" s="1197" t="s">
        <v>595</v>
      </c>
      <c r="EW91" s="1197" t="s">
        <v>482</v>
      </c>
      <c r="EX91" s="1197"/>
      <c r="EY91" s="1128" t="s">
        <v>483</v>
      </c>
      <c r="EZ91" s="1128" t="s">
        <v>484</v>
      </c>
      <c r="FA91" s="1169">
        <f t="shared" si="274"/>
        <v>0</v>
      </c>
      <c r="FI91" s="1309" t="s">
        <v>149</v>
      </c>
      <c r="FJ91" s="1159" t="s">
        <v>149</v>
      </c>
      <c r="FK91" s="1160" t="b">
        <f t="shared" si="275"/>
        <v>1</v>
      </c>
      <c r="FL91" s="1131"/>
      <c r="FM91" s="1161"/>
      <c r="FP91" s="1166"/>
      <c r="FQ91" s="1203"/>
      <c r="FU91" s="1295"/>
      <c r="FV91" s="1295"/>
      <c r="FW91" s="1023">
        <v>0.15</v>
      </c>
      <c r="FX91" s="1162">
        <v>14254.806263812137</v>
      </c>
      <c r="FY91" s="1163">
        <v>14700.268959556266</v>
      </c>
      <c r="GA91" s="1164">
        <f t="shared" si="276"/>
        <v>3868451.7433907068</v>
      </c>
      <c r="GB91" s="1165">
        <f t="shared" si="277"/>
        <v>0.15</v>
      </c>
      <c r="GC91" s="1154">
        <f t="shared" si="278"/>
        <v>580267.76150860603</v>
      </c>
      <c r="GD91" s="1164">
        <f t="shared" si="279"/>
        <v>30000</v>
      </c>
      <c r="GE91" s="1154">
        <f t="shared" si="280"/>
        <v>550267.76150860603</v>
      </c>
      <c r="GF91" s="1060">
        <f t="shared" si="281"/>
        <v>35</v>
      </c>
      <c r="GG91" s="1166">
        <f t="shared" si="282"/>
        <v>15721.936043103029</v>
      </c>
      <c r="GI91" s="1164">
        <f t="shared" si="283"/>
        <v>3868451.7433907068</v>
      </c>
      <c r="GJ91" s="1154">
        <f t="shared" si="284"/>
        <v>386845.17433907068</v>
      </c>
      <c r="GK91" s="1154">
        <f t="shared" si="285"/>
        <v>96711.293584767671</v>
      </c>
      <c r="GL91" s="1166">
        <v>15000</v>
      </c>
      <c r="GM91" s="1154">
        <f t="shared" si="286"/>
        <v>371845.17433907068</v>
      </c>
      <c r="GN91" s="1060">
        <f t="shared" si="287"/>
        <v>35</v>
      </c>
      <c r="GO91" s="1154">
        <f t="shared" si="288"/>
        <v>10624.147838259163</v>
      </c>
      <c r="GS91" s="1010">
        <f t="shared" si="289"/>
        <v>3868451.7433907068</v>
      </c>
      <c r="GT91" s="1011">
        <f t="shared" si="290"/>
        <v>0.125</v>
      </c>
      <c r="GU91" s="1010">
        <f t="shared" si="291"/>
        <v>483556.46792383835</v>
      </c>
      <c r="GV91" s="1010">
        <f t="shared" si="292"/>
        <v>30000</v>
      </c>
      <c r="GW91" s="1010">
        <f t="shared" si="293"/>
        <v>453556.46792383835</v>
      </c>
      <c r="GX91" s="1010">
        <f t="shared" si="294"/>
        <v>13</v>
      </c>
      <c r="GY91" s="1010">
        <f t="shared" si="295"/>
        <v>34888.959071064492</v>
      </c>
      <c r="GZ91" s="1011">
        <f t="shared" si="296"/>
        <v>0.875</v>
      </c>
      <c r="HA91" s="1010">
        <f t="shared" si="297"/>
        <v>3384895.2754668687</v>
      </c>
      <c r="HB91" s="1010">
        <f t="shared" si="298"/>
        <v>26243.057042508208</v>
      </c>
      <c r="HC91" s="1010">
        <f t="shared" si="299"/>
        <v>30424.395674644351</v>
      </c>
      <c r="HD91" s="1010">
        <f t="shared" si="300"/>
        <v>39301.504274876366</v>
      </c>
      <c r="HE91" s="1010">
        <f t="shared" si="301"/>
        <v>67024.9833878106</v>
      </c>
      <c r="HG91" s="1010">
        <f t="shared" si="302"/>
        <v>3868451.7433907068</v>
      </c>
      <c r="HH91" s="1011">
        <f t="shared" si="303"/>
        <v>0.125</v>
      </c>
      <c r="HI91" s="1010">
        <f t="shared" si="304"/>
        <v>483556.46792383835</v>
      </c>
      <c r="HJ91" s="1010">
        <f t="shared" si="305"/>
        <v>30000</v>
      </c>
      <c r="HK91" s="1010">
        <f t="shared" si="306"/>
        <v>453556.46792383835</v>
      </c>
      <c r="HL91" s="1012">
        <f t="shared" si="307"/>
        <v>33</v>
      </c>
      <c r="HM91" s="1167">
        <f t="shared" si="308"/>
        <v>13744.135391631466</v>
      </c>
      <c r="HN91" s="1168">
        <f t="shared" si="309"/>
        <v>0.875</v>
      </c>
      <c r="HO91" s="1167">
        <f t="shared" si="310"/>
        <v>3384895.2754668687</v>
      </c>
      <c r="HP91" s="1146">
        <f t="shared" si="311"/>
        <v>26243.057042508208</v>
      </c>
      <c r="HQ91" s="1146">
        <f t="shared" si="312"/>
        <v>30424.395674644351</v>
      </c>
      <c r="HR91" s="1146">
        <f t="shared" si="313"/>
        <v>39301.504274876366</v>
      </c>
      <c r="HS91" s="1146">
        <f t="shared" si="314"/>
        <v>67024.9833878106</v>
      </c>
      <c r="HU91" s="1167">
        <f t="shared" si="315"/>
        <v>-21144.823679433026</v>
      </c>
      <c r="HX91" s="1154"/>
      <c r="HY91" s="1154"/>
      <c r="IB91" s="1154"/>
      <c r="IC91" s="1154"/>
      <c r="ID91" s="1154"/>
      <c r="IE91" s="1154"/>
      <c r="IG91" s="1060"/>
    </row>
    <row r="92" spans="1:241" ht="14.25" customHeight="1">
      <c r="A92" s="1186">
        <f t="shared" si="330"/>
        <v>86</v>
      </c>
      <c r="B92" s="824" t="s">
        <v>149</v>
      </c>
      <c r="C92" s="855">
        <f t="shared" si="323"/>
        <v>17</v>
      </c>
      <c r="D92" s="856" t="s">
        <v>505</v>
      </c>
      <c r="E92" s="857" t="str">
        <f t="shared" si="216"/>
        <v>6th Floor</v>
      </c>
      <c r="F92" s="1185"/>
      <c r="G92" s="764" t="s">
        <v>248</v>
      </c>
      <c r="H92" s="764" t="s">
        <v>552</v>
      </c>
      <c r="I92" s="764" t="s">
        <v>476</v>
      </c>
      <c r="J92" s="1139">
        <v>22</v>
      </c>
      <c r="K92" s="1142"/>
      <c r="L92" s="764" t="s">
        <v>500</v>
      </c>
      <c r="M92" s="764" t="s">
        <v>93</v>
      </c>
      <c r="N92" s="856">
        <f t="shared" si="217"/>
        <v>100909.09090909091</v>
      </c>
      <c r="O92" s="1138">
        <f t="shared" si="324"/>
        <v>2220000</v>
      </c>
      <c r="P92" s="1138">
        <f t="shared" si="331"/>
        <v>22400</v>
      </c>
      <c r="Q92" s="1138">
        <f t="shared" si="203"/>
        <v>50000</v>
      </c>
      <c r="R92" s="1138"/>
      <c r="S92" s="1138"/>
      <c r="T92" s="1138"/>
      <c r="U92" s="1138"/>
      <c r="V92" s="1138"/>
      <c r="W92" s="858"/>
      <c r="X92" s="1138"/>
      <c r="Y92" s="1138">
        <f t="shared" si="326"/>
        <v>40000</v>
      </c>
      <c r="Z92" s="1138">
        <f t="shared" si="327"/>
        <v>75000</v>
      </c>
      <c r="AA92" s="1138">
        <f t="shared" si="328"/>
        <v>187400</v>
      </c>
      <c r="AB92" s="1138">
        <f t="shared" si="218"/>
        <v>2407400</v>
      </c>
      <c r="AC92" s="1138">
        <f t="shared" si="219"/>
        <v>60185</v>
      </c>
      <c r="AD92" s="1138">
        <f t="shared" si="220"/>
        <v>2467585</v>
      </c>
      <c r="AE92" s="1138">
        <f t="shared" si="221"/>
        <v>61689.625</v>
      </c>
      <c r="AF92" s="1138">
        <f t="shared" si="222"/>
        <v>2529274.625</v>
      </c>
      <c r="AG92" s="1138">
        <f t="shared" si="223"/>
        <v>63231.865625000006</v>
      </c>
      <c r="AH92" s="1138">
        <f t="shared" si="224"/>
        <v>2592506.4906250001</v>
      </c>
      <c r="AI92" s="1138">
        <f t="shared" si="225"/>
        <v>129625.32453125001</v>
      </c>
      <c r="AJ92" s="1138">
        <f t="shared" si="226"/>
        <v>2722131.8151562503</v>
      </c>
      <c r="AK92" s="1138">
        <f t="shared" si="227"/>
        <v>27221.318151562504</v>
      </c>
      <c r="AL92" s="1138">
        <f t="shared" si="228"/>
        <v>27537.409960060559</v>
      </c>
      <c r="AM92" s="1138"/>
      <c r="AN92" s="1138"/>
      <c r="AO92" s="1138">
        <f t="shared" si="229"/>
        <v>2776890.5432678731</v>
      </c>
      <c r="AP92" s="1138">
        <f t="shared" si="230"/>
        <v>374880.2233411629</v>
      </c>
      <c r="AQ92" s="1248">
        <f t="shared" si="231"/>
        <v>3151770.7666090359</v>
      </c>
      <c r="AR92" s="1248">
        <f t="shared" si="335"/>
        <v>3151770.7666090359</v>
      </c>
      <c r="AS92" s="1248"/>
      <c r="AT92" s="1248"/>
      <c r="AU92" s="1248">
        <f t="shared" si="232"/>
        <v>0</v>
      </c>
      <c r="AV92" s="1140">
        <f t="shared" si="233"/>
        <v>0</v>
      </c>
      <c r="AW92" s="1140">
        <f t="shared" si="234"/>
        <v>3151770.7666090359</v>
      </c>
      <c r="AX92" s="1139">
        <f t="shared" si="235"/>
        <v>39397.134582612955</v>
      </c>
      <c r="AY92" s="831">
        <v>13444.671373913045</v>
      </c>
      <c r="AZ92" s="831">
        <f t="shared" si="236"/>
        <v>3204612.5725655621</v>
      </c>
      <c r="BA92" s="831">
        <f t="shared" si="237"/>
        <v>120172.97147120857</v>
      </c>
      <c r="BB92" s="831"/>
      <c r="BC92" s="831">
        <f t="shared" si="189"/>
        <v>33600</v>
      </c>
      <c r="BD92" s="831">
        <v>8990.8965517241377</v>
      </c>
      <c r="BE92" s="831">
        <f t="shared" si="238"/>
        <v>3367376.4405884948</v>
      </c>
      <c r="BF92" s="831">
        <v>42723.767172413798</v>
      </c>
      <c r="BG92" s="831">
        <f t="shared" si="239"/>
        <v>3410100.2077609086</v>
      </c>
      <c r="BH92" s="831"/>
      <c r="BI92" s="831">
        <f t="shared" si="240"/>
        <v>3410100.2077609086</v>
      </c>
      <c r="BJ92" s="831"/>
      <c r="BK92" s="831">
        <f t="shared" si="241"/>
        <v>3410100.2077609086</v>
      </c>
      <c r="BL92" s="831"/>
      <c r="BM92" s="831">
        <f t="shared" si="242"/>
        <v>3410100.2077609086</v>
      </c>
      <c r="BN92" s="831"/>
      <c r="BO92" s="831">
        <f t="shared" si="243"/>
        <v>3410100.2077609086</v>
      </c>
      <c r="BP92" s="831">
        <f>$BP$5/37</f>
        <v>5065.3710270270276</v>
      </c>
      <c r="BQ92" s="831">
        <f t="shared" si="244"/>
        <v>3415165.5787879359</v>
      </c>
      <c r="BR92" s="831">
        <f>$BR$5/42</f>
        <v>3544.6104</v>
      </c>
      <c r="BS92" s="831">
        <f t="shared" si="245"/>
        <v>3418710.189187936</v>
      </c>
      <c r="BT92" s="831">
        <f>$BT$5/41</f>
        <v>1609.3168000000001</v>
      </c>
      <c r="BU92" s="831">
        <f t="shared" si="246"/>
        <v>3420319.5059879362</v>
      </c>
      <c r="BV92" s="831">
        <f>$BV$5/43</f>
        <v>1163.3400930232558</v>
      </c>
      <c r="BW92" s="831">
        <f t="shared" si="247"/>
        <v>56400</v>
      </c>
      <c r="BX92" s="831">
        <f t="shared" si="248"/>
        <v>3477882.8460809593</v>
      </c>
      <c r="BY92" s="831">
        <f>$BY$5/44</f>
        <v>30549.183723443901</v>
      </c>
      <c r="BZ92" s="831">
        <f t="shared" si="249"/>
        <v>3508432.0298044034</v>
      </c>
      <c r="CA92" s="1260">
        <f t="shared" si="250"/>
        <v>3508432.0298044034</v>
      </c>
      <c r="CB92" s="1260">
        <f t="shared" si="251"/>
        <v>3508432.0298044034</v>
      </c>
      <c r="CC92" s="1260"/>
      <c r="CD92" s="1260">
        <f t="shared" si="252"/>
        <v>0</v>
      </c>
      <c r="CE92" s="1260">
        <f t="shared" si="253"/>
        <v>0</v>
      </c>
      <c r="CF92" s="1260">
        <f t="shared" si="254"/>
        <v>0</v>
      </c>
      <c r="CG92" s="1266">
        <f t="shared" si="255"/>
        <v>3508432.0298044034</v>
      </c>
      <c r="CH92" s="1141">
        <f t="shared" si="256"/>
        <v>3508432.0298044034</v>
      </c>
      <c r="CI92" s="1142">
        <f t="shared" si="257"/>
        <v>0</v>
      </c>
      <c r="CJ92" s="1141">
        <f t="shared" si="258"/>
        <v>359614.28305495135</v>
      </c>
      <c r="CK92" s="1141">
        <f t="shared" si="259"/>
        <v>122795.12104315413</v>
      </c>
      <c r="CL92" s="1143">
        <f t="shared" si="329"/>
        <v>3990841.4339025086</v>
      </c>
      <c r="CM92" s="1144">
        <f t="shared" si="260"/>
        <v>0.125</v>
      </c>
      <c r="CN92" s="1141">
        <f t="shared" si="261"/>
        <v>498855.17923781357</v>
      </c>
      <c r="CO92" s="1141">
        <f t="shared" si="262"/>
        <v>30000</v>
      </c>
      <c r="CP92" s="1141">
        <f t="shared" si="263"/>
        <v>468855.17923781357</v>
      </c>
      <c r="CQ92" s="1145">
        <f t="shared" si="264"/>
        <v>13</v>
      </c>
      <c r="CR92" s="1141">
        <f t="shared" si="265"/>
        <v>36065.783018293354</v>
      </c>
      <c r="CS92" s="1144">
        <f t="shared" si="266"/>
        <v>0.875</v>
      </c>
      <c r="CT92" s="1141">
        <f t="shared" si="267"/>
        <v>3491986.2546646949</v>
      </c>
      <c r="CU92" s="1146">
        <f t="shared" si="204"/>
        <v>27073.332264372781</v>
      </c>
      <c r="CV92" s="1146">
        <f t="shared" si="205"/>
        <v>31386.959671207107</v>
      </c>
      <c r="CW92" s="1146">
        <f t="shared" si="206"/>
        <v>40544.921348145661</v>
      </c>
      <c r="CX92" s="1146">
        <f t="shared" si="207"/>
        <v>69145.513128787206</v>
      </c>
      <c r="CY92" s="1146">
        <f t="shared" si="268"/>
        <v>283665.14279460913</v>
      </c>
      <c r="CZ92" s="1146">
        <f t="shared" si="269"/>
        <v>112244.91519158224</v>
      </c>
      <c r="DA92" s="1146">
        <f t="shared" si="270"/>
        <v>81072.912496302946</v>
      </c>
      <c r="DB92" s="1146">
        <f t="shared" si="271"/>
        <v>61700.218813807194</v>
      </c>
      <c r="DC92" s="1146"/>
      <c r="DD92" s="1146"/>
      <c r="DE92" s="1146"/>
      <c r="DF92" s="1146"/>
      <c r="DG92" s="1146"/>
      <c r="DH92" s="1146"/>
      <c r="DI92" s="1146"/>
      <c r="DJ92" s="1146"/>
      <c r="DK92" s="1146"/>
      <c r="DL92" s="1146"/>
      <c r="DM92" s="1146"/>
      <c r="DN92" s="1146"/>
      <c r="DO92" s="1146"/>
      <c r="DP92" s="1146"/>
      <c r="DQ92" s="1146"/>
      <c r="DR92" s="1146"/>
      <c r="DS92" s="1146"/>
      <c r="DT92" s="1146"/>
      <c r="DU92" s="1146"/>
      <c r="DV92" s="1146"/>
      <c r="DW92" s="1146"/>
      <c r="DX92" s="1146"/>
      <c r="DY92" s="1146"/>
      <c r="DZ92" s="1146"/>
      <c r="EA92" s="1147">
        <f t="shared" si="208"/>
        <v>0</v>
      </c>
      <c r="EB92" s="1148">
        <f t="shared" si="272"/>
        <v>0</v>
      </c>
      <c r="EC92" s="1190">
        <f t="shared" si="316"/>
        <v>45839</v>
      </c>
      <c r="ED92" s="1031">
        <f t="shared" si="209"/>
        <v>20</v>
      </c>
      <c r="EE92" s="1191"/>
      <c r="EF92" s="1032">
        <f t="shared" si="210"/>
        <v>45904</v>
      </c>
      <c r="EG92" s="1029">
        <f t="shared" si="273"/>
        <v>22</v>
      </c>
      <c r="EH92" s="859" t="s">
        <v>490</v>
      </c>
      <c r="EI92" s="859" t="s">
        <v>480</v>
      </c>
      <c r="EJ92" s="860">
        <f t="shared" si="211"/>
        <v>0</v>
      </c>
      <c r="EK92" s="860">
        <f t="shared" si="212"/>
        <v>0</v>
      </c>
      <c r="EL92" s="861">
        <f t="shared" si="213"/>
        <v>0</v>
      </c>
      <c r="EM92" s="1197"/>
      <c r="EN92" s="860"/>
      <c r="EO92" s="860"/>
      <c r="EP92" s="860">
        <f t="shared" si="214"/>
        <v>0</v>
      </c>
      <c r="EQ92" s="1197"/>
      <c r="ER92" s="1200"/>
      <c r="ES92" s="1197"/>
      <c r="ET92" s="1194" t="s">
        <v>248</v>
      </c>
      <c r="EU92" s="1197" t="b">
        <f t="shared" si="215"/>
        <v>1</v>
      </c>
      <c r="EV92" s="1197" t="s">
        <v>582</v>
      </c>
      <c r="EW92" s="1197" t="s">
        <v>482</v>
      </c>
      <c r="EX92" s="1197"/>
      <c r="EY92" s="1128" t="s">
        <v>483</v>
      </c>
      <c r="EZ92" s="1128" t="s">
        <v>484</v>
      </c>
      <c r="FA92" s="1169">
        <f t="shared" si="274"/>
        <v>0</v>
      </c>
      <c r="FI92" s="1309" t="s">
        <v>96</v>
      </c>
      <c r="FJ92" s="1243" t="s">
        <v>96</v>
      </c>
      <c r="FK92" s="1160" t="b">
        <f t="shared" si="275"/>
        <v>1</v>
      </c>
      <c r="FL92" s="1131"/>
      <c r="FM92" s="1161"/>
      <c r="FP92" s="1166"/>
      <c r="FQ92" s="1203"/>
      <c r="FU92" s="1295"/>
      <c r="FV92" s="1295"/>
      <c r="FW92" s="1023">
        <v>0.15</v>
      </c>
      <c r="FX92" s="1162">
        <v>14254.806263812137</v>
      </c>
      <c r="FY92" s="1163">
        <v>14700.268959556266</v>
      </c>
      <c r="GA92" s="1164">
        <f t="shared" si="276"/>
        <v>3990841.4339025086</v>
      </c>
      <c r="GB92" s="1165">
        <f t="shared" si="277"/>
        <v>0.15</v>
      </c>
      <c r="GC92" s="1154">
        <f t="shared" si="278"/>
        <v>598626.21508537629</v>
      </c>
      <c r="GD92" s="1164">
        <f t="shared" si="279"/>
        <v>30000</v>
      </c>
      <c r="GE92" s="1154">
        <f t="shared" si="280"/>
        <v>568626.21508537629</v>
      </c>
      <c r="GF92" s="1060">
        <f t="shared" si="281"/>
        <v>35</v>
      </c>
      <c r="GG92" s="1166">
        <f t="shared" si="282"/>
        <v>16246.463288153609</v>
      </c>
      <c r="GI92" s="1164">
        <f t="shared" si="283"/>
        <v>3990841.4339025086</v>
      </c>
      <c r="GJ92" s="1154">
        <f t="shared" si="284"/>
        <v>399084.14339025086</v>
      </c>
      <c r="GK92" s="1154">
        <f t="shared" si="285"/>
        <v>99771.035847562714</v>
      </c>
      <c r="GL92" s="1166">
        <v>15000</v>
      </c>
      <c r="GM92" s="1154">
        <f t="shared" si="286"/>
        <v>384084.14339025086</v>
      </c>
      <c r="GN92" s="1060">
        <f t="shared" si="287"/>
        <v>35</v>
      </c>
      <c r="GO92" s="1154">
        <f t="shared" si="288"/>
        <v>10973.832668292882</v>
      </c>
      <c r="GS92" s="1010">
        <f t="shared" si="289"/>
        <v>3990841.4339025086</v>
      </c>
      <c r="GT92" s="1011">
        <f t="shared" si="290"/>
        <v>0.125</v>
      </c>
      <c r="GU92" s="1010">
        <f t="shared" si="291"/>
        <v>498855.17923781357</v>
      </c>
      <c r="GV92" s="1010">
        <f t="shared" si="292"/>
        <v>30000</v>
      </c>
      <c r="GW92" s="1010">
        <f t="shared" si="293"/>
        <v>468855.17923781357</v>
      </c>
      <c r="GX92" s="1010">
        <f t="shared" si="294"/>
        <v>13</v>
      </c>
      <c r="GY92" s="1010">
        <f t="shared" si="295"/>
        <v>36065.783018293354</v>
      </c>
      <c r="GZ92" s="1011">
        <f t="shared" si="296"/>
        <v>0.875</v>
      </c>
      <c r="HA92" s="1010">
        <f t="shared" si="297"/>
        <v>3491986.2546646949</v>
      </c>
      <c r="HB92" s="1010">
        <f t="shared" si="298"/>
        <v>27073.332264372781</v>
      </c>
      <c r="HC92" s="1010">
        <f t="shared" si="299"/>
        <v>31386.959671207107</v>
      </c>
      <c r="HD92" s="1010">
        <f t="shared" si="300"/>
        <v>40544.921348145661</v>
      </c>
      <c r="HE92" s="1010">
        <f t="shared" si="301"/>
        <v>69145.513128787206</v>
      </c>
      <c r="HG92" s="1010">
        <f t="shared" si="302"/>
        <v>3990841.4339025086</v>
      </c>
      <c r="HH92" s="1011">
        <f t="shared" si="303"/>
        <v>0.125</v>
      </c>
      <c r="HI92" s="1010">
        <f t="shared" si="304"/>
        <v>498855.17923781357</v>
      </c>
      <c r="HJ92" s="1010">
        <f t="shared" si="305"/>
        <v>30000</v>
      </c>
      <c r="HK92" s="1010">
        <f t="shared" si="306"/>
        <v>468855.17923781357</v>
      </c>
      <c r="HL92" s="1012">
        <f t="shared" si="307"/>
        <v>33</v>
      </c>
      <c r="HM92" s="1167">
        <f t="shared" si="308"/>
        <v>14207.732704176169</v>
      </c>
      <c r="HN92" s="1168">
        <f t="shared" si="309"/>
        <v>0.875</v>
      </c>
      <c r="HO92" s="1167">
        <f t="shared" si="310"/>
        <v>3491986.2546646949</v>
      </c>
      <c r="HP92" s="1146">
        <f t="shared" si="311"/>
        <v>27073.332264372781</v>
      </c>
      <c r="HQ92" s="1146">
        <f t="shared" si="312"/>
        <v>31386.959671207107</v>
      </c>
      <c r="HR92" s="1146">
        <f t="shared" si="313"/>
        <v>40544.921348145661</v>
      </c>
      <c r="HS92" s="1146">
        <f t="shared" si="314"/>
        <v>69145.513128787206</v>
      </c>
      <c r="HU92" s="1167">
        <f t="shared" si="315"/>
        <v>-21858.050314117187</v>
      </c>
      <c r="HX92" s="1154"/>
      <c r="HY92" s="1154"/>
      <c r="IB92" s="1154"/>
      <c r="IC92" s="1154"/>
      <c r="ID92" s="1154"/>
      <c r="IE92" s="1154"/>
      <c r="IG92" s="1060"/>
    </row>
    <row r="93" spans="1:241" ht="14.25" hidden="1" customHeight="1">
      <c r="A93" s="1186">
        <f t="shared" si="330"/>
        <v>87</v>
      </c>
      <c r="B93" s="824" t="s">
        <v>149</v>
      </c>
      <c r="C93" s="855">
        <f t="shared" si="323"/>
        <v>18</v>
      </c>
      <c r="D93" s="856" t="s">
        <v>505</v>
      </c>
      <c r="E93" s="857" t="str">
        <f t="shared" si="216"/>
        <v>6th Floor</v>
      </c>
      <c r="F93" s="1185"/>
      <c r="G93" s="764" t="s">
        <v>249</v>
      </c>
      <c r="H93" s="764" t="s">
        <v>552</v>
      </c>
      <c r="I93" s="764" t="s">
        <v>476</v>
      </c>
      <c r="J93" s="831">
        <v>22</v>
      </c>
      <c r="K93" s="1142"/>
      <c r="L93" s="764" t="s">
        <v>500</v>
      </c>
      <c r="M93" s="764" t="s">
        <v>117</v>
      </c>
      <c r="N93" s="856">
        <f t="shared" si="217"/>
        <v>100909.09090909091</v>
      </c>
      <c r="O93" s="1138">
        <f t="shared" si="324"/>
        <v>2220000</v>
      </c>
      <c r="P93" s="1138">
        <f t="shared" si="331"/>
        <v>22400</v>
      </c>
      <c r="Q93" s="1138">
        <f t="shared" si="203"/>
        <v>50000</v>
      </c>
      <c r="R93" s="1138"/>
      <c r="S93" s="1138"/>
      <c r="T93" s="1138"/>
      <c r="U93" s="1138"/>
      <c r="V93" s="858">
        <f>J93*$V$5</f>
        <v>55000</v>
      </c>
      <c r="W93" s="858"/>
      <c r="X93" s="1138"/>
      <c r="Y93" s="1138">
        <f t="shared" si="326"/>
        <v>40000</v>
      </c>
      <c r="Z93" s="1138">
        <f t="shared" si="327"/>
        <v>75000</v>
      </c>
      <c r="AA93" s="1138">
        <f t="shared" si="328"/>
        <v>242400</v>
      </c>
      <c r="AB93" s="1138">
        <f t="shared" si="218"/>
        <v>2462400</v>
      </c>
      <c r="AC93" s="1138">
        <f t="shared" si="219"/>
        <v>61560</v>
      </c>
      <c r="AD93" s="1138">
        <f t="shared" si="220"/>
        <v>2523960</v>
      </c>
      <c r="AE93" s="1138">
        <f t="shared" si="221"/>
        <v>63099</v>
      </c>
      <c r="AF93" s="1138">
        <f t="shared" si="222"/>
        <v>2587059</v>
      </c>
      <c r="AG93" s="1138">
        <f t="shared" si="223"/>
        <v>64676.475000000006</v>
      </c>
      <c r="AH93" s="1138">
        <f t="shared" si="224"/>
        <v>2651735.4750000001</v>
      </c>
      <c r="AI93" s="1138">
        <f t="shared" si="225"/>
        <v>132586.77375000002</v>
      </c>
      <c r="AJ93" s="1138">
        <f t="shared" si="226"/>
        <v>2784322.2487500003</v>
      </c>
      <c r="AK93" s="1138">
        <f t="shared" si="227"/>
        <v>27843.222487500003</v>
      </c>
      <c r="AL93" s="1138">
        <f t="shared" si="228"/>
        <v>27537.409960060559</v>
      </c>
      <c r="AM93" s="1138"/>
      <c r="AN93" s="1138"/>
      <c r="AO93" s="1138">
        <f t="shared" si="229"/>
        <v>2839702.8811975606</v>
      </c>
      <c r="AP93" s="1138">
        <f t="shared" si="230"/>
        <v>383359.88896167069</v>
      </c>
      <c r="AQ93" s="1248">
        <f t="shared" si="231"/>
        <v>3223062.7701592315</v>
      </c>
      <c r="AR93" s="1248">
        <f t="shared" ref="AR93:AR94" si="336">AQ93-AT93</f>
        <v>2893062.7701592315</v>
      </c>
      <c r="AS93" s="1248">
        <v>15000</v>
      </c>
      <c r="AT93" s="1248">
        <f t="shared" ref="AT93:AT94" si="337">AS93*J93</f>
        <v>330000</v>
      </c>
      <c r="AU93" s="1248">
        <f t="shared" si="232"/>
        <v>39600</v>
      </c>
      <c r="AV93" s="1140">
        <f t="shared" si="233"/>
        <v>369600</v>
      </c>
      <c r="AW93" s="1140">
        <f t="shared" si="234"/>
        <v>3262662.7701592315</v>
      </c>
      <c r="AX93" s="1139">
        <f t="shared" si="235"/>
        <v>40783.284626990397</v>
      </c>
      <c r="AY93" s="831" t="s">
        <v>478</v>
      </c>
      <c r="AZ93" s="831">
        <f t="shared" si="236"/>
        <v>3303446.0547862221</v>
      </c>
      <c r="BA93" s="831">
        <f t="shared" si="237"/>
        <v>123879.22705448332</v>
      </c>
      <c r="BB93" s="831"/>
      <c r="BC93" s="831">
        <f t="shared" si="189"/>
        <v>33600</v>
      </c>
      <c r="BD93" s="831"/>
      <c r="BE93" s="831">
        <f t="shared" si="238"/>
        <v>3460925.2818407053</v>
      </c>
      <c r="BF93" s="831"/>
      <c r="BG93" s="831">
        <f t="shared" si="239"/>
        <v>3460925.2818407053</v>
      </c>
      <c r="BH93" s="831"/>
      <c r="BI93" s="831">
        <f t="shared" si="240"/>
        <v>3460925.2818407053</v>
      </c>
      <c r="BJ93" s="831"/>
      <c r="BK93" s="831">
        <f t="shared" si="241"/>
        <v>3460925.2818407053</v>
      </c>
      <c r="BL93" s="831"/>
      <c r="BM93" s="831">
        <f t="shared" si="242"/>
        <v>3460925.2818407053</v>
      </c>
      <c r="BN93" s="831"/>
      <c r="BO93" s="831">
        <f t="shared" si="243"/>
        <v>3460925.2818407053</v>
      </c>
      <c r="BP93" s="831"/>
      <c r="BQ93" s="831">
        <f t="shared" si="244"/>
        <v>3460925.2818407053</v>
      </c>
      <c r="BR93" s="831"/>
      <c r="BS93" s="831">
        <f t="shared" si="245"/>
        <v>3460925.2818407053</v>
      </c>
      <c r="BT93" s="831"/>
      <c r="BU93" s="831">
        <f t="shared" si="246"/>
        <v>3460925.2818407053</v>
      </c>
      <c r="BV93" s="831"/>
      <c r="BW93" s="831">
        <f t="shared" si="247"/>
        <v>56400</v>
      </c>
      <c r="BX93" s="831">
        <f t="shared" si="248"/>
        <v>3517325.2818407053</v>
      </c>
      <c r="BY93" s="831"/>
      <c r="BZ93" s="831">
        <f t="shared" si="249"/>
        <v>3517325.2818407053</v>
      </c>
      <c r="CA93" s="1260">
        <f t="shared" si="250"/>
        <v>3517325.2818407053</v>
      </c>
      <c r="CB93" s="1260">
        <f t="shared" si="251"/>
        <v>3517325.2818407053</v>
      </c>
      <c r="CC93" s="1260"/>
      <c r="CD93" s="1260">
        <f t="shared" si="252"/>
        <v>0</v>
      </c>
      <c r="CE93" s="1260">
        <f t="shared" si="253"/>
        <v>0</v>
      </c>
      <c r="CF93" s="1260">
        <f t="shared" si="254"/>
        <v>0</v>
      </c>
      <c r="CG93" s="1266">
        <f t="shared" si="255"/>
        <v>3517325.2818407053</v>
      </c>
      <c r="CH93" s="1141">
        <f t="shared" si="256"/>
        <v>3517325.2818407053</v>
      </c>
      <c r="CI93" s="1142">
        <f t="shared" si="257"/>
        <v>0</v>
      </c>
      <c r="CJ93" s="1141">
        <f t="shared" si="258"/>
        <v>360525.8413886723</v>
      </c>
      <c r="CK93" s="1141">
        <f t="shared" si="259"/>
        <v>123106.3848644247</v>
      </c>
      <c r="CL93" s="1143">
        <f t="shared" si="329"/>
        <v>4000957.5080938023</v>
      </c>
      <c r="CM93" s="1144">
        <f t="shared" si="260"/>
        <v>0.125</v>
      </c>
      <c r="CN93" s="1141">
        <f t="shared" si="261"/>
        <v>500119.68851172528</v>
      </c>
      <c r="CO93" s="1141">
        <f t="shared" si="262"/>
        <v>30000</v>
      </c>
      <c r="CP93" s="1141">
        <f t="shared" si="263"/>
        <v>470119.68851172528</v>
      </c>
      <c r="CQ93" s="1145">
        <f t="shared" si="264"/>
        <v>13</v>
      </c>
      <c r="CR93" s="1141">
        <f t="shared" si="265"/>
        <v>36163.052962440408</v>
      </c>
      <c r="CS93" s="1144">
        <f t="shared" si="266"/>
        <v>0.875</v>
      </c>
      <c r="CT93" s="1141">
        <f t="shared" si="267"/>
        <v>3500837.8195820767</v>
      </c>
      <c r="CU93" s="1146">
        <f t="shared" si="204"/>
        <v>27141.958352962858</v>
      </c>
      <c r="CV93" s="1146">
        <f t="shared" si="205"/>
        <v>31466.520039097391</v>
      </c>
      <c r="CW93" s="1146">
        <f t="shared" si="206"/>
        <v>40647.695522271875</v>
      </c>
      <c r="CX93" s="1146">
        <f t="shared" si="207"/>
        <v>69320.784723109071</v>
      </c>
      <c r="CY93" s="1146">
        <f t="shared" si="268"/>
        <v>284384.18354767363</v>
      </c>
      <c r="CZ93" s="1146">
        <f t="shared" si="269"/>
        <v>112529.43611492126</v>
      </c>
      <c r="DA93" s="1146">
        <f t="shared" si="270"/>
        <v>81278.417929505507</v>
      </c>
      <c r="DB93" s="1146">
        <f t="shared" si="271"/>
        <v>61856.617909455854</v>
      </c>
      <c r="DC93" s="1146"/>
      <c r="DD93" s="1146"/>
      <c r="DE93" s="1146"/>
      <c r="DF93" s="1146"/>
      <c r="DG93" s="1146"/>
      <c r="DH93" s="1146"/>
      <c r="DI93" s="1146"/>
      <c r="DJ93" s="1146"/>
      <c r="DK93" s="1146"/>
      <c r="DL93" s="1146"/>
      <c r="DM93" s="1146"/>
      <c r="DN93" s="1146"/>
      <c r="DO93" s="1146"/>
      <c r="DP93" s="1146"/>
      <c r="DQ93" s="1146"/>
      <c r="DR93" s="1146"/>
      <c r="DS93" s="1146"/>
      <c r="DT93" s="1146"/>
      <c r="DU93" s="1146"/>
      <c r="DV93" s="1146"/>
      <c r="DW93" s="1146"/>
      <c r="DX93" s="1146"/>
      <c r="DY93" s="1146"/>
      <c r="DZ93" s="1146"/>
      <c r="EA93" s="1147">
        <f t="shared" si="208"/>
        <v>0.11406596614626412</v>
      </c>
      <c r="EB93" s="1148">
        <f t="shared" si="272"/>
        <v>0</v>
      </c>
      <c r="EC93" s="1190">
        <f t="shared" si="316"/>
        <v>45839</v>
      </c>
      <c r="ED93" s="1031">
        <f t="shared" si="209"/>
        <v>20</v>
      </c>
      <c r="EE93" s="1191"/>
      <c r="EF93" s="1032">
        <f t="shared" si="210"/>
        <v>45904</v>
      </c>
      <c r="EG93" s="1029">
        <f t="shared" si="273"/>
        <v>22</v>
      </c>
      <c r="EH93" s="859" t="s">
        <v>490</v>
      </c>
      <c r="EI93" s="859" t="s">
        <v>480</v>
      </c>
      <c r="EJ93" s="860">
        <f t="shared" si="211"/>
        <v>16800</v>
      </c>
      <c r="EK93" s="860">
        <f t="shared" si="212"/>
        <v>369600</v>
      </c>
      <c r="EL93" s="861">
        <f t="shared" si="213"/>
        <v>0.12775388208381583</v>
      </c>
      <c r="EM93" s="1197"/>
      <c r="EN93" s="860"/>
      <c r="EO93" s="860"/>
      <c r="EP93" s="860">
        <f t="shared" si="214"/>
        <v>0</v>
      </c>
      <c r="EQ93" s="1197"/>
      <c r="ER93" s="1200"/>
      <c r="ES93" s="1197"/>
      <c r="ET93" s="1194" t="s">
        <v>249</v>
      </c>
      <c r="EU93" s="1197" t="b">
        <f t="shared" si="215"/>
        <v>1</v>
      </c>
      <c r="EV93" s="1197" t="s">
        <v>596</v>
      </c>
      <c r="EW93" s="1197" t="s">
        <v>482</v>
      </c>
      <c r="EX93" s="1197"/>
      <c r="EY93" s="1128" t="s">
        <v>587</v>
      </c>
      <c r="EZ93" s="1128" t="s">
        <v>484</v>
      </c>
      <c r="FA93" s="1169">
        <f t="shared" si="274"/>
        <v>0</v>
      </c>
      <c r="FI93" s="1309" t="s">
        <v>149</v>
      </c>
      <c r="FJ93" s="1159" t="s">
        <v>149</v>
      </c>
      <c r="FK93" s="1160" t="b">
        <f t="shared" si="275"/>
        <v>1</v>
      </c>
      <c r="FL93" s="1131"/>
      <c r="FM93" s="1161"/>
      <c r="FP93" s="1166"/>
      <c r="FQ93" s="1203"/>
      <c r="FU93" s="1295"/>
      <c r="FV93" s="1295"/>
      <c r="FW93" s="1023">
        <v>0.15</v>
      </c>
      <c r="FX93" s="1162">
        <v>14900.058723395507</v>
      </c>
      <c r="FY93" s="1163">
        <v>15365.685558501616</v>
      </c>
      <c r="GA93" s="1164">
        <f t="shared" si="276"/>
        <v>4000957.5080938023</v>
      </c>
      <c r="GB93" s="1165">
        <f t="shared" si="277"/>
        <v>0.15</v>
      </c>
      <c r="GC93" s="1154">
        <f t="shared" si="278"/>
        <v>600143.62621407036</v>
      </c>
      <c r="GD93" s="1164">
        <f t="shared" si="279"/>
        <v>30000</v>
      </c>
      <c r="GE93" s="1154">
        <f t="shared" si="280"/>
        <v>570143.62621407036</v>
      </c>
      <c r="GF93" s="1060">
        <f t="shared" si="281"/>
        <v>35</v>
      </c>
      <c r="GG93" s="1166">
        <f t="shared" si="282"/>
        <v>16289.817891830582</v>
      </c>
      <c r="GI93" s="1164">
        <f t="shared" si="283"/>
        <v>4000957.5080938023</v>
      </c>
      <c r="GJ93" s="1154">
        <f t="shared" si="284"/>
        <v>400095.75080938026</v>
      </c>
      <c r="GK93" s="1154">
        <f t="shared" si="285"/>
        <v>100023.93770234507</v>
      </c>
      <c r="GL93" s="1166">
        <v>15000</v>
      </c>
      <c r="GM93" s="1154">
        <f t="shared" si="286"/>
        <v>385095.75080938026</v>
      </c>
      <c r="GN93" s="1060">
        <f t="shared" si="287"/>
        <v>35</v>
      </c>
      <c r="GO93" s="1154">
        <f t="shared" si="288"/>
        <v>11002.735737410865</v>
      </c>
      <c r="GS93" s="1010">
        <f t="shared" si="289"/>
        <v>4000957.5080938023</v>
      </c>
      <c r="GT93" s="1011">
        <f t="shared" si="290"/>
        <v>0.125</v>
      </c>
      <c r="GU93" s="1010">
        <f t="shared" si="291"/>
        <v>500119.68851172528</v>
      </c>
      <c r="GV93" s="1010">
        <f t="shared" si="292"/>
        <v>30000</v>
      </c>
      <c r="GW93" s="1010">
        <f t="shared" si="293"/>
        <v>470119.68851172528</v>
      </c>
      <c r="GX93" s="1010">
        <f t="shared" si="294"/>
        <v>13</v>
      </c>
      <c r="GY93" s="1010">
        <f t="shared" si="295"/>
        <v>36163.052962440408</v>
      </c>
      <c r="GZ93" s="1011">
        <f t="shared" si="296"/>
        <v>0.875</v>
      </c>
      <c r="HA93" s="1010">
        <f t="shared" si="297"/>
        <v>3500837.8195820767</v>
      </c>
      <c r="HB93" s="1010">
        <f t="shared" si="298"/>
        <v>27141.958352962858</v>
      </c>
      <c r="HC93" s="1010">
        <f t="shared" si="299"/>
        <v>31466.520039097391</v>
      </c>
      <c r="HD93" s="1010">
        <f t="shared" si="300"/>
        <v>40647.695522271875</v>
      </c>
      <c r="HE93" s="1010">
        <f t="shared" si="301"/>
        <v>69320.784723109071</v>
      </c>
      <c r="HG93" s="1010">
        <f t="shared" si="302"/>
        <v>4000957.5080938023</v>
      </c>
      <c r="HH93" s="1011">
        <f t="shared" si="303"/>
        <v>0.125</v>
      </c>
      <c r="HI93" s="1010">
        <f t="shared" si="304"/>
        <v>500119.68851172528</v>
      </c>
      <c r="HJ93" s="1010">
        <f t="shared" si="305"/>
        <v>30000</v>
      </c>
      <c r="HK93" s="1010">
        <f t="shared" si="306"/>
        <v>470119.68851172528</v>
      </c>
      <c r="HL93" s="1012">
        <f t="shared" si="307"/>
        <v>33</v>
      </c>
      <c r="HM93" s="1167">
        <f t="shared" si="308"/>
        <v>14246.051167021978</v>
      </c>
      <c r="HN93" s="1168">
        <f t="shared" si="309"/>
        <v>0.875</v>
      </c>
      <c r="HO93" s="1167">
        <f t="shared" si="310"/>
        <v>3500837.8195820767</v>
      </c>
      <c r="HP93" s="1146">
        <f t="shared" si="311"/>
        <v>27141.958352962858</v>
      </c>
      <c r="HQ93" s="1146">
        <f t="shared" si="312"/>
        <v>31466.520039097391</v>
      </c>
      <c r="HR93" s="1146">
        <f t="shared" si="313"/>
        <v>40647.695522271875</v>
      </c>
      <c r="HS93" s="1146">
        <f t="shared" si="314"/>
        <v>69320.784723109071</v>
      </c>
      <c r="HU93" s="1167">
        <f t="shared" si="315"/>
        <v>-21917.00179541843</v>
      </c>
      <c r="HX93" s="1154"/>
      <c r="HY93" s="1154"/>
      <c r="IB93" s="1154"/>
      <c r="IC93" s="1154"/>
      <c r="ID93" s="1154"/>
      <c r="IE93" s="1154"/>
      <c r="IG93" s="1060"/>
    </row>
    <row r="94" spans="1:241" ht="14.25" hidden="1" customHeight="1">
      <c r="A94" s="1186">
        <f t="shared" si="330"/>
        <v>88</v>
      </c>
      <c r="B94" s="824" t="s">
        <v>149</v>
      </c>
      <c r="C94" s="855">
        <v>1</v>
      </c>
      <c r="D94" s="856" t="s">
        <v>507</v>
      </c>
      <c r="E94" s="857" t="str">
        <f t="shared" si="216"/>
        <v>7th Floor</v>
      </c>
      <c r="F94" s="1185"/>
      <c r="G94" s="764" t="s">
        <v>251</v>
      </c>
      <c r="H94" s="764" t="s">
        <v>475</v>
      </c>
      <c r="I94" s="764" t="s">
        <v>476</v>
      </c>
      <c r="J94" s="1139">
        <v>22</v>
      </c>
      <c r="K94" s="1142"/>
      <c r="L94" s="764" t="s">
        <v>344</v>
      </c>
      <c r="M94" s="764" t="s">
        <v>477</v>
      </c>
      <c r="N94" s="856">
        <f t="shared" si="217"/>
        <v>100909.09090909091</v>
      </c>
      <c r="O94" s="1138">
        <f t="shared" si="324"/>
        <v>2220000</v>
      </c>
      <c r="P94" s="1138">
        <f t="shared" si="331"/>
        <v>22400</v>
      </c>
      <c r="Q94" s="1138">
        <f t="shared" si="203"/>
        <v>50000</v>
      </c>
      <c r="R94" s="1138"/>
      <c r="S94" s="1138"/>
      <c r="T94" s="1138"/>
      <c r="U94" s="1138"/>
      <c r="V94" s="1138"/>
      <c r="W94" s="858">
        <f>J94*$W$5</f>
        <v>22000</v>
      </c>
      <c r="X94" s="1138"/>
      <c r="Y94" s="1138">
        <f>Y93+Y5</f>
        <v>60000</v>
      </c>
      <c r="Z94" s="1138">
        <f t="shared" si="327"/>
        <v>75000</v>
      </c>
      <c r="AA94" s="1138">
        <f t="shared" si="328"/>
        <v>229400</v>
      </c>
      <c r="AB94" s="1138">
        <f t="shared" si="218"/>
        <v>2449400</v>
      </c>
      <c r="AC94" s="1138">
        <f t="shared" si="219"/>
        <v>61235</v>
      </c>
      <c r="AD94" s="1138">
        <f t="shared" si="220"/>
        <v>2510635</v>
      </c>
      <c r="AE94" s="1138">
        <f t="shared" si="221"/>
        <v>62765.875</v>
      </c>
      <c r="AF94" s="1138">
        <f t="shared" si="222"/>
        <v>2573400.875</v>
      </c>
      <c r="AG94" s="1138">
        <f t="shared" si="223"/>
        <v>64335.021875000006</v>
      </c>
      <c r="AH94" s="1138">
        <f t="shared" si="224"/>
        <v>2637735.8968750001</v>
      </c>
      <c r="AI94" s="1138">
        <f t="shared" si="225"/>
        <v>131886.79484375002</v>
      </c>
      <c r="AJ94" s="1138">
        <f t="shared" si="226"/>
        <v>2769622.6917187502</v>
      </c>
      <c r="AK94" s="1138">
        <f t="shared" si="227"/>
        <v>27696.226917187501</v>
      </c>
      <c r="AL94" s="1138">
        <f t="shared" si="228"/>
        <v>27537.409960060559</v>
      </c>
      <c r="AM94" s="1138"/>
      <c r="AN94" s="1138"/>
      <c r="AO94" s="1138">
        <f t="shared" si="229"/>
        <v>2824856.3285959982</v>
      </c>
      <c r="AP94" s="1138">
        <f t="shared" si="230"/>
        <v>381355.60436045978</v>
      </c>
      <c r="AQ94" s="1248">
        <f t="shared" si="231"/>
        <v>3206211.9329564581</v>
      </c>
      <c r="AR94" s="1248">
        <f t="shared" si="336"/>
        <v>2876211.9329564581</v>
      </c>
      <c r="AS94" s="1248">
        <v>15000</v>
      </c>
      <c r="AT94" s="1248">
        <f t="shared" si="337"/>
        <v>330000</v>
      </c>
      <c r="AU94" s="1248">
        <f t="shared" si="232"/>
        <v>39600</v>
      </c>
      <c r="AV94" s="1140">
        <f t="shared" si="233"/>
        <v>369600</v>
      </c>
      <c r="AW94" s="1140">
        <f t="shared" si="234"/>
        <v>3245811.9329564581</v>
      </c>
      <c r="AX94" s="1139">
        <f t="shared" si="235"/>
        <v>40572.649161955727</v>
      </c>
      <c r="AY94" s="831" t="s">
        <v>478</v>
      </c>
      <c r="AZ94" s="831">
        <f t="shared" si="236"/>
        <v>3286384.5821184139</v>
      </c>
      <c r="BA94" s="831">
        <f t="shared" si="237"/>
        <v>123239.42182944051</v>
      </c>
      <c r="BB94" s="831"/>
      <c r="BC94" s="831">
        <f t="shared" si="189"/>
        <v>33600</v>
      </c>
      <c r="BD94" s="831"/>
      <c r="BE94" s="831">
        <f t="shared" si="238"/>
        <v>3443224.0039478545</v>
      </c>
      <c r="BF94" s="831"/>
      <c r="BG94" s="831">
        <f t="shared" si="239"/>
        <v>3443224.0039478545</v>
      </c>
      <c r="BH94" s="831"/>
      <c r="BI94" s="831">
        <f t="shared" si="240"/>
        <v>3443224.0039478545</v>
      </c>
      <c r="BJ94" s="831"/>
      <c r="BK94" s="831">
        <f t="shared" si="241"/>
        <v>3443224.0039478545</v>
      </c>
      <c r="BL94" s="831"/>
      <c r="BM94" s="831">
        <f t="shared" si="242"/>
        <v>3443224.0039478545</v>
      </c>
      <c r="BN94" s="831"/>
      <c r="BO94" s="831">
        <f t="shared" si="243"/>
        <v>3443224.0039478545</v>
      </c>
      <c r="BP94" s="831"/>
      <c r="BQ94" s="831">
        <f t="shared" si="244"/>
        <v>3443224.0039478545</v>
      </c>
      <c r="BR94" s="831"/>
      <c r="BS94" s="831">
        <f t="shared" si="245"/>
        <v>3443224.0039478545</v>
      </c>
      <c r="BT94" s="831"/>
      <c r="BU94" s="831">
        <f t="shared" si="246"/>
        <v>3443224.0039478545</v>
      </c>
      <c r="BV94" s="831"/>
      <c r="BW94" s="831">
        <f t="shared" si="247"/>
        <v>56400</v>
      </c>
      <c r="BX94" s="831">
        <f t="shared" si="248"/>
        <v>3499624.0039478545</v>
      </c>
      <c r="BY94" s="831"/>
      <c r="BZ94" s="831">
        <f t="shared" si="249"/>
        <v>3499624.0039478545</v>
      </c>
      <c r="CA94" s="1260">
        <f t="shared" si="250"/>
        <v>3499624.0039478545</v>
      </c>
      <c r="CB94" s="1260">
        <f t="shared" si="251"/>
        <v>3499624.0039478545</v>
      </c>
      <c r="CC94" s="1260"/>
      <c r="CD94" s="1260">
        <f t="shared" si="252"/>
        <v>0</v>
      </c>
      <c r="CE94" s="1260">
        <f t="shared" si="253"/>
        <v>0</v>
      </c>
      <c r="CF94" s="1260">
        <f t="shared" si="254"/>
        <v>0</v>
      </c>
      <c r="CG94" s="1266">
        <f t="shared" si="255"/>
        <v>3499624.0039478545</v>
      </c>
      <c r="CH94" s="1141">
        <f t="shared" si="256"/>
        <v>3499624.0039478545</v>
      </c>
      <c r="CI94" s="1142">
        <f t="shared" si="257"/>
        <v>0</v>
      </c>
      <c r="CJ94" s="1141">
        <f t="shared" si="258"/>
        <v>358711.46040465508</v>
      </c>
      <c r="CK94" s="1141">
        <f t="shared" si="259"/>
        <v>122486.84013817491</v>
      </c>
      <c r="CL94" s="1143">
        <f t="shared" si="329"/>
        <v>3980822.3044906845</v>
      </c>
      <c r="CM94" s="1144">
        <f t="shared" si="260"/>
        <v>0.125</v>
      </c>
      <c r="CN94" s="1141">
        <f t="shared" si="261"/>
        <v>497602.78806133557</v>
      </c>
      <c r="CO94" s="1141">
        <f t="shared" si="262"/>
        <v>30000</v>
      </c>
      <c r="CP94" s="1141">
        <f t="shared" si="263"/>
        <v>467602.78806133557</v>
      </c>
      <c r="CQ94" s="1145">
        <f t="shared" si="264"/>
        <v>13</v>
      </c>
      <c r="CR94" s="1141">
        <f t="shared" si="265"/>
        <v>35969.44523548735</v>
      </c>
      <c r="CS94" s="1144">
        <f t="shared" si="266"/>
        <v>0.875</v>
      </c>
      <c r="CT94" s="1141">
        <f t="shared" si="267"/>
        <v>3483219.5164293488</v>
      </c>
      <c r="CU94" s="1146">
        <f t="shared" si="204"/>
        <v>27005.363836145654</v>
      </c>
      <c r="CV94" s="1146">
        <f t="shared" si="205"/>
        <v>31308.161749516184</v>
      </c>
      <c r="CW94" s="1146">
        <f t="shared" si="206"/>
        <v>40443.132083724282</v>
      </c>
      <c r="CX94" s="1146">
        <f t="shared" si="207"/>
        <v>68971.921204437836</v>
      </c>
      <c r="CY94" s="1146">
        <f t="shared" si="268"/>
        <v>282952.99278254929</v>
      </c>
      <c r="CZ94" s="1146">
        <f t="shared" si="269"/>
        <v>111963.12090089203</v>
      </c>
      <c r="DA94" s="1146">
        <f t="shared" si="270"/>
        <v>80869.376471244774</v>
      </c>
      <c r="DB94" s="1146">
        <f t="shared" si="271"/>
        <v>61545.318528423297</v>
      </c>
      <c r="DC94" s="1146"/>
      <c r="DD94" s="1146"/>
      <c r="DE94" s="1146"/>
      <c r="DF94" s="1146"/>
      <c r="DG94" s="1146"/>
      <c r="DH94" s="1146"/>
      <c r="DI94" s="1146"/>
      <c r="DJ94" s="1146"/>
      <c r="DK94" s="1146"/>
      <c r="DL94" s="1146"/>
      <c r="DM94" s="1146"/>
      <c r="DN94" s="1146"/>
      <c r="DO94" s="1146"/>
      <c r="DP94" s="1146"/>
      <c r="DQ94" s="1146"/>
      <c r="DR94" s="1146"/>
      <c r="DS94" s="1146"/>
      <c r="DT94" s="1146"/>
      <c r="DU94" s="1146"/>
      <c r="DV94" s="1146"/>
      <c r="DW94" s="1146"/>
      <c r="DX94" s="1146"/>
      <c r="DY94" s="1146"/>
      <c r="DZ94" s="1146"/>
      <c r="EA94" s="1147">
        <f t="shared" si="208"/>
        <v>0.11473424340493331</v>
      </c>
      <c r="EB94" s="1148">
        <f t="shared" si="272"/>
        <v>0</v>
      </c>
      <c r="EC94" s="1190">
        <f t="shared" si="316"/>
        <v>45839</v>
      </c>
      <c r="ED94" s="1031">
        <f t="shared" si="209"/>
        <v>20</v>
      </c>
      <c r="EE94" s="1191"/>
      <c r="EF94" s="1032">
        <f t="shared" si="210"/>
        <v>45904</v>
      </c>
      <c r="EG94" s="1029">
        <f t="shared" si="273"/>
        <v>22</v>
      </c>
      <c r="EH94" s="859" t="s">
        <v>490</v>
      </c>
      <c r="EI94" s="859" t="s">
        <v>480</v>
      </c>
      <c r="EJ94" s="860">
        <f t="shared" si="211"/>
        <v>16800</v>
      </c>
      <c r="EK94" s="860">
        <f t="shared" si="212"/>
        <v>369600</v>
      </c>
      <c r="EL94" s="861">
        <f t="shared" si="213"/>
        <v>0.1285023526135253</v>
      </c>
      <c r="EM94" s="1197"/>
      <c r="EN94" s="860"/>
      <c r="EO94" s="860"/>
      <c r="EP94" s="860">
        <f t="shared" si="214"/>
        <v>0</v>
      </c>
      <c r="EQ94" s="1197"/>
      <c r="ER94" s="1200"/>
      <c r="ES94" s="1197"/>
      <c r="ET94" s="1194" t="s">
        <v>251</v>
      </c>
      <c r="EU94" s="1197" t="b">
        <f t="shared" si="215"/>
        <v>1</v>
      </c>
      <c r="EV94" s="1197" t="s">
        <v>597</v>
      </c>
      <c r="EW94" s="1197" t="s">
        <v>482</v>
      </c>
      <c r="EX94" s="1197"/>
      <c r="EY94" s="1128" t="s">
        <v>587</v>
      </c>
      <c r="EZ94" s="1128" t="s">
        <v>484</v>
      </c>
      <c r="FA94" s="1169">
        <f t="shared" si="274"/>
        <v>0</v>
      </c>
      <c r="FI94" s="1309" t="s">
        <v>149</v>
      </c>
      <c r="FJ94" s="1159" t="s">
        <v>149</v>
      </c>
      <c r="FK94" s="1160" t="b">
        <f t="shared" si="275"/>
        <v>1</v>
      </c>
      <c r="FL94" s="1131"/>
      <c r="FM94" s="1161"/>
      <c r="FP94" s="1166"/>
      <c r="FQ94" s="1203"/>
      <c r="FU94" s="1295"/>
      <c r="FV94" s="1295"/>
      <c r="FW94" s="1023">
        <v>0.15</v>
      </c>
      <c r="FX94" s="1162">
        <v>14530.129871595576</v>
      </c>
      <c r="FY94" s="1163">
        <v>14984.196430082939</v>
      </c>
      <c r="GA94" s="1164">
        <f t="shared" si="276"/>
        <v>3980822.3044906845</v>
      </c>
      <c r="GB94" s="1165">
        <f t="shared" si="277"/>
        <v>0.15</v>
      </c>
      <c r="GC94" s="1154">
        <f t="shared" si="278"/>
        <v>597123.34567360266</v>
      </c>
      <c r="GD94" s="1164">
        <f t="shared" si="279"/>
        <v>30000</v>
      </c>
      <c r="GE94" s="1154">
        <f t="shared" si="280"/>
        <v>567123.34567360266</v>
      </c>
      <c r="GF94" s="1060">
        <f t="shared" si="281"/>
        <v>35</v>
      </c>
      <c r="GG94" s="1166">
        <f t="shared" si="282"/>
        <v>16203.524162102933</v>
      </c>
      <c r="GI94" s="1164">
        <f t="shared" si="283"/>
        <v>3980822.3044906845</v>
      </c>
      <c r="GJ94" s="1154">
        <f t="shared" si="284"/>
        <v>398082.23044906848</v>
      </c>
      <c r="GK94" s="1154">
        <f t="shared" si="285"/>
        <v>99520.557612267119</v>
      </c>
      <c r="GL94" s="1166">
        <v>15000</v>
      </c>
      <c r="GM94" s="1154">
        <f t="shared" si="286"/>
        <v>383082.23044906848</v>
      </c>
      <c r="GN94" s="1060">
        <f t="shared" si="287"/>
        <v>35</v>
      </c>
      <c r="GO94" s="1154">
        <f t="shared" si="288"/>
        <v>10945.2065842591</v>
      </c>
      <c r="GS94" s="1010">
        <f t="shared" si="289"/>
        <v>3980822.3044906845</v>
      </c>
      <c r="GT94" s="1011">
        <f t="shared" si="290"/>
        <v>0.125</v>
      </c>
      <c r="GU94" s="1010">
        <f t="shared" si="291"/>
        <v>497602.78806133557</v>
      </c>
      <c r="GV94" s="1010">
        <f t="shared" si="292"/>
        <v>30000</v>
      </c>
      <c r="GW94" s="1010">
        <f t="shared" si="293"/>
        <v>467602.78806133557</v>
      </c>
      <c r="GX94" s="1010">
        <f t="shared" si="294"/>
        <v>13</v>
      </c>
      <c r="GY94" s="1010">
        <f t="shared" si="295"/>
        <v>35969.44523548735</v>
      </c>
      <c r="GZ94" s="1011">
        <f t="shared" si="296"/>
        <v>0.875</v>
      </c>
      <c r="HA94" s="1010">
        <f t="shared" si="297"/>
        <v>3483219.5164293488</v>
      </c>
      <c r="HB94" s="1010">
        <f t="shared" si="298"/>
        <v>27005.363836145654</v>
      </c>
      <c r="HC94" s="1010">
        <f t="shared" si="299"/>
        <v>31308.161749516184</v>
      </c>
      <c r="HD94" s="1010">
        <f t="shared" si="300"/>
        <v>40443.132083724282</v>
      </c>
      <c r="HE94" s="1010">
        <f t="shared" si="301"/>
        <v>68971.921204437836</v>
      </c>
      <c r="HG94" s="1010">
        <f t="shared" si="302"/>
        <v>3980822.3044906845</v>
      </c>
      <c r="HH94" s="1011">
        <f t="shared" si="303"/>
        <v>0.125</v>
      </c>
      <c r="HI94" s="1010">
        <f t="shared" si="304"/>
        <v>497602.78806133557</v>
      </c>
      <c r="HJ94" s="1010">
        <f t="shared" si="305"/>
        <v>30000</v>
      </c>
      <c r="HK94" s="1010">
        <f t="shared" si="306"/>
        <v>467602.78806133557</v>
      </c>
      <c r="HL94" s="1012">
        <f t="shared" si="307"/>
        <v>33</v>
      </c>
      <c r="HM94" s="1167">
        <f t="shared" si="308"/>
        <v>14169.781456404107</v>
      </c>
      <c r="HN94" s="1168">
        <f t="shared" si="309"/>
        <v>0.875</v>
      </c>
      <c r="HO94" s="1167">
        <f t="shared" si="310"/>
        <v>3483219.5164293488</v>
      </c>
      <c r="HP94" s="1146">
        <f t="shared" si="311"/>
        <v>27005.363836145654</v>
      </c>
      <c r="HQ94" s="1146">
        <f t="shared" si="312"/>
        <v>31308.161749516184</v>
      </c>
      <c r="HR94" s="1146">
        <f t="shared" si="313"/>
        <v>40443.132083724282</v>
      </c>
      <c r="HS94" s="1146">
        <f t="shared" si="314"/>
        <v>68971.921204437836</v>
      </c>
      <c r="HU94" s="1167">
        <f t="shared" si="315"/>
        <v>-21799.663779083243</v>
      </c>
      <c r="HX94" s="1154"/>
      <c r="HY94" s="1154"/>
      <c r="IB94" s="1154"/>
      <c r="IC94" s="1154"/>
      <c r="ID94" s="1154"/>
      <c r="IE94" s="1154"/>
      <c r="IG94" s="1060"/>
    </row>
    <row r="95" spans="1:241" ht="14.25" hidden="1" customHeight="1">
      <c r="A95" s="1186">
        <f t="shared" si="330"/>
        <v>89</v>
      </c>
      <c r="B95" s="824" t="s">
        <v>149</v>
      </c>
      <c r="C95" s="855">
        <f>C94+1</f>
        <v>2</v>
      </c>
      <c r="D95" s="856" t="s">
        <v>507</v>
      </c>
      <c r="E95" s="857" t="str">
        <f t="shared" si="216"/>
        <v>7th Floor</v>
      </c>
      <c r="F95" s="1185"/>
      <c r="G95" s="764" t="s">
        <v>252</v>
      </c>
      <c r="H95" s="764" t="s">
        <v>489</v>
      </c>
      <c r="I95" s="764" t="s">
        <v>476</v>
      </c>
      <c r="J95" s="1139">
        <v>22</v>
      </c>
      <c r="K95" s="1142"/>
      <c r="L95" s="764" t="s">
        <v>344</v>
      </c>
      <c r="M95" s="764" t="s">
        <v>93</v>
      </c>
      <c r="N95" s="856">
        <f t="shared" si="217"/>
        <v>100909.09090909091</v>
      </c>
      <c r="O95" s="1138">
        <f t="shared" si="324"/>
        <v>2220000</v>
      </c>
      <c r="P95" s="1138">
        <f t="shared" si="331"/>
        <v>22400</v>
      </c>
      <c r="Q95" s="1138">
        <f t="shared" si="203"/>
        <v>50000</v>
      </c>
      <c r="R95" s="1138"/>
      <c r="S95" s="1138"/>
      <c r="T95" s="1138"/>
      <c r="U95" s="1138"/>
      <c r="V95" s="1138"/>
      <c r="W95" s="858"/>
      <c r="X95" s="1138"/>
      <c r="Y95" s="1138">
        <f>$Y$94</f>
        <v>60000</v>
      </c>
      <c r="Z95" s="1138">
        <f t="shared" si="327"/>
        <v>75000</v>
      </c>
      <c r="AA95" s="1138">
        <f t="shared" si="328"/>
        <v>207400</v>
      </c>
      <c r="AB95" s="1138">
        <f t="shared" si="218"/>
        <v>2427400</v>
      </c>
      <c r="AC95" s="1138">
        <f t="shared" si="219"/>
        <v>60685</v>
      </c>
      <c r="AD95" s="1138">
        <f t="shared" si="220"/>
        <v>2488085</v>
      </c>
      <c r="AE95" s="1138">
        <f t="shared" si="221"/>
        <v>62202.125</v>
      </c>
      <c r="AF95" s="1138">
        <f t="shared" si="222"/>
        <v>2550287.125</v>
      </c>
      <c r="AG95" s="1138">
        <f t="shared" si="223"/>
        <v>63757.178125000006</v>
      </c>
      <c r="AH95" s="1138">
        <f t="shared" si="224"/>
        <v>2614044.3031250001</v>
      </c>
      <c r="AI95" s="1138">
        <f t="shared" si="225"/>
        <v>130702.21515625001</v>
      </c>
      <c r="AJ95" s="1138">
        <f t="shared" si="226"/>
        <v>2744746.5182812503</v>
      </c>
      <c r="AK95" s="1138">
        <f t="shared" si="227"/>
        <v>27447.465182812502</v>
      </c>
      <c r="AL95" s="1138">
        <f t="shared" si="228"/>
        <v>27537.409960060559</v>
      </c>
      <c r="AM95" s="1138"/>
      <c r="AN95" s="1138"/>
      <c r="AO95" s="1138">
        <f t="shared" si="229"/>
        <v>2799731.3934241231</v>
      </c>
      <c r="AP95" s="1138">
        <f t="shared" si="230"/>
        <v>377963.73811225663</v>
      </c>
      <c r="AQ95" s="1248">
        <f t="shared" si="231"/>
        <v>3177695.1315363795</v>
      </c>
      <c r="AR95" s="1248">
        <f>AQ95</f>
        <v>3177695.1315363795</v>
      </c>
      <c r="AS95" s="1248"/>
      <c r="AT95" s="1248"/>
      <c r="AU95" s="1248">
        <f t="shared" si="232"/>
        <v>0</v>
      </c>
      <c r="AV95" s="1140">
        <f t="shared" si="233"/>
        <v>0</v>
      </c>
      <c r="AW95" s="1140">
        <f t="shared" si="234"/>
        <v>3177695.1315363795</v>
      </c>
      <c r="AX95" s="1139">
        <f t="shared" si="235"/>
        <v>39721.189144204749</v>
      </c>
      <c r="AY95" s="831" t="s">
        <v>478</v>
      </c>
      <c r="AZ95" s="831">
        <f t="shared" si="236"/>
        <v>3217416.3206805843</v>
      </c>
      <c r="BA95" s="831">
        <f t="shared" si="237"/>
        <v>120653.1120255219</v>
      </c>
      <c r="BB95" s="831"/>
      <c r="BC95" s="831">
        <f t="shared" si="189"/>
        <v>33600</v>
      </c>
      <c r="BD95" s="831"/>
      <c r="BE95" s="831">
        <f t="shared" si="238"/>
        <v>3371669.432706106</v>
      </c>
      <c r="BF95" s="831"/>
      <c r="BG95" s="831">
        <f t="shared" si="239"/>
        <v>3371669.432706106</v>
      </c>
      <c r="BH95" s="831"/>
      <c r="BI95" s="831">
        <f t="shared" si="240"/>
        <v>3371669.432706106</v>
      </c>
      <c r="BJ95" s="831"/>
      <c r="BK95" s="831">
        <f t="shared" si="241"/>
        <v>3371669.432706106</v>
      </c>
      <c r="BL95" s="831"/>
      <c r="BM95" s="831">
        <f t="shared" si="242"/>
        <v>3371669.432706106</v>
      </c>
      <c r="BN95" s="831"/>
      <c r="BO95" s="831">
        <f t="shared" si="243"/>
        <v>3371669.432706106</v>
      </c>
      <c r="BP95" s="831"/>
      <c r="BQ95" s="831">
        <f t="shared" si="244"/>
        <v>3371669.432706106</v>
      </c>
      <c r="BR95" s="831"/>
      <c r="BS95" s="831">
        <f t="shared" si="245"/>
        <v>3371669.432706106</v>
      </c>
      <c r="BT95" s="831"/>
      <c r="BU95" s="831">
        <f t="shared" si="246"/>
        <v>3371669.432706106</v>
      </c>
      <c r="BV95" s="831"/>
      <c r="BW95" s="831">
        <f t="shared" si="247"/>
        <v>56400</v>
      </c>
      <c r="BX95" s="831">
        <f t="shared" si="248"/>
        <v>3428069.432706106</v>
      </c>
      <c r="BY95" s="831"/>
      <c r="BZ95" s="831">
        <f t="shared" si="249"/>
        <v>3428069.432706106</v>
      </c>
      <c r="CA95" s="1260">
        <f t="shared" si="250"/>
        <v>3428069.432706106</v>
      </c>
      <c r="CB95" s="1260">
        <f t="shared" si="251"/>
        <v>3428069.432706106</v>
      </c>
      <c r="CC95" s="1260"/>
      <c r="CD95" s="1260">
        <f t="shared" si="252"/>
        <v>0</v>
      </c>
      <c r="CE95" s="1260">
        <f t="shared" si="253"/>
        <v>0</v>
      </c>
      <c r="CF95" s="1260">
        <f t="shared" si="254"/>
        <v>0</v>
      </c>
      <c r="CG95" s="1266">
        <f t="shared" si="255"/>
        <v>3428069.432706106</v>
      </c>
      <c r="CH95" s="1141">
        <f t="shared" si="256"/>
        <v>3428069.432706106</v>
      </c>
      <c r="CI95" s="1142">
        <f t="shared" si="257"/>
        <v>0</v>
      </c>
      <c r="CJ95" s="1141">
        <f t="shared" si="258"/>
        <v>351377.11685237585</v>
      </c>
      <c r="CK95" s="1141">
        <f t="shared" si="259"/>
        <v>119982.43014471373</v>
      </c>
      <c r="CL95" s="1143">
        <f t="shared" si="329"/>
        <v>3899428.9797031954</v>
      </c>
      <c r="CM95" s="1144">
        <f t="shared" si="260"/>
        <v>0.125</v>
      </c>
      <c r="CN95" s="1141">
        <f t="shared" si="261"/>
        <v>487428.62246289942</v>
      </c>
      <c r="CO95" s="1141">
        <f t="shared" si="262"/>
        <v>30000</v>
      </c>
      <c r="CP95" s="1141">
        <f t="shared" si="263"/>
        <v>457428.62246289942</v>
      </c>
      <c r="CQ95" s="1145">
        <f t="shared" si="264"/>
        <v>13</v>
      </c>
      <c r="CR95" s="1141">
        <f t="shared" si="265"/>
        <v>35186.817112530727</v>
      </c>
      <c r="CS95" s="1144">
        <f t="shared" si="266"/>
        <v>0.875</v>
      </c>
      <c r="CT95" s="1141">
        <f t="shared" si="267"/>
        <v>3412000.357240296</v>
      </c>
      <c r="CU95" s="1146">
        <f t="shared" si="204"/>
        <v>26453.202452996211</v>
      </c>
      <c r="CV95" s="1146">
        <f t="shared" si="205"/>
        <v>30668.023812461583</v>
      </c>
      <c r="CW95" s="1146">
        <f t="shared" si="206"/>
        <v>39616.217257257282</v>
      </c>
      <c r="CX95" s="1146">
        <f t="shared" si="207"/>
        <v>67561.696493458643</v>
      </c>
      <c r="CY95" s="1146">
        <f t="shared" si="268"/>
        <v>277167.63411050761</v>
      </c>
      <c r="CZ95" s="1146">
        <f t="shared" si="269"/>
        <v>109673.88265646526</v>
      </c>
      <c r="DA95" s="1146">
        <f t="shared" si="270"/>
        <v>79215.892110222063</v>
      </c>
      <c r="DB95" s="1146">
        <f t="shared" si="271"/>
        <v>60286.940807196588</v>
      </c>
      <c r="DC95" s="1146"/>
      <c r="DD95" s="1146"/>
      <c r="DE95" s="1146"/>
      <c r="DF95" s="1146"/>
      <c r="DG95" s="1146"/>
      <c r="DH95" s="1146"/>
      <c r="DI95" s="1146"/>
      <c r="DJ95" s="1146"/>
      <c r="DK95" s="1146"/>
      <c r="DL95" s="1146"/>
      <c r="DM95" s="1146"/>
      <c r="DN95" s="1146"/>
      <c r="DO95" s="1146"/>
      <c r="DP95" s="1146"/>
      <c r="DQ95" s="1146"/>
      <c r="DR95" s="1146"/>
      <c r="DS95" s="1146"/>
      <c r="DT95" s="1146"/>
      <c r="DU95" s="1146"/>
      <c r="DV95" s="1146"/>
      <c r="DW95" s="1146"/>
      <c r="DX95" s="1146"/>
      <c r="DY95" s="1146"/>
      <c r="DZ95" s="1146"/>
      <c r="EA95" s="1147">
        <f t="shared" si="208"/>
        <v>0</v>
      </c>
      <c r="EB95" s="1148">
        <f t="shared" si="272"/>
        <v>0</v>
      </c>
      <c r="EC95" s="1190">
        <f t="shared" si="316"/>
        <v>45839</v>
      </c>
      <c r="ED95" s="1031">
        <f t="shared" si="209"/>
        <v>20</v>
      </c>
      <c r="EE95" s="1191"/>
      <c r="EF95" s="1032">
        <f t="shared" si="210"/>
        <v>45904</v>
      </c>
      <c r="EG95" s="1029">
        <f t="shared" si="273"/>
        <v>22</v>
      </c>
      <c r="EH95" s="859" t="s">
        <v>490</v>
      </c>
      <c r="EI95" s="859" t="s">
        <v>480</v>
      </c>
      <c r="EJ95" s="860">
        <f t="shared" si="211"/>
        <v>0</v>
      </c>
      <c r="EK95" s="860">
        <f t="shared" si="212"/>
        <v>0</v>
      </c>
      <c r="EL95" s="861">
        <f t="shared" si="213"/>
        <v>0</v>
      </c>
      <c r="EM95" s="1197"/>
      <c r="EN95" s="860"/>
      <c r="EO95" s="860"/>
      <c r="EP95" s="860">
        <f t="shared" si="214"/>
        <v>0</v>
      </c>
      <c r="EQ95" s="1197"/>
      <c r="ER95" s="1200"/>
      <c r="ES95" s="1197"/>
      <c r="ET95" s="1194" t="s">
        <v>252</v>
      </c>
      <c r="EU95" s="1197" t="b">
        <f t="shared" si="215"/>
        <v>1</v>
      </c>
      <c r="EV95" s="1197" t="s">
        <v>598</v>
      </c>
      <c r="EW95" s="1197" t="s">
        <v>482</v>
      </c>
      <c r="EX95" s="1197"/>
      <c r="EY95" s="1128" t="s">
        <v>483</v>
      </c>
      <c r="EZ95" s="1128" t="s">
        <v>484</v>
      </c>
      <c r="FA95" s="1169">
        <f t="shared" si="274"/>
        <v>0</v>
      </c>
      <c r="FI95" s="1309" t="s">
        <v>149</v>
      </c>
      <c r="FJ95" s="1159" t="s">
        <v>149</v>
      </c>
      <c r="FK95" s="1160" t="b">
        <f t="shared" si="275"/>
        <v>1</v>
      </c>
      <c r="FL95" s="1131"/>
      <c r="FM95" s="1161"/>
      <c r="FP95" s="1166"/>
      <c r="FQ95" s="1203"/>
      <c r="FU95" s="1295"/>
      <c r="FV95" s="1295"/>
      <c r="FW95" s="1023">
        <v>0.15</v>
      </c>
      <c r="FX95" s="1162">
        <v>14385.912743709012</v>
      </c>
      <c r="FY95" s="1163">
        <v>14835.472516949918</v>
      </c>
      <c r="GA95" s="1164">
        <f t="shared" si="276"/>
        <v>3899428.9797031954</v>
      </c>
      <c r="GB95" s="1165">
        <f t="shared" si="277"/>
        <v>0.15</v>
      </c>
      <c r="GC95" s="1154">
        <f t="shared" si="278"/>
        <v>584914.34695547924</v>
      </c>
      <c r="GD95" s="1164">
        <f t="shared" si="279"/>
        <v>30000</v>
      </c>
      <c r="GE95" s="1154">
        <f t="shared" si="280"/>
        <v>554914.34695547924</v>
      </c>
      <c r="GF95" s="1060">
        <f t="shared" si="281"/>
        <v>35</v>
      </c>
      <c r="GG95" s="1166">
        <f t="shared" si="282"/>
        <v>15854.695627299407</v>
      </c>
      <c r="GI95" s="1164">
        <f t="shared" si="283"/>
        <v>3899428.9797031954</v>
      </c>
      <c r="GJ95" s="1154">
        <f t="shared" si="284"/>
        <v>389942.89797031955</v>
      </c>
      <c r="GK95" s="1154">
        <f t="shared" si="285"/>
        <v>97485.724492579888</v>
      </c>
      <c r="GL95" s="1166">
        <v>15000</v>
      </c>
      <c r="GM95" s="1154">
        <f t="shared" si="286"/>
        <v>374942.89797031955</v>
      </c>
      <c r="GN95" s="1060">
        <f t="shared" si="287"/>
        <v>35</v>
      </c>
      <c r="GO95" s="1154">
        <f t="shared" si="288"/>
        <v>10712.654227723417</v>
      </c>
      <c r="GS95" s="1010">
        <f t="shared" si="289"/>
        <v>3899428.9797031954</v>
      </c>
      <c r="GT95" s="1011">
        <f t="shared" si="290"/>
        <v>0.125</v>
      </c>
      <c r="GU95" s="1010">
        <f t="shared" si="291"/>
        <v>487428.62246289942</v>
      </c>
      <c r="GV95" s="1010">
        <f t="shared" si="292"/>
        <v>30000</v>
      </c>
      <c r="GW95" s="1010">
        <f t="shared" si="293"/>
        <v>457428.62246289942</v>
      </c>
      <c r="GX95" s="1010">
        <f t="shared" si="294"/>
        <v>13</v>
      </c>
      <c r="GY95" s="1010">
        <f t="shared" si="295"/>
        <v>35186.817112530727</v>
      </c>
      <c r="GZ95" s="1011">
        <f t="shared" si="296"/>
        <v>0.875</v>
      </c>
      <c r="HA95" s="1010">
        <f t="shared" si="297"/>
        <v>3412000.357240296</v>
      </c>
      <c r="HB95" s="1010">
        <f t="shared" si="298"/>
        <v>26453.202452996211</v>
      </c>
      <c r="HC95" s="1010">
        <f t="shared" si="299"/>
        <v>30668.023812461583</v>
      </c>
      <c r="HD95" s="1010">
        <f t="shared" si="300"/>
        <v>39616.217257257282</v>
      </c>
      <c r="HE95" s="1010">
        <f t="shared" si="301"/>
        <v>67561.696493458643</v>
      </c>
      <c r="HG95" s="1010">
        <f t="shared" si="302"/>
        <v>3899428.9797031954</v>
      </c>
      <c r="HH95" s="1011">
        <f t="shared" si="303"/>
        <v>0.125</v>
      </c>
      <c r="HI95" s="1010">
        <f t="shared" si="304"/>
        <v>487428.62246289942</v>
      </c>
      <c r="HJ95" s="1010">
        <f t="shared" si="305"/>
        <v>30000</v>
      </c>
      <c r="HK95" s="1010">
        <f t="shared" si="306"/>
        <v>457428.62246289942</v>
      </c>
      <c r="HL95" s="1012">
        <f t="shared" si="307"/>
        <v>33</v>
      </c>
      <c r="HM95" s="1167">
        <f t="shared" si="308"/>
        <v>13861.473407966649</v>
      </c>
      <c r="HN95" s="1168">
        <f t="shared" si="309"/>
        <v>0.875</v>
      </c>
      <c r="HO95" s="1167">
        <f t="shared" si="310"/>
        <v>3412000.357240296</v>
      </c>
      <c r="HP95" s="1146">
        <f t="shared" si="311"/>
        <v>26453.202452996211</v>
      </c>
      <c r="HQ95" s="1146">
        <f t="shared" si="312"/>
        <v>30668.023812461583</v>
      </c>
      <c r="HR95" s="1146">
        <f t="shared" si="313"/>
        <v>39616.217257257282</v>
      </c>
      <c r="HS95" s="1146">
        <f t="shared" si="314"/>
        <v>67561.696493458643</v>
      </c>
      <c r="HU95" s="1167">
        <f t="shared" si="315"/>
        <v>-21325.343704564079</v>
      </c>
      <c r="HX95" s="1154"/>
      <c r="HY95" s="1154"/>
      <c r="IB95" s="1154"/>
      <c r="IC95" s="1154"/>
      <c r="ID95" s="1154"/>
      <c r="IE95" s="1154"/>
      <c r="IG95" s="1060"/>
    </row>
    <row r="96" spans="1:241" ht="14.25" customHeight="1">
      <c r="A96" s="1186">
        <f t="shared" si="330"/>
        <v>90</v>
      </c>
      <c r="B96" s="824" t="s">
        <v>149</v>
      </c>
      <c r="C96" s="855">
        <f t="shared" ref="C96:C111" si="338">C95+1</f>
        <v>3</v>
      </c>
      <c r="D96" s="856" t="s">
        <v>507</v>
      </c>
      <c r="E96" s="857" t="str">
        <f t="shared" si="216"/>
        <v>7th Floor</v>
      </c>
      <c r="F96" s="1185"/>
      <c r="G96" s="764" t="s">
        <v>253</v>
      </c>
      <c r="H96" s="764" t="s">
        <v>493</v>
      </c>
      <c r="I96" s="764" t="s">
        <v>476</v>
      </c>
      <c r="J96" s="1139">
        <v>22</v>
      </c>
      <c r="K96" s="1142"/>
      <c r="L96" s="764" t="s">
        <v>344</v>
      </c>
      <c r="M96" s="764" t="s">
        <v>477</v>
      </c>
      <c r="N96" s="856">
        <f t="shared" si="217"/>
        <v>100909.09090909091</v>
      </c>
      <c r="O96" s="1138">
        <f t="shared" si="324"/>
        <v>2220000</v>
      </c>
      <c r="P96" s="1138">
        <f t="shared" si="331"/>
        <v>22400</v>
      </c>
      <c r="Q96" s="1138">
        <f t="shared" si="203"/>
        <v>50000</v>
      </c>
      <c r="R96" s="1138"/>
      <c r="S96" s="1138"/>
      <c r="T96" s="1138"/>
      <c r="U96" s="1138"/>
      <c r="V96" s="1138"/>
      <c r="W96" s="858">
        <f t="shared" ref="W96:W99" si="339">J96*$W$5</f>
        <v>22000</v>
      </c>
      <c r="X96" s="1138"/>
      <c r="Y96" s="1138">
        <f t="shared" ref="Y96:Y111" si="340">$Y$94</f>
        <v>60000</v>
      </c>
      <c r="Z96" s="1138">
        <f t="shared" si="327"/>
        <v>75000</v>
      </c>
      <c r="AA96" s="1138">
        <f t="shared" si="328"/>
        <v>229400</v>
      </c>
      <c r="AB96" s="1138">
        <f t="shared" si="218"/>
        <v>2449400</v>
      </c>
      <c r="AC96" s="1138">
        <f t="shared" si="219"/>
        <v>61235</v>
      </c>
      <c r="AD96" s="1138">
        <f t="shared" si="220"/>
        <v>2510635</v>
      </c>
      <c r="AE96" s="1138">
        <f t="shared" si="221"/>
        <v>62765.875</v>
      </c>
      <c r="AF96" s="1138">
        <f t="shared" si="222"/>
        <v>2573400.875</v>
      </c>
      <c r="AG96" s="1138">
        <f t="shared" si="223"/>
        <v>64335.021875000006</v>
      </c>
      <c r="AH96" s="1138">
        <f t="shared" si="224"/>
        <v>2637735.8968750001</v>
      </c>
      <c r="AI96" s="1138">
        <f t="shared" si="225"/>
        <v>131886.79484375002</v>
      </c>
      <c r="AJ96" s="1138">
        <f t="shared" si="226"/>
        <v>2769622.6917187502</v>
      </c>
      <c r="AK96" s="1138">
        <f t="shared" si="227"/>
        <v>27696.226917187501</v>
      </c>
      <c r="AL96" s="1138">
        <f t="shared" si="228"/>
        <v>27537.409960060559</v>
      </c>
      <c r="AM96" s="1138"/>
      <c r="AN96" s="1138"/>
      <c r="AO96" s="1138">
        <f t="shared" si="229"/>
        <v>2824856.3285959982</v>
      </c>
      <c r="AP96" s="1138">
        <f t="shared" si="230"/>
        <v>381355.60436045978</v>
      </c>
      <c r="AQ96" s="1248">
        <f t="shared" si="231"/>
        <v>3206211.9329564581</v>
      </c>
      <c r="AR96" s="1248">
        <f t="shared" ref="AR96:AR101" si="341">AQ96-AT96</f>
        <v>2876211.9329564581</v>
      </c>
      <c r="AS96" s="1248">
        <v>15000</v>
      </c>
      <c r="AT96" s="1248">
        <f t="shared" ref="AT96:AT101" si="342">AS96*J96</f>
        <v>330000</v>
      </c>
      <c r="AU96" s="1248">
        <f t="shared" si="232"/>
        <v>39600</v>
      </c>
      <c r="AV96" s="1140">
        <f t="shared" si="233"/>
        <v>369600</v>
      </c>
      <c r="AW96" s="1140">
        <f t="shared" si="234"/>
        <v>3245811.9329564581</v>
      </c>
      <c r="AX96" s="1139">
        <f t="shared" si="235"/>
        <v>40572.649161955727</v>
      </c>
      <c r="AY96" s="831">
        <v>13444.671373913045</v>
      </c>
      <c r="AZ96" s="831">
        <f t="shared" si="236"/>
        <v>3299829.2534923269</v>
      </c>
      <c r="BA96" s="831">
        <f t="shared" si="237"/>
        <v>123743.59700596225</v>
      </c>
      <c r="BB96" s="831"/>
      <c r="BC96" s="831">
        <f t="shared" si="189"/>
        <v>33600</v>
      </c>
      <c r="BD96" s="831">
        <v>8990.8965517241377</v>
      </c>
      <c r="BE96" s="831">
        <f t="shared" si="238"/>
        <v>3466163.7470500134</v>
      </c>
      <c r="BF96" s="831">
        <v>42723.767172413798</v>
      </c>
      <c r="BG96" s="831">
        <f t="shared" si="239"/>
        <v>3508887.5142224273</v>
      </c>
      <c r="BH96" s="831"/>
      <c r="BI96" s="831">
        <f t="shared" si="240"/>
        <v>3508887.5142224273</v>
      </c>
      <c r="BJ96" s="831"/>
      <c r="BK96" s="831">
        <f t="shared" si="241"/>
        <v>3508887.5142224273</v>
      </c>
      <c r="BL96" s="831"/>
      <c r="BM96" s="831">
        <f t="shared" si="242"/>
        <v>3508887.5142224273</v>
      </c>
      <c r="BN96" s="831"/>
      <c r="BO96" s="831">
        <f t="shared" si="243"/>
        <v>3508887.5142224273</v>
      </c>
      <c r="BP96" s="831">
        <f>$BP$5/37</f>
        <v>5065.3710270270276</v>
      </c>
      <c r="BQ96" s="831">
        <f t="shared" si="244"/>
        <v>3513952.8852494545</v>
      </c>
      <c r="BR96" s="831">
        <f>$BR$5/42</f>
        <v>3544.6104</v>
      </c>
      <c r="BS96" s="831">
        <f t="shared" si="245"/>
        <v>3517497.4956494546</v>
      </c>
      <c r="BT96" s="831">
        <f>$BT$5/41</f>
        <v>1609.3168000000001</v>
      </c>
      <c r="BU96" s="831">
        <f t="shared" si="246"/>
        <v>3519106.8124494548</v>
      </c>
      <c r="BV96" s="831">
        <f>$BV$5/43</f>
        <v>1163.3400930232558</v>
      </c>
      <c r="BW96" s="831">
        <f t="shared" si="247"/>
        <v>56400</v>
      </c>
      <c r="BX96" s="831">
        <f t="shared" si="248"/>
        <v>3576670.1525424779</v>
      </c>
      <c r="BY96" s="831">
        <f>$BY$5/44</f>
        <v>30549.183723443901</v>
      </c>
      <c r="BZ96" s="831">
        <f t="shared" si="249"/>
        <v>3607219.3362659221</v>
      </c>
      <c r="CA96" s="1260">
        <f t="shared" si="250"/>
        <v>3607219.3362659221</v>
      </c>
      <c r="CB96" s="1260">
        <f t="shared" si="251"/>
        <v>3431219.3362659221</v>
      </c>
      <c r="CC96" s="1260">
        <v>8000</v>
      </c>
      <c r="CD96" s="1260">
        <f t="shared" si="252"/>
        <v>176000</v>
      </c>
      <c r="CE96" s="1260">
        <f t="shared" si="253"/>
        <v>21120</v>
      </c>
      <c r="CF96" s="1260">
        <f t="shared" si="254"/>
        <v>197120</v>
      </c>
      <c r="CG96" s="1266">
        <f t="shared" si="255"/>
        <v>3628339.3362659221</v>
      </c>
      <c r="CH96" s="1141">
        <f t="shared" si="256"/>
        <v>3628339.3362659221</v>
      </c>
      <c r="CI96" s="1142">
        <f t="shared" si="257"/>
        <v>0</v>
      </c>
      <c r="CJ96" s="1141">
        <f t="shared" si="258"/>
        <v>371904.78196725697</v>
      </c>
      <c r="CK96" s="1141">
        <f t="shared" si="259"/>
        <v>126991.87676930729</v>
      </c>
      <c r="CL96" s="1143">
        <f t="shared" si="329"/>
        <v>4127235.9950024863</v>
      </c>
      <c r="CM96" s="1144">
        <f t="shared" si="260"/>
        <v>0.125</v>
      </c>
      <c r="CN96" s="1141">
        <f t="shared" si="261"/>
        <v>515904.49937531078</v>
      </c>
      <c r="CO96" s="1141">
        <f t="shared" si="262"/>
        <v>30000</v>
      </c>
      <c r="CP96" s="1141">
        <f t="shared" si="263"/>
        <v>485904.49937531078</v>
      </c>
      <c r="CQ96" s="1145">
        <f t="shared" si="264"/>
        <v>13</v>
      </c>
      <c r="CR96" s="1141">
        <f t="shared" si="265"/>
        <v>37377.269182716213</v>
      </c>
      <c r="CS96" s="1144">
        <f t="shared" si="266"/>
        <v>0.875</v>
      </c>
      <c r="CT96" s="1141">
        <f t="shared" si="267"/>
        <v>3611331.4956271756</v>
      </c>
      <c r="CU96" s="1146">
        <f t="shared" si="204"/>
        <v>27998.614647266677</v>
      </c>
      <c r="CV96" s="1146">
        <f t="shared" si="205"/>
        <v>32459.66843689483</v>
      </c>
      <c r="CW96" s="1146">
        <f t="shared" si="206"/>
        <v>41930.620791159046</v>
      </c>
      <c r="CX96" s="1146">
        <f t="shared" si="207"/>
        <v>71508.69193993113</v>
      </c>
      <c r="CY96" s="1146">
        <f t="shared" si="268"/>
        <v>293359.93605854479</v>
      </c>
      <c r="CZ96" s="1146">
        <f t="shared" si="269"/>
        <v>116081.09766007221</v>
      </c>
      <c r="DA96" s="1146">
        <f t="shared" si="270"/>
        <v>83843.732760694402</v>
      </c>
      <c r="DB96" s="1146">
        <f t="shared" si="271"/>
        <v>63808.940596985776</v>
      </c>
      <c r="DC96" s="1146"/>
      <c r="DD96" s="1146"/>
      <c r="DE96" s="1146"/>
      <c r="DF96" s="1146"/>
      <c r="DG96" s="1146"/>
      <c r="DH96" s="1146"/>
      <c r="DI96" s="1146"/>
      <c r="DJ96" s="1146"/>
      <c r="DK96" s="1146"/>
      <c r="DL96" s="1146"/>
      <c r="DM96" s="1146"/>
      <c r="DN96" s="1146"/>
      <c r="DO96" s="1146"/>
      <c r="DP96" s="1146"/>
      <c r="DQ96" s="1146"/>
      <c r="DR96" s="1146"/>
      <c r="DS96" s="1146"/>
      <c r="DT96" s="1146"/>
      <c r="DU96" s="1146"/>
      <c r="DV96" s="1146"/>
      <c r="DW96" s="1146"/>
      <c r="DX96" s="1146"/>
      <c r="DY96" s="1146"/>
      <c r="DZ96" s="1146"/>
      <c r="EA96" s="1147">
        <f t="shared" si="208"/>
        <v>0.11473424340493331</v>
      </c>
      <c r="EB96" s="1148">
        <f t="shared" si="272"/>
        <v>5.7448965129264777E-2</v>
      </c>
      <c r="EC96" s="1190">
        <f t="shared" si="316"/>
        <v>45839</v>
      </c>
      <c r="ED96" s="1031">
        <f t="shared" si="209"/>
        <v>20</v>
      </c>
      <c r="EE96" s="1191"/>
      <c r="EF96" s="1032">
        <f t="shared" si="210"/>
        <v>45904</v>
      </c>
      <c r="EG96" s="1029">
        <f t="shared" si="273"/>
        <v>22</v>
      </c>
      <c r="EH96" s="859" t="s">
        <v>490</v>
      </c>
      <c r="EI96" s="859" t="s">
        <v>480</v>
      </c>
      <c r="EJ96" s="860">
        <f t="shared" si="211"/>
        <v>16800</v>
      </c>
      <c r="EK96" s="860">
        <f t="shared" si="212"/>
        <v>369600</v>
      </c>
      <c r="EL96" s="861">
        <f t="shared" si="213"/>
        <v>0.1285023526135253</v>
      </c>
      <c r="EM96" s="1197"/>
      <c r="EN96" s="860"/>
      <c r="EO96" s="860"/>
      <c r="EP96" s="860">
        <f t="shared" si="214"/>
        <v>0</v>
      </c>
      <c r="EQ96" s="1197"/>
      <c r="ER96" s="1200"/>
      <c r="ES96" s="1197"/>
      <c r="ET96" s="1194" t="s">
        <v>253</v>
      </c>
      <c r="EU96" s="1197" t="b">
        <f t="shared" si="215"/>
        <v>1</v>
      </c>
      <c r="EV96" s="1197" t="s">
        <v>599</v>
      </c>
      <c r="EW96" s="1197" t="s">
        <v>482</v>
      </c>
      <c r="EX96" s="1197"/>
      <c r="EY96" s="1128" t="s">
        <v>587</v>
      </c>
      <c r="EZ96" s="1128" t="s">
        <v>484</v>
      </c>
      <c r="FA96" s="1169">
        <f t="shared" si="274"/>
        <v>-21120</v>
      </c>
      <c r="FI96" s="1309" t="s">
        <v>96</v>
      </c>
      <c r="FJ96" s="1159" t="s">
        <v>96</v>
      </c>
      <c r="FK96" s="1160" t="b">
        <f t="shared" si="275"/>
        <v>1</v>
      </c>
      <c r="FL96" s="1131"/>
      <c r="FM96" s="1161"/>
      <c r="FP96" s="1166"/>
      <c r="FQ96" s="1203"/>
      <c r="FU96" s="1295"/>
      <c r="FV96" s="1295"/>
      <c r="FW96" s="1023">
        <v>0.15</v>
      </c>
      <c r="FX96" s="1162">
        <v>14530.129871595576</v>
      </c>
      <c r="FY96" s="1163">
        <v>14984.196430082939</v>
      </c>
      <c r="GA96" s="1164">
        <f t="shared" si="276"/>
        <v>4127235.9950024863</v>
      </c>
      <c r="GB96" s="1165">
        <f t="shared" si="277"/>
        <v>0.15</v>
      </c>
      <c r="GC96" s="1154">
        <f t="shared" si="278"/>
        <v>619085.3992503729</v>
      </c>
      <c r="GD96" s="1164">
        <f t="shared" si="279"/>
        <v>30000</v>
      </c>
      <c r="GE96" s="1154">
        <f t="shared" si="280"/>
        <v>589085.3992503729</v>
      </c>
      <c r="GF96" s="1060">
        <f t="shared" si="281"/>
        <v>35</v>
      </c>
      <c r="GG96" s="1166">
        <f t="shared" si="282"/>
        <v>16831.01140715351</v>
      </c>
      <c r="GI96" s="1164">
        <f t="shared" si="283"/>
        <v>4127235.9950024863</v>
      </c>
      <c r="GJ96" s="1154">
        <f t="shared" si="284"/>
        <v>412723.59950024867</v>
      </c>
      <c r="GK96" s="1154">
        <f t="shared" si="285"/>
        <v>103180.89987506217</v>
      </c>
      <c r="GL96" s="1166">
        <v>15000</v>
      </c>
      <c r="GM96" s="1154">
        <f t="shared" si="286"/>
        <v>397723.59950024867</v>
      </c>
      <c r="GN96" s="1060">
        <f t="shared" si="287"/>
        <v>35</v>
      </c>
      <c r="GO96" s="1154">
        <f t="shared" si="288"/>
        <v>11363.53141429282</v>
      </c>
      <c r="GS96" s="1010">
        <f t="shared" si="289"/>
        <v>4127235.9950024863</v>
      </c>
      <c r="GT96" s="1011">
        <f t="shared" si="290"/>
        <v>0.125</v>
      </c>
      <c r="GU96" s="1010">
        <f t="shared" si="291"/>
        <v>515904.49937531078</v>
      </c>
      <c r="GV96" s="1010">
        <f t="shared" si="292"/>
        <v>30000</v>
      </c>
      <c r="GW96" s="1010">
        <f t="shared" si="293"/>
        <v>485904.49937531078</v>
      </c>
      <c r="GX96" s="1010">
        <f t="shared" si="294"/>
        <v>13</v>
      </c>
      <c r="GY96" s="1010">
        <f t="shared" si="295"/>
        <v>37377.269182716213</v>
      </c>
      <c r="GZ96" s="1011">
        <f t="shared" si="296"/>
        <v>0.875</v>
      </c>
      <c r="HA96" s="1010">
        <f t="shared" si="297"/>
        <v>3611331.4956271756</v>
      </c>
      <c r="HB96" s="1010">
        <f t="shared" si="298"/>
        <v>27998.614647266677</v>
      </c>
      <c r="HC96" s="1010">
        <f t="shared" si="299"/>
        <v>32459.66843689483</v>
      </c>
      <c r="HD96" s="1010">
        <f t="shared" si="300"/>
        <v>41930.620791159046</v>
      </c>
      <c r="HE96" s="1010">
        <f t="shared" si="301"/>
        <v>71508.69193993113</v>
      </c>
      <c r="HG96" s="1010">
        <f t="shared" si="302"/>
        <v>4127235.9950024863</v>
      </c>
      <c r="HH96" s="1011">
        <f t="shared" si="303"/>
        <v>0.125</v>
      </c>
      <c r="HI96" s="1010">
        <f t="shared" si="304"/>
        <v>515904.49937531078</v>
      </c>
      <c r="HJ96" s="1010">
        <f t="shared" si="305"/>
        <v>30000</v>
      </c>
      <c r="HK96" s="1010">
        <f t="shared" si="306"/>
        <v>485904.49937531078</v>
      </c>
      <c r="HL96" s="1012">
        <f t="shared" si="307"/>
        <v>33</v>
      </c>
      <c r="HM96" s="1167">
        <f t="shared" si="308"/>
        <v>14724.378768948811</v>
      </c>
      <c r="HN96" s="1168">
        <f t="shared" si="309"/>
        <v>0.875</v>
      </c>
      <c r="HO96" s="1167">
        <f t="shared" si="310"/>
        <v>3611331.4956271756</v>
      </c>
      <c r="HP96" s="1146">
        <f t="shared" si="311"/>
        <v>27998.614647266677</v>
      </c>
      <c r="HQ96" s="1146">
        <f t="shared" si="312"/>
        <v>32459.66843689483</v>
      </c>
      <c r="HR96" s="1146">
        <f t="shared" si="313"/>
        <v>41930.620791159046</v>
      </c>
      <c r="HS96" s="1146">
        <f t="shared" si="314"/>
        <v>71508.69193993113</v>
      </c>
      <c r="HU96" s="1167">
        <f t="shared" si="315"/>
        <v>-22652.890413767404</v>
      </c>
      <c r="HX96" s="1154"/>
      <c r="HY96" s="1154"/>
      <c r="IB96" s="1154"/>
      <c r="IC96" s="1154"/>
      <c r="ID96" s="1154"/>
      <c r="IE96" s="1154"/>
      <c r="IG96" s="1060"/>
    </row>
    <row r="97" spans="1:241" ht="14.25" hidden="1" customHeight="1">
      <c r="A97" s="1186">
        <f t="shared" si="330"/>
        <v>91</v>
      </c>
      <c r="B97" s="824" t="s">
        <v>149</v>
      </c>
      <c r="C97" s="855">
        <f t="shared" si="338"/>
        <v>4</v>
      </c>
      <c r="D97" s="856" t="s">
        <v>507</v>
      </c>
      <c r="E97" s="857" t="str">
        <f t="shared" si="216"/>
        <v>7th Floor</v>
      </c>
      <c r="F97" s="1185"/>
      <c r="G97" s="764" t="s">
        <v>254</v>
      </c>
      <c r="H97" s="764" t="s">
        <v>496</v>
      </c>
      <c r="I97" s="764" t="s">
        <v>476</v>
      </c>
      <c r="J97" s="1139">
        <v>22</v>
      </c>
      <c r="K97" s="1142"/>
      <c r="L97" s="764" t="s">
        <v>344</v>
      </c>
      <c r="M97" s="764" t="s">
        <v>477</v>
      </c>
      <c r="N97" s="856">
        <f t="shared" si="217"/>
        <v>100909.09090909091</v>
      </c>
      <c r="O97" s="1138">
        <f t="shared" si="324"/>
        <v>2220000</v>
      </c>
      <c r="P97" s="1138">
        <f t="shared" si="331"/>
        <v>22400</v>
      </c>
      <c r="Q97" s="1138">
        <f t="shared" si="203"/>
        <v>50000</v>
      </c>
      <c r="R97" s="1138"/>
      <c r="S97" s="1138"/>
      <c r="T97" s="1138"/>
      <c r="U97" s="1138"/>
      <c r="V97" s="1138"/>
      <c r="W97" s="858">
        <f t="shared" si="339"/>
        <v>22000</v>
      </c>
      <c r="X97" s="1138"/>
      <c r="Y97" s="1138">
        <f t="shared" si="340"/>
        <v>60000</v>
      </c>
      <c r="Z97" s="1138">
        <f t="shared" si="327"/>
        <v>75000</v>
      </c>
      <c r="AA97" s="1138">
        <f t="shared" si="328"/>
        <v>229400</v>
      </c>
      <c r="AB97" s="1138">
        <f t="shared" si="218"/>
        <v>2449400</v>
      </c>
      <c r="AC97" s="1138">
        <f t="shared" si="219"/>
        <v>61235</v>
      </c>
      <c r="AD97" s="1138">
        <f t="shared" si="220"/>
        <v>2510635</v>
      </c>
      <c r="AE97" s="1138">
        <f t="shared" si="221"/>
        <v>62765.875</v>
      </c>
      <c r="AF97" s="1138">
        <f t="shared" si="222"/>
        <v>2573400.875</v>
      </c>
      <c r="AG97" s="1138">
        <f t="shared" si="223"/>
        <v>64335.021875000006</v>
      </c>
      <c r="AH97" s="1138">
        <f t="shared" si="224"/>
        <v>2637735.8968750001</v>
      </c>
      <c r="AI97" s="1138">
        <f t="shared" si="225"/>
        <v>131886.79484375002</v>
      </c>
      <c r="AJ97" s="1138">
        <f t="shared" si="226"/>
        <v>2769622.6917187502</v>
      </c>
      <c r="AK97" s="1138">
        <f t="shared" si="227"/>
        <v>27696.226917187501</v>
      </c>
      <c r="AL97" s="1138">
        <f t="shared" si="228"/>
        <v>27537.409960060559</v>
      </c>
      <c r="AM97" s="1138"/>
      <c r="AN97" s="1138"/>
      <c r="AO97" s="1138">
        <f t="shared" si="229"/>
        <v>2824856.3285959982</v>
      </c>
      <c r="AP97" s="1138">
        <f t="shared" si="230"/>
        <v>381355.60436045978</v>
      </c>
      <c r="AQ97" s="1248">
        <f t="shared" si="231"/>
        <v>3206211.9329564581</v>
      </c>
      <c r="AR97" s="1248">
        <f t="shared" si="341"/>
        <v>2876211.9329564581</v>
      </c>
      <c r="AS97" s="1248">
        <v>15000</v>
      </c>
      <c r="AT97" s="1248">
        <f t="shared" si="342"/>
        <v>330000</v>
      </c>
      <c r="AU97" s="1248">
        <f t="shared" si="232"/>
        <v>39600</v>
      </c>
      <c r="AV97" s="1140">
        <f t="shared" si="233"/>
        <v>369600</v>
      </c>
      <c r="AW97" s="1140">
        <f t="shared" si="234"/>
        <v>3245811.9329564581</v>
      </c>
      <c r="AX97" s="1139">
        <f t="shared" si="235"/>
        <v>40572.649161955727</v>
      </c>
      <c r="AY97" s="831" t="s">
        <v>478</v>
      </c>
      <c r="AZ97" s="831">
        <f t="shared" si="236"/>
        <v>3286384.5821184139</v>
      </c>
      <c r="BA97" s="831">
        <f t="shared" si="237"/>
        <v>123239.42182944051</v>
      </c>
      <c r="BB97" s="831"/>
      <c r="BC97" s="831">
        <f t="shared" si="189"/>
        <v>33600</v>
      </c>
      <c r="BD97" s="831"/>
      <c r="BE97" s="831">
        <f t="shared" si="238"/>
        <v>3443224.0039478545</v>
      </c>
      <c r="BF97" s="831"/>
      <c r="BG97" s="831">
        <f t="shared" si="239"/>
        <v>3443224.0039478545</v>
      </c>
      <c r="BH97" s="831"/>
      <c r="BI97" s="831">
        <f t="shared" si="240"/>
        <v>3443224.0039478545</v>
      </c>
      <c r="BJ97" s="831"/>
      <c r="BK97" s="831">
        <f t="shared" si="241"/>
        <v>3443224.0039478545</v>
      </c>
      <c r="BL97" s="831"/>
      <c r="BM97" s="831">
        <f t="shared" si="242"/>
        <v>3443224.0039478545</v>
      </c>
      <c r="BN97" s="831"/>
      <c r="BO97" s="831">
        <f t="shared" si="243"/>
        <v>3443224.0039478545</v>
      </c>
      <c r="BP97" s="831"/>
      <c r="BQ97" s="831">
        <f t="shared" si="244"/>
        <v>3443224.0039478545</v>
      </c>
      <c r="BR97" s="831"/>
      <c r="BS97" s="831">
        <f t="shared" si="245"/>
        <v>3443224.0039478545</v>
      </c>
      <c r="BT97" s="831"/>
      <c r="BU97" s="831">
        <f t="shared" si="246"/>
        <v>3443224.0039478545</v>
      </c>
      <c r="BV97" s="831"/>
      <c r="BW97" s="831">
        <f t="shared" si="247"/>
        <v>56400</v>
      </c>
      <c r="BX97" s="831">
        <f t="shared" si="248"/>
        <v>3499624.0039478545</v>
      </c>
      <c r="BY97" s="831"/>
      <c r="BZ97" s="831">
        <f t="shared" si="249"/>
        <v>3499624.0039478545</v>
      </c>
      <c r="CA97" s="1260">
        <f t="shared" si="250"/>
        <v>3499624.0039478545</v>
      </c>
      <c r="CB97" s="1260">
        <f t="shared" si="251"/>
        <v>3499624.0039478545</v>
      </c>
      <c r="CC97" s="1260"/>
      <c r="CD97" s="1260">
        <f t="shared" si="252"/>
        <v>0</v>
      </c>
      <c r="CE97" s="1260">
        <f t="shared" si="253"/>
        <v>0</v>
      </c>
      <c r="CF97" s="1260">
        <f t="shared" si="254"/>
        <v>0</v>
      </c>
      <c r="CG97" s="1266">
        <f t="shared" si="255"/>
        <v>3499624.0039478545</v>
      </c>
      <c r="CH97" s="1141">
        <f t="shared" si="256"/>
        <v>3499624.0039478545</v>
      </c>
      <c r="CI97" s="1142">
        <f t="shared" si="257"/>
        <v>0</v>
      </c>
      <c r="CJ97" s="1141">
        <f t="shared" si="258"/>
        <v>358711.46040465508</v>
      </c>
      <c r="CK97" s="1141">
        <f t="shared" si="259"/>
        <v>122486.84013817491</v>
      </c>
      <c r="CL97" s="1143">
        <f t="shared" si="329"/>
        <v>3980822.3044906845</v>
      </c>
      <c r="CM97" s="1144">
        <f t="shared" si="260"/>
        <v>0.125</v>
      </c>
      <c r="CN97" s="1141">
        <f t="shared" si="261"/>
        <v>497602.78806133557</v>
      </c>
      <c r="CO97" s="1141">
        <f t="shared" si="262"/>
        <v>30000</v>
      </c>
      <c r="CP97" s="1141">
        <f t="shared" si="263"/>
        <v>467602.78806133557</v>
      </c>
      <c r="CQ97" s="1145">
        <f t="shared" si="264"/>
        <v>13</v>
      </c>
      <c r="CR97" s="1141">
        <f t="shared" si="265"/>
        <v>35969.44523548735</v>
      </c>
      <c r="CS97" s="1144">
        <f t="shared" si="266"/>
        <v>0.875</v>
      </c>
      <c r="CT97" s="1141">
        <f t="shared" si="267"/>
        <v>3483219.5164293488</v>
      </c>
      <c r="CU97" s="1146">
        <f t="shared" si="204"/>
        <v>27005.363836145654</v>
      </c>
      <c r="CV97" s="1146">
        <f t="shared" si="205"/>
        <v>31308.161749516184</v>
      </c>
      <c r="CW97" s="1146">
        <f t="shared" si="206"/>
        <v>40443.132083724282</v>
      </c>
      <c r="CX97" s="1146">
        <f t="shared" si="207"/>
        <v>68971.921204437836</v>
      </c>
      <c r="CY97" s="1146">
        <f t="shared" si="268"/>
        <v>282952.99278254929</v>
      </c>
      <c r="CZ97" s="1146">
        <f t="shared" si="269"/>
        <v>111963.12090089203</v>
      </c>
      <c r="DA97" s="1146">
        <f t="shared" si="270"/>
        <v>80869.376471244774</v>
      </c>
      <c r="DB97" s="1146">
        <f t="shared" si="271"/>
        <v>61545.318528423297</v>
      </c>
      <c r="DC97" s="1146"/>
      <c r="DD97" s="1146"/>
      <c r="DE97" s="1146"/>
      <c r="DF97" s="1146"/>
      <c r="DG97" s="1146"/>
      <c r="DH97" s="1146"/>
      <c r="DI97" s="1146"/>
      <c r="DJ97" s="1146"/>
      <c r="DK97" s="1146"/>
      <c r="DL97" s="1146"/>
      <c r="DM97" s="1146"/>
      <c r="DN97" s="1146"/>
      <c r="DO97" s="1146"/>
      <c r="DP97" s="1146"/>
      <c r="DQ97" s="1146"/>
      <c r="DR97" s="1146"/>
      <c r="DS97" s="1146"/>
      <c r="DT97" s="1146"/>
      <c r="DU97" s="1146"/>
      <c r="DV97" s="1146"/>
      <c r="DW97" s="1146"/>
      <c r="DX97" s="1146"/>
      <c r="DY97" s="1146"/>
      <c r="DZ97" s="1146"/>
      <c r="EA97" s="1147">
        <f t="shared" si="208"/>
        <v>0.11473424340493331</v>
      </c>
      <c r="EB97" s="1148">
        <f t="shared" si="272"/>
        <v>0</v>
      </c>
      <c r="EC97" s="1190">
        <f t="shared" si="316"/>
        <v>45839</v>
      </c>
      <c r="ED97" s="1031">
        <f t="shared" si="209"/>
        <v>20</v>
      </c>
      <c r="EE97" s="1191"/>
      <c r="EF97" s="1032">
        <f t="shared" si="210"/>
        <v>45904</v>
      </c>
      <c r="EG97" s="1029">
        <f t="shared" si="273"/>
        <v>22</v>
      </c>
      <c r="EH97" s="859" t="s">
        <v>490</v>
      </c>
      <c r="EI97" s="859" t="s">
        <v>480</v>
      </c>
      <c r="EJ97" s="860">
        <f t="shared" si="211"/>
        <v>16800</v>
      </c>
      <c r="EK97" s="860">
        <f t="shared" si="212"/>
        <v>369600</v>
      </c>
      <c r="EL97" s="861">
        <f t="shared" si="213"/>
        <v>0.1285023526135253</v>
      </c>
      <c r="EM97" s="1197"/>
      <c r="EN97" s="860"/>
      <c r="EO97" s="860"/>
      <c r="EP97" s="860">
        <f t="shared" si="214"/>
        <v>0</v>
      </c>
      <c r="EQ97" s="1197"/>
      <c r="ER97" s="1200"/>
      <c r="ES97" s="1197"/>
      <c r="ET97" s="1194" t="s">
        <v>254</v>
      </c>
      <c r="EU97" s="1197" t="b">
        <f t="shared" si="215"/>
        <v>1</v>
      </c>
      <c r="EV97" s="1197" t="s">
        <v>600</v>
      </c>
      <c r="EW97" s="1197" t="s">
        <v>482</v>
      </c>
      <c r="EX97" s="1197"/>
      <c r="EY97" s="1128" t="s">
        <v>587</v>
      </c>
      <c r="EZ97" s="1128" t="s">
        <v>484</v>
      </c>
      <c r="FA97" s="1169">
        <f t="shared" si="274"/>
        <v>0</v>
      </c>
      <c r="FI97" s="1309" t="s">
        <v>149</v>
      </c>
      <c r="FJ97" s="1159" t="s">
        <v>149</v>
      </c>
      <c r="FK97" s="1160" t="b">
        <f t="shared" si="275"/>
        <v>1</v>
      </c>
      <c r="FL97" s="1131"/>
      <c r="FM97" s="1161"/>
      <c r="FP97" s="1166"/>
      <c r="FQ97" s="1203"/>
      <c r="FU97" s="1295"/>
      <c r="FV97" s="1295"/>
      <c r="FW97" s="1023">
        <v>0.15</v>
      </c>
      <c r="FX97" s="1162">
        <v>14530.129871595576</v>
      </c>
      <c r="FY97" s="1163">
        <v>14984.196430082939</v>
      </c>
      <c r="GA97" s="1164">
        <f t="shared" si="276"/>
        <v>3980822.3044906845</v>
      </c>
      <c r="GB97" s="1165">
        <f t="shared" si="277"/>
        <v>0.15</v>
      </c>
      <c r="GC97" s="1154">
        <f t="shared" si="278"/>
        <v>597123.34567360266</v>
      </c>
      <c r="GD97" s="1164">
        <f t="shared" si="279"/>
        <v>30000</v>
      </c>
      <c r="GE97" s="1154">
        <f t="shared" si="280"/>
        <v>567123.34567360266</v>
      </c>
      <c r="GF97" s="1060">
        <f t="shared" si="281"/>
        <v>35</v>
      </c>
      <c r="GG97" s="1166">
        <f t="shared" si="282"/>
        <v>16203.524162102933</v>
      </c>
      <c r="GI97" s="1164">
        <f t="shared" si="283"/>
        <v>3980822.3044906845</v>
      </c>
      <c r="GJ97" s="1154">
        <f t="shared" si="284"/>
        <v>398082.23044906848</v>
      </c>
      <c r="GK97" s="1154">
        <f t="shared" si="285"/>
        <v>99520.557612267119</v>
      </c>
      <c r="GL97" s="1166">
        <v>15000</v>
      </c>
      <c r="GM97" s="1154">
        <f t="shared" si="286"/>
        <v>383082.23044906848</v>
      </c>
      <c r="GN97" s="1060">
        <f t="shared" si="287"/>
        <v>35</v>
      </c>
      <c r="GO97" s="1154">
        <f t="shared" si="288"/>
        <v>10945.2065842591</v>
      </c>
      <c r="GS97" s="1010">
        <f t="shared" si="289"/>
        <v>3980822.3044906845</v>
      </c>
      <c r="GT97" s="1011">
        <f t="shared" si="290"/>
        <v>0.125</v>
      </c>
      <c r="GU97" s="1010">
        <f t="shared" si="291"/>
        <v>497602.78806133557</v>
      </c>
      <c r="GV97" s="1010">
        <f t="shared" si="292"/>
        <v>30000</v>
      </c>
      <c r="GW97" s="1010">
        <f t="shared" si="293"/>
        <v>467602.78806133557</v>
      </c>
      <c r="GX97" s="1010">
        <f t="shared" si="294"/>
        <v>13</v>
      </c>
      <c r="GY97" s="1010">
        <f t="shared" si="295"/>
        <v>35969.44523548735</v>
      </c>
      <c r="GZ97" s="1011">
        <f t="shared" si="296"/>
        <v>0.875</v>
      </c>
      <c r="HA97" s="1010">
        <f t="shared" si="297"/>
        <v>3483219.5164293488</v>
      </c>
      <c r="HB97" s="1010">
        <f t="shared" si="298"/>
        <v>27005.363836145654</v>
      </c>
      <c r="HC97" s="1010">
        <f t="shared" si="299"/>
        <v>31308.161749516184</v>
      </c>
      <c r="HD97" s="1010">
        <f t="shared" si="300"/>
        <v>40443.132083724282</v>
      </c>
      <c r="HE97" s="1010">
        <f t="shared" si="301"/>
        <v>68971.921204437836</v>
      </c>
      <c r="HG97" s="1010">
        <f t="shared" si="302"/>
        <v>3980822.3044906845</v>
      </c>
      <c r="HH97" s="1011">
        <f t="shared" si="303"/>
        <v>0.125</v>
      </c>
      <c r="HI97" s="1010">
        <f t="shared" si="304"/>
        <v>497602.78806133557</v>
      </c>
      <c r="HJ97" s="1010">
        <f t="shared" si="305"/>
        <v>30000</v>
      </c>
      <c r="HK97" s="1010">
        <f t="shared" si="306"/>
        <v>467602.78806133557</v>
      </c>
      <c r="HL97" s="1012">
        <f t="shared" si="307"/>
        <v>33</v>
      </c>
      <c r="HM97" s="1167">
        <f t="shared" si="308"/>
        <v>14169.781456404107</v>
      </c>
      <c r="HN97" s="1168">
        <f t="shared" si="309"/>
        <v>0.875</v>
      </c>
      <c r="HO97" s="1167">
        <f t="shared" si="310"/>
        <v>3483219.5164293488</v>
      </c>
      <c r="HP97" s="1146">
        <f t="shared" si="311"/>
        <v>27005.363836145654</v>
      </c>
      <c r="HQ97" s="1146">
        <f t="shared" si="312"/>
        <v>31308.161749516184</v>
      </c>
      <c r="HR97" s="1146">
        <f t="shared" si="313"/>
        <v>40443.132083724282</v>
      </c>
      <c r="HS97" s="1146">
        <f t="shared" si="314"/>
        <v>68971.921204437836</v>
      </c>
      <c r="HU97" s="1167">
        <f t="shared" si="315"/>
        <v>-21799.663779083243</v>
      </c>
      <c r="HX97" s="1154"/>
      <c r="HY97" s="1154"/>
      <c r="IB97" s="1154"/>
      <c r="IC97" s="1154"/>
      <c r="ID97" s="1154"/>
      <c r="IE97" s="1154"/>
      <c r="IG97" s="1060"/>
    </row>
    <row r="98" spans="1:241" ht="14.25" hidden="1" customHeight="1">
      <c r="A98" s="1186">
        <f t="shared" si="330"/>
        <v>92</v>
      </c>
      <c r="B98" s="824"/>
      <c r="C98" s="855">
        <f t="shared" si="338"/>
        <v>5</v>
      </c>
      <c r="D98" s="856" t="s">
        <v>507</v>
      </c>
      <c r="E98" s="857" t="str">
        <f t="shared" si="216"/>
        <v>7th Floor</v>
      </c>
      <c r="F98" s="1185"/>
      <c r="G98" s="764" t="s">
        <v>255</v>
      </c>
      <c r="H98" s="764" t="s">
        <v>499</v>
      </c>
      <c r="I98" s="764" t="s">
        <v>476</v>
      </c>
      <c r="J98" s="1139">
        <v>22</v>
      </c>
      <c r="K98" s="1142"/>
      <c r="L98" s="764" t="s">
        <v>344</v>
      </c>
      <c r="M98" s="764" t="s">
        <v>477</v>
      </c>
      <c r="N98" s="856">
        <f t="shared" si="217"/>
        <v>100909.09090909091</v>
      </c>
      <c r="O98" s="1138">
        <f t="shared" si="324"/>
        <v>2220000</v>
      </c>
      <c r="P98" s="1138">
        <f t="shared" si="331"/>
        <v>22400</v>
      </c>
      <c r="Q98" s="1138">
        <f t="shared" si="203"/>
        <v>50000</v>
      </c>
      <c r="R98" s="1138"/>
      <c r="S98" s="1138"/>
      <c r="T98" s="1138"/>
      <c r="U98" s="1138"/>
      <c r="V98" s="858"/>
      <c r="W98" s="858">
        <f t="shared" si="339"/>
        <v>22000</v>
      </c>
      <c r="X98" s="1138"/>
      <c r="Y98" s="1138">
        <f t="shared" si="340"/>
        <v>60000</v>
      </c>
      <c r="Z98" s="1138">
        <f t="shared" si="327"/>
        <v>75000</v>
      </c>
      <c r="AA98" s="1138">
        <f t="shared" si="328"/>
        <v>229400</v>
      </c>
      <c r="AB98" s="1138">
        <f t="shared" si="218"/>
        <v>2449400</v>
      </c>
      <c r="AC98" s="1138">
        <f t="shared" si="219"/>
        <v>61235</v>
      </c>
      <c r="AD98" s="1138">
        <f t="shared" si="220"/>
        <v>2510635</v>
      </c>
      <c r="AE98" s="1138">
        <f t="shared" si="221"/>
        <v>62765.875</v>
      </c>
      <c r="AF98" s="1138">
        <f t="shared" si="222"/>
        <v>2573400.875</v>
      </c>
      <c r="AG98" s="1138">
        <f t="shared" si="223"/>
        <v>64335.021875000006</v>
      </c>
      <c r="AH98" s="1138">
        <f t="shared" si="224"/>
        <v>2637735.8968750001</v>
      </c>
      <c r="AI98" s="1138">
        <f t="shared" si="225"/>
        <v>131886.79484375002</v>
      </c>
      <c r="AJ98" s="1138">
        <f t="shared" si="226"/>
        <v>2769622.6917187502</v>
      </c>
      <c r="AK98" s="1138">
        <f t="shared" si="227"/>
        <v>27696.226917187501</v>
      </c>
      <c r="AL98" s="1138">
        <f t="shared" si="228"/>
        <v>27537.409960060559</v>
      </c>
      <c r="AM98" s="1138"/>
      <c r="AN98" s="1138"/>
      <c r="AO98" s="1138">
        <f t="shared" si="229"/>
        <v>2824856.3285959982</v>
      </c>
      <c r="AP98" s="1138">
        <f t="shared" si="230"/>
        <v>381355.60436045978</v>
      </c>
      <c r="AQ98" s="1248">
        <f t="shared" si="231"/>
        <v>3206211.9329564581</v>
      </c>
      <c r="AR98" s="1248">
        <f t="shared" si="341"/>
        <v>2876211.9329564581</v>
      </c>
      <c r="AS98" s="1248">
        <v>15000</v>
      </c>
      <c r="AT98" s="1248">
        <f t="shared" si="342"/>
        <v>330000</v>
      </c>
      <c r="AU98" s="1248">
        <f t="shared" si="232"/>
        <v>39600</v>
      </c>
      <c r="AV98" s="1140">
        <f t="shared" si="233"/>
        <v>369600</v>
      </c>
      <c r="AW98" s="1140">
        <f t="shared" si="234"/>
        <v>3245811.9329564581</v>
      </c>
      <c r="AX98" s="1139">
        <f t="shared" si="235"/>
        <v>40572.649161955727</v>
      </c>
      <c r="AY98" s="831" t="s">
        <v>478</v>
      </c>
      <c r="AZ98" s="831">
        <f t="shared" si="236"/>
        <v>3286384.5821184139</v>
      </c>
      <c r="BA98" s="831">
        <f t="shared" si="237"/>
        <v>123239.42182944051</v>
      </c>
      <c r="BB98" s="831"/>
      <c r="BC98" s="831">
        <f t="shared" si="189"/>
        <v>33600</v>
      </c>
      <c r="BD98" s="831"/>
      <c r="BE98" s="831">
        <f t="shared" si="238"/>
        <v>3443224.0039478545</v>
      </c>
      <c r="BF98" s="831"/>
      <c r="BG98" s="831">
        <f t="shared" si="239"/>
        <v>3443224.0039478545</v>
      </c>
      <c r="BH98" s="831"/>
      <c r="BI98" s="831">
        <f t="shared" si="240"/>
        <v>3443224.0039478545</v>
      </c>
      <c r="BJ98" s="831"/>
      <c r="BK98" s="831">
        <f t="shared" si="241"/>
        <v>3443224.0039478545</v>
      </c>
      <c r="BL98" s="831"/>
      <c r="BM98" s="831">
        <f t="shared" si="242"/>
        <v>3443224.0039478545</v>
      </c>
      <c r="BN98" s="831"/>
      <c r="BO98" s="831">
        <f t="shared" si="243"/>
        <v>3443224.0039478545</v>
      </c>
      <c r="BP98" s="831"/>
      <c r="BQ98" s="831">
        <f t="shared" si="244"/>
        <v>3443224.0039478545</v>
      </c>
      <c r="BR98" s="831"/>
      <c r="BS98" s="831">
        <f t="shared" si="245"/>
        <v>3443224.0039478545</v>
      </c>
      <c r="BT98" s="831"/>
      <c r="BU98" s="831">
        <f t="shared" si="246"/>
        <v>3443224.0039478545</v>
      </c>
      <c r="BV98" s="831"/>
      <c r="BW98" s="831">
        <f t="shared" si="247"/>
        <v>56400</v>
      </c>
      <c r="BX98" s="831">
        <f t="shared" si="248"/>
        <v>3499624.0039478545</v>
      </c>
      <c r="BY98" s="831"/>
      <c r="BZ98" s="831">
        <f t="shared" si="249"/>
        <v>3499624.0039478545</v>
      </c>
      <c r="CA98" s="1260">
        <f t="shared" si="250"/>
        <v>3499624.0039478545</v>
      </c>
      <c r="CB98" s="1260">
        <f t="shared" si="251"/>
        <v>3499624.0039478545</v>
      </c>
      <c r="CC98" s="1260"/>
      <c r="CD98" s="1260">
        <f t="shared" si="252"/>
        <v>0</v>
      </c>
      <c r="CE98" s="1260">
        <f t="shared" si="253"/>
        <v>0</v>
      </c>
      <c r="CF98" s="1260">
        <f t="shared" si="254"/>
        <v>0</v>
      </c>
      <c r="CG98" s="1266">
        <f t="shared" si="255"/>
        <v>3499624.0039478545</v>
      </c>
      <c r="CH98" s="1141">
        <f t="shared" si="256"/>
        <v>3499624.0039478545</v>
      </c>
      <c r="CI98" s="1142">
        <f t="shared" si="257"/>
        <v>0</v>
      </c>
      <c r="CJ98" s="1141">
        <f t="shared" si="258"/>
        <v>358711.46040465508</v>
      </c>
      <c r="CK98" s="1141">
        <f t="shared" si="259"/>
        <v>122486.84013817491</v>
      </c>
      <c r="CL98" s="1143">
        <f t="shared" si="329"/>
        <v>3980822.3044906845</v>
      </c>
      <c r="CM98" s="1144">
        <f t="shared" si="260"/>
        <v>0.125</v>
      </c>
      <c r="CN98" s="1141">
        <f t="shared" si="261"/>
        <v>497602.78806133557</v>
      </c>
      <c r="CO98" s="1141">
        <f t="shared" si="262"/>
        <v>30000</v>
      </c>
      <c r="CP98" s="1141">
        <f t="shared" si="263"/>
        <v>467602.78806133557</v>
      </c>
      <c r="CQ98" s="1145">
        <f t="shared" si="264"/>
        <v>13</v>
      </c>
      <c r="CR98" s="1141">
        <f t="shared" si="265"/>
        <v>35969.44523548735</v>
      </c>
      <c r="CS98" s="1144">
        <f t="shared" si="266"/>
        <v>0.875</v>
      </c>
      <c r="CT98" s="1141">
        <f t="shared" si="267"/>
        <v>3483219.5164293488</v>
      </c>
      <c r="CU98" s="1146">
        <f t="shared" si="204"/>
        <v>27005.363836145654</v>
      </c>
      <c r="CV98" s="1146">
        <f t="shared" si="205"/>
        <v>31308.161749516184</v>
      </c>
      <c r="CW98" s="1146">
        <f t="shared" si="206"/>
        <v>40443.132083724282</v>
      </c>
      <c r="CX98" s="1146">
        <f t="shared" si="207"/>
        <v>68971.921204437836</v>
      </c>
      <c r="CY98" s="1146">
        <f t="shared" si="268"/>
        <v>282952.99278254929</v>
      </c>
      <c r="CZ98" s="1146">
        <f t="shared" si="269"/>
        <v>111963.12090089203</v>
      </c>
      <c r="DA98" s="1146">
        <f t="shared" si="270"/>
        <v>80869.376471244774</v>
      </c>
      <c r="DB98" s="1146">
        <f t="shared" si="271"/>
        <v>61545.318528423297</v>
      </c>
      <c r="DC98" s="1146"/>
      <c r="DD98" s="1146"/>
      <c r="DE98" s="1146"/>
      <c r="DF98" s="1146"/>
      <c r="DG98" s="1146"/>
      <c r="DH98" s="1146"/>
      <c r="DI98" s="1146"/>
      <c r="DJ98" s="1146"/>
      <c r="DK98" s="1146"/>
      <c r="DL98" s="1146"/>
      <c r="DM98" s="1146"/>
      <c r="DN98" s="1146"/>
      <c r="DO98" s="1146"/>
      <c r="DP98" s="1146"/>
      <c r="DQ98" s="1146"/>
      <c r="DR98" s="1146"/>
      <c r="DS98" s="1146"/>
      <c r="DT98" s="1146"/>
      <c r="DU98" s="1146"/>
      <c r="DV98" s="1146"/>
      <c r="DW98" s="1146"/>
      <c r="DX98" s="1146"/>
      <c r="DY98" s="1146"/>
      <c r="DZ98" s="1146"/>
      <c r="EA98" s="1147">
        <f t="shared" si="208"/>
        <v>0.11473424340493331</v>
      </c>
      <c r="EB98" s="1148">
        <f t="shared" si="272"/>
        <v>0</v>
      </c>
      <c r="EC98" s="1190">
        <f t="shared" si="316"/>
        <v>45839</v>
      </c>
      <c r="ED98" s="1031">
        <f t="shared" si="209"/>
        <v>20</v>
      </c>
      <c r="EE98" s="1191"/>
      <c r="EF98" s="1032">
        <f t="shared" si="210"/>
        <v>45904</v>
      </c>
      <c r="EG98" s="1029">
        <f t="shared" si="273"/>
        <v>22</v>
      </c>
      <c r="EH98" s="859" t="s">
        <v>490</v>
      </c>
      <c r="EI98" s="859" t="s">
        <v>480</v>
      </c>
      <c r="EJ98" s="860">
        <f t="shared" si="211"/>
        <v>16800</v>
      </c>
      <c r="EK98" s="860">
        <f t="shared" si="212"/>
        <v>369600</v>
      </c>
      <c r="EL98" s="861">
        <f t="shared" si="213"/>
        <v>0.1285023526135253</v>
      </c>
      <c r="EM98" s="1197"/>
      <c r="EN98" s="860"/>
      <c r="EO98" s="860"/>
      <c r="EP98" s="860">
        <f t="shared" si="214"/>
        <v>0</v>
      </c>
      <c r="EQ98" s="1197"/>
      <c r="ER98" s="1200"/>
      <c r="ES98" s="1197"/>
      <c r="ET98" s="1194" t="s">
        <v>255</v>
      </c>
      <c r="EU98" s="1197" t="b">
        <f t="shared" si="215"/>
        <v>1</v>
      </c>
      <c r="EV98" s="1197"/>
      <c r="EW98" s="1197"/>
      <c r="EX98" s="1197"/>
      <c r="EY98" s="1128" t="s">
        <v>587</v>
      </c>
      <c r="EZ98" s="1128" t="s">
        <v>484</v>
      </c>
      <c r="FA98" s="1169">
        <f t="shared" si="274"/>
        <v>0</v>
      </c>
      <c r="FI98" s="1309" t="s">
        <v>149</v>
      </c>
      <c r="FJ98" s="1159" t="s">
        <v>149</v>
      </c>
      <c r="FK98" s="1160" t="b">
        <f t="shared" si="275"/>
        <v>1</v>
      </c>
      <c r="FL98" s="1131"/>
      <c r="FM98" s="1161"/>
      <c r="FO98" s="888"/>
      <c r="FP98" s="1166"/>
      <c r="FQ98" s="1203"/>
      <c r="FU98" s="1295"/>
      <c r="FV98" s="1295"/>
      <c r="FW98" s="1023">
        <v>0.125</v>
      </c>
      <c r="FX98" s="1162">
        <v>12032.683983905405</v>
      </c>
      <c r="FY98" s="1163">
        <v>12408.705358402449</v>
      </c>
      <c r="GA98" s="1164">
        <f t="shared" si="276"/>
        <v>3980822.3044906845</v>
      </c>
      <c r="GB98" s="1165">
        <f t="shared" ref="GB98:GB100" si="343">FW98</f>
        <v>0.125</v>
      </c>
      <c r="GC98" s="1154">
        <f t="shared" si="278"/>
        <v>497602.78806133557</v>
      </c>
      <c r="GD98" s="1164">
        <f t="shared" si="279"/>
        <v>30000</v>
      </c>
      <c r="GE98" s="1154">
        <f t="shared" si="280"/>
        <v>467602.78806133557</v>
      </c>
      <c r="GF98" s="1060">
        <f t="shared" si="281"/>
        <v>35</v>
      </c>
      <c r="GG98" s="1166">
        <f t="shared" si="282"/>
        <v>13360.079658895302</v>
      </c>
      <c r="GI98" s="1164">
        <f t="shared" si="283"/>
        <v>3980822.3044906845</v>
      </c>
      <c r="GJ98" s="1154">
        <f t="shared" si="284"/>
        <v>398082.23044906848</v>
      </c>
      <c r="GK98" s="1154">
        <f t="shared" si="285"/>
        <v>99520.557612267119</v>
      </c>
      <c r="GL98" s="1166">
        <v>15000</v>
      </c>
      <c r="GM98" s="1154">
        <f t="shared" si="286"/>
        <v>383082.23044906848</v>
      </c>
      <c r="GN98" s="1060">
        <f t="shared" si="287"/>
        <v>35</v>
      </c>
      <c r="GO98" s="1154">
        <f t="shared" si="288"/>
        <v>10945.2065842591</v>
      </c>
      <c r="GS98" s="1010">
        <f t="shared" si="289"/>
        <v>3980822.3044906845</v>
      </c>
      <c r="GT98" s="1011">
        <f t="shared" si="290"/>
        <v>0.125</v>
      </c>
      <c r="GU98" s="1010">
        <f t="shared" si="291"/>
        <v>497602.78806133557</v>
      </c>
      <c r="GV98" s="1010">
        <f t="shared" si="292"/>
        <v>30000</v>
      </c>
      <c r="GW98" s="1010">
        <f t="shared" si="293"/>
        <v>467602.78806133557</v>
      </c>
      <c r="GX98" s="1010">
        <f t="shared" si="294"/>
        <v>13</v>
      </c>
      <c r="GY98" s="1010">
        <f t="shared" si="295"/>
        <v>35969.44523548735</v>
      </c>
      <c r="GZ98" s="1011">
        <f t="shared" si="296"/>
        <v>0.875</v>
      </c>
      <c r="HA98" s="1010">
        <f t="shared" si="297"/>
        <v>3483219.5164293488</v>
      </c>
      <c r="HB98" s="1010">
        <f t="shared" si="298"/>
        <v>27005.363836145654</v>
      </c>
      <c r="HC98" s="1010">
        <f t="shared" si="299"/>
        <v>31308.161749516184</v>
      </c>
      <c r="HD98" s="1010">
        <f t="shared" si="300"/>
        <v>40443.132083724282</v>
      </c>
      <c r="HE98" s="1010">
        <f t="shared" si="301"/>
        <v>68971.921204437836</v>
      </c>
      <c r="HG98" s="1010">
        <f t="shared" si="302"/>
        <v>3980822.3044906845</v>
      </c>
      <c r="HH98" s="1011">
        <f t="shared" si="303"/>
        <v>0.125</v>
      </c>
      <c r="HI98" s="1010">
        <f t="shared" si="304"/>
        <v>497602.78806133557</v>
      </c>
      <c r="HJ98" s="1010">
        <f t="shared" si="305"/>
        <v>30000</v>
      </c>
      <c r="HK98" s="1010">
        <f t="shared" si="306"/>
        <v>467602.78806133557</v>
      </c>
      <c r="HL98" s="1012">
        <f t="shared" si="307"/>
        <v>33</v>
      </c>
      <c r="HM98" s="1167">
        <f t="shared" si="308"/>
        <v>14169.781456404107</v>
      </c>
      <c r="HN98" s="1168">
        <f t="shared" si="309"/>
        <v>0.875</v>
      </c>
      <c r="HO98" s="1167">
        <f t="shared" si="310"/>
        <v>3483219.5164293488</v>
      </c>
      <c r="HP98" s="1146">
        <f t="shared" si="311"/>
        <v>27005.363836145654</v>
      </c>
      <c r="HQ98" s="1146">
        <f t="shared" si="312"/>
        <v>31308.161749516184</v>
      </c>
      <c r="HR98" s="1146">
        <f t="shared" si="313"/>
        <v>40443.132083724282</v>
      </c>
      <c r="HS98" s="1146">
        <f t="shared" si="314"/>
        <v>68971.921204437836</v>
      </c>
      <c r="HU98" s="1167">
        <f t="shared" si="315"/>
        <v>-21799.663779083243</v>
      </c>
      <c r="HX98" s="1154"/>
      <c r="HY98" s="1154"/>
      <c r="IB98" s="1154"/>
      <c r="IC98" s="1154"/>
      <c r="ID98" s="1154"/>
      <c r="IE98" s="1154"/>
      <c r="IG98" s="1060"/>
    </row>
    <row r="99" spans="1:241" ht="14.25" hidden="1" customHeight="1">
      <c r="A99" s="1186">
        <f t="shared" si="330"/>
        <v>93</v>
      </c>
      <c r="B99" s="824"/>
      <c r="C99" s="855">
        <f t="shared" si="338"/>
        <v>6</v>
      </c>
      <c r="D99" s="856" t="s">
        <v>507</v>
      </c>
      <c r="E99" s="857" t="str">
        <f t="shared" si="216"/>
        <v>7th Floor</v>
      </c>
      <c r="F99" s="1185"/>
      <c r="G99" s="764" t="s">
        <v>256</v>
      </c>
      <c r="H99" s="764" t="s">
        <v>503</v>
      </c>
      <c r="I99" s="764" t="s">
        <v>476</v>
      </c>
      <c r="J99" s="1139">
        <v>22</v>
      </c>
      <c r="K99" s="1142"/>
      <c r="L99" s="764" t="s">
        <v>344</v>
      </c>
      <c r="M99" s="764" t="s">
        <v>477</v>
      </c>
      <c r="N99" s="856">
        <f t="shared" si="217"/>
        <v>100909.09090909091</v>
      </c>
      <c r="O99" s="1138">
        <f t="shared" si="324"/>
        <v>2220000</v>
      </c>
      <c r="P99" s="1138">
        <f t="shared" si="331"/>
        <v>22400</v>
      </c>
      <c r="Q99" s="1138">
        <f t="shared" si="203"/>
        <v>50000</v>
      </c>
      <c r="R99" s="1138"/>
      <c r="S99" s="1138"/>
      <c r="T99" s="1138"/>
      <c r="U99" s="1138"/>
      <c r="V99" s="1138"/>
      <c r="W99" s="858">
        <f t="shared" si="339"/>
        <v>22000</v>
      </c>
      <c r="X99" s="1138"/>
      <c r="Y99" s="1138">
        <f t="shared" si="340"/>
        <v>60000</v>
      </c>
      <c r="Z99" s="1138">
        <f t="shared" si="327"/>
        <v>75000</v>
      </c>
      <c r="AA99" s="1138">
        <f t="shared" si="328"/>
        <v>229400</v>
      </c>
      <c r="AB99" s="1138">
        <f t="shared" si="218"/>
        <v>2449400</v>
      </c>
      <c r="AC99" s="1138">
        <f t="shared" si="219"/>
        <v>61235</v>
      </c>
      <c r="AD99" s="1138">
        <f t="shared" si="220"/>
        <v>2510635</v>
      </c>
      <c r="AE99" s="1138">
        <f t="shared" si="221"/>
        <v>62765.875</v>
      </c>
      <c r="AF99" s="1138">
        <f t="shared" si="222"/>
        <v>2573400.875</v>
      </c>
      <c r="AG99" s="1138">
        <f t="shared" si="223"/>
        <v>64335.021875000006</v>
      </c>
      <c r="AH99" s="1138">
        <f t="shared" si="224"/>
        <v>2637735.8968750001</v>
      </c>
      <c r="AI99" s="1138">
        <f t="shared" si="225"/>
        <v>131886.79484375002</v>
      </c>
      <c r="AJ99" s="1138">
        <f t="shared" si="226"/>
        <v>2769622.6917187502</v>
      </c>
      <c r="AK99" s="1138">
        <f t="shared" si="227"/>
        <v>27696.226917187501</v>
      </c>
      <c r="AL99" s="1138">
        <f t="shared" si="228"/>
        <v>27537.409960060559</v>
      </c>
      <c r="AM99" s="1138"/>
      <c r="AN99" s="1138"/>
      <c r="AO99" s="1138">
        <f t="shared" si="229"/>
        <v>2824856.3285959982</v>
      </c>
      <c r="AP99" s="1138">
        <f t="shared" si="230"/>
        <v>381355.60436045978</v>
      </c>
      <c r="AQ99" s="1248">
        <f t="shared" si="231"/>
        <v>3206211.9329564581</v>
      </c>
      <c r="AR99" s="1248">
        <f t="shared" si="341"/>
        <v>2876211.9329564581</v>
      </c>
      <c r="AS99" s="1248">
        <v>15000</v>
      </c>
      <c r="AT99" s="1248">
        <f t="shared" si="342"/>
        <v>330000</v>
      </c>
      <c r="AU99" s="1248">
        <f t="shared" si="232"/>
        <v>39600</v>
      </c>
      <c r="AV99" s="1140">
        <f t="shared" si="233"/>
        <v>369600</v>
      </c>
      <c r="AW99" s="1140">
        <f t="shared" si="234"/>
        <v>3245811.9329564581</v>
      </c>
      <c r="AX99" s="1139">
        <f t="shared" si="235"/>
        <v>40572.649161955727</v>
      </c>
      <c r="AY99" s="831" t="s">
        <v>478</v>
      </c>
      <c r="AZ99" s="831">
        <f t="shared" si="236"/>
        <v>3286384.5821184139</v>
      </c>
      <c r="BA99" s="831">
        <f t="shared" si="237"/>
        <v>123239.42182944051</v>
      </c>
      <c r="BB99" s="831"/>
      <c r="BC99" s="831">
        <f t="shared" si="189"/>
        <v>33600</v>
      </c>
      <c r="BD99" s="831"/>
      <c r="BE99" s="831">
        <f t="shared" si="238"/>
        <v>3443224.0039478545</v>
      </c>
      <c r="BF99" s="831"/>
      <c r="BG99" s="831">
        <f t="shared" si="239"/>
        <v>3443224.0039478545</v>
      </c>
      <c r="BH99" s="831"/>
      <c r="BI99" s="831">
        <f t="shared" si="240"/>
        <v>3443224.0039478545</v>
      </c>
      <c r="BJ99" s="831"/>
      <c r="BK99" s="831">
        <f t="shared" si="241"/>
        <v>3443224.0039478545</v>
      </c>
      <c r="BL99" s="831"/>
      <c r="BM99" s="831">
        <f t="shared" si="242"/>
        <v>3443224.0039478545</v>
      </c>
      <c r="BN99" s="831"/>
      <c r="BO99" s="831">
        <f t="shared" si="243"/>
        <v>3443224.0039478545</v>
      </c>
      <c r="BP99" s="831"/>
      <c r="BQ99" s="831">
        <f t="shared" si="244"/>
        <v>3443224.0039478545</v>
      </c>
      <c r="BR99" s="831"/>
      <c r="BS99" s="831">
        <f t="shared" si="245"/>
        <v>3443224.0039478545</v>
      </c>
      <c r="BT99" s="831"/>
      <c r="BU99" s="831">
        <f t="shared" si="246"/>
        <v>3443224.0039478545</v>
      </c>
      <c r="BV99" s="831"/>
      <c r="BW99" s="831">
        <f t="shared" si="247"/>
        <v>56400</v>
      </c>
      <c r="BX99" s="831">
        <f t="shared" si="248"/>
        <v>3499624.0039478545</v>
      </c>
      <c r="BY99" s="831"/>
      <c r="BZ99" s="831">
        <f t="shared" si="249"/>
        <v>3499624.0039478545</v>
      </c>
      <c r="CA99" s="1260">
        <f t="shared" si="250"/>
        <v>3499624.0039478545</v>
      </c>
      <c r="CB99" s="1260">
        <f t="shared" si="251"/>
        <v>3499624.0039478545</v>
      </c>
      <c r="CC99" s="1260"/>
      <c r="CD99" s="1260">
        <f t="shared" si="252"/>
        <v>0</v>
      </c>
      <c r="CE99" s="1260">
        <f t="shared" si="253"/>
        <v>0</v>
      </c>
      <c r="CF99" s="1260">
        <f t="shared" si="254"/>
        <v>0</v>
      </c>
      <c r="CG99" s="1266">
        <f t="shared" si="255"/>
        <v>3499624.0039478545</v>
      </c>
      <c r="CH99" s="1141">
        <f t="shared" si="256"/>
        <v>3499624.0039478545</v>
      </c>
      <c r="CI99" s="1142">
        <f t="shared" si="257"/>
        <v>0</v>
      </c>
      <c r="CJ99" s="1141">
        <f t="shared" si="258"/>
        <v>358711.46040465508</v>
      </c>
      <c r="CK99" s="1141">
        <f t="shared" si="259"/>
        <v>122486.84013817491</v>
      </c>
      <c r="CL99" s="1143">
        <f t="shared" si="329"/>
        <v>3980822.3044906845</v>
      </c>
      <c r="CM99" s="1144">
        <f t="shared" si="260"/>
        <v>0.125</v>
      </c>
      <c r="CN99" s="1141">
        <f t="shared" si="261"/>
        <v>497602.78806133557</v>
      </c>
      <c r="CO99" s="1141">
        <f t="shared" si="262"/>
        <v>30000</v>
      </c>
      <c r="CP99" s="1141">
        <f t="shared" si="263"/>
        <v>467602.78806133557</v>
      </c>
      <c r="CQ99" s="1145">
        <f t="shared" si="264"/>
        <v>13</v>
      </c>
      <c r="CR99" s="1141">
        <f t="shared" si="265"/>
        <v>35969.44523548735</v>
      </c>
      <c r="CS99" s="1144">
        <f t="shared" si="266"/>
        <v>0.875</v>
      </c>
      <c r="CT99" s="1141">
        <f t="shared" si="267"/>
        <v>3483219.5164293488</v>
      </c>
      <c r="CU99" s="1146">
        <f t="shared" si="204"/>
        <v>27005.363836145654</v>
      </c>
      <c r="CV99" s="1146">
        <f t="shared" si="205"/>
        <v>31308.161749516184</v>
      </c>
      <c r="CW99" s="1146">
        <f t="shared" si="206"/>
        <v>40443.132083724282</v>
      </c>
      <c r="CX99" s="1146">
        <f t="shared" si="207"/>
        <v>68971.921204437836</v>
      </c>
      <c r="CY99" s="1146">
        <f t="shared" si="268"/>
        <v>282952.99278254929</v>
      </c>
      <c r="CZ99" s="1146">
        <f t="shared" si="269"/>
        <v>111963.12090089203</v>
      </c>
      <c r="DA99" s="1146">
        <f t="shared" si="270"/>
        <v>80869.376471244774</v>
      </c>
      <c r="DB99" s="1146">
        <f t="shared" si="271"/>
        <v>61545.318528423297</v>
      </c>
      <c r="DC99" s="1146"/>
      <c r="DD99" s="1146"/>
      <c r="DE99" s="1146"/>
      <c r="DF99" s="1146"/>
      <c r="DG99" s="1146"/>
      <c r="DH99" s="1146"/>
      <c r="DI99" s="1146"/>
      <c r="DJ99" s="1146"/>
      <c r="DK99" s="1146"/>
      <c r="DL99" s="1146"/>
      <c r="DM99" s="1146"/>
      <c r="DN99" s="1146"/>
      <c r="DO99" s="1146"/>
      <c r="DP99" s="1146"/>
      <c r="DQ99" s="1146"/>
      <c r="DR99" s="1146"/>
      <c r="DS99" s="1146"/>
      <c r="DT99" s="1146"/>
      <c r="DU99" s="1146"/>
      <c r="DV99" s="1146"/>
      <c r="DW99" s="1146"/>
      <c r="DX99" s="1146"/>
      <c r="DY99" s="1146"/>
      <c r="DZ99" s="1146"/>
      <c r="EA99" s="1147">
        <f t="shared" si="208"/>
        <v>0.11473424340493331</v>
      </c>
      <c r="EB99" s="1148">
        <f t="shared" si="272"/>
        <v>0</v>
      </c>
      <c r="EC99" s="1190">
        <f t="shared" si="316"/>
        <v>45839</v>
      </c>
      <c r="ED99" s="1031">
        <f t="shared" si="209"/>
        <v>20</v>
      </c>
      <c r="EE99" s="1191"/>
      <c r="EF99" s="1032">
        <f t="shared" si="210"/>
        <v>45904</v>
      </c>
      <c r="EG99" s="1029">
        <f t="shared" si="273"/>
        <v>22</v>
      </c>
      <c r="EH99" s="859" t="s">
        <v>490</v>
      </c>
      <c r="EI99" s="859" t="s">
        <v>480</v>
      </c>
      <c r="EJ99" s="860">
        <f t="shared" si="211"/>
        <v>16800</v>
      </c>
      <c r="EK99" s="860">
        <f t="shared" si="212"/>
        <v>369600</v>
      </c>
      <c r="EL99" s="861">
        <f t="shared" si="213"/>
        <v>0.1285023526135253</v>
      </c>
      <c r="EM99" s="1197"/>
      <c r="EN99" s="860"/>
      <c r="EO99" s="860"/>
      <c r="EP99" s="860">
        <f t="shared" si="214"/>
        <v>0</v>
      </c>
      <c r="EQ99" s="1197"/>
      <c r="ER99" s="1200"/>
      <c r="ES99" s="1197"/>
      <c r="ET99" s="1194" t="s">
        <v>256</v>
      </c>
      <c r="EU99" s="1197" t="b">
        <f t="shared" si="215"/>
        <v>1</v>
      </c>
      <c r="EV99" s="1197"/>
      <c r="EW99" s="1197"/>
      <c r="EX99" s="1197"/>
      <c r="EY99" s="1128" t="s">
        <v>587</v>
      </c>
      <c r="EZ99" s="1128" t="s">
        <v>484</v>
      </c>
      <c r="FA99" s="1169">
        <f t="shared" si="274"/>
        <v>0</v>
      </c>
      <c r="FI99" s="1309" t="s">
        <v>149</v>
      </c>
      <c r="FJ99" s="1159" t="s">
        <v>149</v>
      </c>
      <c r="FK99" s="1160" t="b">
        <f t="shared" si="275"/>
        <v>1</v>
      </c>
      <c r="FL99" s="1131"/>
      <c r="FM99" s="1161"/>
      <c r="FO99" s="888"/>
      <c r="FP99" s="1166"/>
      <c r="FQ99" s="1203"/>
      <c r="FU99" s="1295"/>
      <c r="FV99" s="1295"/>
      <c r="FW99" s="1023">
        <v>0.125</v>
      </c>
      <c r="FX99" s="1162">
        <v>12032.683983905405</v>
      </c>
      <c r="FY99" s="1163">
        <v>12408.705358402449</v>
      </c>
      <c r="GA99" s="1164">
        <f t="shared" si="276"/>
        <v>3980822.3044906845</v>
      </c>
      <c r="GB99" s="1165">
        <f t="shared" si="343"/>
        <v>0.125</v>
      </c>
      <c r="GC99" s="1154">
        <f t="shared" si="278"/>
        <v>497602.78806133557</v>
      </c>
      <c r="GD99" s="1164">
        <f t="shared" si="279"/>
        <v>30000</v>
      </c>
      <c r="GE99" s="1154">
        <f t="shared" si="280"/>
        <v>467602.78806133557</v>
      </c>
      <c r="GF99" s="1060">
        <f t="shared" si="281"/>
        <v>35</v>
      </c>
      <c r="GG99" s="1166">
        <f t="shared" si="282"/>
        <v>13360.079658895302</v>
      </c>
      <c r="GI99" s="1164">
        <f t="shared" si="283"/>
        <v>3980822.3044906845</v>
      </c>
      <c r="GJ99" s="1154">
        <f t="shared" si="284"/>
        <v>398082.23044906848</v>
      </c>
      <c r="GK99" s="1154">
        <f t="shared" si="285"/>
        <v>99520.557612267119</v>
      </c>
      <c r="GL99" s="1166">
        <v>15000</v>
      </c>
      <c r="GM99" s="1154">
        <f t="shared" si="286"/>
        <v>383082.23044906848</v>
      </c>
      <c r="GN99" s="1060">
        <f t="shared" si="287"/>
        <v>35</v>
      </c>
      <c r="GO99" s="1154">
        <f t="shared" si="288"/>
        <v>10945.2065842591</v>
      </c>
      <c r="GS99" s="1010">
        <f t="shared" si="289"/>
        <v>3980822.3044906845</v>
      </c>
      <c r="GT99" s="1011">
        <f t="shared" si="290"/>
        <v>0.125</v>
      </c>
      <c r="GU99" s="1010">
        <f t="shared" si="291"/>
        <v>497602.78806133557</v>
      </c>
      <c r="GV99" s="1010">
        <f t="shared" si="292"/>
        <v>30000</v>
      </c>
      <c r="GW99" s="1010">
        <f t="shared" si="293"/>
        <v>467602.78806133557</v>
      </c>
      <c r="GX99" s="1010">
        <f t="shared" si="294"/>
        <v>13</v>
      </c>
      <c r="GY99" s="1010">
        <f t="shared" si="295"/>
        <v>35969.44523548735</v>
      </c>
      <c r="GZ99" s="1011">
        <f t="shared" si="296"/>
        <v>0.875</v>
      </c>
      <c r="HA99" s="1010">
        <f t="shared" si="297"/>
        <v>3483219.5164293488</v>
      </c>
      <c r="HB99" s="1010">
        <f t="shared" si="298"/>
        <v>27005.363836145654</v>
      </c>
      <c r="HC99" s="1010">
        <f t="shared" si="299"/>
        <v>31308.161749516184</v>
      </c>
      <c r="HD99" s="1010">
        <f t="shared" si="300"/>
        <v>40443.132083724282</v>
      </c>
      <c r="HE99" s="1010">
        <f t="shared" si="301"/>
        <v>68971.921204437836</v>
      </c>
      <c r="HG99" s="1010">
        <f t="shared" si="302"/>
        <v>3980822.3044906845</v>
      </c>
      <c r="HH99" s="1011">
        <f t="shared" si="303"/>
        <v>0.125</v>
      </c>
      <c r="HI99" s="1010">
        <f t="shared" si="304"/>
        <v>497602.78806133557</v>
      </c>
      <c r="HJ99" s="1010">
        <f t="shared" si="305"/>
        <v>30000</v>
      </c>
      <c r="HK99" s="1010">
        <f t="shared" si="306"/>
        <v>467602.78806133557</v>
      </c>
      <c r="HL99" s="1012">
        <f t="shared" si="307"/>
        <v>33</v>
      </c>
      <c r="HM99" s="1167">
        <f t="shared" si="308"/>
        <v>14169.781456404107</v>
      </c>
      <c r="HN99" s="1168">
        <f t="shared" si="309"/>
        <v>0.875</v>
      </c>
      <c r="HO99" s="1167">
        <f t="shared" si="310"/>
        <v>3483219.5164293488</v>
      </c>
      <c r="HP99" s="1146">
        <f t="shared" si="311"/>
        <v>27005.363836145654</v>
      </c>
      <c r="HQ99" s="1146">
        <f t="shared" si="312"/>
        <v>31308.161749516184</v>
      </c>
      <c r="HR99" s="1146">
        <f t="shared" si="313"/>
        <v>40443.132083724282</v>
      </c>
      <c r="HS99" s="1146">
        <f t="shared" si="314"/>
        <v>68971.921204437836</v>
      </c>
      <c r="HU99" s="1167">
        <f t="shared" si="315"/>
        <v>-21799.663779083243</v>
      </c>
      <c r="HX99" s="1154"/>
      <c r="HY99" s="1154"/>
      <c r="IB99" s="1154"/>
      <c r="IC99" s="1154"/>
      <c r="ID99" s="1154"/>
      <c r="IE99" s="1154"/>
      <c r="IG99" s="1060"/>
    </row>
    <row r="100" spans="1:241" ht="14.25" hidden="1" customHeight="1">
      <c r="A100" s="1186">
        <f t="shared" si="330"/>
        <v>94</v>
      </c>
      <c r="B100" s="824"/>
      <c r="C100" s="855">
        <f t="shared" si="338"/>
        <v>7</v>
      </c>
      <c r="D100" s="856" t="s">
        <v>507</v>
      </c>
      <c r="E100" s="857" t="str">
        <f t="shared" si="216"/>
        <v>7th Floor</v>
      </c>
      <c r="F100" s="1185"/>
      <c r="G100" s="764" t="s">
        <v>257</v>
      </c>
      <c r="H100" s="764" t="s">
        <v>506</v>
      </c>
      <c r="I100" s="764" t="s">
        <v>476</v>
      </c>
      <c r="J100" s="831">
        <v>22</v>
      </c>
      <c r="K100" s="1142"/>
      <c r="L100" s="764" t="s">
        <v>344</v>
      </c>
      <c r="M100" s="764" t="s">
        <v>117</v>
      </c>
      <c r="N100" s="856">
        <f t="shared" si="217"/>
        <v>100909.09090909091</v>
      </c>
      <c r="O100" s="1138">
        <f t="shared" si="324"/>
        <v>2220000</v>
      </c>
      <c r="P100" s="1138">
        <f t="shared" si="331"/>
        <v>22400</v>
      </c>
      <c r="Q100" s="1138">
        <f t="shared" si="203"/>
        <v>50000</v>
      </c>
      <c r="R100" s="1138"/>
      <c r="S100" s="1138"/>
      <c r="T100" s="1138"/>
      <c r="U100" s="1138"/>
      <c r="V100" s="858">
        <f t="shared" ref="V100:V101" si="344">J100*$V$5</f>
        <v>55000</v>
      </c>
      <c r="W100" s="1138"/>
      <c r="X100" s="1138"/>
      <c r="Y100" s="1138">
        <f t="shared" si="340"/>
        <v>60000</v>
      </c>
      <c r="Z100" s="1138">
        <f t="shared" si="327"/>
        <v>75000</v>
      </c>
      <c r="AA100" s="1138">
        <f t="shared" si="328"/>
        <v>262400</v>
      </c>
      <c r="AB100" s="1138">
        <f t="shared" si="218"/>
        <v>2482400</v>
      </c>
      <c r="AC100" s="1138">
        <f t="shared" si="219"/>
        <v>62060</v>
      </c>
      <c r="AD100" s="1138">
        <f t="shared" si="220"/>
        <v>2544460</v>
      </c>
      <c r="AE100" s="1138">
        <f t="shared" si="221"/>
        <v>63611.5</v>
      </c>
      <c r="AF100" s="1138">
        <f t="shared" si="222"/>
        <v>2608071.5</v>
      </c>
      <c r="AG100" s="1138">
        <f t="shared" si="223"/>
        <v>65201.787500000006</v>
      </c>
      <c r="AH100" s="1138">
        <f t="shared" si="224"/>
        <v>2673273.2875000001</v>
      </c>
      <c r="AI100" s="1138">
        <f t="shared" si="225"/>
        <v>133663.66437500002</v>
      </c>
      <c r="AJ100" s="1138">
        <f t="shared" si="226"/>
        <v>2806936.9518750003</v>
      </c>
      <c r="AK100" s="1138">
        <f t="shared" si="227"/>
        <v>28069.369518750002</v>
      </c>
      <c r="AL100" s="1138">
        <f t="shared" si="228"/>
        <v>27537.409960060559</v>
      </c>
      <c r="AM100" s="1138"/>
      <c r="AN100" s="1138"/>
      <c r="AO100" s="1138">
        <f t="shared" si="229"/>
        <v>2862543.7313538105</v>
      </c>
      <c r="AP100" s="1138">
        <f t="shared" si="230"/>
        <v>386443.40373276442</v>
      </c>
      <c r="AQ100" s="1248">
        <f t="shared" si="231"/>
        <v>3248987.1350865751</v>
      </c>
      <c r="AR100" s="1248">
        <f t="shared" si="341"/>
        <v>2918987.1350865751</v>
      </c>
      <c r="AS100" s="1248">
        <v>15000</v>
      </c>
      <c r="AT100" s="1248">
        <f t="shared" si="342"/>
        <v>330000</v>
      </c>
      <c r="AU100" s="1248">
        <f t="shared" si="232"/>
        <v>39600</v>
      </c>
      <c r="AV100" s="1140">
        <f t="shared" si="233"/>
        <v>369600</v>
      </c>
      <c r="AW100" s="1140">
        <f t="shared" si="234"/>
        <v>3288587.1350865751</v>
      </c>
      <c r="AX100" s="1139">
        <f t="shared" si="235"/>
        <v>41107.339188582191</v>
      </c>
      <c r="AY100" s="831" t="s">
        <v>478</v>
      </c>
      <c r="AZ100" s="831">
        <f t="shared" si="236"/>
        <v>3329694.4742751573</v>
      </c>
      <c r="BA100" s="831">
        <f t="shared" si="237"/>
        <v>124863.54278531839</v>
      </c>
      <c r="BB100" s="831"/>
      <c r="BC100" s="831">
        <f t="shared" si="189"/>
        <v>33600</v>
      </c>
      <c r="BD100" s="831"/>
      <c r="BE100" s="831">
        <f t="shared" si="238"/>
        <v>3488158.0170604759</v>
      </c>
      <c r="BF100" s="831"/>
      <c r="BG100" s="831">
        <f t="shared" si="239"/>
        <v>3488158.0170604759</v>
      </c>
      <c r="BH100" s="831"/>
      <c r="BI100" s="831">
        <f t="shared" si="240"/>
        <v>3488158.0170604759</v>
      </c>
      <c r="BJ100" s="831"/>
      <c r="BK100" s="831">
        <f t="shared" si="241"/>
        <v>3488158.0170604759</v>
      </c>
      <c r="BL100" s="831"/>
      <c r="BM100" s="831">
        <f t="shared" si="242"/>
        <v>3488158.0170604759</v>
      </c>
      <c r="BN100" s="831"/>
      <c r="BO100" s="831">
        <f t="shared" si="243"/>
        <v>3488158.0170604759</v>
      </c>
      <c r="BP100" s="831"/>
      <c r="BQ100" s="831">
        <f t="shared" si="244"/>
        <v>3488158.0170604759</v>
      </c>
      <c r="BR100" s="831"/>
      <c r="BS100" s="831">
        <f t="shared" si="245"/>
        <v>3488158.0170604759</v>
      </c>
      <c r="BT100" s="831"/>
      <c r="BU100" s="831">
        <f t="shared" si="246"/>
        <v>3488158.0170604759</v>
      </c>
      <c r="BV100" s="831"/>
      <c r="BW100" s="831">
        <f t="shared" si="247"/>
        <v>56400</v>
      </c>
      <c r="BX100" s="831">
        <f t="shared" si="248"/>
        <v>3544558.0170604759</v>
      </c>
      <c r="BY100" s="831"/>
      <c r="BZ100" s="831">
        <f t="shared" si="249"/>
        <v>3544558.0170604759</v>
      </c>
      <c r="CA100" s="1260">
        <f t="shared" si="250"/>
        <v>3544558.0170604759</v>
      </c>
      <c r="CB100" s="1260">
        <f t="shared" si="251"/>
        <v>3544558.0170604759</v>
      </c>
      <c r="CC100" s="1260"/>
      <c r="CD100" s="1260">
        <f t="shared" si="252"/>
        <v>0</v>
      </c>
      <c r="CE100" s="1260">
        <f t="shared" si="253"/>
        <v>0</v>
      </c>
      <c r="CF100" s="1260">
        <f t="shared" si="254"/>
        <v>0</v>
      </c>
      <c r="CG100" s="1266">
        <f t="shared" si="255"/>
        <v>3544558.0170604759</v>
      </c>
      <c r="CH100" s="1141">
        <f t="shared" si="256"/>
        <v>3544558.0170604759</v>
      </c>
      <c r="CI100" s="1142">
        <f t="shared" si="257"/>
        <v>0</v>
      </c>
      <c r="CJ100" s="1141">
        <f t="shared" si="258"/>
        <v>363317.19674869877</v>
      </c>
      <c r="CK100" s="1141">
        <f t="shared" si="259"/>
        <v>124059.53059711667</v>
      </c>
      <c r="CL100" s="1143">
        <f t="shared" si="329"/>
        <v>4031934.7444062913</v>
      </c>
      <c r="CM100" s="1144">
        <f t="shared" si="260"/>
        <v>0.125</v>
      </c>
      <c r="CN100" s="1141">
        <f t="shared" si="261"/>
        <v>503991.84305078641</v>
      </c>
      <c r="CO100" s="1141">
        <f t="shared" si="262"/>
        <v>30000</v>
      </c>
      <c r="CP100" s="1141">
        <f t="shared" si="263"/>
        <v>473991.84305078641</v>
      </c>
      <c r="CQ100" s="1145">
        <f t="shared" si="264"/>
        <v>13</v>
      </c>
      <c r="CR100" s="1141">
        <f t="shared" si="265"/>
        <v>36460.911003906644</v>
      </c>
      <c r="CS100" s="1144">
        <f t="shared" si="266"/>
        <v>0.875</v>
      </c>
      <c r="CT100" s="1141">
        <f t="shared" si="267"/>
        <v>3527942.901355505</v>
      </c>
      <c r="CU100" s="1146">
        <f t="shared" si="204"/>
        <v>27352.103763450872</v>
      </c>
      <c r="CV100" s="1146">
        <f t="shared" si="205"/>
        <v>31710.14817691463</v>
      </c>
      <c r="CW100" s="1146">
        <f t="shared" si="206"/>
        <v>40962.408504652791</v>
      </c>
      <c r="CX100" s="1146">
        <f t="shared" si="207"/>
        <v>69857.497828757128</v>
      </c>
      <c r="CY100" s="1146">
        <f t="shared" si="268"/>
        <v>286586.01549401879</v>
      </c>
      <c r="CZ100" s="1146">
        <f t="shared" si="269"/>
        <v>113400.69029035083</v>
      </c>
      <c r="DA100" s="1146">
        <f t="shared" si="270"/>
        <v>81907.712480675851</v>
      </c>
      <c r="DB100" s="1146">
        <f t="shared" si="271"/>
        <v>62335.540034121317</v>
      </c>
      <c r="DC100" s="1146"/>
      <c r="DD100" s="1146"/>
      <c r="DE100" s="1146"/>
      <c r="DF100" s="1146"/>
      <c r="DG100" s="1146"/>
      <c r="DH100" s="1146"/>
      <c r="DI100" s="1146"/>
      <c r="DJ100" s="1146"/>
      <c r="DK100" s="1146"/>
      <c r="DL100" s="1146"/>
      <c r="DM100" s="1146"/>
      <c r="DN100" s="1146"/>
      <c r="DO100" s="1146"/>
      <c r="DP100" s="1146"/>
      <c r="DQ100" s="1146"/>
      <c r="DR100" s="1146"/>
      <c r="DS100" s="1146"/>
      <c r="DT100" s="1146"/>
      <c r="DU100" s="1146"/>
      <c r="DV100" s="1146"/>
      <c r="DW100" s="1146"/>
      <c r="DX100" s="1146"/>
      <c r="DY100" s="1146"/>
      <c r="DZ100" s="1146"/>
      <c r="EA100" s="1147">
        <f t="shared" si="208"/>
        <v>0.11305291346897713</v>
      </c>
      <c r="EB100" s="1148">
        <f t="shared" si="272"/>
        <v>0</v>
      </c>
      <c r="EC100" s="1190">
        <f t="shared" si="316"/>
        <v>45839</v>
      </c>
      <c r="ED100" s="1031">
        <f t="shared" si="209"/>
        <v>20</v>
      </c>
      <c r="EE100" s="1191"/>
      <c r="EF100" s="1032">
        <f t="shared" si="210"/>
        <v>45904</v>
      </c>
      <c r="EG100" s="1029">
        <f t="shared" si="273"/>
        <v>22</v>
      </c>
      <c r="EH100" s="859" t="s">
        <v>490</v>
      </c>
      <c r="EI100" s="859" t="s">
        <v>480</v>
      </c>
      <c r="EJ100" s="860">
        <f t="shared" si="211"/>
        <v>16800</v>
      </c>
      <c r="EK100" s="860">
        <f t="shared" si="212"/>
        <v>369600</v>
      </c>
      <c r="EL100" s="861">
        <f t="shared" si="213"/>
        <v>0.12661926308525437</v>
      </c>
      <c r="EM100" s="1197"/>
      <c r="EN100" s="860"/>
      <c r="EO100" s="860"/>
      <c r="EP100" s="860">
        <f t="shared" si="214"/>
        <v>0</v>
      </c>
      <c r="EQ100" s="1197"/>
      <c r="ER100" s="1200"/>
      <c r="ES100" s="1197"/>
      <c r="ET100" s="1194" t="s">
        <v>257</v>
      </c>
      <c r="EU100" s="1197" t="b">
        <f t="shared" si="215"/>
        <v>1</v>
      </c>
      <c r="EV100" s="1197"/>
      <c r="EW100" s="1197"/>
      <c r="EX100" s="1197"/>
      <c r="EY100" s="1128" t="s">
        <v>587</v>
      </c>
      <c r="EZ100" s="1128" t="s">
        <v>484</v>
      </c>
      <c r="FA100" s="1169">
        <f t="shared" si="274"/>
        <v>0</v>
      </c>
      <c r="FI100" s="1309" t="s">
        <v>149</v>
      </c>
      <c r="FJ100" s="1159" t="s">
        <v>149</v>
      </c>
      <c r="FK100" s="1160" t="b">
        <f t="shared" si="275"/>
        <v>1</v>
      </c>
      <c r="FL100" s="1131"/>
      <c r="FM100" s="1161"/>
      <c r="FO100" s="888"/>
      <c r="FP100" s="1166"/>
      <c r="FQ100" s="1203"/>
      <c r="FU100" s="1295"/>
      <c r="FV100" s="1295"/>
      <c r="FW100" s="1023">
        <v>0.125</v>
      </c>
      <c r="FX100" s="1162">
        <v>12450.213426986078</v>
      </c>
      <c r="FY100" s="1163">
        <v>12839.282596579393</v>
      </c>
      <c r="GA100" s="1164">
        <f t="shared" si="276"/>
        <v>4031934.7444062913</v>
      </c>
      <c r="GB100" s="1165">
        <f t="shared" si="343"/>
        <v>0.125</v>
      </c>
      <c r="GC100" s="1154">
        <f t="shared" si="278"/>
        <v>503991.84305078641</v>
      </c>
      <c r="GD100" s="1164">
        <f t="shared" si="279"/>
        <v>30000</v>
      </c>
      <c r="GE100" s="1154">
        <f t="shared" si="280"/>
        <v>473991.84305078641</v>
      </c>
      <c r="GF100" s="1060">
        <f t="shared" si="281"/>
        <v>35</v>
      </c>
      <c r="GG100" s="1166">
        <f t="shared" si="282"/>
        <v>13542.624087165326</v>
      </c>
      <c r="GI100" s="1164">
        <f t="shared" si="283"/>
        <v>4031934.7444062913</v>
      </c>
      <c r="GJ100" s="1154">
        <f t="shared" si="284"/>
        <v>403193.47444062913</v>
      </c>
      <c r="GK100" s="1154">
        <f t="shared" si="285"/>
        <v>100798.36861015728</v>
      </c>
      <c r="GL100" s="1166">
        <v>15000</v>
      </c>
      <c r="GM100" s="1154">
        <f t="shared" si="286"/>
        <v>388193.47444062913</v>
      </c>
      <c r="GN100" s="1060">
        <f t="shared" si="287"/>
        <v>35</v>
      </c>
      <c r="GO100" s="1154">
        <f t="shared" si="288"/>
        <v>11091.242126875119</v>
      </c>
      <c r="GS100" s="1010">
        <f t="shared" si="289"/>
        <v>4031934.7444062913</v>
      </c>
      <c r="GT100" s="1011">
        <f t="shared" si="290"/>
        <v>0.125</v>
      </c>
      <c r="GU100" s="1010">
        <f t="shared" si="291"/>
        <v>503991.84305078641</v>
      </c>
      <c r="GV100" s="1010">
        <f t="shared" si="292"/>
        <v>30000</v>
      </c>
      <c r="GW100" s="1010">
        <f t="shared" si="293"/>
        <v>473991.84305078641</v>
      </c>
      <c r="GX100" s="1010">
        <f t="shared" si="294"/>
        <v>13</v>
      </c>
      <c r="GY100" s="1010">
        <f t="shared" si="295"/>
        <v>36460.911003906644</v>
      </c>
      <c r="GZ100" s="1011">
        <f t="shared" si="296"/>
        <v>0.875</v>
      </c>
      <c r="HA100" s="1010">
        <f t="shared" si="297"/>
        <v>3527942.901355505</v>
      </c>
      <c r="HB100" s="1010">
        <f t="shared" si="298"/>
        <v>27352.103763450872</v>
      </c>
      <c r="HC100" s="1010">
        <f t="shared" si="299"/>
        <v>31710.14817691463</v>
      </c>
      <c r="HD100" s="1010">
        <f t="shared" si="300"/>
        <v>40962.408504652791</v>
      </c>
      <c r="HE100" s="1010">
        <f t="shared" si="301"/>
        <v>69857.497828757128</v>
      </c>
      <c r="HG100" s="1010">
        <f t="shared" si="302"/>
        <v>4031934.7444062913</v>
      </c>
      <c r="HH100" s="1011">
        <f t="shared" si="303"/>
        <v>0.125</v>
      </c>
      <c r="HI100" s="1010">
        <f t="shared" si="304"/>
        <v>503991.84305078641</v>
      </c>
      <c r="HJ100" s="1010">
        <f t="shared" si="305"/>
        <v>30000</v>
      </c>
      <c r="HK100" s="1010">
        <f t="shared" si="306"/>
        <v>473991.84305078641</v>
      </c>
      <c r="HL100" s="1012">
        <f t="shared" si="307"/>
        <v>33</v>
      </c>
      <c r="HM100" s="1167">
        <f t="shared" si="308"/>
        <v>14363.389183357163</v>
      </c>
      <c r="HN100" s="1168">
        <f t="shared" si="309"/>
        <v>0.875</v>
      </c>
      <c r="HO100" s="1167">
        <f t="shared" si="310"/>
        <v>3527942.901355505</v>
      </c>
      <c r="HP100" s="1146">
        <f t="shared" si="311"/>
        <v>27352.103763450872</v>
      </c>
      <c r="HQ100" s="1146">
        <f t="shared" si="312"/>
        <v>31710.14817691463</v>
      </c>
      <c r="HR100" s="1146">
        <f t="shared" si="313"/>
        <v>40962.408504652791</v>
      </c>
      <c r="HS100" s="1146">
        <f t="shared" si="314"/>
        <v>69857.497828757128</v>
      </c>
      <c r="HU100" s="1167">
        <f t="shared" si="315"/>
        <v>-22097.521820549482</v>
      </c>
      <c r="HX100" s="1154"/>
      <c r="HY100" s="1154"/>
      <c r="IB100" s="1154"/>
      <c r="IC100" s="1154"/>
      <c r="ID100" s="1154"/>
      <c r="IE100" s="1154"/>
      <c r="IG100" s="1060"/>
    </row>
    <row r="101" spans="1:241" ht="14.25" hidden="1" customHeight="1">
      <c r="A101" s="1186">
        <f t="shared" si="330"/>
        <v>95</v>
      </c>
      <c r="B101" s="824" t="s">
        <v>149</v>
      </c>
      <c r="C101" s="855">
        <f t="shared" si="338"/>
        <v>8</v>
      </c>
      <c r="D101" s="856" t="s">
        <v>507</v>
      </c>
      <c r="E101" s="857" t="str">
        <f t="shared" si="216"/>
        <v>7th Floor</v>
      </c>
      <c r="F101" s="1185"/>
      <c r="G101" s="764" t="s">
        <v>258</v>
      </c>
      <c r="H101" s="764" t="s">
        <v>508</v>
      </c>
      <c r="I101" s="764" t="s">
        <v>476</v>
      </c>
      <c r="J101" s="831">
        <v>22</v>
      </c>
      <c r="K101" s="1142"/>
      <c r="L101" s="764" t="s">
        <v>500</v>
      </c>
      <c r="M101" s="764" t="s">
        <v>117</v>
      </c>
      <c r="N101" s="856">
        <f t="shared" si="217"/>
        <v>100909.09090909091</v>
      </c>
      <c r="O101" s="1138">
        <f t="shared" si="324"/>
        <v>2220000</v>
      </c>
      <c r="P101" s="1138">
        <f t="shared" si="331"/>
        <v>22400</v>
      </c>
      <c r="Q101" s="1138">
        <f t="shared" si="203"/>
        <v>50000</v>
      </c>
      <c r="R101" s="1138"/>
      <c r="S101" s="1138"/>
      <c r="T101" s="1138"/>
      <c r="U101" s="1138"/>
      <c r="V101" s="858">
        <f t="shared" si="344"/>
        <v>55000</v>
      </c>
      <c r="W101" s="1138"/>
      <c r="X101" s="1138"/>
      <c r="Y101" s="1138">
        <f t="shared" si="340"/>
        <v>60000</v>
      </c>
      <c r="Z101" s="1138">
        <f t="shared" si="327"/>
        <v>75000</v>
      </c>
      <c r="AA101" s="1138">
        <f t="shared" si="328"/>
        <v>262400</v>
      </c>
      <c r="AB101" s="1138">
        <f t="shared" si="218"/>
        <v>2482400</v>
      </c>
      <c r="AC101" s="1138">
        <f t="shared" si="219"/>
        <v>62060</v>
      </c>
      <c r="AD101" s="1138">
        <f t="shared" si="220"/>
        <v>2544460</v>
      </c>
      <c r="AE101" s="1138">
        <f t="shared" si="221"/>
        <v>63611.5</v>
      </c>
      <c r="AF101" s="1138">
        <f t="shared" si="222"/>
        <v>2608071.5</v>
      </c>
      <c r="AG101" s="1138">
        <f t="shared" si="223"/>
        <v>65201.787500000006</v>
      </c>
      <c r="AH101" s="1138">
        <f t="shared" si="224"/>
        <v>2673273.2875000001</v>
      </c>
      <c r="AI101" s="1138">
        <f t="shared" si="225"/>
        <v>133663.66437500002</v>
      </c>
      <c r="AJ101" s="1138">
        <f t="shared" si="226"/>
        <v>2806936.9518750003</v>
      </c>
      <c r="AK101" s="1138">
        <f t="shared" si="227"/>
        <v>28069.369518750002</v>
      </c>
      <c r="AL101" s="1138">
        <f t="shared" si="228"/>
        <v>27537.409960060559</v>
      </c>
      <c r="AM101" s="1138"/>
      <c r="AN101" s="1138"/>
      <c r="AO101" s="1138">
        <f t="shared" si="229"/>
        <v>2862543.7313538105</v>
      </c>
      <c r="AP101" s="1138">
        <f t="shared" si="230"/>
        <v>386443.40373276442</v>
      </c>
      <c r="AQ101" s="1248">
        <f t="shared" si="231"/>
        <v>3248987.1350865751</v>
      </c>
      <c r="AR101" s="1248">
        <f t="shared" si="341"/>
        <v>2918987.1350865751</v>
      </c>
      <c r="AS101" s="1248">
        <v>15000</v>
      </c>
      <c r="AT101" s="1248">
        <f t="shared" si="342"/>
        <v>330000</v>
      </c>
      <c r="AU101" s="1248">
        <f t="shared" si="232"/>
        <v>39600</v>
      </c>
      <c r="AV101" s="1140">
        <f t="shared" si="233"/>
        <v>369600</v>
      </c>
      <c r="AW101" s="1140">
        <f t="shared" si="234"/>
        <v>3288587.1350865751</v>
      </c>
      <c r="AX101" s="1139">
        <f t="shared" si="235"/>
        <v>41107.339188582191</v>
      </c>
      <c r="AY101" s="831" t="s">
        <v>478</v>
      </c>
      <c r="AZ101" s="831">
        <f t="shared" si="236"/>
        <v>3329694.4742751573</v>
      </c>
      <c r="BA101" s="831">
        <f t="shared" si="237"/>
        <v>124863.54278531839</v>
      </c>
      <c r="BB101" s="831"/>
      <c r="BC101" s="831">
        <f t="shared" si="189"/>
        <v>33600</v>
      </c>
      <c r="BD101" s="831"/>
      <c r="BE101" s="831">
        <f t="shared" si="238"/>
        <v>3488158.0170604759</v>
      </c>
      <c r="BF101" s="831"/>
      <c r="BG101" s="831">
        <f t="shared" si="239"/>
        <v>3488158.0170604759</v>
      </c>
      <c r="BH101" s="831"/>
      <c r="BI101" s="831">
        <f t="shared" si="240"/>
        <v>3488158.0170604759</v>
      </c>
      <c r="BJ101" s="831"/>
      <c r="BK101" s="831">
        <f t="shared" si="241"/>
        <v>3488158.0170604759</v>
      </c>
      <c r="BL101" s="831"/>
      <c r="BM101" s="831">
        <f t="shared" si="242"/>
        <v>3488158.0170604759</v>
      </c>
      <c r="BN101" s="831"/>
      <c r="BO101" s="831">
        <f t="shared" si="243"/>
        <v>3488158.0170604759</v>
      </c>
      <c r="BP101" s="831"/>
      <c r="BQ101" s="831">
        <f t="shared" si="244"/>
        <v>3488158.0170604759</v>
      </c>
      <c r="BR101" s="831"/>
      <c r="BS101" s="831">
        <f t="shared" si="245"/>
        <v>3488158.0170604759</v>
      </c>
      <c r="BT101" s="831"/>
      <c r="BU101" s="831">
        <f t="shared" si="246"/>
        <v>3488158.0170604759</v>
      </c>
      <c r="BV101" s="831"/>
      <c r="BW101" s="831">
        <f t="shared" si="247"/>
        <v>56400</v>
      </c>
      <c r="BX101" s="831">
        <f t="shared" si="248"/>
        <v>3544558.0170604759</v>
      </c>
      <c r="BY101" s="831"/>
      <c r="BZ101" s="831">
        <f t="shared" si="249"/>
        <v>3544558.0170604759</v>
      </c>
      <c r="CA101" s="1260">
        <f t="shared" si="250"/>
        <v>3544558.0170604759</v>
      </c>
      <c r="CB101" s="1260">
        <f t="shared" si="251"/>
        <v>3544558.0170604759</v>
      </c>
      <c r="CC101" s="1260"/>
      <c r="CD101" s="1260">
        <f t="shared" si="252"/>
        <v>0</v>
      </c>
      <c r="CE101" s="1260">
        <f t="shared" si="253"/>
        <v>0</v>
      </c>
      <c r="CF101" s="1260">
        <f t="shared" si="254"/>
        <v>0</v>
      </c>
      <c r="CG101" s="1266">
        <f t="shared" si="255"/>
        <v>3544558.0170604759</v>
      </c>
      <c r="CH101" s="1141">
        <f t="shared" si="256"/>
        <v>3544558.0170604759</v>
      </c>
      <c r="CI101" s="1142">
        <f t="shared" si="257"/>
        <v>0</v>
      </c>
      <c r="CJ101" s="1141">
        <f t="shared" si="258"/>
        <v>363317.19674869877</v>
      </c>
      <c r="CK101" s="1141">
        <f t="shared" si="259"/>
        <v>124059.53059711667</v>
      </c>
      <c r="CL101" s="1143">
        <f t="shared" si="329"/>
        <v>4031934.7444062913</v>
      </c>
      <c r="CM101" s="1144">
        <f t="shared" si="260"/>
        <v>0.125</v>
      </c>
      <c r="CN101" s="1141">
        <f t="shared" si="261"/>
        <v>503991.84305078641</v>
      </c>
      <c r="CO101" s="1141">
        <f t="shared" si="262"/>
        <v>30000</v>
      </c>
      <c r="CP101" s="1141">
        <f t="shared" si="263"/>
        <v>473991.84305078641</v>
      </c>
      <c r="CQ101" s="1145">
        <f t="shared" si="264"/>
        <v>13</v>
      </c>
      <c r="CR101" s="1141">
        <f t="shared" si="265"/>
        <v>36460.911003906644</v>
      </c>
      <c r="CS101" s="1144">
        <f t="shared" si="266"/>
        <v>0.875</v>
      </c>
      <c r="CT101" s="1141">
        <f t="shared" si="267"/>
        <v>3527942.901355505</v>
      </c>
      <c r="CU101" s="1146">
        <f t="shared" si="204"/>
        <v>27352.103763450872</v>
      </c>
      <c r="CV101" s="1146">
        <f t="shared" si="205"/>
        <v>31710.14817691463</v>
      </c>
      <c r="CW101" s="1146">
        <f t="shared" si="206"/>
        <v>40962.408504652791</v>
      </c>
      <c r="CX101" s="1146">
        <f t="shared" si="207"/>
        <v>69857.497828757128</v>
      </c>
      <c r="CY101" s="1146">
        <f t="shared" si="268"/>
        <v>286586.01549401879</v>
      </c>
      <c r="CZ101" s="1146">
        <f t="shared" si="269"/>
        <v>113400.69029035083</v>
      </c>
      <c r="DA101" s="1146">
        <f t="shared" si="270"/>
        <v>81907.712480675851</v>
      </c>
      <c r="DB101" s="1146">
        <f t="shared" si="271"/>
        <v>62335.540034121317</v>
      </c>
      <c r="DC101" s="1146"/>
      <c r="DD101" s="1146"/>
      <c r="DE101" s="1146"/>
      <c r="DF101" s="1146"/>
      <c r="DG101" s="1146"/>
      <c r="DH101" s="1146"/>
      <c r="DI101" s="1146"/>
      <c r="DJ101" s="1146"/>
      <c r="DK101" s="1146"/>
      <c r="DL101" s="1146"/>
      <c r="DM101" s="1146"/>
      <c r="DN101" s="1146"/>
      <c r="DO101" s="1146"/>
      <c r="DP101" s="1146"/>
      <c r="DQ101" s="1146"/>
      <c r="DR101" s="1146"/>
      <c r="DS101" s="1146"/>
      <c r="DT101" s="1146"/>
      <c r="DU101" s="1146"/>
      <c r="DV101" s="1146"/>
      <c r="DW101" s="1146"/>
      <c r="DX101" s="1146"/>
      <c r="DY101" s="1146"/>
      <c r="DZ101" s="1146"/>
      <c r="EA101" s="1147">
        <f t="shared" si="208"/>
        <v>0.11305291346897713</v>
      </c>
      <c r="EB101" s="1148">
        <f t="shared" si="272"/>
        <v>0</v>
      </c>
      <c r="EC101" s="1190">
        <f t="shared" si="316"/>
        <v>45839</v>
      </c>
      <c r="ED101" s="1031">
        <f t="shared" si="209"/>
        <v>20</v>
      </c>
      <c r="EE101" s="1191"/>
      <c r="EF101" s="1032">
        <f t="shared" si="210"/>
        <v>45904</v>
      </c>
      <c r="EG101" s="1029">
        <f t="shared" si="273"/>
        <v>22</v>
      </c>
      <c r="EH101" s="859" t="s">
        <v>490</v>
      </c>
      <c r="EI101" s="859" t="s">
        <v>480</v>
      </c>
      <c r="EJ101" s="860">
        <f t="shared" si="211"/>
        <v>16800</v>
      </c>
      <c r="EK101" s="860">
        <f t="shared" si="212"/>
        <v>369600</v>
      </c>
      <c r="EL101" s="861">
        <f t="shared" si="213"/>
        <v>0.12661926308525437</v>
      </c>
      <c r="EM101" s="1197"/>
      <c r="EN101" s="860"/>
      <c r="EO101" s="860"/>
      <c r="EP101" s="860">
        <f t="shared" si="214"/>
        <v>0</v>
      </c>
      <c r="EQ101" s="1197"/>
      <c r="ER101" s="1200"/>
      <c r="ES101" s="1197"/>
      <c r="ET101" s="1194" t="s">
        <v>258</v>
      </c>
      <c r="EU101" s="1197" t="b">
        <f t="shared" si="215"/>
        <v>1</v>
      </c>
      <c r="EV101" s="1197" t="s">
        <v>601</v>
      </c>
      <c r="EW101" s="1197" t="s">
        <v>482</v>
      </c>
      <c r="EX101" s="1197"/>
      <c r="EY101" s="1128" t="s">
        <v>587</v>
      </c>
      <c r="EZ101" s="1128" t="s">
        <v>484</v>
      </c>
      <c r="FA101" s="1169">
        <f t="shared" si="274"/>
        <v>0</v>
      </c>
      <c r="FI101" s="1309" t="s">
        <v>149</v>
      </c>
      <c r="FJ101" s="1159" t="s">
        <v>149</v>
      </c>
      <c r="FK101" s="1160" t="b">
        <f t="shared" si="275"/>
        <v>1</v>
      </c>
      <c r="FL101" s="1131"/>
      <c r="FM101" s="1161"/>
      <c r="FP101" s="1166"/>
      <c r="FQ101" s="1203"/>
      <c r="FU101" s="1295"/>
      <c r="FV101" s="1295"/>
      <c r="FW101" s="1023">
        <v>0.15</v>
      </c>
      <c r="FX101" s="1162">
        <v>15031.165203292383</v>
      </c>
      <c r="FY101" s="1163">
        <v>15500.88911589527</v>
      </c>
      <c r="GA101" s="1164">
        <f t="shared" si="276"/>
        <v>4031934.7444062913</v>
      </c>
      <c r="GB101" s="1165">
        <f t="shared" si="277"/>
        <v>0.15</v>
      </c>
      <c r="GC101" s="1154">
        <f t="shared" si="278"/>
        <v>604790.21166094369</v>
      </c>
      <c r="GD101" s="1164">
        <f t="shared" si="279"/>
        <v>30000</v>
      </c>
      <c r="GE101" s="1154">
        <f t="shared" si="280"/>
        <v>574790.21166094369</v>
      </c>
      <c r="GF101" s="1060">
        <f t="shared" si="281"/>
        <v>35</v>
      </c>
      <c r="GG101" s="1166">
        <f t="shared" si="282"/>
        <v>16422.577476026963</v>
      </c>
      <c r="GI101" s="1164">
        <f t="shared" si="283"/>
        <v>4031934.7444062913</v>
      </c>
      <c r="GJ101" s="1154">
        <f t="shared" si="284"/>
        <v>403193.47444062913</v>
      </c>
      <c r="GK101" s="1154">
        <f t="shared" si="285"/>
        <v>100798.36861015728</v>
      </c>
      <c r="GL101" s="1166">
        <v>15000</v>
      </c>
      <c r="GM101" s="1154">
        <f t="shared" si="286"/>
        <v>388193.47444062913</v>
      </c>
      <c r="GN101" s="1060">
        <f t="shared" si="287"/>
        <v>35</v>
      </c>
      <c r="GO101" s="1154">
        <f t="shared" si="288"/>
        <v>11091.242126875119</v>
      </c>
      <c r="GS101" s="1010">
        <f t="shared" si="289"/>
        <v>4031934.7444062913</v>
      </c>
      <c r="GT101" s="1011">
        <f t="shared" si="290"/>
        <v>0.125</v>
      </c>
      <c r="GU101" s="1010">
        <f t="shared" si="291"/>
        <v>503991.84305078641</v>
      </c>
      <c r="GV101" s="1010">
        <f t="shared" si="292"/>
        <v>30000</v>
      </c>
      <c r="GW101" s="1010">
        <f t="shared" si="293"/>
        <v>473991.84305078641</v>
      </c>
      <c r="GX101" s="1010">
        <f t="shared" si="294"/>
        <v>13</v>
      </c>
      <c r="GY101" s="1010">
        <f t="shared" si="295"/>
        <v>36460.911003906644</v>
      </c>
      <c r="GZ101" s="1011">
        <f t="shared" si="296"/>
        <v>0.875</v>
      </c>
      <c r="HA101" s="1010">
        <f t="shared" si="297"/>
        <v>3527942.901355505</v>
      </c>
      <c r="HB101" s="1010">
        <f t="shared" si="298"/>
        <v>27352.103763450872</v>
      </c>
      <c r="HC101" s="1010">
        <f t="shared" si="299"/>
        <v>31710.14817691463</v>
      </c>
      <c r="HD101" s="1010">
        <f t="shared" si="300"/>
        <v>40962.408504652791</v>
      </c>
      <c r="HE101" s="1010">
        <f t="shared" si="301"/>
        <v>69857.497828757128</v>
      </c>
      <c r="HG101" s="1010">
        <f t="shared" si="302"/>
        <v>4031934.7444062913</v>
      </c>
      <c r="HH101" s="1011">
        <f t="shared" si="303"/>
        <v>0.125</v>
      </c>
      <c r="HI101" s="1010">
        <f t="shared" si="304"/>
        <v>503991.84305078641</v>
      </c>
      <c r="HJ101" s="1010">
        <f t="shared" si="305"/>
        <v>30000</v>
      </c>
      <c r="HK101" s="1010">
        <f t="shared" si="306"/>
        <v>473991.84305078641</v>
      </c>
      <c r="HL101" s="1012">
        <f t="shared" si="307"/>
        <v>33</v>
      </c>
      <c r="HM101" s="1167">
        <f t="shared" si="308"/>
        <v>14363.389183357163</v>
      </c>
      <c r="HN101" s="1168">
        <f t="shared" si="309"/>
        <v>0.875</v>
      </c>
      <c r="HO101" s="1167">
        <f t="shared" si="310"/>
        <v>3527942.901355505</v>
      </c>
      <c r="HP101" s="1146">
        <f t="shared" si="311"/>
        <v>27352.103763450872</v>
      </c>
      <c r="HQ101" s="1146">
        <f t="shared" si="312"/>
        <v>31710.14817691463</v>
      </c>
      <c r="HR101" s="1146">
        <f t="shared" si="313"/>
        <v>40962.408504652791</v>
      </c>
      <c r="HS101" s="1146">
        <f t="shared" si="314"/>
        <v>69857.497828757128</v>
      </c>
      <c r="HU101" s="1167">
        <f t="shared" si="315"/>
        <v>-22097.521820549482</v>
      </c>
      <c r="HX101" s="1154"/>
      <c r="HY101" s="1154"/>
      <c r="IB101" s="1154"/>
      <c r="IC101" s="1154"/>
      <c r="ID101" s="1154"/>
      <c r="IE101" s="1154"/>
      <c r="IG101" s="1060"/>
    </row>
    <row r="102" spans="1:241" ht="14.25" hidden="1" customHeight="1">
      <c r="A102" s="1186">
        <f t="shared" si="330"/>
        <v>96</v>
      </c>
      <c r="B102" s="824" t="s">
        <v>149</v>
      </c>
      <c r="C102" s="855">
        <f t="shared" si="338"/>
        <v>9</v>
      </c>
      <c r="D102" s="856" t="s">
        <v>507</v>
      </c>
      <c r="E102" s="857" t="str">
        <f t="shared" si="216"/>
        <v>7th Floor</v>
      </c>
      <c r="F102" s="1185"/>
      <c r="G102" s="764" t="s">
        <v>259</v>
      </c>
      <c r="H102" s="764" t="s">
        <v>512</v>
      </c>
      <c r="I102" s="764" t="s">
        <v>476</v>
      </c>
      <c r="J102" s="1139">
        <v>22</v>
      </c>
      <c r="K102" s="1142"/>
      <c r="L102" s="764" t="s">
        <v>500</v>
      </c>
      <c r="M102" s="764" t="s">
        <v>93</v>
      </c>
      <c r="N102" s="856">
        <f t="shared" si="217"/>
        <v>100909.09090909091</v>
      </c>
      <c r="O102" s="1138">
        <f t="shared" si="324"/>
        <v>2220000</v>
      </c>
      <c r="P102" s="1138">
        <f t="shared" si="331"/>
        <v>22400</v>
      </c>
      <c r="Q102" s="1138">
        <f t="shared" si="203"/>
        <v>50000</v>
      </c>
      <c r="R102" s="1138"/>
      <c r="S102" s="1138"/>
      <c r="T102" s="1138"/>
      <c r="U102" s="1138"/>
      <c r="V102" s="858"/>
      <c r="W102" s="1138"/>
      <c r="X102" s="1138"/>
      <c r="Y102" s="1138">
        <f t="shared" si="340"/>
        <v>60000</v>
      </c>
      <c r="Z102" s="1138">
        <f t="shared" si="327"/>
        <v>75000</v>
      </c>
      <c r="AA102" s="1138">
        <f t="shared" si="328"/>
        <v>207400</v>
      </c>
      <c r="AB102" s="1138">
        <f t="shared" si="218"/>
        <v>2427400</v>
      </c>
      <c r="AC102" s="1138">
        <f t="shared" si="219"/>
        <v>60685</v>
      </c>
      <c r="AD102" s="1138">
        <f t="shared" si="220"/>
        <v>2488085</v>
      </c>
      <c r="AE102" s="1138">
        <f t="shared" si="221"/>
        <v>62202.125</v>
      </c>
      <c r="AF102" s="1138">
        <f t="shared" si="222"/>
        <v>2550287.125</v>
      </c>
      <c r="AG102" s="1138">
        <f t="shared" si="223"/>
        <v>63757.178125000006</v>
      </c>
      <c r="AH102" s="1138">
        <f t="shared" si="224"/>
        <v>2614044.3031250001</v>
      </c>
      <c r="AI102" s="1138">
        <f t="shared" si="225"/>
        <v>130702.21515625001</v>
      </c>
      <c r="AJ102" s="1138">
        <f t="shared" si="226"/>
        <v>2744746.5182812503</v>
      </c>
      <c r="AK102" s="1138">
        <f t="shared" si="227"/>
        <v>27447.465182812502</v>
      </c>
      <c r="AL102" s="1138">
        <f t="shared" si="228"/>
        <v>27537.409960060559</v>
      </c>
      <c r="AM102" s="1138"/>
      <c r="AN102" s="1138"/>
      <c r="AO102" s="1138">
        <f t="shared" si="229"/>
        <v>2799731.3934241231</v>
      </c>
      <c r="AP102" s="1138">
        <f t="shared" si="230"/>
        <v>377963.73811225663</v>
      </c>
      <c r="AQ102" s="1248">
        <f t="shared" si="231"/>
        <v>3177695.1315363795</v>
      </c>
      <c r="AR102" s="1248">
        <f t="shared" ref="AR102:AR110" si="345">AQ102</f>
        <v>3177695.1315363795</v>
      </c>
      <c r="AS102" s="1248"/>
      <c r="AT102" s="1248"/>
      <c r="AU102" s="1248">
        <f t="shared" si="232"/>
        <v>0</v>
      </c>
      <c r="AV102" s="1140">
        <f t="shared" si="233"/>
        <v>0</v>
      </c>
      <c r="AW102" s="1140">
        <f t="shared" si="234"/>
        <v>3177695.1315363795</v>
      </c>
      <c r="AX102" s="1139">
        <f t="shared" si="235"/>
        <v>39721.189144204749</v>
      </c>
      <c r="AY102" s="831" t="s">
        <v>478</v>
      </c>
      <c r="AZ102" s="831">
        <f t="shared" si="236"/>
        <v>3217416.3206805843</v>
      </c>
      <c r="BA102" s="831">
        <f t="shared" si="237"/>
        <v>120653.1120255219</v>
      </c>
      <c r="BB102" s="831"/>
      <c r="BC102" s="831">
        <f t="shared" si="189"/>
        <v>33600</v>
      </c>
      <c r="BD102" s="831"/>
      <c r="BE102" s="831">
        <f t="shared" si="238"/>
        <v>3371669.432706106</v>
      </c>
      <c r="BF102" s="831"/>
      <c r="BG102" s="831">
        <f t="shared" si="239"/>
        <v>3371669.432706106</v>
      </c>
      <c r="BH102" s="831"/>
      <c r="BI102" s="831">
        <f t="shared" si="240"/>
        <v>3371669.432706106</v>
      </c>
      <c r="BJ102" s="831"/>
      <c r="BK102" s="831">
        <f t="shared" si="241"/>
        <v>3371669.432706106</v>
      </c>
      <c r="BL102" s="831"/>
      <c r="BM102" s="831">
        <f t="shared" si="242"/>
        <v>3371669.432706106</v>
      </c>
      <c r="BN102" s="831"/>
      <c r="BO102" s="831">
        <f t="shared" si="243"/>
        <v>3371669.432706106</v>
      </c>
      <c r="BP102" s="831"/>
      <c r="BQ102" s="831">
        <f t="shared" si="244"/>
        <v>3371669.432706106</v>
      </c>
      <c r="BR102" s="831"/>
      <c r="BS102" s="831">
        <f t="shared" si="245"/>
        <v>3371669.432706106</v>
      </c>
      <c r="BT102" s="831"/>
      <c r="BU102" s="831">
        <f t="shared" si="246"/>
        <v>3371669.432706106</v>
      </c>
      <c r="BV102" s="831"/>
      <c r="BW102" s="831">
        <f t="shared" si="247"/>
        <v>56400</v>
      </c>
      <c r="BX102" s="831">
        <f t="shared" si="248"/>
        <v>3428069.432706106</v>
      </c>
      <c r="BY102" s="831"/>
      <c r="BZ102" s="831">
        <f t="shared" si="249"/>
        <v>3428069.432706106</v>
      </c>
      <c r="CA102" s="1260">
        <f t="shared" si="250"/>
        <v>3428069.432706106</v>
      </c>
      <c r="CB102" s="1260">
        <f t="shared" si="251"/>
        <v>3428069.432706106</v>
      </c>
      <c r="CC102" s="1260"/>
      <c r="CD102" s="1260">
        <f t="shared" si="252"/>
        <v>0</v>
      </c>
      <c r="CE102" s="1260">
        <f t="shared" si="253"/>
        <v>0</v>
      </c>
      <c r="CF102" s="1260">
        <f t="shared" si="254"/>
        <v>0</v>
      </c>
      <c r="CG102" s="1266">
        <f t="shared" si="255"/>
        <v>3428069.432706106</v>
      </c>
      <c r="CH102" s="1141">
        <f t="shared" si="256"/>
        <v>3428069.432706106</v>
      </c>
      <c r="CI102" s="1142">
        <f t="shared" si="257"/>
        <v>0</v>
      </c>
      <c r="CJ102" s="1141">
        <f t="shared" si="258"/>
        <v>351377.11685237585</v>
      </c>
      <c r="CK102" s="1141">
        <f t="shared" si="259"/>
        <v>119982.43014471373</v>
      </c>
      <c r="CL102" s="1143">
        <f t="shared" si="329"/>
        <v>3899428.9797031954</v>
      </c>
      <c r="CM102" s="1144">
        <f t="shared" si="260"/>
        <v>0.125</v>
      </c>
      <c r="CN102" s="1141">
        <f t="shared" si="261"/>
        <v>487428.62246289942</v>
      </c>
      <c r="CO102" s="1141">
        <f t="shared" si="262"/>
        <v>30000</v>
      </c>
      <c r="CP102" s="1141">
        <f t="shared" si="263"/>
        <v>457428.62246289942</v>
      </c>
      <c r="CQ102" s="1145">
        <f t="shared" si="264"/>
        <v>13</v>
      </c>
      <c r="CR102" s="1141">
        <f t="shared" si="265"/>
        <v>35186.817112530727</v>
      </c>
      <c r="CS102" s="1144">
        <f t="shared" si="266"/>
        <v>0.875</v>
      </c>
      <c r="CT102" s="1141">
        <f t="shared" si="267"/>
        <v>3412000.357240296</v>
      </c>
      <c r="CU102" s="1146">
        <f t="shared" si="204"/>
        <v>26453.202452996211</v>
      </c>
      <c r="CV102" s="1146">
        <f t="shared" si="205"/>
        <v>30668.023812461583</v>
      </c>
      <c r="CW102" s="1146">
        <f t="shared" si="206"/>
        <v>39616.217257257282</v>
      </c>
      <c r="CX102" s="1146">
        <f t="shared" si="207"/>
        <v>67561.696493458643</v>
      </c>
      <c r="CY102" s="1146">
        <f t="shared" si="268"/>
        <v>277167.63411050761</v>
      </c>
      <c r="CZ102" s="1146">
        <f t="shared" si="269"/>
        <v>109673.88265646526</v>
      </c>
      <c r="DA102" s="1146">
        <f t="shared" si="270"/>
        <v>79215.892110222063</v>
      </c>
      <c r="DB102" s="1146">
        <f t="shared" si="271"/>
        <v>60286.940807196588</v>
      </c>
      <c r="DC102" s="1146"/>
      <c r="DD102" s="1146"/>
      <c r="DE102" s="1146"/>
      <c r="DF102" s="1146"/>
      <c r="DG102" s="1146"/>
      <c r="DH102" s="1146"/>
      <c r="DI102" s="1146"/>
      <c r="DJ102" s="1146"/>
      <c r="DK102" s="1146"/>
      <c r="DL102" s="1146"/>
      <c r="DM102" s="1146"/>
      <c r="DN102" s="1146"/>
      <c r="DO102" s="1146"/>
      <c r="DP102" s="1146"/>
      <c r="DQ102" s="1146"/>
      <c r="DR102" s="1146"/>
      <c r="DS102" s="1146"/>
      <c r="DT102" s="1146"/>
      <c r="DU102" s="1146"/>
      <c r="DV102" s="1146"/>
      <c r="DW102" s="1146"/>
      <c r="DX102" s="1146"/>
      <c r="DY102" s="1146"/>
      <c r="DZ102" s="1146"/>
      <c r="EA102" s="1147">
        <f t="shared" si="208"/>
        <v>0</v>
      </c>
      <c r="EB102" s="1148">
        <f t="shared" si="272"/>
        <v>0</v>
      </c>
      <c r="EC102" s="1190">
        <f t="shared" si="316"/>
        <v>45839</v>
      </c>
      <c r="ED102" s="1031">
        <f t="shared" si="209"/>
        <v>20</v>
      </c>
      <c r="EE102" s="1191"/>
      <c r="EF102" s="1032">
        <f t="shared" si="210"/>
        <v>45904</v>
      </c>
      <c r="EG102" s="1029">
        <f t="shared" si="273"/>
        <v>22</v>
      </c>
      <c r="EH102" s="859" t="s">
        <v>490</v>
      </c>
      <c r="EI102" s="859" t="s">
        <v>480</v>
      </c>
      <c r="EJ102" s="860">
        <f t="shared" si="211"/>
        <v>0</v>
      </c>
      <c r="EK102" s="860">
        <f t="shared" si="212"/>
        <v>0</v>
      </c>
      <c r="EL102" s="861">
        <f t="shared" si="213"/>
        <v>0</v>
      </c>
      <c r="EM102" s="1197"/>
      <c r="EN102" s="860"/>
      <c r="EO102" s="860"/>
      <c r="EP102" s="860">
        <f t="shared" si="214"/>
        <v>0</v>
      </c>
      <c r="EQ102" s="1197"/>
      <c r="ER102" s="1200"/>
      <c r="ES102" s="1197"/>
      <c r="ET102" s="1194" t="s">
        <v>259</v>
      </c>
      <c r="EU102" s="1197" t="b">
        <f t="shared" si="215"/>
        <v>1</v>
      </c>
      <c r="EV102" s="1197" t="s">
        <v>596</v>
      </c>
      <c r="EW102" s="1197" t="s">
        <v>482</v>
      </c>
      <c r="EX102" s="1197"/>
      <c r="EY102" s="1128" t="s">
        <v>483</v>
      </c>
      <c r="EZ102" s="1128" t="s">
        <v>484</v>
      </c>
      <c r="FA102" s="1169">
        <f t="shared" si="274"/>
        <v>0</v>
      </c>
      <c r="FI102" s="1309" t="s">
        <v>149</v>
      </c>
      <c r="FJ102" s="1159" t="s">
        <v>149</v>
      </c>
      <c r="FK102" s="1160" t="b">
        <f t="shared" si="275"/>
        <v>1</v>
      </c>
      <c r="FL102" s="1131"/>
      <c r="FM102" s="1161"/>
      <c r="FP102" s="1166"/>
      <c r="FQ102" s="1203"/>
      <c r="FU102" s="1295"/>
      <c r="FV102" s="1295"/>
      <c r="FW102" s="1023">
        <v>0.15</v>
      </c>
      <c r="FX102" s="1162">
        <v>14385.912743709012</v>
      </c>
      <c r="FY102" s="1163">
        <v>14835.472516949918</v>
      </c>
      <c r="GA102" s="1164">
        <f t="shared" si="276"/>
        <v>3899428.9797031954</v>
      </c>
      <c r="GB102" s="1165">
        <f t="shared" si="277"/>
        <v>0.15</v>
      </c>
      <c r="GC102" s="1154">
        <f t="shared" si="278"/>
        <v>584914.34695547924</v>
      </c>
      <c r="GD102" s="1164">
        <f t="shared" si="279"/>
        <v>30000</v>
      </c>
      <c r="GE102" s="1154">
        <f t="shared" si="280"/>
        <v>554914.34695547924</v>
      </c>
      <c r="GF102" s="1060">
        <f t="shared" si="281"/>
        <v>35</v>
      </c>
      <c r="GG102" s="1166">
        <f t="shared" si="282"/>
        <v>15854.695627299407</v>
      </c>
      <c r="GI102" s="1164">
        <f t="shared" si="283"/>
        <v>3899428.9797031954</v>
      </c>
      <c r="GJ102" s="1154">
        <f t="shared" si="284"/>
        <v>389942.89797031955</v>
      </c>
      <c r="GK102" s="1154">
        <f t="shared" si="285"/>
        <v>97485.724492579888</v>
      </c>
      <c r="GL102" s="1166">
        <v>15000</v>
      </c>
      <c r="GM102" s="1154">
        <f t="shared" si="286"/>
        <v>374942.89797031955</v>
      </c>
      <c r="GN102" s="1060">
        <f t="shared" si="287"/>
        <v>35</v>
      </c>
      <c r="GO102" s="1154">
        <f t="shared" si="288"/>
        <v>10712.654227723417</v>
      </c>
      <c r="GS102" s="1010">
        <f t="shared" si="289"/>
        <v>3899428.9797031954</v>
      </c>
      <c r="GT102" s="1011">
        <f t="shared" si="290"/>
        <v>0.125</v>
      </c>
      <c r="GU102" s="1010">
        <f t="shared" si="291"/>
        <v>487428.62246289942</v>
      </c>
      <c r="GV102" s="1010">
        <f t="shared" si="292"/>
        <v>30000</v>
      </c>
      <c r="GW102" s="1010">
        <f t="shared" si="293"/>
        <v>457428.62246289942</v>
      </c>
      <c r="GX102" s="1010">
        <f t="shared" si="294"/>
        <v>13</v>
      </c>
      <c r="GY102" s="1010">
        <f t="shared" si="295"/>
        <v>35186.817112530727</v>
      </c>
      <c r="GZ102" s="1011">
        <f t="shared" si="296"/>
        <v>0.875</v>
      </c>
      <c r="HA102" s="1010">
        <f t="shared" si="297"/>
        <v>3412000.357240296</v>
      </c>
      <c r="HB102" s="1010">
        <f t="shared" si="298"/>
        <v>26453.202452996211</v>
      </c>
      <c r="HC102" s="1010">
        <f t="shared" si="299"/>
        <v>30668.023812461583</v>
      </c>
      <c r="HD102" s="1010">
        <f t="shared" si="300"/>
        <v>39616.217257257282</v>
      </c>
      <c r="HE102" s="1010">
        <f t="shared" si="301"/>
        <v>67561.696493458643</v>
      </c>
      <c r="HG102" s="1010">
        <f t="shared" si="302"/>
        <v>3899428.9797031954</v>
      </c>
      <c r="HH102" s="1011">
        <f t="shared" si="303"/>
        <v>0.125</v>
      </c>
      <c r="HI102" s="1010">
        <f t="shared" si="304"/>
        <v>487428.62246289942</v>
      </c>
      <c r="HJ102" s="1010">
        <f t="shared" si="305"/>
        <v>30000</v>
      </c>
      <c r="HK102" s="1010">
        <f t="shared" si="306"/>
        <v>457428.62246289942</v>
      </c>
      <c r="HL102" s="1012">
        <f t="shared" si="307"/>
        <v>33</v>
      </c>
      <c r="HM102" s="1167">
        <f t="shared" si="308"/>
        <v>13861.473407966649</v>
      </c>
      <c r="HN102" s="1168">
        <f t="shared" si="309"/>
        <v>0.875</v>
      </c>
      <c r="HO102" s="1167">
        <f t="shared" si="310"/>
        <v>3412000.357240296</v>
      </c>
      <c r="HP102" s="1146">
        <f t="shared" si="311"/>
        <v>26453.202452996211</v>
      </c>
      <c r="HQ102" s="1146">
        <f t="shared" si="312"/>
        <v>30668.023812461583</v>
      </c>
      <c r="HR102" s="1146">
        <f t="shared" si="313"/>
        <v>39616.217257257282</v>
      </c>
      <c r="HS102" s="1146">
        <f t="shared" si="314"/>
        <v>67561.696493458643</v>
      </c>
      <c r="HU102" s="1167">
        <f t="shared" si="315"/>
        <v>-21325.343704564079</v>
      </c>
      <c r="HX102" s="1154"/>
      <c r="HY102" s="1154"/>
      <c r="IB102" s="1154"/>
      <c r="IC102" s="1154"/>
      <c r="ID102" s="1154"/>
      <c r="IE102" s="1154"/>
      <c r="IG102" s="1060"/>
    </row>
    <row r="103" spans="1:241" ht="14.25" hidden="1" customHeight="1">
      <c r="A103" s="1186">
        <f t="shared" si="330"/>
        <v>97</v>
      </c>
      <c r="B103" s="824" t="s">
        <v>149</v>
      </c>
      <c r="C103" s="855">
        <f t="shared" si="338"/>
        <v>10</v>
      </c>
      <c r="D103" s="856" t="s">
        <v>507</v>
      </c>
      <c r="E103" s="857" t="str">
        <f t="shared" si="216"/>
        <v>7th Floor</v>
      </c>
      <c r="F103" s="1185"/>
      <c r="G103" s="764" t="s">
        <v>260</v>
      </c>
      <c r="H103" s="764" t="s">
        <v>516</v>
      </c>
      <c r="I103" s="764" t="s">
        <v>476</v>
      </c>
      <c r="J103" s="1139">
        <v>22</v>
      </c>
      <c r="K103" s="1142"/>
      <c r="L103" s="764" t="s">
        <v>500</v>
      </c>
      <c r="M103" s="764" t="s">
        <v>93</v>
      </c>
      <c r="N103" s="856">
        <f t="shared" si="217"/>
        <v>100909.09090909091</v>
      </c>
      <c r="O103" s="1138">
        <f t="shared" si="324"/>
        <v>2220000</v>
      </c>
      <c r="P103" s="1138">
        <f t="shared" si="331"/>
        <v>22400</v>
      </c>
      <c r="Q103" s="1138">
        <f t="shared" si="203"/>
        <v>50000</v>
      </c>
      <c r="R103" s="1138"/>
      <c r="S103" s="1138"/>
      <c r="T103" s="1138"/>
      <c r="U103" s="1138"/>
      <c r="V103" s="1138"/>
      <c r="W103" s="858"/>
      <c r="X103" s="1138"/>
      <c r="Y103" s="1138">
        <f t="shared" si="340"/>
        <v>60000</v>
      </c>
      <c r="Z103" s="1138">
        <f t="shared" si="327"/>
        <v>75000</v>
      </c>
      <c r="AA103" s="1138">
        <f t="shared" si="328"/>
        <v>207400</v>
      </c>
      <c r="AB103" s="1138">
        <f t="shared" si="218"/>
        <v>2427400</v>
      </c>
      <c r="AC103" s="1138">
        <f t="shared" si="219"/>
        <v>60685</v>
      </c>
      <c r="AD103" s="1138">
        <f t="shared" si="220"/>
        <v>2488085</v>
      </c>
      <c r="AE103" s="1138">
        <f t="shared" si="221"/>
        <v>62202.125</v>
      </c>
      <c r="AF103" s="1138">
        <f t="shared" si="222"/>
        <v>2550287.125</v>
      </c>
      <c r="AG103" s="1138">
        <f t="shared" si="223"/>
        <v>63757.178125000006</v>
      </c>
      <c r="AH103" s="1138">
        <f t="shared" si="224"/>
        <v>2614044.3031250001</v>
      </c>
      <c r="AI103" s="1138">
        <f t="shared" si="225"/>
        <v>130702.21515625001</v>
      </c>
      <c r="AJ103" s="1138">
        <f t="shared" si="226"/>
        <v>2744746.5182812503</v>
      </c>
      <c r="AK103" s="1138">
        <f t="shared" si="227"/>
        <v>27447.465182812502</v>
      </c>
      <c r="AL103" s="1138">
        <f t="shared" si="228"/>
        <v>27537.409960060559</v>
      </c>
      <c r="AM103" s="1138"/>
      <c r="AN103" s="1138"/>
      <c r="AO103" s="1138">
        <f t="shared" si="229"/>
        <v>2799731.3934241231</v>
      </c>
      <c r="AP103" s="1138">
        <f t="shared" si="230"/>
        <v>377963.73811225663</v>
      </c>
      <c r="AQ103" s="1248">
        <f t="shared" si="231"/>
        <v>3177695.1315363795</v>
      </c>
      <c r="AR103" s="1248">
        <f t="shared" si="345"/>
        <v>3177695.1315363795</v>
      </c>
      <c r="AS103" s="1248"/>
      <c r="AT103" s="1248"/>
      <c r="AU103" s="1248">
        <f t="shared" si="232"/>
        <v>0</v>
      </c>
      <c r="AV103" s="1140">
        <f t="shared" si="233"/>
        <v>0</v>
      </c>
      <c r="AW103" s="1140">
        <f t="shared" si="234"/>
        <v>3177695.1315363795</v>
      </c>
      <c r="AX103" s="1139">
        <f t="shared" si="235"/>
        <v>39721.189144204749</v>
      </c>
      <c r="AY103" s="831" t="s">
        <v>478</v>
      </c>
      <c r="AZ103" s="831">
        <f t="shared" si="236"/>
        <v>3217416.3206805843</v>
      </c>
      <c r="BA103" s="831">
        <f t="shared" si="237"/>
        <v>120653.1120255219</v>
      </c>
      <c r="BB103" s="831"/>
      <c r="BC103" s="831">
        <f t="shared" si="189"/>
        <v>33600</v>
      </c>
      <c r="BD103" s="831"/>
      <c r="BE103" s="831">
        <f t="shared" si="238"/>
        <v>3371669.432706106</v>
      </c>
      <c r="BF103" s="831"/>
      <c r="BG103" s="831">
        <f t="shared" si="239"/>
        <v>3371669.432706106</v>
      </c>
      <c r="BH103" s="831"/>
      <c r="BI103" s="831">
        <f t="shared" si="240"/>
        <v>3371669.432706106</v>
      </c>
      <c r="BJ103" s="831"/>
      <c r="BK103" s="831">
        <f t="shared" si="241"/>
        <v>3371669.432706106</v>
      </c>
      <c r="BL103" s="831"/>
      <c r="BM103" s="831">
        <f t="shared" si="242"/>
        <v>3371669.432706106</v>
      </c>
      <c r="BN103" s="831"/>
      <c r="BO103" s="831">
        <f t="shared" si="243"/>
        <v>3371669.432706106</v>
      </c>
      <c r="BP103" s="831"/>
      <c r="BQ103" s="831">
        <f t="shared" si="244"/>
        <v>3371669.432706106</v>
      </c>
      <c r="BR103" s="831"/>
      <c r="BS103" s="831">
        <f t="shared" si="245"/>
        <v>3371669.432706106</v>
      </c>
      <c r="BT103" s="831"/>
      <c r="BU103" s="831">
        <f t="shared" si="246"/>
        <v>3371669.432706106</v>
      </c>
      <c r="BV103" s="831"/>
      <c r="BW103" s="831">
        <f t="shared" si="247"/>
        <v>56400</v>
      </c>
      <c r="BX103" s="831">
        <f t="shared" si="248"/>
        <v>3428069.432706106</v>
      </c>
      <c r="BY103" s="831"/>
      <c r="BZ103" s="831">
        <f t="shared" si="249"/>
        <v>3428069.432706106</v>
      </c>
      <c r="CA103" s="1260">
        <f t="shared" si="250"/>
        <v>3428069.432706106</v>
      </c>
      <c r="CB103" s="1260">
        <f t="shared" si="251"/>
        <v>3428069.432706106</v>
      </c>
      <c r="CC103" s="1260"/>
      <c r="CD103" s="1260">
        <f t="shared" si="252"/>
        <v>0</v>
      </c>
      <c r="CE103" s="1260">
        <f t="shared" si="253"/>
        <v>0</v>
      </c>
      <c r="CF103" s="1260">
        <f t="shared" si="254"/>
        <v>0</v>
      </c>
      <c r="CG103" s="1266">
        <f t="shared" si="255"/>
        <v>3428069.432706106</v>
      </c>
      <c r="CH103" s="1141">
        <f t="shared" si="256"/>
        <v>3428069.432706106</v>
      </c>
      <c r="CI103" s="1142">
        <f t="shared" si="257"/>
        <v>0</v>
      </c>
      <c r="CJ103" s="1141">
        <f t="shared" si="258"/>
        <v>351377.11685237585</v>
      </c>
      <c r="CK103" s="1141">
        <f t="shared" si="259"/>
        <v>119982.43014471373</v>
      </c>
      <c r="CL103" s="1143">
        <f t="shared" si="329"/>
        <v>3899428.9797031954</v>
      </c>
      <c r="CM103" s="1144">
        <f t="shared" si="260"/>
        <v>0.125</v>
      </c>
      <c r="CN103" s="1141">
        <f t="shared" si="261"/>
        <v>487428.62246289942</v>
      </c>
      <c r="CO103" s="1141">
        <f t="shared" si="262"/>
        <v>30000</v>
      </c>
      <c r="CP103" s="1141">
        <f t="shared" si="263"/>
        <v>457428.62246289942</v>
      </c>
      <c r="CQ103" s="1145">
        <f t="shared" si="264"/>
        <v>13</v>
      </c>
      <c r="CR103" s="1141">
        <f t="shared" si="265"/>
        <v>35186.817112530727</v>
      </c>
      <c r="CS103" s="1144">
        <f t="shared" si="266"/>
        <v>0.875</v>
      </c>
      <c r="CT103" s="1141">
        <f t="shared" si="267"/>
        <v>3412000.357240296</v>
      </c>
      <c r="CU103" s="1146">
        <f t="shared" si="204"/>
        <v>26453.202452996211</v>
      </c>
      <c r="CV103" s="1146">
        <f t="shared" si="205"/>
        <v>30668.023812461583</v>
      </c>
      <c r="CW103" s="1146">
        <f t="shared" si="206"/>
        <v>39616.217257257282</v>
      </c>
      <c r="CX103" s="1146">
        <f t="shared" si="207"/>
        <v>67561.696493458643</v>
      </c>
      <c r="CY103" s="1146">
        <f t="shared" si="268"/>
        <v>277167.63411050761</v>
      </c>
      <c r="CZ103" s="1146">
        <f t="shared" si="269"/>
        <v>109673.88265646526</v>
      </c>
      <c r="DA103" s="1146">
        <f t="shared" si="270"/>
        <v>79215.892110222063</v>
      </c>
      <c r="DB103" s="1146">
        <f t="shared" si="271"/>
        <v>60286.940807196588</v>
      </c>
      <c r="DC103" s="1146"/>
      <c r="DD103" s="1146"/>
      <c r="DE103" s="1146"/>
      <c r="DF103" s="1146"/>
      <c r="DG103" s="1146"/>
      <c r="DH103" s="1146"/>
      <c r="DI103" s="1146"/>
      <c r="DJ103" s="1146"/>
      <c r="DK103" s="1146"/>
      <c r="DL103" s="1146"/>
      <c r="DM103" s="1146"/>
      <c r="DN103" s="1146"/>
      <c r="DO103" s="1146"/>
      <c r="DP103" s="1146"/>
      <c r="DQ103" s="1146"/>
      <c r="DR103" s="1146"/>
      <c r="DS103" s="1146"/>
      <c r="DT103" s="1146"/>
      <c r="DU103" s="1146"/>
      <c r="DV103" s="1146"/>
      <c r="DW103" s="1146"/>
      <c r="DX103" s="1146"/>
      <c r="DY103" s="1146"/>
      <c r="DZ103" s="1146"/>
      <c r="EA103" s="1147">
        <f t="shared" si="208"/>
        <v>0</v>
      </c>
      <c r="EB103" s="1148">
        <f t="shared" si="272"/>
        <v>0</v>
      </c>
      <c r="EC103" s="1190">
        <f t="shared" si="316"/>
        <v>45839</v>
      </c>
      <c r="ED103" s="1031">
        <f t="shared" si="209"/>
        <v>20</v>
      </c>
      <c r="EE103" s="1191"/>
      <c r="EF103" s="1032">
        <f t="shared" si="210"/>
        <v>45904</v>
      </c>
      <c r="EG103" s="1029">
        <f t="shared" si="273"/>
        <v>22</v>
      </c>
      <c r="EH103" s="859" t="s">
        <v>490</v>
      </c>
      <c r="EI103" s="859" t="s">
        <v>480</v>
      </c>
      <c r="EJ103" s="860">
        <f t="shared" si="211"/>
        <v>0</v>
      </c>
      <c r="EK103" s="860">
        <f t="shared" si="212"/>
        <v>0</v>
      </c>
      <c r="EL103" s="861">
        <f t="shared" si="213"/>
        <v>0</v>
      </c>
      <c r="EM103" s="1197"/>
      <c r="EN103" s="860"/>
      <c r="EO103" s="860"/>
      <c r="EP103" s="860">
        <f t="shared" si="214"/>
        <v>0</v>
      </c>
      <c r="EQ103" s="1197"/>
      <c r="ER103" s="1200"/>
      <c r="ES103" s="1197"/>
      <c r="ET103" s="1194" t="s">
        <v>260</v>
      </c>
      <c r="EU103" s="1197" t="b">
        <f t="shared" si="215"/>
        <v>1</v>
      </c>
      <c r="EV103" s="1197" t="s">
        <v>602</v>
      </c>
      <c r="EW103" s="1197" t="s">
        <v>482</v>
      </c>
      <c r="EX103" s="1197"/>
      <c r="EY103" s="1128" t="s">
        <v>483</v>
      </c>
      <c r="EZ103" s="1128" t="s">
        <v>484</v>
      </c>
      <c r="FA103" s="1169">
        <f t="shared" si="274"/>
        <v>0</v>
      </c>
      <c r="FI103" s="1309" t="s">
        <v>149</v>
      </c>
      <c r="FJ103" s="1159" t="s">
        <v>149</v>
      </c>
      <c r="FK103" s="1160" t="b">
        <f t="shared" si="275"/>
        <v>1</v>
      </c>
      <c r="FL103" s="1131"/>
      <c r="FM103" s="1161"/>
      <c r="FP103" s="1166"/>
      <c r="FQ103" s="1203"/>
      <c r="FU103" s="1295"/>
      <c r="FV103" s="1295"/>
      <c r="FW103" s="1023">
        <v>0.15</v>
      </c>
      <c r="FX103" s="1162">
        <v>14385.912743709012</v>
      </c>
      <c r="FY103" s="1163">
        <v>14835.472516949918</v>
      </c>
      <c r="GA103" s="1164">
        <f t="shared" si="276"/>
        <v>3899428.9797031954</v>
      </c>
      <c r="GB103" s="1165">
        <f t="shared" si="277"/>
        <v>0.15</v>
      </c>
      <c r="GC103" s="1154">
        <f t="shared" si="278"/>
        <v>584914.34695547924</v>
      </c>
      <c r="GD103" s="1164">
        <f t="shared" si="279"/>
        <v>30000</v>
      </c>
      <c r="GE103" s="1154">
        <f t="shared" si="280"/>
        <v>554914.34695547924</v>
      </c>
      <c r="GF103" s="1060">
        <f t="shared" si="281"/>
        <v>35</v>
      </c>
      <c r="GG103" s="1166">
        <f t="shared" si="282"/>
        <v>15854.695627299407</v>
      </c>
      <c r="GI103" s="1164">
        <f t="shared" si="283"/>
        <v>3899428.9797031954</v>
      </c>
      <c r="GJ103" s="1154">
        <f t="shared" si="284"/>
        <v>389942.89797031955</v>
      </c>
      <c r="GK103" s="1154">
        <f t="shared" si="285"/>
        <v>97485.724492579888</v>
      </c>
      <c r="GL103" s="1166">
        <v>15000</v>
      </c>
      <c r="GM103" s="1154">
        <f t="shared" si="286"/>
        <v>374942.89797031955</v>
      </c>
      <c r="GN103" s="1060">
        <f t="shared" si="287"/>
        <v>35</v>
      </c>
      <c r="GO103" s="1154">
        <f t="shared" si="288"/>
        <v>10712.654227723417</v>
      </c>
      <c r="GS103" s="1010">
        <f t="shared" si="289"/>
        <v>3899428.9797031954</v>
      </c>
      <c r="GT103" s="1011">
        <f t="shared" si="290"/>
        <v>0.125</v>
      </c>
      <c r="GU103" s="1010">
        <f t="shared" si="291"/>
        <v>487428.62246289942</v>
      </c>
      <c r="GV103" s="1010">
        <f t="shared" si="292"/>
        <v>30000</v>
      </c>
      <c r="GW103" s="1010">
        <f t="shared" si="293"/>
        <v>457428.62246289942</v>
      </c>
      <c r="GX103" s="1010">
        <f t="shared" si="294"/>
        <v>13</v>
      </c>
      <c r="GY103" s="1010">
        <f t="shared" si="295"/>
        <v>35186.817112530727</v>
      </c>
      <c r="GZ103" s="1011">
        <f t="shared" si="296"/>
        <v>0.875</v>
      </c>
      <c r="HA103" s="1010">
        <f t="shared" si="297"/>
        <v>3412000.357240296</v>
      </c>
      <c r="HB103" s="1010">
        <f t="shared" si="298"/>
        <v>26453.202452996211</v>
      </c>
      <c r="HC103" s="1010">
        <f t="shared" si="299"/>
        <v>30668.023812461583</v>
      </c>
      <c r="HD103" s="1010">
        <f t="shared" si="300"/>
        <v>39616.217257257282</v>
      </c>
      <c r="HE103" s="1010">
        <f t="shared" si="301"/>
        <v>67561.696493458643</v>
      </c>
      <c r="HG103" s="1010">
        <f t="shared" si="302"/>
        <v>3899428.9797031954</v>
      </c>
      <c r="HH103" s="1011">
        <f t="shared" si="303"/>
        <v>0.125</v>
      </c>
      <c r="HI103" s="1010">
        <f t="shared" si="304"/>
        <v>487428.62246289942</v>
      </c>
      <c r="HJ103" s="1010">
        <f t="shared" si="305"/>
        <v>30000</v>
      </c>
      <c r="HK103" s="1010">
        <f t="shared" si="306"/>
        <v>457428.62246289942</v>
      </c>
      <c r="HL103" s="1012">
        <f t="shared" si="307"/>
        <v>33</v>
      </c>
      <c r="HM103" s="1167">
        <f t="shared" si="308"/>
        <v>13861.473407966649</v>
      </c>
      <c r="HN103" s="1168">
        <f t="shared" si="309"/>
        <v>0.875</v>
      </c>
      <c r="HO103" s="1167">
        <f t="shared" si="310"/>
        <v>3412000.357240296</v>
      </c>
      <c r="HP103" s="1146">
        <f t="shared" si="311"/>
        <v>26453.202452996211</v>
      </c>
      <c r="HQ103" s="1146">
        <f t="shared" si="312"/>
        <v>30668.023812461583</v>
      </c>
      <c r="HR103" s="1146">
        <f t="shared" si="313"/>
        <v>39616.217257257282</v>
      </c>
      <c r="HS103" s="1146">
        <f t="shared" si="314"/>
        <v>67561.696493458643</v>
      </c>
      <c r="HU103" s="1167">
        <f t="shared" si="315"/>
        <v>-21325.343704564079</v>
      </c>
      <c r="HX103" s="1154"/>
      <c r="HY103" s="1154"/>
      <c r="IB103" s="1154"/>
      <c r="IC103" s="1154"/>
      <c r="ID103" s="1154"/>
      <c r="IE103" s="1154"/>
      <c r="IG103" s="1060"/>
    </row>
    <row r="104" spans="1:241" ht="14.25" hidden="1" customHeight="1">
      <c r="A104" s="1186">
        <f t="shared" si="330"/>
        <v>98</v>
      </c>
      <c r="B104" s="824" t="s">
        <v>149</v>
      </c>
      <c r="C104" s="855">
        <f t="shared" si="338"/>
        <v>11</v>
      </c>
      <c r="D104" s="856" t="s">
        <v>507</v>
      </c>
      <c r="E104" s="857" t="str">
        <f t="shared" si="216"/>
        <v>7th Floor</v>
      </c>
      <c r="F104" s="1185"/>
      <c r="G104" s="764" t="s">
        <v>261</v>
      </c>
      <c r="H104" s="764" t="s">
        <v>517</v>
      </c>
      <c r="I104" s="764" t="s">
        <v>476</v>
      </c>
      <c r="J104" s="1139">
        <v>22</v>
      </c>
      <c r="K104" s="1142"/>
      <c r="L104" s="764" t="s">
        <v>500</v>
      </c>
      <c r="M104" s="764" t="s">
        <v>93</v>
      </c>
      <c r="N104" s="856">
        <f t="shared" si="217"/>
        <v>100909.09090909091</v>
      </c>
      <c r="O104" s="1138">
        <f t="shared" si="324"/>
        <v>2220000</v>
      </c>
      <c r="P104" s="1138">
        <f t="shared" si="331"/>
        <v>22400</v>
      </c>
      <c r="Q104" s="1138">
        <f t="shared" si="203"/>
        <v>50000</v>
      </c>
      <c r="R104" s="1138"/>
      <c r="S104" s="1138"/>
      <c r="T104" s="1138"/>
      <c r="U104" s="1138"/>
      <c r="V104" s="1138"/>
      <c r="W104" s="858"/>
      <c r="X104" s="1138"/>
      <c r="Y104" s="1138">
        <f t="shared" si="340"/>
        <v>60000</v>
      </c>
      <c r="Z104" s="1138">
        <f t="shared" si="327"/>
        <v>75000</v>
      </c>
      <c r="AA104" s="1138">
        <f t="shared" si="328"/>
        <v>207400</v>
      </c>
      <c r="AB104" s="1138">
        <f t="shared" si="218"/>
        <v>2427400</v>
      </c>
      <c r="AC104" s="1138">
        <f t="shared" si="219"/>
        <v>60685</v>
      </c>
      <c r="AD104" s="1138">
        <f t="shared" si="220"/>
        <v>2488085</v>
      </c>
      <c r="AE104" s="1138">
        <f t="shared" si="221"/>
        <v>62202.125</v>
      </c>
      <c r="AF104" s="1138">
        <f t="shared" si="222"/>
        <v>2550287.125</v>
      </c>
      <c r="AG104" s="1138">
        <f t="shared" si="223"/>
        <v>63757.178125000006</v>
      </c>
      <c r="AH104" s="1138">
        <f t="shared" si="224"/>
        <v>2614044.3031250001</v>
      </c>
      <c r="AI104" s="1138">
        <f t="shared" si="225"/>
        <v>130702.21515625001</v>
      </c>
      <c r="AJ104" s="1138">
        <f t="shared" si="226"/>
        <v>2744746.5182812503</v>
      </c>
      <c r="AK104" s="1138">
        <f t="shared" si="227"/>
        <v>27447.465182812502</v>
      </c>
      <c r="AL104" s="1138">
        <f t="shared" si="228"/>
        <v>27537.409960060559</v>
      </c>
      <c r="AM104" s="1138"/>
      <c r="AN104" s="1138"/>
      <c r="AO104" s="1138">
        <f t="shared" si="229"/>
        <v>2799731.3934241231</v>
      </c>
      <c r="AP104" s="1138">
        <f t="shared" si="230"/>
        <v>377963.73811225663</v>
      </c>
      <c r="AQ104" s="1248">
        <f t="shared" si="231"/>
        <v>3177695.1315363795</v>
      </c>
      <c r="AR104" s="1248">
        <f t="shared" si="345"/>
        <v>3177695.1315363795</v>
      </c>
      <c r="AS104" s="1248"/>
      <c r="AT104" s="1248"/>
      <c r="AU104" s="1248">
        <f t="shared" si="232"/>
        <v>0</v>
      </c>
      <c r="AV104" s="1140">
        <f t="shared" si="233"/>
        <v>0</v>
      </c>
      <c r="AW104" s="1140">
        <f t="shared" si="234"/>
        <v>3177695.1315363795</v>
      </c>
      <c r="AX104" s="1139">
        <f t="shared" si="235"/>
        <v>39721.189144204749</v>
      </c>
      <c r="AY104" s="831" t="s">
        <v>478</v>
      </c>
      <c r="AZ104" s="831">
        <f t="shared" si="236"/>
        <v>3217416.3206805843</v>
      </c>
      <c r="BA104" s="831">
        <f t="shared" si="237"/>
        <v>120653.1120255219</v>
      </c>
      <c r="BB104" s="831"/>
      <c r="BC104" s="831">
        <f t="shared" si="189"/>
        <v>33600</v>
      </c>
      <c r="BD104" s="831"/>
      <c r="BE104" s="831">
        <f t="shared" si="238"/>
        <v>3371669.432706106</v>
      </c>
      <c r="BF104" s="831"/>
      <c r="BG104" s="831">
        <f t="shared" si="239"/>
        <v>3371669.432706106</v>
      </c>
      <c r="BH104" s="831"/>
      <c r="BI104" s="831">
        <f t="shared" si="240"/>
        <v>3371669.432706106</v>
      </c>
      <c r="BJ104" s="831"/>
      <c r="BK104" s="831">
        <f t="shared" si="241"/>
        <v>3371669.432706106</v>
      </c>
      <c r="BL104" s="831"/>
      <c r="BM104" s="831">
        <f t="shared" si="242"/>
        <v>3371669.432706106</v>
      </c>
      <c r="BN104" s="831"/>
      <c r="BO104" s="831">
        <f t="shared" si="243"/>
        <v>3371669.432706106</v>
      </c>
      <c r="BP104" s="831"/>
      <c r="BQ104" s="831">
        <f t="shared" si="244"/>
        <v>3371669.432706106</v>
      </c>
      <c r="BR104" s="831"/>
      <c r="BS104" s="831">
        <f t="shared" si="245"/>
        <v>3371669.432706106</v>
      </c>
      <c r="BT104" s="831"/>
      <c r="BU104" s="831">
        <f t="shared" si="246"/>
        <v>3371669.432706106</v>
      </c>
      <c r="BV104" s="831"/>
      <c r="BW104" s="831">
        <f t="shared" si="247"/>
        <v>56400</v>
      </c>
      <c r="BX104" s="831">
        <f t="shared" si="248"/>
        <v>3428069.432706106</v>
      </c>
      <c r="BY104" s="831"/>
      <c r="BZ104" s="831">
        <f t="shared" si="249"/>
        <v>3428069.432706106</v>
      </c>
      <c r="CA104" s="1260">
        <f t="shared" si="250"/>
        <v>3428069.432706106</v>
      </c>
      <c r="CB104" s="1260">
        <f t="shared" si="251"/>
        <v>3428069.432706106</v>
      </c>
      <c r="CC104" s="1260"/>
      <c r="CD104" s="1260">
        <f t="shared" si="252"/>
        <v>0</v>
      </c>
      <c r="CE104" s="1260">
        <f t="shared" si="253"/>
        <v>0</v>
      </c>
      <c r="CF104" s="1260">
        <f t="shared" si="254"/>
        <v>0</v>
      </c>
      <c r="CG104" s="1266">
        <f t="shared" si="255"/>
        <v>3428069.432706106</v>
      </c>
      <c r="CH104" s="1141">
        <f t="shared" si="256"/>
        <v>3428069.432706106</v>
      </c>
      <c r="CI104" s="1142">
        <f t="shared" si="257"/>
        <v>0</v>
      </c>
      <c r="CJ104" s="1141">
        <f t="shared" si="258"/>
        <v>351377.11685237585</v>
      </c>
      <c r="CK104" s="1141">
        <f t="shared" si="259"/>
        <v>119982.43014471373</v>
      </c>
      <c r="CL104" s="1143">
        <f t="shared" si="329"/>
        <v>3899428.9797031954</v>
      </c>
      <c r="CM104" s="1144">
        <f t="shared" si="260"/>
        <v>0.125</v>
      </c>
      <c r="CN104" s="1141">
        <f t="shared" si="261"/>
        <v>487428.62246289942</v>
      </c>
      <c r="CO104" s="1141">
        <f t="shared" si="262"/>
        <v>30000</v>
      </c>
      <c r="CP104" s="1141">
        <f t="shared" si="263"/>
        <v>457428.62246289942</v>
      </c>
      <c r="CQ104" s="1145">
        <f t="shared" si="264"/>
        <v>13</v>
      </c>
      <c r="CR104" s="1141">
        <f t="shared" si="265"/>
        <v>35186.817112530727</v>
      </c>
      <c r="CS104" s="1144">
        <f t="shared" si="266"/>
        <v>0.875</v>
      </c>
      <c r="CT104" s="1141">
        <f t="shared" si="267"/>
        <v>3412000.357240296</v>
      </c>
      <c r="CU104" s="1146">
        <f t="shared" si="204"/>
        <v>26453.202452996211</v>
      </c>
      <c r="CV104" s="1146">
        <f t="shared" si="205"/>
        <v>30668.023812461583</v>
      </c>
      <c r="CW104" s="1146">
        <f t="shared" si="206"/>
        <v>39616.217257257282</v>
      </c>
      <c r="CX104" s="1146">
        <f t="shared" si="207"/>
        <v>67561.696493458643</v>
      </c>
      <c r="CY104" s="1146">
        <f t="shared" si="268"/>
        <v>277167.63411050761</v>
      </c>
      <c r="CZ104" s="1146">
        <f t="shared" si="269"/>
        <v>109673.88265646526</v>
      </c>
      <c r="DA104" s="1146">
        <f t="shared" si="270"/>
        <v>79215.892110222063</v>
      </c>
      <c r="DB104" s="1146">
        <f t="shared" si="271"/>
        <v>60286.940807196588</v>
      </c>
      <c r="DC104" s="1146"/>
      <c r="DD104" s="1146"/>
      <c r="DE104" s="1146"/>
      <c r="DF104" s="1146"/>
      <c r="DG104" s="1146"/>
      <c r="DH104" s="1146"/>
      <c r="DI104" s="1146"/>
      <c r="DJ104" s="1146"/>
      <c r="DK104" s="1146"/>
      <c r="DL104" s="1146"/>
      <c r="DM104" s="1146"/>
      <c r="DN104" s="1146"/>
      <c r="DO104" s="1146"/>
      <c r="DP104" s="1146"/>
      <c r="DQ104" s="1146"/>
      <c r="DR104" s="1146"/>
      <c r="DS104" s="1146"/>
      <c r="DT104" s="1146"/>
      <c r="DU104" s="1146"/>
      <c r="DV104" s="1146"/>
      <c r="DW104" s="1146"/>
      <c r="DX104" s="1146"/>
      <c r="DY104" s="1146"/>
      <c r="DZ104" s="1146"/>
      <c r="EA104" s="1147">
        <f t="shared" si="208"/>
        <v>0</v>
      </c>
      <c r="EB104" s="1148">
        <f t="shared" si="272"/>
        <v>0</v>
      </c>
      <c r="EC104" s="1190">
        <f t="shared" si="316"/>
        <v>45839</v>
      </c>
      <c r="ED104" s="1031">
        <f t="shared" si="209"/>
        <v>20</v>
      </c>
      <c r="EE104" s="1191"/>
      <c r="EF104" s="1032">
        <f t="shared" si="210"/>
        <v>45904</v>
      </c>
      <c r="EG104" s="1029">
        <f t="shared" si="273"/>
        <v>22</v>
      </c>
      <c r="EH104" s="859" t="s">
        <v>490</v>
      </c>
      <c r="EI104" s="859" t="s">
        <v>480</v>
      </c>
      <c r="EJ104" s="860">
        <f t="shared" si="211"/>
        <v>0</v>
      </c>
      <c r="EK104" s="860">
        <f t="shared" si="212"/>
        <v>0</v>
      </c>
      <c r="EL104" s="861">
        <f t="shared" si="213"/>
        <v>0</v>
      </c>
      <c r="EM104" s="1197"/>
      <c r="EN104" s="860"/>
      <c r="EO104" s="860"/>
      <c r="EP104" s="860">
        <f t="shared" si="214"/>
        <v>0</v>
      </c>
      <c r="EQ104" s="1197"/>
      <c r="ER104" s="1200"/>
      <c r="ES104" s="1197"/>
      <c r="ET104" s="1194" t="s">
        <v>261</v>
      </c>
      <c r="EU104" s="1197" t="b">
        <f t="shared" si="215"/>
        <v>1</v>
      </c>
      <c r="EV104" s="1197" t="s">
        <v>596</v>
      </c>
      <c r="EW104" s="1197" t="s">
        <v>482</v>
      </c>
      <c r="EX104" s="1197"/>
      <c r="EY104" s="1128" t="s">
        <v>483</v>
      </c>
      <c r="EZ104" s="1128" t="s">
        <v>484</v>
      </c>
      <c r="FA104" s="1169">
        <f t="shared" si="274"/>
        <v>0</v>
      </c>
      <c r="FI104" s="1309" t="s">
        <v>149</v>
      </c>
      <c r="FJ104" s="1159" t="s">
        <v>149</v>
      </c>
      <c r="FK104" s="1160" t="b">
        <f t="shared" si="275"/>
        <v>1</v>
      </c>
      <c r="FL104" s="1131"/>
      <c r="FM104" s="1161"/>
      <c r="FP104" s="1166"/>
      <c r="FQ104" s="1203"/>
      <c r="FU104" s="1295"/>
      <c r="FV104" s="1295"/>
      <c r="FW104" s="1023">
        <v>0.15</v>
      </c>
      <c r="FX104" s="1162">
        <v>14385.912743709012</v>
      </c>
      <c r="FY104" s="1163">
        <v>14835.472516949918</v>
      </c>
      <c r="GA104" s="1164">
        <f t="shared" si="276"/>
        <v>3899428.9797031954</v>
      </c>
      <c r="GB104" s="1165">
        <f t="shared" si="277"/>
        <v>0.15</v>
      </c>
      <c r="GC104" s="1154">
        <f t="shared" si="278"/>
        <v>584914.34695547924</v>
      </c>
      <c r="GD104" s="1164">
        <f t="shared" si="279"/>
        <v>30000</v>
      </c>
      <c r="GE104" s="1154">
        <f t="shared" si="280"/>
        <v>554914.34695547924</v>
      </c>
      <c r="GF104" s="1060">
        <f t="shared" si="281"/>
        <v>35</v>
      </c>
      <c r="GG104" s="1166">
        <f t="shared" si="282"/>
        <v>15854.695627299407</v>
      </c>
      <c r="GI104" s="1164">
        <f t="shared" si="283"/>
        <v>3899428.9797031954</v>
      </c>
      <c r="GJ104" s="1154">
        <f t="shared" si="284"/>
        <v>389942.89797031955</v>
      </c>
      <c r="GK104" s="1154">
        <f t="shared" si="285"/>
        <v>97485.724492579888</v>
      </c>
      <c r="GL104" s="1166">
        <v>15000</v>
      </c>
      <c r="GM104" s="1154">
        <f t="shared" si="286"/>
        <v>374942.89797031955</v>
      </c>
      <c r="GN104" s="1060">
        <f t="shared" si="287"/>
        <v>35</v>
      </c>
      <c r="GO104" s="1154">
        <f t="shared" si="288"/>
        <v>10712.654227723417</v>
      </c>
      <c r="GS104" s="1010">
        <f t="shared" si="289"/>
        <v>3899428.9797031954</v>
      </c>
      <c r="GT104" s="1011">
        <f t="shared" si="290"/>
        <v>0.125</v>
      </c>
      <c r="GU104" s="1010">
        <f t="shared" si="291"/>
        <v>487428.62246289942</v>
      </c>
      <c r="GV104" s="1010">
        <f t="shared" si="292"/>
        <v>30000</v>
      </c>
      <c r="GW104" s="1010">
        <f t="shared" si="293"/>
        <v>457428.62246289942</v>
      </c>
      <c r="GX104" s="1010">
        <f t="shared" si="294"/>
        <v>13</v>
      </c>
      <c r="GY104" s="1010">
        <f t="shared" si="295"/>
        <v>35186.817112530727</v>
      </c>
      <c r="GZ104" s="1011">
        <f t="shared" si="296"/>
        <v>0.875</v>
      </c>
      <c r="HA104" s="1010">
        <f t="shared" si="297"/>
        <v>3412000.357240296</v>
      </c>
      <c r="HB104" s="1010">
        <f t="shared" si="298"/>
        <v>26453.202452996211</v>
      </c>
      <c r="HC104" s="1010">
        <f t="shared" si="299"/>
        <v>30668.023812461583</v>
      </c>
      <c r="HD104" s="1010">
        <f t="shared" si="300"/>
        <v>39616.217257257282</v>
      </c>
      <c r="HE104" s="1010">
        <f t="shared" si="301"/>
        <v>67561.696493458643</v>
      </c>
      <c r="HG104" s="1010">
        <f t="shared" si="302"/>
        <v>3899428.9797031954</v>
      </c>
      <c r="HH104" s="1011">
        <f t="shared" si="303"/>
        <v>0.125</v>
      </c>
      <c r="HI104" s="1010">
        <f t="shared" si="304"/>
        <v>487428.62246289942</v>
      </c>
      <c r="HJ104" s="1010">
        <f t="shared" si="305"/>
        <v>30000</v>
      </c>
      <c r="HK104" s="1010">
        <f t="shared" si="306"/>
        <v>457428.62246289942</v>
      </c>
      <c r="HL104" s="1012">
        <f t="shared" si="307"/>
        <v>33</v>
      </c>
      <c r="HM104" s="1167">
        <f t="shared" si="308"/>
        <v>13861.473407966649</v>
      </c>
      <c r="HN104" s="1168">
        <f t="shared" si="309"/>
        <v>0.875</v>
      </c>
      <c r="HO104" s="1167">
        <f t="shared" si="310"/>
        <v>3412000.357240296</v>
      </c>
      <c r="HP104" s="1146">
        <f t="shared" si="311"/>
        <v>26453.202452996211</v>
      </c>
      <c r="HQ104" s="1146">
        <f t="shared" si="312"/>
        <v>30668.023812461583</v>
      </c>
      <c r="HR104" s="1146">
        <f t="shared" si="313"/>
        <v>39616.217257257282</v>
      </c>
      <c r="HS104" s="1146">
        <f t="shared" si="314"/>
        <v>67561.696493458643</v>
      </c>
      <c r="HU104" s="1167">
        <f t="shared" si="315"/>
        <v>-21325.343704564079</v>
      </c>
      <c r="HX104" s="1154"/>
      <c r="HY104" s="1154"/>
      <c r="IB104" s="1154"/>
      <c r="IC104" s="1154"/>
      <c r="ID104" s="1154"/>
      <c r="IE104" s="1154"/>
      <c r="IG104" s="1060"/>
    </row>
    <row r="105" spans="1:241" ht="14.25" hidden="1" customHeight="1">
      <c r="A105" s="1186">
        <f t="shared" si="330"/>
        <v>99</v>
      </c>
      <c r="B105" s="824" t="s">
        <v>149</v>
      </c>
      <c r="C105" s="855">
        <f t="shared" si="338"/>
        <v>12</v>
      </c>
      <c r="D105" s="856" t="s">
        <v>507</v>
      </c>
      <c r="E105" s="857" t="str">
        <f t="shared" si="216"/>
        <v>7th Floor</v>
      </c>
      <c r="F105" s="1185"/>
      <c r="G105" s="764" t="s">
        <v>262</v>
      </c>
      <c r="H105" s="764" t="s">
        <v>520</v>
      </c>
      <c r="I105" s="764" t="s">
        <v>476</v>
      </c>
      <c r="J105" s="1139">
        <v>22</v>
      </c>
      <c r="K105" s="1142"/>
      <c r="L105" s="764" t="s">
        <v>500</v>
      </c>
      <c r="M105" s="764" t="s">
        <v>93</v>
      </c>
      <c r="N105" s="856">
        <f t="shared" si="217"/>
        <v>100909.09090909091</v>
      </c>
      <c r="O105" s="1138">
        <f t="shared" si="324"/>
        <v>2220000</v>
      </c>
      <c r="P105" s="1138">
        <f t="shared" si="331"/>
        <v>22400</v>
      </c>
      <c r="Q105" s="1138">
        <f t="shared" si="203"/>
        <v>50000</v>
      </c>
      <c r="R105" s="1138"/>
      <c r="S105" s="1138"/>
      <c r="T105" s="1138"/>
      <c r="U105" s="1138"/>
      <c r="V105" s="1138"/>
      <c r="W105" s="858"/>
      <c r="X105" s="1138"/>
      <c r="Y105" s="1138">
        <f t="shared" si="340"/>
        <v>60000</v>
      </c>
      <c r="Z105" s="1138">
        <f t="shared" si="327"/>
        <v>75000</v>
      </c>
      <c r="AA105" s="1138">
        <f t="shared" si="328"/>
        <v>207400</v>
      </c>
      <c r="AB105" s="1138">
        <f t="shared" si="218"/>
        <v>2427400</v>
      </c>
      <c r="AC105" s="1138">
        <f t="shared" si="219"/>
        <v>60685</v>
      </c>
      <c r="AD105" s="1138">
        <f t="shared" si="220"/>
        <v>2488085</v>
      </c>
      <c r="AE105" s="1138">
        <f t="shared" si="221"/>
        <v>62202.125</v>
      </c>
      <c r="AF105" s="1138">
        <f t="shared" si="222"/>
        <v>2550287.125</v>
      </c>
      <c r="AG105" s="1138">
        <f t="shared" si="223"/>
        <v>63757.178125000006</v>
      </c>
      <c r="AH105" s="1138">
        <f t="shared" si="224"/>
        <v>2614044.3031250001</v>
      </c>
      <c r="AI105" s="1138">
        <f t="shared" si="225"/>
        <v>130702.21515625001</v>
      </c>
      <c r="AJ105" s="1138">
        <f t="shared" si="226"/>
        <v>2744746.5182812503</v>
      </c>
      <c r="AK105" s="1138">
        <f t="shared" si="227"/>
        <v>27447.465182812502</v>
      </c>
      <c r="AL105" s="1138">
        <f t="shared" si="228"/>
        <v>27537.409960060559</v>
      </c>
      <c r="AM105" s="1138"/>
      <c r="AN105" s="1138"/>
      <c r="AO105" s="1138">
        <f t="shared" si="229"/>
        <v>2799731.3934241231</v>
      </c>
      <c r="AP105" s="1138">
        <f t="shared" si="230"/>
        <v>377963.73811225663</v>
      </c>
      <c r="AQ105" s="1248">
        <f t="shared" si="231"/>
        <v>3177695.1315363795</v>
      </c>
      <c r="AR105" s="1248">
        <f t="shared" si="345"/>
        <v>3177695.1315363795</v>
      </c>
      <c r="AS105" s="1248"/>
      <c r="AT105" s="1248"/>
      <c r="AU105" s="1248">
        <f t="shared" si="232"/>
        <v>0</v>
      </c>
      <c r="AV105" s="1140">
        <f t="shared" si="233"/>
        <v>0</v>
      </c>
      <c r="AW105" s="1140">
        <f t="shared" si="234"/>
        <v>3177695.1315363795</v>
      </c>
      <c r="AX105" s="1139">
        <f t="shared" si="235"/>
        <v>39721.189144204749</v>
      </c>
      <c r="AY105" s="831" t="s">
        <v>478</v>
      </c>
      <c r="AZ105" s="831">
        <f t="shared" si="236"/>
        <v>3217416.3206805843</v>
      </c>
      <c r="BA105" s="831">
        <f t="shared" si="237"/>
        <v>120653.1120255219</v>
      </c>
      <c r="BB105" s="831"/>
      <c r="BC105" s="831">
        <f t="shared" si="189"/>
        <v>33600</v>
      </c>
      <c r="BD105" s="831"/>
      <c r="BE105" s="831">
        <f t="shared" si="238"/>
        <v>3371669.432706106</v>
      </c>
      <c r="BF105" s="831"/>
      <c r="BG105" s="831">
        <f t="shared" si="239"/>
        <v>3371669.432706106</v>
      </c>
      <c r="BH105" s="831"/>
      <c r="BI105" s="831">
        <f t="shared" si="240"/>
        <v>3371669.432706106</v>
      </c>
      <c r="BJ105" s="831"/>
      <c r="BK105" s="831">
        <f t="shared" si="241"/>
        <v>3371669.432706106</v>
      </c>
      <c r="BL105" s="831"/>
      <c r="BM105" s="831">
        <f t="shared" si="242"/>
        <v>3371669.432706106</v>
      </c>
      <c r="BN105" s="831"/>
      <c r="BO105" s="831">
        <f t="shared" si="243"/>
        <v>3371669.432706106</v>
      </c>
      <c r="BP105" s="831"/>
      <c r="BQ105" s="831">
        <f t="shared" si="244"/>
        <v>3371669.432706106</v>
      </c>
      <c r="BR105" s="831"/>
      <c r="BS105" s="831">
        <f t="shared" si="245"/>
        <v>3371669.432706106</v>
      </c>
      <c r="BT105" s="831"/>
      <c r="BU105" s="831">
        <f t="shared" si="246"/>
        <v>3371669.432706106</v>
      </c>
      <c r="BV105" s="831"/>
      <c r="BW105" s="831">
        <f t="shared" si="247"/>
        <v>56400</v>
      </c>
      <c r="BX105" s="831">
        <f t="shared" si="248"/>
        <v>3428069.432706106</v>
      </c>
      <c r="BY105" s="831"/>
      <c r="BZ105" s="831">
        <f t="shared" si="249"/>
        <v>3428069.432706106</v>
      </c>
      <c r="CA105" s="1260">
        <f t="shared" si="250"/>
        <v>3428069.432706106</v>
      </c>
      <c r="CB105" s="1260">
        <f t="shared" si="251"/>
        <v>3428069.432706106</v>
      </c>
      <c r="CC105" s="1260"/>
      <c r="CD105" s="1260">
        <f t="shared" si="252"/>
        <v>0</v>
      </c>
      <c r="CE105" s="1260">
        <f t="shared" si="253"/>
        <v>0</v>
      </c>
      <c r="CF105" s="1260">
        <f t="shared" si="254"/>
        <v>0</v>
      </c>
      <c r="CG105" s="1266">
        <f t="shared" si="255"/>
        <v>3428069.432706106</v>
      </c>
      <c r="CH105" s="1141">
        <f t="shared" si="256"/>
        <v>3428069.432706106</v>
      </c>
      <c r="CI105" s="1142">
        <f t="shared" si="257"/>
        <v>0</v>
      </c>
      <c r="CJ105" s="1141">
        <f t="shared" si="258"/>
        <v>351377.11685237585</v>
      </c>
      <c r="CK105" s="1141">
        <f t="shared" si="259"/>
        <v>119982.43014471373</v>
      </c>
      <c r="CL105" s="1143">
        <f t="shared" si="329"/>
        <v>3899428.9797031954</v>
      </c>
      <c r="CM105" s="1144">
        <f t="shared" si="260"/>
        <v>0.125</v>
      </c>
      <c r="CN105" s="1141">
        <f t="shared" si="261"/>
        <v>487428.62246289942</v>
      </c>
      <c r="CO105" s="1141">
        <f t="shared" si="262"/>
        <v>30000</v>
      </c>
      <c r="CP105" s="1141">
        <f t="shared" si="263"/>
        <v>457428.62246289942</v>
      </c>
      <c r="CQ105" s="1145">
        <f t="shared" si="264"/>
        <v>13</v>
      </c>
      <c r="CR105" s="1141">
        <f t="shared" si="265"/>
        <v>35186.817112530727</v>
      </c>
      <c r="CS105" s="1144">
        <f t="shared" si="266"/>
        <v>0.875</v>
      </c>
      <c r="CT105" s="1141">
        <f t="shared" si="267"/>
        <v>3412000.357240296</v>
      </c>
      <c r="CU105" s="1146">
        <f t="shared" si="204"/>
        <v>26453.202452996211</v>
      </c>
      <c r="CV105" s="1146">
        <f t="shared" si="205"/>
        <v>30668.023812461583</v>
      </c>
      <c r="CW105" s="1146">
        <f t="shared" si="206"/>
        <v>39616.217257257282</v>
      </c>
      <c r="CX105" s="1146">
        <f t="shared" si="207"/>
        <v>67561.696493458643</v>
      </c>
      <c r="CY105" s="1146">
        <f t="shared" si="268"/>
        <v>277167.63411050761</v>
      </c>
      <c r="CZ105" s="1146">
        <f t="shared" si="269"/>
        <v>109673.88265646526</v>
      </c>
      <c r="DA105" s="1146">
        <f t="shared" si="270"/>
        <v>79215.892110222063</v>
      </c>
      <c r="DB105" s="1146">
        <f t="shared" si="271"/>
        <v>60286.940807196588</v>
      </c>
      <c r="DC105" s="1146"/>
      <c r="DD105" s="1146"/>
      <c r="DE105" s="1146"/>
      <c r="DF105" s="1146"/>
      <c r="DG105" s="1146"/>
      <c r="DH105" s="1146"/>
      <c r="DI105" s="1146"/>
      <c r="DJ105" s="1146"/>
      <c r="DK105" s="1146"/>
      <c r="DL105" s="1146"/>
      <c r="DM105" s="1146"/>
      <c r="DN105" s="1146"/>
      <c r="DO105" s="1146"/>
      <c r="DP105" s="1146"/>
      <c r="DQ105" s="1146"/>
      <c r="DR105" s="1146"/>
      <c r="DS105" s="1146"/>
      <c r="DT105" s="1146"/>
      <c r="DU105" s="1146"/>
      <c r="DV105" s="1146"/>
      <c r="DW105" s="1146"/>
      <c r="DX105" s="1146"/>
      <c r="DY105" s="1146"/>
      <c r="DZ105" s="1146"/>
      <c r="EA105" s="1147">
        <f t="shared" si="208"/>
        <v>0</v>
      </c>
      <c r="EB105" s="1148">
        <f t="shared" si="272"/>
        <v>0</v>
      </c>
      <c r="EC105" s="1190">
        <f t="shared" si="316"/>
        <v>45839</v>
      </c>
      <c r="ED105" s="1031">
        <f t="shared" si="209"/>
        <v>20</v>
      </c>
      <c r="EE105" s="1191"/>
      <c r="EF105" s="1032">
        <f t="shared" si="210"/>
        <v>45904</v>
      </c>
      <c r="EG105" s="1029">
        <f t="shared" si="273"/>
        <v>22</v>
      </c>
      <c r="EH105" s="859" t="s">
        <v>490</v>
      </c>
      <c r="EI105" s="859" t="s">
        <v>480</v>
      </c>
      <c r="EJ105" s="860">
        <f t="shared" si="211"/>
        <v>0</v>
      </c>
      <c r="EK105" s="860">
        <f t="shared" si="212"/>
        <v>0</v>
      </c>
      <c r="EL105" s="861">
        <f t="shared" si="213"/>
        <v>0</v>
      </c>
      <c r="EM105" s="1197"/>
      <c r="EN105" s="860"/>
      <c r="EO105" s="860"/>
      <c r="EP105" s="860">
        <f t="shared" si="214"/>
        <v>0</v>
      </c>
      <c r="EQ105" s="1197"/>
      <c r="ER105" s="1200"/>
      <c r="ES105" s="1197"/>
      <c r="ET105" s="1194" t="s">
        <v>262</v>
      </c>
      <c r="EU105" s="1197" t="b">
        <f t="shared" si="215"/>
        <v>1</v>
      </c>
      <c r="EV105" s="1197" t="s">
        <v>603</v>
      </c>
      <c r="EW105" s="1197" t="s">
        <v>482</v>
      </c>
      <c r="EX105" s="1197"/>
      <c r="EY105" s="1128" t="s">
        <v>483</v>
      </c>
      <c r="EZ105" s="1128" t="s">
        <v>484</v>
      </c>
      <c r="FA105" s="1169">
        <f t="shared" si="274"/>
        <v>0</v>
      </c>
      <c r="FI105" s="1309" t="s">
        <v>149</v>
      </c>
      <c r="FJ105" s="1159" t="s">
        <v>149</v>
      </c>
      <c r="FK105" s="1160" t="b">
        <f t="shared" si="275"/>
        <v>1</v>
      </c>
      <c r="FL105" s="1131"/>
      <c r="FM105" s="1161"/>
      <c r="FP105" s="1166"/>
      <c r="FQ105" s="1203"/>
      <c r="FU105" s="1295"/>
      <c r="FV105" s="1295"/>
      <c r="FW105" s="1023">
        <v>0.15</v>
      </c>
      <c r="FX105" s="1162">
        <v>14385.912743709012</v>
      </c>
      <c r="FY105" s="1163">
        <v>14835.472516949918</v>
      </c>
      <c r="GA105" s="1164">
        <f t="shared" si="276"/>
        <v>3899428.9797031954</v>
      </c>
      <c r="GB105" s="1165">
        <f t="shared" si="277"/>
        <v>0.15</v>
      </c>
      <c r="GC105" s="1154">
        <f t="shared" si="278"/>
        <v>584914.34695547924</v>
      </c>
      <c r="GD105" s="1164">
        <f t="shared" si="279"/>
        <v>30000</v>
      </c>
      <c r="GE105" s="1154">
        <f t="shared" si="280"/>
        <v>554914.34695547924</v>
      </c>
      <c r="GF105" s="1060">
        <f t="shared" si="281"/>
        <v>35</v>
      </c>
      <c r="GG105" s="1166">
        <f t="shared" si="282"/>
        <v>15854.695627299407</v>
      </c>
      <c r="GI105" s="1164">
        <f t="shared" si="283"/>
        <v>3899428.9797031954</v>
      </c>
      <c r="GJ105" s="1154">
        <f t="shared" si="284"/>
        <v>389942.89797031955</v>
      </c>
      <c r="GK105" s="1154">
        <f t="shared" si="285"/>
        <v>97485.724492579888</v>
      </c>
      <c r="GL105" s="1166">
        <v>15000</v>
      </c>
      <c r="GM105" s="1154">
        <f t="shared" si="286"/>
        <v>374942.89797031955</v>
      </c>
      <c r="GN105" s="1060">
        <f t="shared" si="287"/>
        <v>35</v>
      </c>
      <c r="GO105" s="1154">
        <f t="shared" si="288"/>
        <v>10712.654227723417</v>
      </c>
      <c r="GS105" s="1010">
        <f t="shared" si="289"/>
        <v>3899428.9797031954</v>
      </c>
      <c r="GT105" s="1011">
        <f t="shared" si="290"/>
        <v>0.125</v>
      </c>
      <c r="GU105" s="1010">
        <f t="shared" si="291"/>
        <v>487428.62246289942</v>
      </c>
      <c r="GV105" s="1010">
        <f t="shared" si="292"/>
        <v>30000</v>
      </c>
      <c r="GW105" s="1010">
        <f t="shared" si="293"/>
        <v>457428.62246289942</v>
      </c>
      <c r="GX105" s="1010">
        <f t="shared" si="294"/>
        <v>13</v>
      </c>
      <c r="GY105" s="1010">
        <f t="shared" si="295"/>
        <v>35186.817112530727</v>
      </c>
      <c r="GZ105" s="1011">
        <f t="shared" si="296"/>
        <v>0.875</v>
      </c>
      <c r="HA105" s="1010">
        <f t="shared" si="297"/>
        <v>3412000.357240296</v>
      </c>
      <c r="HB105" s="1010">
        <f t="shared" si="298"/>
        <v>26453.202452996211</v>
      </c>
      <c r="HC105" s="1010">
        <f t="shared" si="299"/>
        <v>30668.023812461583</v>
      </c>
      <c r="HD105" s="1010">
        <f t="shared" si="300"/>
        <v>39616.217257257282</v>
      </c>
      <c r="HE105" s="1010">
        <f t="shared" si="301"/>
        <v>67561.696493458643</v>
      </c>
      <c r="HG105" s="1010">
        <f t="shared" si="302"/>
        <v>3899428.9797031954</v>
      </c>
      <c r="HH105" s="1011">
        <f t="shared" si="303"/>
        <v>0.125</v>
      </c>
      <c r="HI105" s="1010">
        <f t="shared" si="304"/>
        <v>487428.62246289942</v>
      </c>
      <c r="HJ105" s="1010">
        <f t="shared" si="305"/>
        <v>30000</v>
      </c>
      <c r="HK105" s="1010">
        <f t="shared" si="306"/>
        <v>457428.62246289942</v>
      </c>
      <c r="HL105" s="1012">
        <f t="shared" si="307"/>
        <v>33</v>
      </c>
      <c r="HM105" s="1167">
        <f t="shared" si="308"/>
        <v>13861.473407966649</v>
      </c>
      <c r="HN105" s="1168">
        <f t="shared" si="309"/>
        <v>0.875</v>
      </c>
      <c r="HO105" s="1167">
        <f t="shared" si="310"/>
        <v>3412000.357240296</v>
      </c>
      <c r="HP105" s="1146">
        <f t="shared" si="311"/>
        <v>26453.202452996211</v>
      </c>
      <c r="HQ105" s="1146">
        <f t="shared" si="312"/>
        <v>30668.023812461583</v>
      </c>
      <c r="HR105" s="1146">
        <f t="shared" si="313"/>
        <v>39616.217257257282</v>
      </c>
      <c r="HS105" s="1146">
        <f t="shared" si="314"/>
        <v>67561.696493458643</v>
      </c>
      <c r="HU105" s="1167">
        <f t="shared" si="315"/>
        <v>-21325.343704564079</v>
      </c>
      <c r="HX105" s="1154"/>
      <c r="HY105" s="1154"/>
      <c r="IB105" s="1154"/>
      <c r="IC105" s="1154"/>
      <c r="ID105" s="1154"/>
      <c r="IE105" s="1154"/>
      <c r="IG105" s="1060"/>
    </row>
    <row r="106" spans="1:241" ht="14.25" hidden="1" customHeight="1">
      <c r="A106" s="1186">
        <f t="shared" si="330"/>
        <v>100</v>
      </c>
      <c r="B106" s="824" t="s">
        <v>149</v>
      </c>
      <c r="C106" s="855">
        <f t="shared" si="338"/>
        <v>13</v>
      </c>
      <c r="D106" s="856" t="s">
        <v>507</v>
      </c>
      <c r="E106" s="857" t="str">
        <f t="shared" si="216"/>
        <v>7th Floor</v>
      </c>
      <c r="F106" s="1185"/>
      <c r="G106" s="764" t="s">
        <v>263</v>
      </c>
      <c r="H106" s="764" t="s">
        <v>525</v>
      </c>
      <c r="I106" s="764" t="s">
        <v>476</v>
      </c>
      <c r="J106" s="1139">
        <v>22</v>
      </c>
      <c r="K106" s="1142"/>
      <c r="L106" s="764" t="s">
        <v>500</v>
      </c>
      <c r="M106" s="764" t="s">
        <v>93</v>
      </c>
      <c r="N106" s="856">
        <f t="shared" si="217"/>
        <v>100909.09090909091</v>
      </c>
      <c r="O106" s="1138">
        <f t="shared" si="324"/>
        <v>2220000</v>
      </c>
      <c r="P106" s="1138">
        <f t="shared" si="331"/>
        <v>22400</v>
      </c>
      <c r="Q106" s="1138">
        <f t="shared" si="203"/>
        <v>50000</v>
      </c>
      <c r="R106" s="1138"/>
      <c r="S106" s="1138"/>
      <c r="T106" s="1138"/>
      <c r="U106" s="1138"/>
      <c r="V106" s="1138"/>
      <c r="W106" s="858"/>
      <c r="X106" s="1138"/>
      <c r="Y106" s="1138">
        <f t="shared" si="340"/>
        <v>60000</v>
      </c>
      <c r="Z106" s="1138">
        <f t="shared" si="327"/>
        <v>75000</v>
      </c>
      <c r="AA106" s="1138">
        <f t="shared" si="328"/>
        <v>207400</v>
      </c>
      <c r="AB106" s="1138">
        <f t="shared" si="218"/>
        <v>2427400</v>
      </c>
      <c r="AC106" s="1138">
        <f t="shared" si="219"/>
        <v>60685</v>
      </c>
      <c r="AD106" s="1138">
        <f t="shared" si="220"/>
        <v>2488085</v>
      </c>
      <c r="AE106" s="1138">
        <f t="shared" si="221"/>
        <v>62202.125</v>
      </c>
      <c r="AF106" s="1138">
        <f t="shared" si="222"/>
        <v>2550287.125</v>
      </c>
      <c r="AG106" s="1138">
        <f t="shared" si="223"/>
        <v>63757.178125000006</v>
      </c>
      <c r="AH106" s="1138">
        <f t="shared" si="224"/>
        <v>2614044.3031250001</v>
      </c>
      <c r="AI106" s="1138">
        <f t="shared" si="225"/>
        <v>130702.21515625001</v>
      </c>
      <c r="AJ106" s="1138">
        <f t="shared" si="226"/>
        <v>2744746.5182812503</v>
      </c>
      <c r="AK106" s="1138">
        <f t="shared" si="227"/>
        <v>27447.465182812502</v>
      </c>
      <c r="AL106" s="1138">
        <f t="shared" si="228"/>
        <v>27537.409960060559</v>
      </c>
      <c r="AM106" s="1138"/>
      <c r="AN106" s="1138"/>
      <c r="AO106" s="1138">
        <f t="shared" si="229"/>
        <v>2799731.3934241231</v>
      </c>
      <c r="AP106" s="1138">
        <f t="shared" si="230"/>
        <v>377963.73811225663</v>
      </c>
      <c r="AQ106" s="1248">
        <f t="shared" si="231"/>
        <v>3177695.1315363795</v>
      </c>
      <c r="AR106" s="1248">
        <f t="shared" si="345"/>
        <v>3177695.1315363795</v>
      </c>
      <c r="AS106" s="1248"/>
      <c r="AT106" s="1248"/>
      <c r="AU106" s="1248">
        <f t="shared" si="232"/>
        <v>0</v>
      </c>
      <c r="AV106" s="1140">
        <f t="shared" si="233"/>
        <v>0</v>
      </c>
      <c r="AW106" s="1140">
        <f t="shared" si="234"/>
        <v>3177695.1315363795</v>
      </c>
      <c r="AX106" s="1139">
        <f t="shared" si="235"/>
        <v>39721.189144204749</v>
      </c>
      <c r="AY106" s="831" t="s">
        <v>478</v>
      </c>
      <c r="AZ106" s="831">
        <f t="shared" si="236"/>
        <v>3217416.3206805843</v>
      </c>
      <c r="BA106" s="831">
        <f t="shared" si="237"/>
        <v>120653.1120255219</v>
      </c>
      <c r="BB106" s="831"/>
      <c r="BC106" s="831">
        <f t="shared" si="189"/>
        <v>33600</v>
      </c>
      <c r="BD106" s="831"/>
      <c r="BE106" s="831">
        <f t="shared" si="238"/>
        <v>3371669.432706106</v>
      </c>
      <c r="BF106" s="831"/>
      <c r="BG106" s="831">
        <f t="shared" si="239"/>
        <v>3371669.432706106</v>
      </c>
      <c r="BH106" s="831"/>
      <c r="BI106" s="831">
        <f t="shared" si="240"/>
        <v>3371669.432706106</v>
      </c>
      <c r="BJ106" s="831"/>
      <c r="BK106" s="831">
        <f t="shared" si="241"/>
        <v>3371669.432706106</v>
      </c>
      <c r="BL106" s="831"/>
      <c r="BM106" s="831">
        <f t="shared" si="242"/>
        <v>3371669.432706106</v>
      </c>
      <c r="BN106" s="831"/>
      <c r="BO106" s="831">
        <f t="shared" si="243"/>
        <v>3371669.432706106</v>
      </c>
      <c r="BP106" s="831"/>
      <c r="BQ106" s="831">
        <f t="shared" si="244"/>
        <v>3371669.432706106</v>
      </c>
      <c r="BR106" s="831"/>
      <c r="BS106" s="831">
        <f t="shared" si="245"/>
        <v>3371669.432706106</v>
      </c>
      <c r="BT106" s="831"/>
      <c r="BU106" s="831">
        <f t="shared" si="246"/>
        <v>3371669.432706106</v>
      </c>
      <c r="BV106" s="831"/>
      <c r="BW106" s="831">
        <f t="shared" si="247"/>
        <v>56400</v>
      </c>
      <c r="BX106" s="831">
        <f t="shared" si="248"/>
        <v>3428069.432706106</v>
      </c>
      <c r="BY106" s="831"/>
      <c r="BZ106" s="831">
        <f t="shared" si="249"/>
        <v>3428069.432706106</v>
      </c>
      <c r="CA106" s="1260">
        <f t="shared" si="250"/>
        <v>3428069.432706106</v>
      </c>
      <c r="CB106" s="1260">
        <f t="shared" si="251"/>
        <v>3428069.432706106</v>
      </c>
      <c r="CC106" s="1260"/>
      <c r="CD106" s="1260">
        <f t="shared" si="252"/>
        <v>0</v>
      </c>
      <c r="CE106" s="1260">
        <f t="shared" si="253"/>
        <v>0</v>
      </c>
      <c r="CF106" s="1260">
        <f t="shared" si="254"/>
        <v>0</v>
      </c>
      <c r="CG106" s="1266">
        <f t="shared" si="255"/>
        <v>3428069.432706106</v>
      </c>
      <c r="CH106" s="1141">
        <f t="shared" si="256"/>
        <v>3428069.432706106</v>
      </c>
      <c r="CI106" s="1142">
        <f t="shared" si="257"/>
        <v>0</v>
      </c>
      <c r="CJ106" s="1141">
        <f t="shared" si="258"/>
        <v>351377.11685237585</v>
      </c>
      <c r="CK106" s="1141">
        <f t="shared" si="259"/>
        <v>119982.43014471373</v>
      </c>
      <c r="CL106" s="1143">
        <f t="shared" si="329"/>
        <v>3899428.9797031954</v>
      </c>
      <c r="CM106" s="1144">
        <f t="shared" si="260"/>
        <v>0.125</v>
      </c>
      <c r="CN106" s="1141">
        <f t="shared" si="261"/>
        <v>487428.62246289942</v>
      </c>
      <c r="CO106" s="1141">
        <f t="shared" si="262"/>
        <v>30000</v>
      </c>
      <c r="CP106" s="1141">
        <f t="shared" si="263"/>
        <v>457428.62246289942</v>
      </c>
      <c r="CQ106" s="1145">
        <f t="shared" si="264"/>
        <v>13</v>
      </c>
      <c r="CR106" s="1141">
        <f t="shared" si="265"/>
        <v>35186.817112530727</v>
      </c>
      <c r="CS106" s="1144">
        <f t="shared" si="266"/>
        <v>0.875</v>
      </c>
      <c r="CT106" s="1141">
        <f t="shared" si="267"/>
        <v>3412000.357240296</v>
      </c>
      <c r="CU106" s="1146">
        <f t="shared" si="204"/>
        <v>26453.202452996211</v>
      </c>
      <c r="CV106" s="1146">
        <f t="shared" si="205"/>
        <v>30668.023812461583</v>
      </c>
      <c r="CW106" s="1146">
        <f t="shared" si="206"/>
        <v>39616.217257257282</v>
      </c>
      <c r="CX106" s="1146">
        <f t="shared" si="207"/>
        <v>67561.696493458643</v>
      </c>
      <c r="CY106" s="1146">
        <f t="shared" si="268"/>
        <v>277167.63411050761</v>
      </c>
      <c r="CZ106" s="1146">
        <f t="shared" si="269"/>
        <v>109673.88265646526</v>
      </c>
      <c r="DA106" s="1146">
        <f t="shared" si="270"/>
        <v>79215.892110222063</v>
      </c>
      <c r="DB106" s="1146">
        <f t="shared" si="271"/>
        <v>60286.940807196588</v>
      </c>
      <c r="DC106" s="1146"/>
      <c r="DD106" s="1146"/>
      <c r="DE106" s="1146"/>
      <c r="DF106" s="1146"/>
      <c r="DG106" s="1146"/>
      <c r="DH106" s="1146"/>
      <c r="DI106" s="1146"/>
      <c r="DJ106" s="1146"/>
      <c r="DK106" s="1146"/>
      <c r="DL106" s="1146"/>
      <c r="DM106" s="1146"/>
      <c r="DN106" s="1146"/>
      <c r="DO106" s="1146"/>
      <c r="DP106" s="1146"/>
      <c r="DQ106" s="1146"/>
      <c r="DR106" s="1146"/>
      <c r="DS106" s="1146"/>
      <c r="DT106" s="1146"/>
      <c r="DU106" s="1146"/>
      <c r="DV106" s="1146"/>
      <c r="DW106" s="1146"/>
      <c r="DX106" s="1146"/>
      <c r="DY106" s="1146"/>
      <c r="DZ106" s="1146"/>
      <c r="EA106" s="1147">
        <f t="shared" si="208"/>
        <v>0</v>
      </c>
      <c r="EB106" s="1148">
        <f t="shared" si="272"/>
        <v>0</v>
      </c>
      <c r="EC106" s="1190">
        <f t="shared" si="316"/>
        <v>45839</v>
      </c>
      <c r="ED106" s="1031">
        <f t="shared" si="209"/>
        <v>20</v>
      </c>
      <c r="EE106" s="1191"/>
      <c r="EF106" s="1032">
        <f t="shared" si="210"/>
        <v>45904</v>
      </c>
      <c r="EG106" s="1029">
        <f t="shared" si="273"/>
        <v>22</v>
      </c>
      <c r="EH106" s="859" t="s">
        <v>490</v>
      </c>
      <c r="EI106" s="859" t="s">
        <v>480</v>
      </c>
      <c r="EJ106" s="860">
        <f t="shared" si="211"/>
        <v>0</v>
      </c>
      <c r="EK106" s="860">
        <f t="shared" si="212"/>
        <v>0</v>
      </c>
      <c r="EL106" s="861">
        <f t="shared" si="213"/>
        <v>0</v>
      </c>
      <c r="EM106" s="1197"/>
      <c r="EN106" s="860"/>
      <c r="EO106" s="860"/>
      <c r="EP106" s="860">
        <f t="shared" si="214"/>
        <v>0</v>
      </c>
      <c r="EQ106" s="1197"/>
      <c r="ER106" s="1200"/>
      <c r="ES106" s="1197"/>
      <c r="ET106" s="1194" t="s">
        <v>263</v>
      </c>
      <c r="EU106" s="1197" t="b">
        <f t="shared" si="215"/>
        <v>1</v>
      </c>
      <c r="EV106" s="1197" t="s">
        <v>596</v>
      </c>
      <c r="EW106" s="1197" t="s">
        <v>482</v>
      </c>
      <c r="EX106" s="1197"/>
      <c r="EY106" s="1128" t="s">
        <v>483</v>
      </c>
      <c r="EZ106" s="1128" t="s">
        <v>484</v>
      </c>
      <c r="FA106" s="1169">
        <f t="shared" si="274"/>
        <v>0</v>
      </c>
      <c r="FI106" s="1309" t="s">
        <v>149</v>
      </c>
      <c r="FJ106" s="1159" t="s">
        <v>149</v>
      </c>
      <c r="FK106" s="1160" t="b">
        <f t="shared" si="275"/>
        <v>1</v>
      </c>
      <c r="FL106" s="1131"/>
      <c r="FM106" s="1161"/>
      <c r="FP106" s="1166"/>
      <c r="FQ106" s="1203"/>
      <c r="FU106" s="1295"/>
      <c r="FV106" s="1295"/>
      <c r="FW106" s="1023">
        <v>0.15</v>
      </c>
      <c r="FX106" s="1162">
        <v>14385.912743709012</v>
      </c>
      <c r="FY106" s="1163">
        <v>14835.472516949918</v>
      </c>
      <c r="GA106" s="1164">
        <f t="shared" si="276"/>
        <v>3899428.9797031954</v>
      </c>
      <c r="GB106" s="1165">
        <f t="shared" si="277"/>
        <v>0.15</v>
      </c>
      <c r="GC106" s="1154">
        <f t="shared" si="278"/>
        <v>584914.34695547924</v>
      </c>
      <c r="GD106" s="1164">
        <f t="shared" si="279"/>
        <v>30000</v>
      </c>
      <c r="GE106" s="1154">
        <f t="shared" si="280"/>
        <v>554914.34695547924</v>
      </c>
      <c r="GF106" s="1060">
        <f t="shared" si="281"/>
        <v>35</v>
      </c>
      <c r="GG106" s="1166">
        <f t="shared" si="282"/>
        <v>15854.695627299407</v>
      </c>
      <c r="GI106" s="1164">
        <f t="shared" si="283"/>
        <v>3899428.9797031954</v>
      </c>
      <c r="GJ106" s="1154">
        <f t="shared" si="284"/>
        <v>389942.89797031955</v>
      </c>
      <c r="GK106" s="1154">
        <f t="shared" si="285"/>
        <v>97485.724492579888</v>
      </c>
      <c r="GL106" s="1166">
        <v>15000</v>
      </c>
      <c r="GM106" s="1154">
        <f t="shared" si="286"/>
        <v>374942.89797031955</v>
      </c>
      <c r="GN106" s="1060">
        <f t="shared" si="287"/>
        <v>35</v>
      </c>
      <c r="GO106" s="1154">
        <f t="shared" si="288"/>
        <v>10712.654227723417</v>
      </c>
      <c r="GS106" s="1010">
        <f t="shared" si="289"/>
        <v>3899428.9797031954</v>
      </c>
      <c r="GT106" s="1011">
        <f t="shared" si="290"/>
        <v>0.125</v>
      </c>
      <c r="GU106" s="1010">
        <f t="shared" si="291"/>
        <v>487428.62246289942</v>
      </c>
      <c r="GV106" s="1010">
        <f t="shared" si="292"/>
        <v>30000</v>
      </c>
      <c r="GW106" s="1010">
        <f t="shared" si="293"/>
        <v>457428.62246289942</v>
      </c>
      <c r="GX106" s="1010">
        <f t="shared" si="294"/>
        <v>13</v>
      </c>
      <c r="GY106" s="1010">
        <f t="shared" si="295"/>
        <v>35186.817112530727</v>
      </c>
      <c r="GZ106" s="1011">
        <f t="shared" si="296"/>
        <v>0.875</v>
      </c>
      <c r="HA106" s="1010">
        <f t="shared" si="297"/>
        <v>3412000.357240296</v>
      </c>
      <c r="HB106" s="1010">
        <f t="shared" si="298"/>
        <v>26453.202452996211</v>
      </c>
      <c r="HC106" s="1010">
        <f t="shared" si="299"/>
        <v>30668.023812461583</v>
      </c>
      <c r="HD106" s="1010">
        <f t="shared" si="300"/>
        <v>39616.217257257282</v>
      </c>
      <c r="HE106" s="1010">
        <f t="shared" si="301"/>
        <v>67561.696493458643</v>
      </c>
      <c r="HG106" s="1010">
        <f t="shared" si="302"/>
        <v>3899428.9797031954</v>
      </c>
      <c r="HH106" s="1011">
        <f t="shared" si="303"/>
        <v>0.125</v>
      </c>
      <c r="HI106" s="1010">
        <f t="shared" si="304"/>
        <v>487428.62246289942</v>
      </c>
      <c r="HJ106" s="1010">
        <f t="shared" si="305"/>
        <v>30000</v>
      </c>
      <c r="HK106" s="1010">
        <f t="shared" si="306"/>
        <v>457428.62246289942</v>
      </c>
      <c r="HL106" s="1012">
        <f t="shared" si="307"/>
        <v>33</v>
      </c>
      <c r="HM106" s="1167">
        <f t="shared" si="308"/>
        <v>13861.473407966649</v>
      </c>
      <c r="HN106" s="1168">
        <f t="shared" si="309"/>
        <v>0.875</v>
      </c>
      <c r="HO106" s="1167">
        <f t="shared" si="310"/>
        <v>3412000.357240296</v>
      </c>
      <c r="HP106" s="1146">
        <f t="shared" si="311"/>
        <v>26453.202452996211</v>
      </c>
      <c r="HQ106" s="1146">
        <f t="shared" si="312"/>
        <v>30668.023812461583</v>
      </c>
      <c r="HR106" s="1146">
        <f t="shared" si="313"/>
        <v>39616.217257257282</v>
      </c>
      <c r="HS106" s="1146">
        <f t="shared" si="314"/>
        <v>67561.696493458643</v>
      </c>
      <c r="HU106" s="1167">
        <f t="shared" si="315"/>
        <v>-21325.343704564079</v>
      </c>
      <c r="HX106" s="1154"/>
      <c r="HY106" s="1154"/>
      <c r="IB106" s="1154"/>
      <c r="IC106" s="1154"/>
      <c r="ID106" s="1154"/>
      <c r="IE106" s="1154"/>
      <c r="IG106" s="1060"/>
    </row>
    <row r="107" spans="1:241" ht="14.25" hidden="1" customHeight="1">
      <c r="A107" s="1186">
        <f t="shared" si="330"/>
        <v>101</v>
      </c>
      <c r="B107" s="824" t="s">
        <v>149</v>
      </c>
      <c r="C107" s="855">
        <f t="shared" si="338"/>
        <v>14</v>
      </c>
      <c r="D107" s="856" t="s">
        <v>507</v>
      </c>
      <c r="E107" s="857" t="str">
        <f t="shared" si="216"/>
        <v>7th Floor</v>
      </c>
      <c r="F107" s="1185"/>
      <c r="G107" s="764" t="s">
        <v>264</v>
      </c>
      <c r="H107" s="764" t="s">
        <v>529</v>
      </c>
      <c r="I107" s="764" t="s">
        <v>476</v>
      </c>
      <c r="J107" s="1139">
        <v>22</v>
      </c>
      <c r="K107" s="1142"/>
      <c r="L107" s="764" t="s">
        <v>500</v>
      </c>
      <c r="M107" s="764" t="s">
        <v>93</v>
      </c>
      <c r="N107" s="856">
        <f t="shared" si="217"/>
        <v>100909.09090909091</v>
      </c>
      <c r="O107" s="1138">
        <f t="shared" si="324"/>
        <v>2220000</v>
      </c>
      <c r="P107" s="1138">
        <f t="shared" si="331"/>
        <v>22400</v>
      </c>
      <c r="Q107" s="1138">
        <f t="shared" si="203"/>
        <v>50000</v>
      </c>
      <c r="R107" s="1138"/>
      <c r="S107" s="1138"/>
      <c r="T107" s="1138"/>
      <c r="U107" s="1138"/>
      <c r="V107" s="1138"/>
      <c r="W107" s="1138"/>
      <c r="X107" s="1138"/>
      <c r="Y107" s="1138">
        <f t="shared" si="340"/>
        <v>60000</v>
      </c>
      <c r="Z107" s="1138">
        <f t="shared" si="327"/>
        <v>75000</v>
      </c>
      <c r="AA107" s="1138">
        <f t="shared" si="328"/>
        <v>207400</v>
      </c>
      <c r="AB107" s="1138">
        <f t="shared" si="218"/>
        <v>2427400</v>
      </c>
      <c r="AC107" s="1138">
        <f t="shared" si="219"/>
        <v>60685</v>
      </c>
      <c r="AD107" s="1138">
        <f t="shared" si="220"/>
        <v>2488085</v>
      </c>
      <c r="AE107" s="1138">
        <f t="shared" si="221"/>
        <v>62202.125</v>
      </c>
      <c r="AF107" s="1138">
        <f t="shared" si="222"/>
        <v>2550287.125</v>
      </c>
      <c r="AG107" s="1138">
        <f t="shared" si="223"/>
        <v>63757.178125000006</v>
      </c>
      <c r="AH107" s="1138">
        <f t="shared" si="224"/>
        <v>2614044.3031250001</v>
      </c>
      <c r="AI107" s="1138">
        <f t="shared" si="225"/>
        <v>130702.21515625001</v>
      </c>
      <c r="AJ107" s="1138">
        <f t="shared" si="226"/>
        <v>2744746.5182812503</v>
      </c>
      <c r="AK107" s="1138">
        <f t="shared" si="227"/>
        <v>27447.465182812502</v>
      </c>
      <c r="AL107" s="1138">
        <f t="shared" si="228"/>
        <v>27537.409960060559</v>
      </c>
      <c r="AM107" s="1138"/>
      <c r="AN107" s="1138"/>
      <c r="AO107" s="1138">
        <f t="shared" si="229"/>
        <v>2799731.3934241231</v>
      </c>
      <c r="AP107" s="1138">
        <f t="shared" si="230"/>
        <v>377963.73811225663</v>
      </c>
      <c r="AQ107" s="1248">
        <f t="shared" si="231"/>
        <v>3177695.1315363795</v>
      </c>
      <c r="AR107" s="1248">
        <f t="shared" si="345"/>
        <v>3177695.1315363795</v>
      </c>
      <c r="AS107" s="1248"/>
      <c r="AT107" s="1248"/>
      <c r="AU107" s="1248">
        <f t="shared" si="232"/>
        <v>0</v>
      </c>
      <c r="AV107" s="1140">
        <f t="shared" si="233"/>
        <v>0</v>
      </c>
      <c r="AW107" s="1140">
        <f t="shared" si="234"/>
        <v>3177695.1315363795</v>
      </c>
      <c r="AX107" s="1139">
        <f t="shared" si="235"/>
        <v>39721.189144204749</v>
      </c>
      <c r="AY107" s="831" t="s">
        <v>478</v>
      </c>
      <c r="AZ107" s="831">
        <f t="shared" si="236"/>
        <v>3217416.3206805843</v>
      </c>
      <c r="BA107" s="831">
        <f t="shared" si="237"/>
        <v>120653.1120255219</v>
      </c>
      <c r="BB107" s="831"/>
      <c r="BC107" s="831">
        <f t="shared" ref="BC107:BC170" si="346">$BC$5*1.12</f>
        <v>33600</v>
      </c>
      <c r="BD107" s="831"/>
      <c r="BE107" s="831">
        <f t="shared" si="238"/>
        <v>3371669.432706106</v>
      </c>
      <c r="BF107" s="831"/>
      <c r="BG107" s="831">
        <f t="shared" si="239"/>
        <v>3371669.432706106</v>
      </c>
      <c r="BH107" s="831"/>
      <c r="BI107" s="831">
        <f t="shared" si="240"/>
        <v>3371669.432706106</v>
      </c>
      <c r="BJ107" s="831"/>
      <c r="BK107" s="831">
        <f t="shared" si="241"/>
        <v>3371669.432706106</v>
      </c>
      <c r="BL107" s="831"/>
      <c r="BM107" s="831">
        <f t="shared" si="242"/>
        <v>3371669.432706106</v>
      </c>
      <c r="BN107" s="831"/>
      <c r="BO107" s="831">
        <f t="shared" si="243"/>
        <v>3371669.432706106</v>
      </c>
      <c r="BP107" s="831"/>
      <c r="BQ107" s="831">
        <f t="shared" si="244"/>
        <v>3371669.432706106</v>
      </c>
      <c r="BR107" s="831"/>
      <c r="BS107" s="831">
        <f t="shared" si="245"/>
        <v>3371669.432706106</v>
      </c>
      <c r="BT107" s="831"/>
      <c r="BU107" s="831">
        <f t="shared" si="246"/>
        <v>3371669.432706106</v>
      </c>
      <c r="BV107" s="831"/>
      <c r="BW107" s="831">
        <f t="shared" si="247"/>
        <v>56400</v>
      </c>
      <c r="BX107" s="831">
        <f t="shared" si="248"/>
        <v>3428069.432706106</v>
      </c>
      <c r="BY107" s="831"/>
      <c r="BZ107" s="831">
        <f t="shared" si="249"/>
        <v>3428069.432706106</v>
      </c>
      <c r="CA107" s="1260">
        <f t="shared" si="250"/>
        <v>3428069.432706106</v>
      </c>
      <c r="CB107" s="1260">
        <f t="shared" si="251"/>
        <v>3428069.432706106</v>
      </c>
      <c r="CC107" s="1260"/>
      <c r="CD107" s="1260">
        <f t="shared" si="252"/>
        <v>0</v>
      </c>
      <c r="CE107" s="1260">
        <f t="shared" si="253"/>
        <v>0</v>
      </c>
      <c r="CF107" s="1260">
        <f t="shared" si="254"/>
        <v>0</v>
      </c>
      <c r="CG107" s="1266">
        <f t="shared" si="255"/>
        <v>3428069.432706106</v>
      </c>
      <c r="CH107" s="1141">
        <f t="shared" si="256"/>
        <v>3428069.432706106</v>
      </c>
      <c r="CI107" s="1142">
        <f t="shared" si="257"/>
        <v>0</v>
      </c>
      <c r="CJ107" s="1141">
        <f t="shared" si="258"/>
        <v>351377.11685237585</v>
      </c>
      <c r="CK107" s="1141">
        <f t="shared" si="259"/>
        <v>119982.43014471373</v>
      </c>
      <c r="CL107" s="1143">
        <f t="shared" si="329"/>
        <v>3899428.9797031954</v>
      </c>
      <c r="CM107" s="1144">
        <f t="shared" si="260"/>
        <v>0.125</v>
      </c>
      <c r="CN107" s="1141">
        <f t="shared" si="261"/>
        <v>487428.62246289942</v>
      </c>
      <c r="CO107" s="1141">
        <f t="shared" si="262"/>
        <v>30000</v>
      </c>
      <c r="CP107" s="1141">
        <f t="shared" si="263"/>
        <v>457428.62246289942</v>
      </c>
      <c r="CQ107" s="1145">
        <f t="shared" si="264"/>
        <v>13</v>
      </c>
      <c r="CR107" s="1141">
        <f t="shared" si="265"/>
        <v>35186.817112530727</v>
      </c>
      <c r="CS107" s="1144">
        <f t="shared" si="266"/>
        <v>0.875</v>
      </c>
      <c r="CT107" s="1141">
        <f t="shared" si="267"/>
        <v>3412000.357240296</v>
      </c>
      <c r="CU107" s="1146">
        <f t="shared" si="204"/>
        <v>26453.202452996211</v>
      </c>
      <c r="CV107" s="1146">
        <f t="shared" si="205"/>
        <v>30668.023812461583</v>
      </c>
      <c r="CW107" s="1146">
        <f t="shared" si="206"/>
        <v>39616.217257257282</v>
      </c>
      <c r="CX107" s="1146">
        <f t="shared" si="207"/>
        <v>67561.696493458643</v>
      </c>
      <c r="CY107" s="1146">
        <f t="shared" si="268"/>
        <v>277167.63411050761</v>
      </c>
      <c r="CZ107" s="1146">
        <f t="shared" si="269"/>
        <v>109673.88265646526</v>
      </c>
      <c r="DA107" s="1146">
        <f t="shared" si="270"/>
        <v>79215.892110222063</v>
      </c>
      <c r="DB107" s="1146">
        <f t="shared" si="271"/>
        <v>60286.940807196588</v>
      </c>
      <c r="DC107" s="1146"/>
      <c r="DD107" s="1146"/>
      <c r="DE107" s="1146"/>
      <c r="DF107" s="1146"/>
      <c r="DG107" s="1146"/>
      <c r="DH107" s="1146"/>
      <c r="DI107" s="1146"/>
      <c r="DJ107" s="1146"/>
      <c r="DK107" s="1146"/>
      <c r="DL107" s="1146"/>
      <c r="DM107" s="1146"/>
      <c r="DN107" s="1146"/>
      <c r="DO107" s="1146"/>
      <c r="DP107" s="1146"/>
      <c r="DQ107" s="1146"/>
      <c r="DR107" s="1146"/>
      <c r="DS107" s="1146"/>
      <c r="DT107" s="1146"/>
      <c r="DU107" s="1146"/>
      <c r="DV107" s="1146"/>
      <c r="DW107" s="1146"/>
      <c r="DX107" s="1146"/>
      <c r="DY107" s="1146"/>
      <c r="DZ107" s="1146"/>
      <c r="EA107" s="1147">
        <f t="shared" si="208"/>
        <v>0</v>
      </c>
      <c r="EB107" s="1148">
        <f t="shared" si="272"/>
        <v>0</v>
      </c>
      <c r="EC107" s="1190">
        <f t="shared" si="316"/>
        <v>45839</v>
      </c>
      <c r="ED107" s="1031">
        <f t="shared" si="209"/>
        <v>20</v>
      </c>
      <c r="EE107" s="1191"/>
      <c r="EF107" s="1032">
        <f t="shared" si="210"/>
        <v>45904</v>
      </c>
      <c r="EG107" s="1029">
        <f t="shared" si="273"/>
        <v>22</v>
      </c>
      <c r="EH107" s="859" t="s">
        <v>490</v>
      </c>
      <c r="EI107" s="859" t="s">
        <v>480</v>
      </c>
      <c r="EJ107" s="860">
        <f t="shared" si="211"/>
        <v>0</v>
      </c>
      <c r="EK107" s="860">
        <f t="shared" si="212"/>
        <v>0</v>
      </c>
      <c r="EL107" s="861">
        <f t="shared" si="213"/>
        <v>0</v>
      </c>
      <c r="EM107" s="1197"/>
      <c r="EN107" s="860"/>
      <c r="EO107" s="860"/>
      <c r="EP107" s="860">
        <f t="shared" si="214"/>
        <v>0</v>
      </c>
      <c r="EQ107" s="1197"/>
      <c r="ER107" s="1200"/>
      <c r="ES107" s="1197"/>
      <c r="ET107" s="1194" t="s">
        <v>264</v>
      </c>
      <c r="EU107" s="1197" t="b">
        <f t="shared" si="215"/>
        <v>1</v>
      </c>
      <c r="EV107" s="1197" t="s">
        <v>604</v>
      </c>
      <c r="EW107" s="1197" t="s">
        <v>482</v>
      </c>
      <c r="EX107" s="1197"/>
      <c r="EY107" s="1128" t="s">
        <v>483</v>
      </c>
      <c r="EZ107" s="1128" t="s">
        <v>484</v>
      </c>
      <c r="FA107" s="1169">
        <f t="shared" si="274"/>
        <v>0</v>
      </c>
      <c r="FI107" s="1309" t="s">
        <v>149</v>
      </c>
      <c r="FJ107" s="1159" t="s">
        <v>149</v>
      </c>
      <c r="FK107" s="1160" t="b">
        <f t="shared" si="275"/>
        <v>1</v>
      </c>
      <c r="FL107" s="1131"/>
      <c r="FM107" s="1161"/>
      <c r="FP107" s="1166"/>
      <c r="FQ107" s="1203"/>
      <c r="FU107" s="1295"/>
      <c r="FV107" s="1295"/>
      <c r="FW107" s="1023">
        <v>0.15</v>
      </c>
      <c r="FX107" s="1162">
        <v>14385.912743709012</v>
      </c>
      <c r="FY107" s="1163">
        <v>14835.472516949918</v>
      </c>
      <c r="GA107" s="1164">
        <f t="shared" si="276"/>
        <v>3899428.9797031954</v>
      </c>
      <c r="GB107" s="1165">
        <f t="shared" si="277"/>
        <v>0.15</v>
      </c>
      <c r="GC107" s="1154">
        <f t="shared" si="278"/>
        <v>584914.34695547924</v>
      </c>
      <c r="GD107" s="1164">
        <f t="shared" si="279"/>
        <v>30000</v>
      </c>
      <c r="GE107" s="1154">
        <f t="shared" si="280"/>
        <v>554914.34695547924</v>
      </c>
      <c r="GF107" s="1060">
        <f t="shared" si="281"/>
        <v>35</v>
      </c>
      <c r="GG107" s="1166">
        <f t="shared" si="282"/>
        <v>15854.695627299407</v>
      </c>
      <c r="GI107" s="1164">
        <f t="shared" si="283"/>
        <v>3899428.9797031954</v>
      </c>
      <c r="GJ107" s="1154">
        <f t="shared" si="284"/>
        <v>389942.89797031955</v>
      </c>
      <c r="GK107" s="1154">
        <f t="shared" si="285"/>
        <v>97485.724492579888</v>
      </c>
      <c r="GL107" s="1166">
        <v>15000</v>
      </c>
      <c r="GM107" s="1154">
        <f t="shared" si="286"/>
        <v>374942.89797031955</v>
      </c>
      <c r="GN107" s="1060">
        <f t="shared" si="287"/>
        <v>35</v>
      </c>
      <c r="GO107" s="1154">
        <f t="shared" si="288"/>
        <v>10712.654227723417</v>
      </c>
      <c r="GS107" s="1010">
        <f t="shared" si="289"/>
        <v>3899428.9797031954</v>
      </c>
      <c r="GT107" s="1011">
        <f t="shared" si="290"/>
        <v>0.125</v>
      </c>
      <c r="GU107" s="1010">
        <f t="shared" si="291"/>
        <v>487428.62246289942</v>
      </c>
      <c r="GV107" s="1010">
        <f t="shared" si="292"/>
        <v>30000</v>
      </c>
      <c r="GW107" s="1010">
        <f t="shared" si="293"/>
        <v>457428.62246289942</v>
      </c>
      <c r="GX107" s="1010">
        <f t="shared" si="294"/>
        <v>13</v>
      </c>
      <c r="GY107" s="1010">
        <f t="shared" si="295"/>
        <v>35186.817112530727</v>
      </c>
      <c r="GZ107" s="1011">
        <f t="shared" si="296"/>
        <v>0.875</v>
      </c>
      <c r="HA107" s="1010">
        <f t="shared" si="297"/>
        <v>3412000.357240296</v>
      </c>
      <c r="HB107" s="1010">
        <f t="shared" si="298"/>
        <v>26453.202452996211</v>
      </c>
      <c r="HC107" s="1010">
        <f t="shared" si="299"/>
        <v>30668.023812461583</v>
      </c>
      <c r="HD107" s="1010">
        <f t="shared" si="300"/>
        <v>39616.217257257282</v>
      </c>
      <c r="HE107" s="1010">
        <f t="shared" si="301"/>
        <v>67561.696493458643</v>
      </c>
      <c r="HG107" s="1010">
        <f t="shared" si="302"/>
        <v>3899428.9797031954</v>
      </c>
      <c r="HH107" s="1011">
        <f t="shared" si="303"/>
        <v>0.125</v>
      </c>
      <c r="HI107" s="1010">
        <f t="shared" si="304"/>
        <v>487428.62246289942</v>
      </c>
      <c r="HJ107" s="1010">
        <f t="shared" si="305"/>
        <v>30000</v>
      </c>
      <c r="HK107" s="1010">
        <f t="shared" si="306"/>
        <v>457428.62246289942</v>
      </c>
      <c r="HL107" s="1012">
        <f t="shared" si="307"/>
        <v>33</v>
      </c>
      <c r="HM107" s="1167">
        <f t="shared" si="308"/>
        <v>13861.473407966649</v>
      </c>
      <c r="HN107" s="1168">
        <f t="shared" si="309"/>
        <v>0.875</v>
      </c>
      <c r="HO107" s="1167">
        <f t="shared" si="310"/>
        <v>3412000.357240296</v>
      </c>
      <c r="HP107" s="1146">
        <f t="shared" si="311"/>
        <v>26453.202452996211</v>
      </c>
      <c r="HQ107" s="1146">
        <f t="shared" si="312"/>
        <v>30668.023812461583</v>
      </c>
      <c r="HR107" s="1146">
        <f t="shared" si="313"/>
        <v>39616.217257257282</v>
      </c>
      <c r="HS107" s="1146">
        <f t="shared" si="314"/>
        <v>67561.696493458643</v>
      </c>
      <c r="HU107" s="1167">
        <f t="shared" si="315"/>
        <v>-21325.343704564079</v>
      </c>
      <c r="HX107" s="1154"/>
      <c r="HY107" s="1154"/>
      <c r="IB107" s="1154"/>
      <c r="IC107" s="1154"/>
      <c r="ID107" s="1154"/>
      <c r="IE107" s="1154"/>
      <c r="IG107" s="1060"/>
    </row>
    <row r="108" spans="1:241" ht="14.25" hidden="1" customHeight="1">
      <c r="A108" s="1186">
        <f t="shared" si="330"/>
        <v>102</v>
      </c>
      <c r="B108" s="824" t="s">
        <v>149</v>
      </c>
      <c r="C108" s="855">
        <f t="shared" si="338"/>
        <v>15</v>
      </c>
      <c r="D108" s="856" t="s">
        <v>507</v>
      </c>
      <c r="E108" s="857" t="str">
        <f t="shared" si="216"/>
        <v>7th Floor</v>
      </c>
      <c r="F108" s="1185"/>
      <c r="G108" s="764" t="s">
        <v>265</v>
      </c>
      <c r="H108" s="764" t="s">
        <v>533</v>
      </c>
      <c r="I108" s="764" t="s">
        <v>476</v>
      </c>
      <c r="J108" s="1139">
        <v>22</v>
      </c>
      <c r="K108" s="1142"/>
      <c r="L108" s="764" t="s">
        <v>500</v>
      </c>
      <c r="M108" s="764" t="s">
        <v>93</v>
      </c>
      <c r="N108" s="856">
        <f t="shared" si="217"/>
        <v>100909.09090909091</v>
      </c>
      <c r="O108" s="1138">
        <f t="shared" si="324"/>
        <v>2220000</v>
      </c>
      <c r="P108" s="1138">
        <f t="shared" si="331"/>
        <v>22400</v>
      </c>
      <c r="Q108" s="1138">
        <f t="shared" si="203"/>
        <v>50000</v>
      </c>
      <c r="R108" s="1138"/>
      <c r="S108" s="1138"/>
      <c r="T108" s="1138"/>
      <c r="U108" s="1138"/>
      <c r="V108" s="858"/>
      <c r="W108" s="858"/>
      <c r="X108" s="1138"/>
      <c r="Y108" s="1138">
        <f t="shared" si="340"/>
        <v>60000</v>
      </c>
      <c r="Z108" s="1138">
        <f t="shared" si="327"/>
        <v>75000</v>
      </c>
      <c r="AA108" s="1138">
        <f t="shared" si="328"/>
        <v>207400</v>
      </c>
      <c r="AB108" s="1138">
        <f t="shared" si="218"/>
        <v>2427400</v>
      </c>
      <c r="AC108" s="1138">
        <f t="shared" si="219"/>
        <v>60685</v>
      </c>
      <c r="AD108" s="1138">
        <f t="shared" si="220"/>
        <v>2488085</v>
      </c>
      <c r="AE108" s="1138">
        <f t="shared" si="221"/>
        <v>62202.125</v>
      </c>
      <c r="AF108" s="1138">
        <f t="shared" si="222"/>
        <v>2550287.125</v>
      </c>
      <c r="AG108" s="1138">
        <f t="shared" si="223"/>
        <v>63757.178125000006</v>
      </c>
      <c r="AH108" s="1138">
        <f t="shared" si="224"/>
        <v>2614044.3031250001</v>
      </c>
      <c r="AI108" s="1138">
        <f t="shared" si="225"/>
        <v>130702.21515625001</v>
      </c>
      <c r="AJ108" s="1138">
        <f t="shared" si="226"/>
        <v>2744746.5182812503</v>
      </c>
      <c r="AK108" s="1138">
        <f t="shared" si="227"/>
        <v>27447.465182812502</v>
      </c>
      <c r="AL108" s="1138">
        <f t="shared" si="228"/>
        <v>27537.409960060559</v>
      </c>
      <c r="AM108" s="1138"/>
      <c r="AN108" s="1138"/>
      <c r="AO108" s="1138">
        <f t="shared" si="229"/>
        <v>2799731.3934241231</v>
      </c>
      <c r="AP108" s="1138">
        <f t="shared" si="230"/>
        <v>377963.73811225663</v>
      </c>
      <c r="AQ108" s="1248">
        <f t="shared" si="231"/>
        <v>3177695.1315363795</v>
      </c>
      <c r="AR108" s="1248">
        <f t="shared" si="345"/>
        <v>3177695.1315363795</v>
      </c>
      <c r="AS108" s="1248"/>
      <c r="AT108" s="1248"/>
      <c r="AU108" s="1248">
        <f t="shared" si="232"/>
        <v>0</v>
      </c>
      <c r="AV108" s="1140">
        <f t="shared" si="233"/>
        <v>0</v>
      </c>
      <c r="AW108" s="1140">
        <f t="shared" si="234"/>
        <v>3177695.1315363795</v>
      </c>
      <c r="AX108" s="1139">
        <f t="shared" si="235"/>
        <v>39721.189144204749</v>
      </c>
      <c r="AY108" s="831" t="s">
        <v>478</v>
      </c>
      <c r="AZ108" s="831">
        <f t="shared" si="236"/>
        <v>3217416.3206805843</v>
      </c>
      <c r="BA108" s="831">
        <f t="shared" si="237"/>
        <v>120653.1120255219</v>
      </c>
      <c r="BB108" s="831"/>
      <c r="BC108" s="831">
        <f t="shared" si="346"/>
        <v>33600</v>
      </c>
      <c r="BD108" s="831"/>
      <c r="BE108" s="831">
        <f t="shared" si="238"/>
        <v>3371669.432706106</v>
      </c>
      <c r="BF108" s="831"/>
      <c r="BG108" s="831">
        <f t="shared" si="239"/>
        <v>3371669.432706106</v>
      </c>
      <c r="BH108" s="831"/>
      <c r="BI108" s="831">
        <f t="shared" si="240"/>
        <v>3371669.432706106</v>
      </c>
      <c r="BJ108" s="831"/>
      <c r="BK108" s="831">
        <f t="shared" si="241"/>
        <v>3371669.432706106</v>
      </c>
      <c r="BL108" s="831"/>
      <c r="BM108" s="831">
        <f t="shared" si="242"/>
        <v>3371669.432706106</v>
      </c>
      <c r="BN108" s="831"/>
      <c r="BO108" s="831">
        <f t="shared" si="243"/>
        <v>3371669.432706106</v>
      </c>
      <c r="BP108" s="831"/>
      <c r="BQ108" s="831">
        <f t="shared" si="244"/>
        <v>3371669.432706106</v>
      </c>
      <c r="BR108" s="831"/>
      <c r="BS108" s="831">
        <f t="shared" si="245"/>
        <v>3371669.432706106</v>
      </c>
      <c r="BT108" s="831"/>
      <c r="BU108" s="831">
        <f t="shared" si="246"/>
        <v>3371669.432706106</v>
      </c>
      <c r="BV108" s="831"/>
      <c r="BW108" s="831">
        <f t="shared" si="247"/>
        <v>56400</v>
      </c>
      <c r="BX108" s="831">
        <f t="shared" si="248"/>
        <v>3428069.432706106</v>
      </c>
      <c r="BY108" s="831"/>
      <c r="BZ108" s="831">
        <f t="shared" si="249"/>
        <v>3428069.432706106</v>
      </c>
      <c r="CA108" s="1260">
        <f t="shared" si="250"/>
        <v>3428069.432706106</v>
      </c>
      <c r="CB108" s="1260">
        <f t="shared" si="251"/>
        <v>3428069.432706106</v>
      </c>
      <c r="CC108" s="1260"/>
      <c r="CD108" s="1260">
        <f t="shared" si="252"/>
        <v>0</v>
      </c>
      <c r="CE108" s="1260">
        <f t="shared" si="253"/>
        <v>0</v>
      </c>
      <c r="CF108" s="1260">
        <f t="shared" si="254"/>
        <v>0</v>
      </c>
      <c r="CG108" s="1266">
        <f t="shared" si="255"/>
        <v>3428069.432706106</v>
      </c>
      <c r="CH108" s="1141">
        <f t="shared" si="256"/>
        <v>3428069.432706106</v>
      </c>
      <c r="CI108" s="1142">
        <f t="shared" si="257"/>
        <v>0</v>
      </c>
      <c r="CJ108" s="1141">
        <f t="shared" si="258"/>
        <v>351377.11685237585</v>
      </c>
      <c r="CK108" s="1141">
        <f t="shared" si="259"/>
        <v>119982.43014471373</v>
      </c>
      <c r="CL108" s="1143">
        <f t="shared" si="329"/>
        <v>3899428.9797031954</v>
      </c>
      <c r="CM108" s="1144">
        <f t="shared" si="260"/>
        <v>0.125</v>
      </c>
      <c r="CN108" s="1141">
        <f t="shared" si="261"/>
        <v>487428.62246289942</v>
      </c>
      <c r="CO108" s="1141">
        <f t="shared" si="262"/>
        <v>30000</v>
      </c>
      <c r="CP108" s="1141">
        <f t="shared" si="263"/>
        <v>457428.62246289942</v>
      </c>
      <c r="CQ108" s="1145">
        <f t="shared" si="264"/>
        <v>13</v>
      </c>
      <c r="CR108" s="1141">
        <f t="shared" si="265"/>
        <v>35186.817112530727</v>
      </c>
      <c r="CS108" s="1144">
        <f t="shared" si="266"/>
        <v>0.875</v>
      </c>
      <c r="CT108" s="1141">
        <f t="shared" si="267"/>
        <v>3412000.357240296</v>
      </c>
      <c r="CU108" s="1146">
        <f t="shared" si="204"/>
        <v>26453.202452996211</v>
      </c>
      <c r="CV108" s="1146">
        <f t="shared" si="205"/>
        <v>30668.023812461583</v>
      </c>
      <c r="CW108" s="1146">
        <f t="shared" si="206"/>
        <v>39616.217257257282</v>
      </c>
      <c r="CX108" s="1146">
        <f t="shared" si="207"/>
        <v>67561.696493458643</v>
      </c>
      <c r="CY108" s="1146">
        <f t="shared" si="268"/>
        <v>277167.63411050761</v>
      </c>
      <c r="CZ108" s="1146">
        <f t="shared" si="269"/>
        <v>109673.88265646526</v>
      </c>
      <c r="DA108" s="1146">
        <f t="shared" si="270"/>
        <v>79215.892110222063</v>
      </c>
      <c r="DB108" s="1146">
        <f t="shared" si="271"/>
        <v>60286.940807196588</v>
      </c>
      <c r="DC108" s="1146"/>
      <c r="DD108" s="1146"/>
      <c r="DE108" s="1146"/>
      <c r="DF108" s="1146"/>
      <c r="DG108" s="1146"/>
      <c r="DH108" s="1146"/>
      <c r="DI108" s="1146"/>
      <c r="DJ108" s="1146"/>
      <c r="DK108" s="1146"/>
      <c r="DL108" s="1146"/>
      <c r="DM108" s="1146"/>
      <c r="DN108" s="1146"/>
      <c r="DO108" s="1146"/>
      <c r="DP108" s="1146"/>
      <c r="DQ108" s="1146"/>
      <c r="DR108" s="1146"/>
      <c r="DS108" s="1146"/>
      <c r="DT108" s="1146"/>
      <c r="DU108" s="1146"/>
      <c r="DV108" s="1146"/>
      <c r="DW108" s="1146"/>
      <c r="DX108" s="1146"/>
      <c r="DY108" s="1146"/>
      <c r="DZ108" s="1146"/>
      <c r="EA108" s="1147">
        <f t="shared" si="208"/>
        <v>0</v>
      </c>
      <c r="EB108" s="1148">
        <f t="shared" si="272"/>
        <v>0</v>
      </c>
      <c r="EC108" s="1190">
        <f t="shared" si="316"/>
        <v>45839</v>
      </c>
      <c r="ED108" s="1031">
        <f t="shared" si="209"/>
        <v>20</v>
      </c>
      <c r="EE108" s="1191"/>
      <c r="EF108" s="1032">
        <f t="shared" si="210"/>
        <v>45904</v>
      </c>
      <c r="EG108" s="1029">
        <f t="shared" si="273"/>
        <v>22</v>
      </c>
      <c r="EH108" s="859" t="s">
        <v>490</v>
      </c>
      <c r="EI108" s="859" t="s">
        <v>480</v>
      </c>
      <c r="EJ108" s="860">
        <f t="shared" si="211"/>
        <v>0</v>
      </c>
      <c r="EK108" s="860">
        <f t="shared" si="212"/>
        <v>0</v>
      </c>
      <c r="EL108" s="861">
        <f t="shared" si="213"/>
        <v>0</v>
      </c>
      <c r="EM108" s="1197"/>
      <c r="EN108" s="860"/>
      <c r="EO108" s="860"/>
      <c r="EP108" s="860">
        <f t="shared" si="214"/>
        <v>0</v>
      </c>
      <c r="EQ108" s="1197"/>
      <c r="ER108" s="1200"/>
      <c r="ES108" s="1197"/>
      <c r="ET108" s="1194" t="s">
        <v>265</v>
      </c>
      <c r="EU108" s="1197" t="b">
        <f t="shared" si="215"/>
        <v>1</v>
      </c>
      <c r="EV108" s="1197" t="s">
        <v>605</v>
      </c>
      <c r="EW108" s="1197" t="s">
        <v>482</v>
      </c>
      <c r="EX108" s="1197"/>
      <c r="EY108" s="1128" t="s">
        <v>483</v>
      </c>
      <c r="EZ108" s="1128" t="s">
        <v>484</v>
      </c>
      <c r="FA108" s="1169">
        <f t="shared" si="274"/>
        <v>0</v>
      </c>
      <c r="FI108" s="1309" t="s">
        <v>149</v>
      </c>
      <c r="FJ108" s="1159" t="s">
        <v>149</v>
      </c>
      <c r="FK108" s="1160" t="b">
        <f t="shared" si="275"/>
        <v>1</v>
      </c>
      <c r="FL108" s="1131"/>
      <c r="FM108" s="1161"/>
      <c r="FP108" s="1166"/>
      <c r="FQ108" s="1203"/>
      <c r="FU108" s="1295"/>
      <c r="FV108" s="1295"/>
      <c r="FW108" s="1023">
        <v>0.15</v>
      </c>
      <c r="FX108" s="1162">
        <v>14385.912743709012</v>
      </c>
      <c r="FY108" s="1163">
        <v>14835.472516949918</v>
      </c>
      <c r="GA108" s="1164">
        <f t="shared" si="276"/>
        <v>3899428.9797031954</v>
      </c>
      <c r="GB108" s="1165">
        <f t="shared" si="277"/>
        <v>0.15</v>
      </c>
      <c r="GC108" s="1154">
        <f t="shared" si="278"/>
        <v>584914.34695547924</v>
      </c>
      <c r="GD108" s="1164">
        <f t="shared" si="279"/>
        <v>30000</v>
      </c>
      <c r="GE108" s="1154">
        <f t="shared" si="280"/>
        <v>554914.34695547924</v>
      </c>
      <c r="GF108" s="1060">
        <f t="shared" si="281"/>
        <v>35</v>
      </c>
      <c r="GG108" s="1166">
        <f t="shared" si="282"/>
        <v>15854.695627299407</v>
      </c>
      <c r="GI108" s="1164">
        <f t="shared" si="283"/>
        <v>3899428.9797031954</v>
      </c>
      <c r="GJ108" s="1154">
        <f t="shared" si="284"/>
        <v>389942.89797031955</v>
      </c>
      <c r="GK108" s="1154">
        <f t="shared" si="285"/>
        <v>97485.724492579888</v>
      </c>
      <c r="GL108" s="1166">
        <v>15000</v>
      </c>
      <c r="GM108" s="1154">
        <f t="shared" si="286"/>
        <v>374942.89797031955</v>
      </c>
      <c r="GN108" s="1060">
        <f t="shared" si="287"/>
        <v>35</v>
      </c>
      <c r="GO108" s="1154">
        <f t="shared" si="288"/>
        <v>10712.654227723417</v>
      </c>
      <c r="GS108" s="1010">
        <f t="shared" si="289"/>
        <v>3899428.9797031954</v>
      </c>
      <c r="GT108" s="1011">
        <f t="shared" si="290"/>
        <v>0.125</v>
      </c>
      <c r="GU108" s="1010">
        <f t="shared" si="291"/>
        <v>487428.62246289942</v>
      </c>
      <c r="GV108" s="1010">
        <f t="shared" si="292"/>
        <v>30000</v>
      </c>
      <c r="GW108" s="1010">
        <f t="shared" si="293"/>
        <v>457428.62246289942</v>
      </c>
      <c r="GX108" s="1010">
        <f t="shared" si="294"/>
        <v>13</v>
      </c>
      <c r="GY108" s="1010">
        <f t="shared" si="295"/>
        <v>35186.817112530727</v>
      </c>
      <c r="GZ108" s="1011">
        <f t="shared" si="296"/>
        <v>0.875</v>
      </c>
      <c r="HA108" s="1010">
        <f t="shared" si="297"/>
        <v>3412000.357240296</v>
      </c>
      <c r="HB108" s="1010">
        <f t="shared" si="298"/>
        <v>26453.202452996211</v>
      </c>
      <c r="HC108" s="1010">
        <f t="shared" si="299"/>
        <v>30668.023812461583</v>
      </c>
      <c r="HD108" s="1010">
        <f t="shared" si="300"/>
        <v>39616.217257257282</v>
      </c>
      <c r="HE108" s="1010">
        <f t="shared" si="301"/>
        <v>67561.696493458643</v>
      </c>
      <c r="HG108" s="1010">
        <f t="shared" si="302"/>
        <v>3899428.9797031954</v>
      </c>
      <c r="HH108" s="1011">
        <f t="shared" si="303"/>
        <v>0.125</v>
      </c>
      <c r="HI108" s="1010">
        <f t="shared" si="304"/>
        <v>487428.62246289942</v>
      </c>
      <c r="HJ108" s="1010">
        <f t="shared" si="305"/>
        <v>30000</v>
      </c>
      <c r="HK108" s="1010">
        <f t="shared" si="306"/>
        <v>457428.62246289942</v>
      </c>
      <c r="HL108" s="1012">
        <f t="shared" si="307"/>
        <v>33</v>
      </c>
      <c r="HM108" s="1167">
        <f t="shared" si="308"/>
        <v>13861.473407966649</v>
      </c>
      <c r="HN108" s="1168">
        <f t="shared" si="309"/>
        <v>0.875</v>
      </c>
      <c r="HO108" s="1167">
        <f t="shared" si="310"/>
        <v>3412000.357240296</v>
      </c>
      <c r="HP108" s="1146">
        <f t="shared" si="311"/>
        <v>26453.202452996211</v>
      </c>
      <c r="HQ108" s="1146">
        <f t="shared" si="312"/>
        <v>30668.023812461583</v>
      </c>
      <c r="HR108" s="1146">
        <f t="shared" si="313"/>
        <v>39616.217257257282</v>
      </c>
      <c r="HS108" s="1146">
        <f t="shared" si="314"/>
        <v>67561.696493458643</v>
      </c>
      <c r="HU108" s="1167">
        <f t="shared" si="315"/>
        <v>-21325.343704564079</v>
      </c>
      <c r="HX108" s="1154"/>
      <c r="HY108" s="1154"/>
      <c r="IB108" s="1154"/>
      <c r="IC108" s="1154"/>
      <c r="ID108" s="1154"/>
      <c r="IE108" s="1154"/>
      <c r="IG108" s="1060"/>
    </row>
    <row r="109" spans="1:241" ht="14.25" hidden="1" customHeight="1">
      <c r="A109" s="1186">
        <f t="shared" si="330"/>
        <v>103</v>
      </c>
      <c r="B109" s="824" t="s">
        <v>149</v>
      </c>
      <c r="C109" s="855">
        <f t="shared" si="338"/>
        <v>16</v>
      </c>
      <c r="D109" s="856" t="s">
        <v>507</v>
      </c>
      <c r="E109" s="857" t="str">
        <f t="shared" si="216"/>
        <v>7th Floor</v>
      </c>
      <c r="F109" s="1185"/>
      <c r="G109" s="764" t="s">
        <v>266</v>
      </c>
      <c r="H109" s="764" t="s">
        <v>550</v>
      </c>
      <c r="I109" s="764" t="s">
        <v>476</v>
      </c>
      <c r="J109" s="1139">
        <v>22</v>
      </c>
      <c r="K109" s="1142"/>
      <c r="L109" s="764" t="s">
        <v>500</v>
      </c>
      <c r="M109" s="764" t="s">
        <v>93</v>
      </c>
      <c r="N109" s="856">
        <f t="shared" si="217"/>
        <v>100909.09090909091</v>
      </c>
      <c r="O109" s="1138">
        <f t="shared" si="324"/>
        <v>2220000</v>
      </c>
      <c r="P109" s="1138">
        <f t="shared" si="331"/>
        <v>22400</v>
      </c>
      <c r="Q109" s="1138">
        <f t="shared" si="203"/>
        <v>50000</v>
      </c>
      <c r="R109" s="1138"/>
      <c r="S109" s="1138"/>
      <c r="T109" s="1138"/>
      <c r="U109" s="1138"/>
      <c r="V109" s="858"/>
      <c r="W109" s="858"/>
      <c r="X109" s="1138"/>
      <c r="Y109" s="1138">
        <f t="shared" si="340"/>
        <v>60000</v>
      </c>
      <c r="Z109" s="1138">
        <f t="shared" si="327"/>
        <v>75000</v>
      </c>
      <c r="AA109" s="1138">
        <f t="shared" si="328"/>
        <v>207400</v>
      </c>
      <c r="AB109" s="1138">
        <f t="shared" si="218"/>
        <v>2427400</v>
      </c>
      <c r="AC109" s="1138">
        <f t="shared" si="219"/>
        <v>60685</v>
      </c>
      <c r="AD109" s="1138">
        <f t="shared" si="220"/>
        <v>2488085</v>
      </c>
      <c r="AE109" s="1138">
        <f t="shared" si="221"/>
        <v>62202.125</v>
      </c>
      <c r="AF109" s="1138">
        <f t="shared" si="222"/>
        <v>2550287.125</v>
      </c>
      <c r="AG109" s="1138">
        <f t="shared" si="223"/>
        <v>63757.178125000006</v>
      </c>
      <c r="AH109" s="1138">
        <f t="shared" si="224"/>
        <v>2614044.3031250001</v>
      </c>
      <c r="AI109" s="1138">
        <f t="shared" si="225"/>
        <v>130702.21515625001</v>
      </c>
      <c r="AJ109" s="1138">
        <f t="shared" si="226"/>
        <v>2744746.5182812503</v>
      </c>
      <c r="AK109" s="1138">
        <f t="shared" si="227"/>
        <v>27447.465182812502</v>
      </c>
      <c r="AL109" s="1138">
        <f t="shared" si="228"/>
        <v>27537.409960060559</v>
      </c>
      <c r="AM109" s="1138"/>
      <c r="AN109" s="1138"/>
      <c r="AO109" s="1138">
        <f t="shared" si="229"/>
        <v>2799731.3934241231</v>
      </c>
      <c r="AP109" s="1138">
        <f t="shared" si="230"/>
        <v>377963.73811225663</v>
      </c>
      <c r="AQ109" s="1248">
        <f t="shared" si="231"/>
        <v>3177695.1315363795</v>
      </c>
      <c r="AR109" s="1248">
        <f t="shared" si="345"/>
        <v>3177695.1315363795</v>
      </c>
      <c r="AS109" s="1248"/>
      <c r="AT109" s="1248"/>
      <c r="AU109" s="1248">
        <f t="shared" si="232"/>
        <v>0</v>
      </c>
      <c r="AV109" s="1140">
        <f t="shared" si="233"/>
        <v>0</v>
      </c>
      <c r="AW109" s="1140">
        <f t="shared" si="234"/>
        <v>3177695.1315363795</v>
      </c>
      <c r="AX109" s="1139">
        <f t="shared" si="235"/>
        <v>39721.189144204749</v>
      </c>
      <c r="AY109" s="831" t="s">
        <v>478</v>
      </c>
      <c r="AZ109" s="831">
        <f t="shared" si="236"/>
        <v>3217416.3206805843</v>
      </c>
      <c r="BA109" s="831">
        <f t="shared" si="237"/>
        <v>120653.1120255219</v>
      </c>
      <c r="BB109" s="831"/>
      <c r="BC109" s="831">
        <f t="shared" si="346"/>
        <v>33600</v>
      </c>
      <c r="BD109" s="831"/>
      <c r="BE109" s="831">
        <f t="shared" si="238"/>
        <v>3371669.432706106</v>
      </c>
      <c r="BF109" s="831"/>
      <c r="BG109" s="831">
        <f t="shared" si="239"/>
        <v>3371669.432706106</v>
      </c>
      <c r="BH109" s="831"/>
      <c r="BI109" s="831">
        <f t="shared" si="240"/>
        <v>3371669.432706106</v>
      </c>
      <c r="BJ109" s="831"/>
      <c r="BK109" s="831">
        <f t="shared" si="241"/>
        <v>3371669.432706106</v>
      </c>
      <c r="BL109" s="831"/>
      <c r="BM109" s="831">
        <f t="shared" si="242"/>
        <v>3371669.432706106</v>
      </c>
      <c r="BN109" s="831"/>
      <c r="BO109" s="831">
        <f t="shared" si="243"/>
        <v>3371669.432706106</v>
      </c>
      <c r="BP109" s="831"/>
      <c r="BQ109" s="831">
        <f t="shared" si="244"/>
        <v>3371669.432706106</v>
      </c>
      <c r="BR109" s="831"/>
      <c r="BS109" s="831">
        <f t="shared" si="245"/>
        <v>3371669.432706106</v>
      </c>
      <c r="BT109" s="831"/>
      <c r="BU109" s="831">
        <f t="shared" si="246"/>
        <v>3371669.432706106</v>
      </c>
      <c r="BV109" s="831"/>
      <c r="BW109" s="831">
        <f t="shared" si="247"/>
        <v>56400</v>
      </c>
      <c r="BX109" s="831">
        <f t="shared" si="248"/>
        <v>3428069.432706106</v>
      </c>
      <c r="BY109" s="831"/>
      <c r="BZ109" s="831">
        <f t="shared" si="249"/>
        <v>3428069.432706106</v>
      </c>
      <c r="CA109" s="1260">
        <f t="shared" si="250"/>
        <v>3428069.432706106</v>
      </c>
      <c r="CB109" s="1260">
        <f t="shared" si="251"/>
        <v>3428069.432706106</v>
      </c>
      <c r="CC109" s="1260"/>
      <c r="CD109" s="1260">
        <f t="shared" si="252"/>
        <v>0</v>
      </c>
      <c r="CE109" s="1260">
        <f t="shared" si="253"/>
        <v>0</v>
      </c>
      <c r="CF109" s="1260">
        <f t="shared" si="254"/>
        <v>0</v>
      </c>
      <c r="CG109" s="1266">
        <f t="shared" si="255"/>
        <v>3428069.432706106</v>
      </c>
      <c r="CH109" s="1141">
        <f t="shared" si="256"/>
        <v>3428069.432706106</v>
      </c>
      <c r="CI109" s="1142">
        <f t="shared" si="257"/>
        <v>0</v>
      </c>
      <c r="CJ109" s="1141">
        <f t="shared" si="258"/>
        <v>351377.11685237585</v>
      </c>
      <c r="CK109" s="1141">
        <f t="shared" si="259"/>
        <v>119982.43014471373</v>
      </c>
      <c r="CL109" s="1143">
        <f t="shared" si="329"/>
        <v>3899428.9797031954</v>
      </c>
      <c r="CM109" s="1144">
        <f t="shared" si="260"/>
        <v>0.125</v>
      </c>
      <c r="CN109" s="1141">
        <f t="shared" si="261"/>
        <v>487428.62246289942</v>
      </c>
      <c r="CO109" s="1141">
        <f t="shared" si="262"/>
        <v>30000</v>
      </c>
      <c r="CP109" s="1141">
        <f t="shared" si="263"/>
        <v>457428.62246289942</v>
      </c>
      <c r="CQ109" s="1145">
        <f t="shared" si="264"/>
        <v>13</v>
      </c>
      <c r="CR109" s="1141">
        <f t="shared" si="265"/>
        <v>35186.817112530727</v>
      </c>
      <c r="CS109" s="1144">
        <f t="shared" si="266"/>
        <v>0.875</v>
      </c>
      <c r="CT109" s="1141">
        <f t="shared" si="267"/>
        <v>3412000.357240296</v>
      </c>
      <c r="CU109" s="1146">
        <f t="shared" si="204"/>
        <v>26453.202452996211</v>
      </c>
      <c r="CV109" s="1146">
        <f t="shared" si="205"/>
        <v>30668.023812461583</v>
      </c>
      <c r="CW109" s="1146">
        <f t="shared" si="206"/>
        <v>39616.217257257282</v>
      </c>
      <c r="CX109" s="1146">
        <f t="shared" si="207"/>
        <v>67561.696493458643</v>
      </c>
      <c r="CY109" s="1146">
        <f t="shared" si="268"/>
        <v>277167.63411050761</v>
      </c>
      <c r="CZ109" s="1146">
        <f t="shared" si="269"/>
        <v>109673.88265646526</v>
      </c>
      <c r="DA109" s="1146">
        <f t="shared" si="270"/>
        <v>79215.892110222063</v>
      </c>
      <c r="DB109" s="1146">
        <f t="shared" si="271"/>
        <v>60286.940807196588</v>
      </c>
      <c r="DC109" s="1146"/>
      <c r="DD109" s="1146"/>
      <c r="DE109" s="1146"/>
      <c r="DF109" s="1146"/>
      <c r="DG109" s="1146"/>
      <c r="DH109" s="1146"/>
      <c r="DI109" s="1146"/>
      <c r="DJ109" s="1146"/>
      <c r="DK109" s="1146"/>
      <c r="DL109" s="1146"/>
      <c r="DM109" s="1146"/>
      <c r="DN109" s="1146"/>
      <c r="DO109" s="1146"/>
      <c r="DP109" s="1146"/>
      <c r="DQ109" s="1146"/>
      <c r="DR109" s="1146"/>
      <c r="DS109" s="1146"/>
      <c r="DT109" s="1146"/>
      <c r="DU109" s="1146"/>
      <c r="DV109" s="1146"/>
      <c r="DW109" s="1146"/>
      <c r="DX109" s="1146"/>
      <c r="DY109" s="1146"/>
      <c r="DZ109" s="1146"/>
      <c r="EA109" s="1147">
        <f t="shared" si="208"/>
        <v>0</v>
      </c>
      <c r="EB109" s="1148">
        <f t="shared" si="272"/>
        <v>0</v>
      </c>
      <c r="EC109" s="1190">
        <f t="shared" si="316"/>
        <v>45839</v>
      </c>
      <c r="ED109" s="1031">
        <f t="shared" si="209"/>
        <v>20</v>
      </c>
      <c r="EE109" s="1191"/>
      <c r="EF109" s="1032">
        <f t="shared" si="210"/>
        <v>45904</v>
      </c>
      <c r="EG109" s="1029">
        <f t="shared" si="273"/>
        <v>22</v>
      </c>
      <c r="EH109" s="859" t="s">
        <v>490</v>
      </c>
      <c r="EI109" s="859" t="s">
        <v>480</v>
      </c>
      <c r="EJ109" s="860">
        <f t="shared" si="211"/>
        <v>0</v>
      </c>
      <c r="EK109" s="860">
        <f t="shared" si="212"/>
        <v>0</v>
      </c>
      <c r="EL109" s="861">
        <f t="shared" si="213"/>
        <v>0</v>
      </c>
      <c r="EM109" s="1197"/>
      <c r="EN109" s="860"/>
      <c r="EO109" s="860"/>
      <c r="EP109" s="860">
        <f t="shared" si="214"/>
        <v>0</v>
      </c>
      <c r="EQ109" s="1197"/>
      <c r="ER109" s="1200"/>
      <c r="ES109" s="1197"/>
      <c r="ET109" s="1194" t="s">
        <v>266</v>
      </c>
      <c r="EU109" s="1197" t="b">
        <f t="shared" si="215"/>
        <v>1</v>
      </c>
      <c r="EV109" s="1197" t="s">
        <v>606</v>
      </c>
      <c r="EW109" s="1197" t="s">
        <v>482</v>
      </c>
      <c r="EX109" s="1197"/>
      <c r="EY109" s="1128" t="s">
        <v>483</v>
      </c>
      <c r="EZ109" s="1128" t="s">
        <v>484</v>
      </c>
      <c r="FA109" s="1169">
        <f t="shared" si="274"/>
        <v>0</v>
      </c>
      <c r="FI109" s="1309" t="s">
        <v>149</v>
      </c>
      <c r="FJ109" s="1159" t="s">
        <v>149</v>
      </c>
      <c r="FK109" s="1160" t="b">
        <f t="shared" si="275"/>
        <v>1</v>
      </c>
      <c r="FL109" s="1131"/>
      <c r="FM109" s="1161"/>
      <c r="FP109" s="1166"/>
      <c r="FQ109" s="1203"/>
      <c r="FU109" s="1295"/>
      <c r="FV109" s="1295"/>
      <c r="FW109" s="1023">
        <v>0.15</v>
      </c>
      <c r="FX109" s="1162">
        <v>14385.912743709012</v>
      </c>
      <c r="FY109" s="1163">
        <v>14835.472516949918</v>
      </c>
      <c r="GA109" s="1164">
        <f t="shared" si="276"/>
        <v>3899428.9797031954</v>
      </c>
      <c r="GB109" s="1165">
        <f t="shared" si="277"/>
        <v>0.15</v>
      </c>
      <c r="GC109" s="1154">
        <f t="shared" si="278"/>
        <v>584914.34695547924</v>
      </c>
      <c r="GD109" s="1164">
        <f t="shared" si="279"/>
        <v>30000</v>
      </c>
      <c r="GE109" s="1154">
        <f t="shared" si="280"/>
        <v>554914.34695547924</v>
      </c>
      <c r="GF109" s="1060">
        <f t="shared" si="281"/>
        <v>35</v>
      </c>
      <c r="GG109" s="1166">
        <f t="shared" si="282"/>
        <v>15854.695627299407</v>
      </c>
      <c r="GI109" s="1164">
        <f t="shared" si="283"/>
        <v>3899428.9797031954</v>
      </c>
      <c r="GJ109" s="1154">
        <f t="shared" si="284"/>
        <v>389942.89797031955</v>
      </c>
      <c r="GK109" s="1154">
        <f t="shared" si="285"/>
        <v>97485.724492579888</v>
      </c>
      <c r="GL109" s="1166">
        <v>15000</v>
      </c>
      <c r="GM109" s="1154">
        <f t="shared" si="286"/>
        <v>374942.89797031955</v>
      </c>
      <c r="GN109" s="1060">
        <f t="shared" si="287"/>
        <v>35</v>
      </c>
      <c r="GO109" s="1154">
        <f t="shared" si="288"/>
        <v>10712.654227723417</v>
      </c>
      <c r="GS109" s="1010">
        <f t="shared" si="289"/>
        <v>3899428.9797031954</v>
      </c>
      <c r="GT109" s="1011">
        <f t="shared" si="290"/>
        <v>0.125</v>
      </c>
      <c r="GU109" s="1010">
        <f t="shared" si="291"/>
        <v>487428.62246289942</v>
      </c>
      <c r="GV109" s="1010">
        <f t="shared" si="292"/>
        <v>30000</v>
      </c>
      <c r="GW109" s="1010">
        <f t="shared" si="293"/>
        <v>457428.62246289942</v>
      </c>
      <c r="GX109" s="1010">
        <f t="shared" si="294"/>
        <v>13</v>
      </c>
      <c r="GY109" s="1010">
        <f t="shared" si="295"/>
        <v>35186.817112530727</v>
      </c>
      <c r="GZ109" s="1011">
        <f t="shared" si="296"/>
        <v>0.875</v>
      </c>
      <c r="HA109" s="1010">
        <f t="shared" si="297"/>
        <v>3412000.357240296</v>
      </c>
      <c r="HB109" s="1010">
        <f t="shared" si="298"/>
        <v>26453.202452996211</v>
      </c>
      <c r="HC109" s="1010">
        <f t="shared" si="299"/>
        <v>30668.023812461583</v>
      </c>
      <c r="HD109" s="1010">
        <f t="shared" si="300"/>
        <v>39616.217257257282</v>
      </c>
      <c r="HE109" s="1010">
        <f t="shared" si="301"/>
        <v>67561.696493458643</v>
      </c>
      <c r="HG109" s="1010">
        <f t="shared" si="302"/>
        <v>3899428.9797031954</v>
      </c>
      <c r="HH109" s="1011">
        <f t="shared" si="303"/>
        <v>0.125</v>
      </c>
      <c r="HI109" s="1010">
        <f t="shared" si="304"/>
        <v>487428.62246289942</v>
      </c>
      <c r="HJ109" s="1010">
        <f t="shared" si="305"/>
        <v>30000</v>
      </c>
      <c r="HK109" s="1010">
        <f t="shared" si="306"/>
        <v>457428.62246289942</v>
      </c>
      <c r="HL109" s="1012">
        <f t="shared" si="307"/>
        <v>33</v>
      </c>
      <c r="HM109" s="1167">
        <f t="shared" si="308"/>
        <v>13861.473407966649</v>
      </c>
      <c r="HN109" s="1168">
        <f t="shared" si="309"/>
        <v>0.875</v>
      </c>
      <c r="HO109" s="1167">
        <f t="shared" si="310"/>
        <v>3412000.357240296</v>
      </c>
      <c r="HP109" s="1146">
        <f t="shared" si="311"/>
        <v>26453.202452996211</v>
      </c>
      <c r="HQ109" s="1146">
        <f t="shared" si="312"/>
        <v>30668.023812461583</v>
      </c>
      <c r="HR109" s="1146">
        <f t="shared" si="313"/>
        <v>39616.217257257282</v>
      </c>
      <c r="HS109" s="1146">
        <f t="shared" si="314"/>
        <v>67561.696493458643</v>
      </c>
      <c r="HU109" s="1167">
        <f t="shared" si="315"/>
        <v>-21325.343704564079</v>
      </c>
      <c r="HX109" s="1154"/>
      <c r="HY109" s="1154"/>
      <c r="IB109" s="1154"/>
      <c r="IC109" s="1154"/>
      <c r="ID109" s="1154"/>
      <c r="IE109" s="1154"/>
      <c r="IG109" s="1060"/>
    </row>
    <row r="110" spans="1:241" ht="14.25" hidden="1" customHeight="1">
      <c r="A110" s="1186">
        <f t="shared" si="330"/>
        <v>104</v>
      </c>
      <c r="B110" s="824" t="s">
        <v>149</v>
      </c>
      <c r="C110" s="855">
        <f t="shared" si="338"/>
        <v>17</v>
      </c>
      <c r="D110" s="856" t="s">
        <v>507</v>
      </c>
      <c r="E110" s="857" t="str">
        <f t="shared" si="216"/>
        <v>7th Floor</v>
      </c>
      <c r="F110" s="1185"/>
      <c r="G110" s="764" t="s">
        <v>267</v>
      </c>
      <c r="H110" s="764" t="s">
        <v>552</v>
      </c>
      <c r="I110" s="764" t="s">
        <v>476</v>
      </c>
      <c r="J110" s="1139">
        <v>22</v>
      </c>
      <c r="K110" s="1142"/>
      <c r="L110" s="764" t="s">
        <v>500</v>
      </c>
      <c r="M110" s="764" t="s">
        <v>93</v>
      </c>
      <c r="N110" s="856">
        <f t="shared" si="217"/>
        <v>100909.09090909091</v>
      </c>
      <c r="O110" s="1138">
        <f t="shared" si="324"/>
        <v>2220000</v>
      </c>
      <c r="P110" s="1138">
        <f t="shared" si="331"/>
        <v>22400</v>
      </c>
      <c r="Q110" s="1138">
        <f t="shared" si="203"/>
        <v>50000</v>
      </c>
      <c r="R110" s="1138"/>
      <c r="S110" s="1138"/>
      <c r="T110" s="1138"/>
      <c r="U110" s="1138"/>
      <c r="V110" s="1138"/>
      <c r="W110" s="858"/>
      <c r="X110" s="1138"/>
      <c r="Y110" s="1138">
        <f t="shared" si="340"/>
        <v>60000</v>
      </c>
      <c r="Z110" s="1138">
        <f t="shared" si="327"/>
        <v>75000</v>
      </c>
      <c r="AA110" s="1138">
        <f t="shared" si="328"/>
        <v>207400</v>
      </c>
      <c r="AB110" s="1138">
        <f t="shared" si="218"/>
        <v>2427400</v>
      </c>
      <c r="AC110" s="1138">
        <f t="shared" si="219"/>
        <v>60685</v>
      </c>
      <c r="AD110" s="1138">
        <f t="shared" si="220"/>
        <v>2488085</v>
      </c>
      <c r="AE110" s="1138">
        <f t="shared" si="221"/>
        <v>62202.125</v>
      </c>
      <c r="AF110" s="1138">
        <f t="shared" si="222"/>
        <v>2550287.125</v>
      </c>
      <c r="AG110" s="1138">
        <f t="shared" si="223"/>
        <v>63757.178125000006</v>
      </c>
      <c r="AH110" s="1138">
        <f t="shared" si="224"/>
        <v>2614044.3031250001</v>
      </c>
      <c r="AI110" s="1138">
        <f t="shared" si="225"/>
        <v>130702.21515625001</v>
      </c>
      <c r="AJ110" s="1138">
        <f t="shared" si="226"/>
        <v>2744746.5182812503</v>
      </c>
      <c r="AK110" s="1138">
        <f t="shared" si="227"/>
        <v>27447.465182812502</v>
      </c>
      <c r="AL110" s="1138">
        <f t="shared" si="228"/>
        <v>27537.409960060559</v>
      </c>
      <c r="AM110" s="1138"/>
      <c r="AN110" s="1138"/>
      <c r="AO110" s="1138">
        <f t="shared" si="229"/>
        <v>2799731.3934241231</v>
      </c>
      <c r="AP110" s="1138">
        <f t="shared" si="230"/>
        <v>377963.73811225663</v>
      </c>
      <c r="AQ110" s="1248">
        <f t="shared" si="231"/>
        <v>3177695.1315363795</v>
      </c>
      <c r="AR110" s="1248">
        <f t="shared" si="345"/>
        <v>3177695.1315363795</v>
      </c>
      <c r="AS110" s="1248"/>
      <c r="AT110" s="1248"/>
      <c r="AU110" s="1248">
        <f t="shared" si="232"/>
        <v>0</v>
      </c>
      <c r="AV110" s="1140">
        <f t="shared" si="233"/>
        <v>0</v>
      </c>
      <c r="AW110" s="1140">
        <f t="shared" si="234"/>
        <v>3177695.1315363795</v>
      </c>
      <c r="AX110" s="1139">
        <f t="shared" si="235"/>
        <v>39721.189144204749</v>
      </c>
      <c r="AY110" s="831" t="s">
        <v>478</v>
      </c>
      <c r="AZ110" s="831">
        <f t="shared" si="236"/>
        <v>3217416.3206805843</v>
      </c>
      <c r="BA110" s="831">
        <f t="shared" si="237"/>
        <v>120653.1120255219</v>
      </c>
      <c r="BB110" s="831"/>
      <c r="BC110" s="831">
        <f t="shared" si="346"/>
        <v>33600</v>
      </c>
      <c r="BD110" s="831"/>
      <c r="BE110" s="831">
        <f t="shared" si="238"/>
        <v>3371669.432706106</v>
      </c>
      <c r="BF110" s="831"/>
      <c r="BG110" s="831">
        <f t="shared" si="239"/>
        <v>3371669.432706106</v>
      </c>
      <c r="BH110" s="831"/>
      <c r="BI110" s="831">
        <f t="shared" si="240"/>
        <v>3371669.432706106</v>
      </c>
      <c r="BJ110" s="831"/>
      <c r="BK110" s="831">
        <f t="shared" si="241"/>
        <v>3371669.432706106</v>
      </c>
      <c r="BL110" s="831"/>
      <c r="BM110" s="831">
        <f t="shared" si="242"/>
        <v>3371669.432706106</v>
      </c>
      <c r="BN110" s="831"/>
      <c r="BO110" s="831">
        <f t="shared" si="243"/>
        <v>3371669.432706106</v>
      </c>
      <c r="BP110" s="831"/>
      <c r="BQ110" s="831">
        <f t="shared" si="244"/>
        <v>3371669.432706106</v>
      </c>
      <c r="BR110" s="831"/>
      <c r="BS110" s="831">
        <f t="shared" si="245"/>
        <v>3371669.432706106</v>
      </c>
      <c r="BT110" s="831"/>
      <c r="BU110" s="831">
        <f t="shared" si="246"/>
        <v>3371669.432706106</v>
      </c>
      <c r="BV110" s="831"/>
      <c r="BW110" s="831">
        <f t="shared" si="247"/>
        <v>56400</v>
      </c>
      <c r="BX110" s="831">
        <f t="shared" si="248"/>
        <v>3428069.432706106</v>
      </c>
      <c r="BY110" s="831"/>
      <c r="BZ110" s="831">
        <f t="shared" si="249"/>
        <v>3428069.432706106</v>
      </c>
      <c r="CA110" s="1260">
        <f t="shared" si="250"/>
        <v>3428069.432706106</v>
      </c>
      <c r="CB110" s="1260">
        <f t="shared" si="251"/>
        <v>3428069.432706106</v>
      </c>
      <c r="CC110" s="1260"/>
      <c r="CD110" s="1260">
        <f t="shared" si="252"/>
        <v>0</v>
      </c>
      <c r="CE110" s="1260">
        <f t="shared" si="253"/>
        <v>0</v>
      </c>
      <c r="CF110" s="1260">
        <f t="shared" si="254"/>
        <v>0</v>
      </c>
      <c r="CG110" s="1266">
        <f t="shared" si="255"/>
        <v>3428069.432706106</v>
      </c>
      <c r="CH110" s="1141">
        <f t="shared" si="256"/>
        <v>3428069.432706106</v>
      </c>
      <c r="CI110" s="1142">
        <f t="shared" si="257"/>
        <v>0</v>
      </c>
      <c r="CJ110" s="1141">
        <f t="shared" si="258"/>
        <v>351377.11685237585</v>
      </c>
      <c r="CK110" s="1141">
        <f t="shared" si="259"/>
        <v>119982.43014471373</v>
      </c>
      <c r="CL110" s="1143">
        <f t="shared" si="329"/>
        <v>3899428.9797031954</v>
      </c>
      <c r="CM110" s="1144">
        <f t="shared" si="260"/>
        <v>0.125</v>
      </c>
      <c r="CN110" s="1141">
        <f t="shared" si="261"/>
        <v>487428.62246289942</v>
      </c>
      <c r="CO110" s="1141">
        <f t="shared" si="262"/>
        <v>30000</v>
      </c>
      <c r="CP110" s="1141">
        <f t="shared" si="263"/>
        <v>457428.62246289942</v>
      </c>
      <c r="CQ110" s="1145">
        <f t="shared" si="264"/>
        <v>13</v>
      </c>
      <c r="CR110" s="1141">
        <f t="shared" si="265"/>
        <v>35186.817112530727</v>
      </c>
      <c r="CS110" s="1144">
        <f t="shared" si="266"/>
        <v>0.875</v>
      </c>
      <c r="CT110" s="1141">
        <f t="shared" si="267"/>
        <v>3412000.357240296</v>
      </c>
      <c r="CU110" s="1146">
        <f t="shared" si="204"/>
        <v>26453.202452996211</v>
      </c>
      <c r="CV110" s="1146">
        <f t="shared" si="205"/>
        <v>30668.023812461583</v>
      </c>
      <c r="CW110" s="1146">
        <f t="shared" si="206"/>
        <v>39616.217257257282</v>
      </c>
      <c r="CX110" s="1146">
        <f t="shared" si="207"/>
        <v>67561.696493458643</v>
      </c>
      <c r="CY110" s="1146">
        <f t="shared" si="268"/>
        <v>277167.63411050761</v>
      </c>
      <c r="CZ110" s="1146">
        <f t="shared" si="269"/>
        <v>109673.88265646526</v>
      </c>
      <c r="DA110" s="1146">
        <f t="shared" si="270"/>
        <v>79215.892110222063</v>
      </c>
      <c r="DB110" s="1146">
        <f t="shared" si="271"/>
        <v>60286.940807196588</v>
      </c>
      <c r="DC110" s="1146"/>
      <c r="DD110" s="1146"/>
      <c r="DE110" s="1146"/>
      <c r="DF110" s="1146"/>
      <c r="DG110" s="1146"/>
      <c r="DH110" s="1146"/>
      <c r="DI110" s="1146"/>
      <c r="DJ110" s="1146"/>
      <c r="DK110" s="1146"/>
      <c r="DL110" s="1146"/>
      <c r="DM110" s="1146"/>
      <c r="DN110" s="1146"/>
      <c r="DO110" s="1146"/>
      <c r="DP110" s="1146"/>
      <c r="DQ110" s="1146"/>
      <c r="DR110" s="1146"/>
      <c r="DS110" s="1146"/>
      <c r="DT110" s="1146"/>
      <c r="DU110" s="1146"/>
      <c r="DV110" s="1146"/>
      <c r="DW110" s="1146"/>
      <c r="DX110" s="1146"/>
      <c r="DY110" s="1146"/>
      <c r="DZ110" s="1146"/>
      <c r="EA110" s="1147">
        <f t="shared" si="208"/>
        <v>0</v>
      </c>
      <c r="EB110" s="1148">
        <f t="shared" si="272"/>
        <v>0</v>
      </c>
      <c r="EC110" s="1190">
        <f t="shared" si="316"/>
        <v>45839</v>
      </c>
      <c r="ED110" s="1031">
        <f t="shared" si="209"/>
        <v>20</v>
      </c>
      <c r="EE110" s="1191"/>
      <c r="EF110" s="1032">
        <f t="shared" si="210"/>
        <v>45904</v>
      </c>
      <c r="EG110" s="1029">
        <f t="shared" si="273"/>
        <v>22</v>
      </c>
      <c r="EH110" s="859" t="s">
        <v>490</v>
      </c>
      <c r="EI110" s="859" t="s">
        <v>480</v>
      </c>
      <c r="EJ110" s="860">
        <f t="shared" si="211"/>
        <v>0</v>
      </c>
      <c r="EK110" s="860">
        <f t="shared" si="212"/>
        <v>0</v>
      </c>
      <c r="EL110" s="861">
        <f t="shared" si="213"/>
        <v>0</v>
      </c>
      <c r="EM110" s="1197"/>
      <c r="EN110" s="860"/>
      <c r="EO110" s="860"/>
      <c r="EP110" s="860">
        <f t="shared" si="214"/>
        <v>0</v>
      </c>
      <c r="EQ110" s="1197"/>
      <c r="ER110" s="1200"/>
      <c r="ES110" s="1197"/>
      <c r="ET110" s="1194" t="s">
        <v>267</v>
      </c>
      <c r="EU110" s="1197" t="b">
        <f t="shared" si="215"/>
        <v>1</v>
      </c>
      <c r="EV110" s="1197" t="s">
        <v>607</v>
      </c>
      <c r="EW110" s="1197" t="s">
        <v>482</v>
      </c>
      <c r="EX110" s="1197"/>
      <c r="EY110" s="1128" t="s">
        <v>483</v>
      </c>
      <c r="EZ110" s="1128" t="s">
        <v>484</v>
      </c>
      <c r="FA110" s="1169">
        <f t="shared" si="274"/>
        <v>0</v>
      </c>
      <c r="FI110" s="1309" t="s">
        <v>149</v>
      </c>
      <c r="FJ110" s="1159" t="s">
        <v>149</v>
      </c>
      <c r="FK110" s="1160" t="b">
        <f t="shared" si="275"/>
        <v>1</v>
      </c>
      <c r="FL110" s="1131"/>
      <c r="FM110" s="1161"/>
      <c r="FP110" s="1166"/>
      <c r="FQ110" s="1203"/>
      <c r="FU110" s="1295"/>
      <c r="FV110" s="1295"/>
      <c r="FW110" s="1023">
        <v>0.15</v>
      </c>
      <c r="FX110" s="1162">
        <v>14385.912743709012</v>
      </c>
      <c r="FY110" s="1163">
        <v>14835.472516949918</v>
      </c>
      <c r="GA110" s="1164">
        <f t="shared" si="276"/>
        <v>3899428.9797031954</v>
      </c>
      <c r="GB110" s="1165">
        <f t="shared" si="277"/>
        <v>0.15</v>
      </c>
      <c r="GC110" s="1154">
        <f t="shared" si="278"/>
        <v>584914.34695547924</v>
      </c>
      <c r="GD110" s="1164">
        <f t="shared" si="279"/>
        <v>30000</v>
      </c>
      <c r="GE110" s="1154">
        <f t="shared" si="280"/>
        <v>554914.34695547924</v>
      </c>
      <c r="GF110" s="1060">
        <f t="shared" si="281"/>
        <v>35</v>
      </c>
      <c r="GG110" s="1166">
        <f t="shared" si="282"/>
        <v>15854.695627299407</v>
      </c>
      <c r="GI110" s="1164">
        <f t="shared" si="283"/>
        <v>3899428.9797031954</v>
      </c>
      <c r="GJ110" s="1154">
        <f t="shared" si="284"/>
        <v>389942.89797031955</v>
      </c>
      <c r="GK110" s="1154">
        <f t="shared" si="285"/>
        <v>97485.724492579888</v>
      </c>
      <c r="GL110" s="1166">
        <v>15000</v>
      </c>
      <c r="GM110" s="1154">
        <f t="shared" si="286"/>
        <v>374942.89797031955</v>
      </c>
      <c r="GN110" s="1060">
        <f t="shared" si="287"/>
        <v>35</v>
      </c>
      <c r="GO110" s="1154">
        <f t="shared" si="288"/>
        <v>10712.654227723417</v>
      </c>
      <c r="GS110" s="1010">
        <f t="shared" si="289"/>
        <v>3899428.9797031954</v>
      </c>
      <c r="GT110" s="1011">
        <f t="shared" si="290"/>
        <v>0.125</v>
      </c>
      <c r="GU110" s="1010">
        <f t="shared" si="291"/>
        <v>487428.62246289942</v>
      </c>
      <c r="GV110" s="1010">
        <f t="shared" si="292"/>
        <v>30000</v>
      </c>
      <c r="GW110" s="1010">
        <f t="shared" si="293"/>
        <v>457428.62246289942</v>
      </c>
      <c r="GX110" s="1010">
        <f t="shared" si="294"/>
        <v>13</v>
      </c>
      <c r="GY110" s="1010">
        <f t="shared" si="295"/>
        <v>35186.817112530727</v>
      </c>
      <c r="GZ110" s="1011">
        <f t="shared" si="296"/>
        <v>0.875</v>
      </c>
      <c r="HA110" s="1010">
        <f t="shared" si="297"/>
        <v>3412000.357240296</v>
      </c>
      <c r="HB110" s="1010">
        <f t="shared" si="298"/>
        <v>26453.202452996211</v>
      </c>
      <c r="HC110" s="1010">
        <f t="shared" si="299"/>
        <v>30668.023812461583</v>
      </c>
      <c r="HD110" s="1010">
        <f t="shared" si="300"/>
        <v>39616.217257257282</v>
      </c>
      <c r="HE110" s="1010">
        <f t="shared" si="301"/>
        <v>67561.696493458643</v>
      </c>
      <c r="HG110" s="1010">
        <f t="shared" si="302"/>
        <v>3899428.9797031954</v>
      </c>
      <c r="HH110" s="1011">
        <f t="shared" si="303"/>
        <v>0.125</v>
      </c>
      <c r="HI110" s="1010">
        <f t="shared" si="304"/>
        <v>487428.62246289942</v>
      </c>
      <c r="HJ110" s="1010">
        <f t="shared" si="305"/>
        <v>30000</v>
      </c>
      <c r="HK110" s="1010">
        <f t="shared" si="306"/>
        <v>457428.62246289942</v>
      </c>
      <c r="HL110" s="1012">
        <f t="shared" si="307"/>
        <v>33</v>
      </c>
      <c r="HM110" s="1167">
        <f t="shared" si="308"/>
        <v>13861.473407966649</v>
      </c>
      <c r="HN110" s="1168">
        <f t="shared" si="309"/>
        <v>0.875</v>
      </c>
      <c r="HO110" s="1167">
        <f t="shared" si="310"/>
        <v>3412000.357240296</v>
      </c>
      <c r="HP110" s="1146">
        <f t="shared" si="311"/>
        <v>26453.202452996211</v>
      </c>
      <c r="HQ110" s="1146">
        <f t="shared" si="312"/>
        <v>30668.023812461583</v>
      </c>
      <c r="HR110" s="1146">
        <f t="shared" si="313"/>
        <v>39616.217257257282</v>
      </c>
      <c r="HS110" s="1146">
        <f t="shared" si="314"/>
        <v>67561.696493458643</v>
      </c>
      <c r="HU110" s="1167">
        <f t="shared" si="315"/>
        <v>-21325.343704564079</v>
      </c>
      <c r="HX110" s="1154"/>
      <c r="HY110" s="1154"/>
      <c r="IB110" s="1154"/>
      <c r="IC110" s="1154"/>
      <c r="ID110" s="1154"/>
      <c r="IE110" s="1154"/>
      <c r="IG110" s="1060"/>
    </row>
    <row r="111" spans="1:241" ht="14.25" hidden="1" customHeight="1">
      <c r="A111" s="1186">
        <f t="shared" si="330"/>
        <v>105</v>
      </c>
      <c r="B111" s="824" t="s">
        <v>149</v>
      </c>
      <c r="C111" s="855">
        <f t="shared" si="338"/>
        <v>18</v>
      </c>
      <c r="D111" s="856" t="s">
        <v>507</v>
      </c>
      <c r="E111" s="857" t="str">
        <f t="shared" si="216"/>
        <v>7th Floor</v>
      </c>
      <c r="F111" s="1185"/>
      <c r="G111" s="764" t="s">
        <v>268</v>
      </c>
      <c r="H111" s="764" t="s">
        <v>552</v>
      </c>
      <c r="I111" s="764" t="s">
        <v>476</v>
      </c>
      <c r="J111" s="831">
        <v>22</v>
      </c>
      <c r="K111" s="1142"/>
      <c r="L111" s="764" t="s">
        <v>500</v>
      </c>
      <c r="M111" s="764" t="s">
        <v>117</v>
      </c>
      <c r="N111" s="856">
        <f t="shared" si="217"/>
        <v>100909.09090909091</v>
      </c>
      <c r="O111" s="1138">
        <f t="shared" si="324"/>
        <v>2220000</v>
      </c>
      <c r="P111" s="1138">
        <f t="shared" si="331"/>
        <v>22400</v>
      </c>
      <c r="Q111" s="1138">
        <f t="shared" si="203"/>
        <v>50000</v>
      </c>
      <c r="R111" s="1138"/>
      <c r="S111" s="1138"/>
      <c r="T111" s="1138"/>
      <c r="U111" s="1138"/>
      <c r="V111" s="858">
        <f>J111*$V$5</f>
        <v>55000</v>
      </c>
      <c r="W111" s="858"/>
      <c r="X111" s="1138"/>
      <c r="Y111" s="1138">
        <f t="shared" si="340"/>
        <v>60000</v>
      </c>
      <c r="Z111" s="1138">
        <f t="shared" si="327"/>
        <v>75000</v>
      </c>
      <c r="AA111" s="1138">
        <f t="shared" si="328"/>
        <v>262400</v>
      </c>
      <c r="AB111" s="1138">
        <f t="shared" si="218"/>
        <v>2482400</v>
      </c>
      <c r="AC111" s="1138">
        <f t="shared" si="219"/>
        <v>62060</v>
      </c>
      <c r="AD111" s="1138">
        <f t="shared" si="220"/>
        <v>2544460</v>
      </c>
      <c r="AE111" s="1138">
        <f t="shared" si="221"/>
        <v>63611.5</v>
      </c>
      <c r="AF111" s="1138">
        <f t="shared" si="222"/>
        <v>2608071.5</v>
      </c>
      <c r="AG111" s="1138">
        <f t="shared" si="223"/>
        <v>65201.787500000006</v>
      </c>
      <c r="AH111" s="1138">
        <f t="shared" si="224"/>
        <v>2673273.2875000001</v>
      </c>
      <c r="AI111" s="1138">
        <f t="shared" si="225"/>
        <v>133663.66437500002</v>
      </c>
      <c r="AJ111" s="1138">
        <f t="shared" si="226"/>
        <v>2806936.9518750003</v>
      </c>
      <c r="AK111" s="1138">
        <f t="shared" si="227"/>
        <v>28069.369518750002</v>
      </c>
      <c r="AL111" s="1138">
        <f t="shared" si="228"/>
        <v>27537.409960060559</v>
      </c>
      <c r="AM111" s="1138"/>
      <c r="AN111" s="1138"/>
      <c r="AO111" s="1138">
        <f t="shared" si="229"/>
        <v>2862543.7313538105</v>
      </c>
      <c r="AP111" s="1138">
        <f t="shared" si="230"/>
        <v>386443.40373276442</v>
      </c>
      <c r="AQ111" s="1248">
        <f t="shared" si="231"/>
        <v>3248987.1350865751</v>
      </c>
      <c r="AR111" s="1248">
        <f t="shared" ref="AR111:AR174" si="347">AQ111-AT111</f>
        <v>2918987.1350865751</v>
      </c>
      <c r="AS111" s="1248">
        <v>15000</v>
      </c>
      <c r="AT111" s="1248">
        <f t="shared" ref="AT111:AT174" si="348">AS111*J111</f>
        <v>330000</v>
      </c>
      <c r="AU111" s="1248">
        <f t="shared" si="232"/>
        <v>39600</v>
      </c>
      <c r="AV111" s="1140">
        <f t="shared" si="233"/>
        <v>369600</v>
      </c>
      <c r="AW111" s="1140">
        <f t="shared" si="234"/>
        <v>3288587.1350865751</v>
      </c>
      <c r="AX111" s="1139">
        <f t="shared" si="235"/>
        <v>41107.339188582191</v>
      </c>
      <c r="AY111" s="831" t="s">
        <v>478</v>
      </c>
      <c r="AZ111" s="831">
        <f t="shared" si="236"/>
        <v>3329694.4742751573</v>
      </c>
      <c r="BA111" s="831">
        <f t="shared" si="237"/>
        <v>124863.54278531839</v>
      </c>
      <c r="BB111" s="831"/>
      <c r="BC111" s="831">
        <f t="shared" si="346"/>
        <v>33600</v>
      </c>
      <c r="BD111" s="831"/>
      <c r="BE111" s="831">
        <f t="shared" si="238"/>
        <v>3488158.0170604759</v>
      </c>
      <c r="BF111" s="831"/>
      <c r="BG111" s="831">
        <f t="shared" si="239"/>
        <v>3488158.0170604759</v>
      </c>
      <c r="BH111" s="831"/>
      <c r="BI111" s="831">
        <f t="shared" si="240"/>
        <v>3488158.0170604759</v>
      </c>
      <c r="BJ111" s="831"/>
      <c r="BK111" s="831">
        <f t="shared" si="241"/>
        <v>3488158.0170604759</v>
      </c>
      <c r="BL111" s="831"/>
      <c r="BM111" s="831">
        <f t="shared" si="242"/>
        <v>3488158.0170604759</v>
      </c>
      <c r="BN111" s="831"/>
      <c r="BO111" s="831">
        <f t="shared" si="243"/>
        <v>3488158.0170604759</v>
      </c>
      <c r="BP111" s="831"/>
      <c r="BQ111" s="831">
        <f t="shared" si="244"/>
        <v>3488158.0170604759</v>
      </c>
      <c r="BR111" s="831"/>
      <c r="BS111" s="831">
        <f t="shared" si="245"/>
        <v>3488158.0170604759</v>
      </c>
      <c r="BT111" s="831"/>
      <c r="BU111" s="831">
        <f t="shared" si="246"/>
        <v>3488158.0170604759</v>
      </c>
      <c r="BV111" s="831"/>
      <c r="BW111" s="831">
        <f t="shared" si="247"/>
        <v>56400</v>
      </c>
      <c r="BX111" s="831">
        <f t="shared" si="248"/>
        <v>3544558.0170604759</v>
      </c>
      <c r="BY111" s="831"/>
      <c r="BZ111" s="831">
        <f t="shared" si="249"/>
        <v>3544558.0170604759</v>
      </c>
      <c r="CA111" s="1260">
        <f t="shared" si="250"/>
        <v>3544558.0170604759</v>
      </c>
      <c r="CB111" s="1260">
        <f t="shared" si="251"/>
        <v>3544558.0170604759</v>
      </c>
      <c r="CC111" s="1260"/>
      <c r="CD111" s="1260">
        <f t="shared" si="252"/>
        <v>0</v>
      </c>
      <c r="CE111" s="1260">
        <f t="shared" si="253"/>
        <v>0</v>
      </c>
      <c r="CF111" s="1260">
        <f t="shared" si="254"/>
        <v>0</v>
      </c>
      <c r="CG111" s="1266">
        <f t="shared" si="255"/>
        <v>3544558.0170604759</v>
      </c>
      <c r="CH111" s="1141">
        <f t="shared" si="256"/>
        <v>3544558.0170604759</v>
      </c>
      <c r="CI111" s="1142">
        <f t="shared" si="257"/>
        <v>0</v>
      </c>
      <c r="CJ111" s="1141">
        <f t="shared" si="258"/>
        <v>363317.19674869877</v>
      </c>
      <c r="CK111" s="1141">
        <f t="shared" si="259"/>
        <v>124059.53059711667</v>
      </c>
      <c r="CL111" s="1143">
        <f t="shared" si="329"/>
        <v>4031934.7444062913</v>
      </c>
      <c r="CM111" s="1144">
        <f t="shared" si="260"/>
        <v>0.125</v>
      </c>
      <c r="CN111" s="1141">
        <f t="shared" si="261"/>
        <v>503991.84305078641</v>
      </c>
      <c r="CO111" s="1141">
        <f t="shared" si="262"/>
        <v>30000</v>
      </c>
      <c r="CP111" s="1141">
        <f t="shared" si="263"/>
        <v>473991.84305078641</v>
      </c>
      <c r="CQ111" s="1145">
        <f t="shared" si="264"/>
        <v>13</v>
      </c>
      <c r="CR111" s="1141">
        <f t="shared" si="265"/>
        <v>36460.911003906644</v>
      </c>
      <c r="CS111" s="1144">
        <f t="shared" si="266"/>
        <v>0.875</v>
      </c>
      <c r="CT111" s="1141">
        <f t="shared" si="267"/>
        <v>3527942.901355505</v>
      </c>
      <c r="CU111" s="1146">
        <f t="shared" si="204"/>
        <v>27352.103763450872</v>
      </c>
      <c r="CV111" s="1146">
        <f t="shared" si="205"/>
        <v>31710.14817691463</v>
      </c>
      <c r="CW111" s="1146">
        <f t="shared" si="206"/>
        <v>40962.408504652791</v>
      </c>
      <c r="CX111" s="1146">
        <f t="shared" si="207"/>
        <v>69857.497828757128</v>
      </c>
      <c r="CY111" s="1146">
        <f t="shared" si="268"/>
        <v>286586.01549401879</v>
      </c>
      <c r="CZ111" s="1146">
        <f t="shared" si="269"/>
        <v>113400.69029035083</v>
      </c>
      <c r="DA111" s="1146">
        <f t="shared" si="270"/>
        <v>81907.712480675851</v>
      </c>
      <c r="DB111" s="1146">
        <f t="shared" si="271"/>
        <v>62335.540034121317</v>
      </c>
      <c r="DC111" s="1146"/>
      <c r="DD111" s="1146"/>
      <c r="DE111" s="1146"/>
      <c r="DF111" s="1146"/>
      <c r="DG111" s="1146"/>
      <c r="DH111" s="1146"/>
      <c r="DI111" s="1146"/>
      <c r="DJ111" s="1146"/>
      <c r="DK111" s="1146"/>
      <c r="DL111" s="1146"/>
      <c r="DM111" s="1146"/>
      <c r="DN111" s="1146"/>
      <c r="DO111" s="1146"/>
      <c r="DP111" s="1146"/>
      <c r="DQ111" s="1146"/>
      <c r="DR111" s="1146"/>
      <c r="DS111" s="1146"/>
      <c r="DT111" s="1146"/>
      <c r="DU111" s="1146"/>
      <c r="DV111" s="1146"/>
      <c r="DW111" s="1146"/>
      <c r="DX111" s="1146"/>
      <c r="DY111" s="1146"/>
      <c r="DZ111" s="1146"/>
      <c r="EA111" s="1147">
        <f t="shared" si="208"/>
        <v>0.11305291346897713</v>
      </c>
      <c r="EB111" s="1148">
        <f t="shared" si="272"/>
        <v>0</v>
      </c>
      <c r="EC111" s="1190">
        <f t="shared" si="316"/>
        <v>45839</v>
      </c>
      <c r="ED111" s="1031">
        <f t="shared" si="209"/>
        <v>20</v>
      </c>
      <c r="EE111" s="1191"/>
      <c r="EF111" s="1032">
        <f t="shared" si="210"/>
        <v>45904</v>
      </c>
      <c r="EG111" s="1029">
        <f t="shared" si="273"/>
        <v>22</v>
      </c>
      <c r="EH111" s="859" t="s">
        <v>490</v>
      </c>
      <c r="EI111" s="859" t="s">
        <v>480</v>
      </c>
      <c r="EJ111" s="860">
        <f t="shared" si="211"/>
        <v>16800</v>
      </c>
      <c r="EK111" s="860">
        <f t="shared" si="212"/>
        <v>369600</v>
      </c>
      <c r="EL111" s="861">
        <f t="shared" si="213"/>
        <v>0.12661926308525437</v>
      </c>
      <c r="EM111" s="1197"/>
      <c r="EN111" s="860"/>
      <c r="EO111" s="860"/>
      <c r="EP111" s="860">
        <f t="shared" si="214"/>
        <v>0</v>
      </c>
      <c r="EQ111" s="1197"/>
      <c r="ER111" s="1200"/>
      <c r="ES111" s="1197"/>
      <c r="ET111" s="1194" t="s">
        <v>268</v>
      </c>
      <c r="EU111" s="1197" t="b">
        <f t="shared" si="215"/>
        <v>1</v>
      </c>
      <c r="EV111" s="1197" t="s">
        <v>608</v>
      </c>
      <c r="EW111" s="1197" t="s">
        <v>482</v>
      </c>
      <c r="EX111" s="1197"/>
      <c r="EY111" s="1128" t="s">
        <v>587</v>
      </c>
      <c r="EZ111" s="1128" t="s">
        <v>484</v>
      </c>
      <c r="FA111" s="1169">
        <f t="shared" si="274"/>
        <v>0</v>
      </c>
      <c r="FI111" s="1309" t="s">
        <v>149</v>
      </c>
      <c r="FJ111" s="1159" t="s">
        <v>149</v>
      </c>
      <c r="FK111" s="1160" t="b">
        <f t="shared" si="275"/>
        <v>1</v>
      </c>
      <c r="FL111" s="1131"/>
      <c r="FM111" s="1161"/>
      <c r="FP111" s="1166"/>
      <c r="FQ111" s="1203"/>
      <c r="FU111" s="1295"/>
      <c r="FV111" s="1295"/>
      <c r="FW111" s="1023">
        <v>0.15</v>
      </c>
      <c r="FX111" s="1162">
        <v>15031.165203292383</v>
      </c>
      <c r="FY111" s="1163">
        <v>15500.88911589527</v>
      </c>
      <c r="GA111" s="1164">
        <f t="shared" si="276"/>
        <v>4031934.7444062913</v>
      </c>
      <c r="GB111" s="1165">
        <f t="shared" si="277"/>
        <v>0.15</v>
      </c>
      <c r="GC111" s="1154">
        <f t="shared" si="278"/>
        <v>604790.21166094369</v>
      </c>
      <c r="GD111" s="1164">
        <f t="shared" si="279"/>
        <v>30000</v>
      </c>
      <c r="GE111" s="1154">
        <f t="shared" si="280"/>
        <v>574790.21166094369</v>
      </c>
      <c r="GF111" s="1060">
        <f t="shared" si="281"/>
        <v>35</v>
      </c>
      <c r="GG111" s="1166">
        <f t="shared" si="282"/>
        <v>16422.577476026963</v>
      </c>
      <c r="GI111" s="1164">
        <f t="shared" si="283"/>
        <v>4031934.7444062913</v>
      </c>
      <c r="GJ111" s="1154">
        <f t="shared" si="284"/>
        <v>403193.47444062913</v>
      </c>
      <c r="GK111" s="1154">
        <f t="shared" si="285"/>
        <v>100798.36861015728</v>
      </c>
      <c r="GL111" s="1166">
        <v>15000</v>
      </c>
      <c r="GM111" s="1154">
        <f t="shared" si="286"/>
        <v>388193.47444062913</v>
      </c>
      <c r="GN111" s="1060">
        <f t="shared" si="287"/>
        <v>35</v>
      </c>
      <c r="GO111" s="1154">
        <f t="shared" si="288"/>
        <v>11091.242126875119</v>
      </c>
      <c r="GS111" s="1010">
        <f t="shared" si="289"/>
        <v>4031934.7444062913</v>
      </c>
      <c r="GT111" s="1011">
        <f t="shared" si="290"/>
        <v>0.125</v>
      </c>
      <c r="GU111" s="1010">
        <f t="shared" si="291"/>
        <v>503991.84305078641</v>
      </c>
      <c r="GV111" s="1010">
        <f t="shared" si="292"/>
        <v>30000</v>
      </c>
      <c r="GW111" s="1010">
        <f t="shared" si="293"/>
        <v>473991.84305078641</v>
      </c>
      <c r="GX111" s="1010">
        <f t="shared" si="294"/>
        <v>13</v>
      </c>
      <c r="GY111" s="1010">
        <f t="shared" si="295"/>
        <v>36460.911003906644</v>
      </c>
      <c r="GZ111" s="1011">
        <f t="shared" si="296"/>
        <v>0.875</v>
      </c>
      <c r="HA111" s="1010">
        <f t="shared" si="297"/>
        <v>3527942.901355505</v>
      </c>
      <c r="HB111" s="1010">
        <f t="shared" si="298"/>
        <v>27352.103763450872</v>
      </c>
      <c r="HC111" s="1010">
        <f t="shared" si="299"/>
        <v>31710.14817691463</v>
      </c>
      <c r="HD111" s="1010">
        <f t="shared" si="300"/>
        <v>40962.408504652791</v>
      </c>
      <c r="HE111" s="1010">
        <f t="shared" si="301"/>
        <v>69857.497828757128</v>
      </c>
      <c r="HG111" s="1010">
        <f t="shared" si="302"/>
        <v>4031934.7444062913</v>
      </c>
      <c r="HH111" s="1011">
        <f t="shared" si="303"/>
        <v>0.125</v>
      </c>
      <c r="HI111" s="1010">
        <f t="shared" si="304"/>
        <v>503991.84305078641</v>
      </c>
      <c r="HJ111" s="1010">
        <f t="shared" si="305"/>
        <v>30000</v>
      </c>
      <c r="HK111" s="1010">
        <f t="shared" si="306"/>
        <v>473991.84305078641</v>
      </c>
      <c r="HL111" s="1012">
        <f t="shared" si="307"/>
        <v>33</v>
      </c>
      <c r="HM111" s="1167">
        <f t="shared" si="308"/>
        <v>14363.389183357163</v>
      </c>
      <c r="HN111" s="1168">
        <f t="shared" si="309"/>
        <v>0.875</v>
      </c>
      <c r="HO111" s="1167">
        <f t="shared" si="310"/>
        <v>3527942.901355505</v>
      </c>
      <c r="HP111" s="1146">
        <f t="shared" si="311"/>
        <v>27352.103763450872</v>
      </c>
      <c r="HQ111" s="1146">
        <f t="shared" si="312"/>
        <v>31710.14817691463</v>
      </c>
      <c r="HR111" s="1146">
        <f t="shared" si="313"/>
        <v>40962.408504652791</v>
      </c>
      <c r="HS111" s="1146">
        <f t="shared" si="314"/>
        <v>69857.497828757128</v>
      </c>
      <c r="HU111" s="1167">
        <f t="shared" si="315"/>
        <v>-22097.521820549482</v>
      </c>
      <c r="HX111" s="1154"/>
      <c r="HY111" s="1154"/>
      <c r="IB111" s="1154"/>
      <c r="IC111" s="1154"/>
      <c r="ID111" s="1154"/>
      <c r="IE111" s="1154"/>
      <c r="IG111" s="1060"/>
    </row>
    <row r="112" spans="1:241" ht="14.25" customHeight="1">
      <c r="A112" s="1186">
        <f t="shared" si="330"/>
        <v>106</v>
      </c>
      <c r="B112" s="824"/>
      <c r="C112" s="855">
        <v>1</v>
      </c>
      <c r="D112" s="856" t="s">
        <v>511</v>
      </c>
      <c r="E112" s="857" t="str">
        <f t="shared" si="216"/>
        <v>8th Floor</v>
      </c>
      <c r="F112" s="1185"/>
      <c r="G112" s="764" t="s">
        <v>270</v>
      </c>
      <c r="H112" s="764" t="s">
        <v>475</v>
      </c>
      <c r="I112" s="764" t="s">
        <v>476</v>
      </c>
      <c r="J112" s="1139">
        <v>22</v>
      </c>
      <c r="K112" s="1142"/>
      <c r="L112" s="764" t="s">
        <v>344</v>
      </c>
      <c r="M112" s="764" t="s">
        <v>477</v>
      </c>
      <c r="N112" s="856">
        <f t="shared" si="217"/>
        <v>100909.09090909091</v>
      </c>
      <c r="O112" s="1138">
        <f t="shared" si="324"/>
        <v>2220000</v>
      </c>
      <c r="P112" s="1138">
        <f t="shared" si="331"/>
        <v>22400</v>
      </c>
      <c r="Q112" s="1138">
        <f t="shared" si="203"/>
        <v>50000</v>
      </c>
      <c r="R112" s="1138"/>
      <c r="S112" s="1138"/>
      <c r="T112" s="1138">
        <f>J112*$T$5</f>
        <v>66000</v>
      </c>
      <c r="U112" s="1138"/>
      <c r="V112" s="1138"/>
      <c r="W112" s="858">
        <f>J112*$W$5</f>
        <v>22000</v>
      </c>
      <c r="X112" s="1138"/>
      <c r="Y112" s="1138">
        <f>Y111+Y5</f>
        <v>80000</v>
      </c>
      <c r="Z112" s="1138">
        <f t="shared" si="327"/>
        <v>75000</v>
      </c>
      <c r="AA112" s="1138">
        <f t="shared" si="328"/>
        <v>315400</v>
      </c>
      <c r="AB112" s="1138">
        <f t="shared" si="218"/>
        <v>2535400</v>
      </c>
      <c r="AC112" s="1138">
        <f t="shared" si="219"/>
        <v>63385</v>
      </c>
      <c r="AD112" s="1138">
        <f t="shared" si="220"/>
        <v>2598785</v>
      </c>
      <c r="AE112" s="1138">
        <f t="shared" si="221"/>
        <v>64969.625</v>
      </c>
      <c r="AF112" s="1138">
        <f t="shared" si="222"/>
        <v>2663754.625</v>
      </c>
      <c r="AG112" s="1138">
        <f t="shared" si="223"/>
        <v>66593.865625000006</v>
      </c>
      <c r="AH112" s="1138">
        <f t="shared" si="224"/>
        <v>2730348.4906250001</v>
      </c>
      <c r="AI112" s="1138">
        <f t="shared" si="225"/>
        <v>136517.42453125</v>
      </c>
      <c r="AJ112" s="1138">
        <f t="shared" si="226"/>
        <v>2866865.9151562499</v>
      </c>
      <c r="AK112" s="1138">
        <f t="shared" si="227"/>
        <v>28668.6591515625</v>
      </c>
      <c r="AL112" s="1138">
        <f t="shared" si="228"/>
        <v>27537.409960060559</v>
      </c>
      <c r="AM112" s="1138"/>
      <c r="AN112" s="1138"/>
      <c r="AO112" s="1138">
        <f t="shared" si="229"/>
        <v>2923071.9842678728</v>
      </c>
      <c r="AP112" s="1138">
        <f t="shared" si="230"/>
        <v>394614.71787616285</v>
      </c>
      <c r="AQ112" s="1248">
        <f t="shared" si="231"/>
        <v>3317686.7021440356</v>
      </c>
      <c r="AR112" s="1248">
        <f t="shared" si="347"/>
        <v>2987686.7021440356</v>
      </c>
      <c r="AS112" s="1248">
        <v>15000</v>
      </c>
      <c r="AT112" s="1248">
        <f t="shared" si="348"/>
        <v>330000</v>
      </c>
      <c r="AU112" s="1248">
        <f t="shared" si="232"/>
        <v>39600</v>
      </c>
      <c r="AV112" s="1140">
        <f t="shared" si="233"/>
        <v>369600</v>
      </c>
      <c r="AW112" s="1140">
        <f t="shared" si="234"/>
        <v>3357286.7021440356</v>
      </c>
      <c r="AX112" s="1139">
        <f t="shared" si="235"/>
        <v>41966.083776800449</v>
      </c>
      <c r="AY112" s="831" t="s">
        <v>478</v>
      </c>
      <c r="AZ112" s="831">
        <f t="shared" si="236"/>
        <v>3399252.785920836</v>
      </c>
      <c r="BA112" s="831">
        <f t="shared" si="237"/>
        <v>127471.97947203135</v>
      </c>
      <c r="BB112" s="831"/>
      <c r="BC112" s="831">
        <f t="shared" si="346"/>
        <v>33600</v>
      </c>
      <c r="BD112" s="831"/>
      <c r="BE112" s="831">
        <f t="shared" si="238"/>
        <v>3560324.7653928674</v>
      </c>
      <c r="BF112" s="831"/>
      <c r="BG112" s="831">
        <f t="shared" si="239"/>
        <v>3560324.7653928674</v>
      </c>
      <c r="BH112" s="831"/>
      <c r="BI112" s="831">
        <f t="shared" si="240"/>
        <v>3560324.7653928674</v>
      </c>
      <c r="BJ112" s="831"/>
      <c r="BK112" s="831">
        <f t="shared" si="241"/>
        <v>3560324.7653928674</v>
      </c>
      <c r="BL112" s="831"/>
      <c r="BM112" s="831">
        <f t="shared" si="242"/>
        <v>3560324.7653928674</v>
      </c>
      <c r="BN112" s="831"/>
      <c r="BO112" s="831">
        <f t="shared" si="243"/>
        <v>3560324.7653928674</v>
      </c>
      <c r="BP112" s="831">
        <f>$BP$5/37</f>
        <v>5065.3710270270276</v>
      </c>
      <c r="BQ112" s="831">
        <f t="shared" si="244"/>
        <v>3565390.1364198946</v>
      </c>
      <c r="BR112" s="831">
        <f>$BR$5/42</f>
        <v>3544.6104</v>
      </c>
      <c r="BS112" s="831">
        <f t="shared" si="245"/>
        <v>3568934.7468198948</v>
      </c>
      <c r="BT112" s="831">
        <f>$BT$5/41</f>
        <v>1609.3168000000001</v>
      </c>
      <c r="BU112" s="831">
        <f t="shared" si="246"/>
        <v>3570544.0636198949</v>
      </c>
      <c r="BV112" s="831">
        <f>$BV$5/43</f>
        <v>1163.3400930232558</v>
      </c>
      <c r="BW112" s="831">
        <f t="shared" si="247"/>
        <v>56400</v>
      </c>
      <c r="BX112" s="831">
        <f t="shared" si="248"/>
        <v>3628107.4037129181</v>
      </c>
      <c r="BY112" s="831">
        <f>$BY$5/44</f>
        <v>30549.183723443901</v>
      </c>
      <c r="BZ112" s="831">
        <f t="shared" si="249"/>
        <v>3658656.5874363622</v>
      </c>
      <c r="CA112" s="1260">
        <f t="shared" si="250"/>
        <v>3658656.5874363622</v>
      </c>
      <c r="CB112" s="1260">
        <f t="shared" si="251"/>
        <v>3482656.5874363622</v>
      </c>
      <c r="CC112" s="1260">
        <v>8000</v>
      </c>
      <c r="CD112" s="1260">
        <f t="shared" si="252"/>
        <v>176000</v>
      </c>
      <c r="CE112" s="1260">
        <f t="shared" si="253"/>
        <v>21120</v>
      </c>
      <c r="CF112" s="1260">
        <f t="shared" si="254"/>
        <v>197120</v>
      </c>
      <c r="CG112" s="1266">
        <f t="shared" si="255"/>
        <v>3679776.5874363622</v>
      </c>
      <c r="CH112" s="1141">
        <f t="shared" si="256"/>
        <v>3679776.5874363622</v>
      </c>
      <c r="CI112" s="1142">
        <f t="shared" si="257"/>
        <v>0</v>
      </c>
      <c r="CJ112" s="1141">
        <f t="shared" si="258"/>
        <v>377177.10021222709</v>
      </c>
      <c r="CK112" s="1141">
        <f t="shared" si="259"/>
        <v>128792.18056027268</v>
      </c>
      <c r="CL112" s="1143">
        <f t="shared" si="329"/>
        <v>4185745.8682088619</v>
      </c>
      <c r="CM112" s="1144">
        <f t="shared" si="260"/>
        <v>0.125</v>
      </c>
      <c r="CN112" s="1141">
        <f t="shared" si="261"/>
        <v>523218.23352610774</v>
      </c>
      <c r="CO112" s="1141">
        <f t="shared" si="262"/>
        <v>30000</v>
      </c>
      <c r="CP112" s="1141">
        <f t="shared" si="263"/>
        <v>493218.23352610774</v>
      </c>
      <c r="CQ112" s="1145">
        <f t="shared" si="264"/>
        <v>13</v>
      </c>
      <c r="CR112" s="1141">
        <f t="shared" si="265"/>
        <v>37939.864117392906</v>
      </c>
      <c r="CS112" s="1144">
        <f t="shared" si="266"/>
        <v>0.875</v>
      </c>
      <c r="CT112" s="1141">
        <f t="shared" si="267"/>
        <v>3662527.6346827541</v>
      </c>
      <c r="CU112" s="1146">
        <f t="shared" si="204"/>
        <v>28395.537768442537</v>
      </c>
      <c r="CV112" s="1146">
        <f t="shared" si="205"/>
        <v>32919.833808311298</v>
      </c>
      <c r="CW112" s="1146">
        <f t="shared" si="206"/>
        <v>42525.051375919888</v>
      </c>
      <c r="CX112" s="1146">
        <f t="shared" si="207"/>
        <v>72522.436853869993</v>
      </c>
      <c r="CY112" s="1146">
        <f t="shared" si="268"/>
        <v>297518.76116168883</v>
      </c>
      <c r="CZ112" s="1146">
        <f t="shared" si="269"/>
        <v>117726.72449458609</v>
      </c>
      <c r="DA112" s="1146">
        <f t="shared" si="270"/>
        <v>85032.3457159307</v>
      </c>
      <c r="DB112" s="1146">
        <f t="shared" si="271"/>
        <v>64713.529776834825</v>
      </c>
      <c r="DC112" s="1146"/>
      <c r="DD112" s="1146"/>
      <c r="DE112" s="1146"/>
      <c r="DF112" s="1146"/>
      <c r="DG112" s="1146"/>
      <c r="DH112" s="1146"/>
      <c r="DI112" s="1146"/>
      <c r="DJ112" s="1146"/>
      <c r="DK112" s="1146"/>
      <c r="DL112" s="1146"/>
      <c r="DM112" s="1146"/>
      <c r="DN112" s="1146"/>
      <c r="DO112" s="1146"/>
      <c r="DP112" s="1146"/>
      <c r="DQ112" s="1146"/>
      <c r="DR112" s="1146"/>
      <c r="DS112" s="1146"/>
      <c r="DT112" s="1146"/>
      <c r="DU112" s="1146"/>
      <c r="DV112" s="1146"/>
      <c r="DW112" s="1146"/>
      <c r="DX112" s="1146"/>
      <c r="DY112" s="1146"/>
      <c r="DZ112" s="1146"/>
      <c r="EA112" s="1147">
        <f t="shared" si="208"/>
        <v>0.11045334832570768</v>
      </c>
      <c r="EB112" s="1148">
        <f t="shared" si="272"/>
        <v>5.6600470086860651E-2</v>
      </c>
      <c r="EC112" s="1190">
        <f t="shared" si="316"/>
        <v>45839</v>
      </c>
      <c r="ED112" s="1031">
        <f t="shared" si="209"/>
        <v>20</v>
      </c>
      <c r="EE112" s="1191"/>
      <c r="EF112" s="1032">
        <f t="shared" si="210"/>
        <v>45904</v>
      </c>
      <c r="EG112" s="1029">
        <f t="shared" si="273"/>
        <v>22</v>
      </c>
      <c r="EH112" s="859" t="s">
        <v>490</v>
      </c>
      <c r="EI112" s="859" t="s">
        <v>480</v>
      </c>
      <c r="EJ112" s="860">
        <f t="shared" si="211"/>
        <v>16800</v>
      </c>
      <c r="EK112" s="860">
        <f t="shared" si="212"/>
        <v>369600</v>
      </c>
      <c r="EL112" s="861">
        <f t="shared" si="213"/>
        <v>0.1237077501247926</v>
      </c>
      <c r="EM112" s="1197"/>
      <c r="EN112" s="860"/>
      <c r="EO112" s="860"/>
      <c r="EP112" s="860">
        <f t="shared" si="214"/>
        <v>0</v>
      </c>
      <c r="EQ112" s="1197"/>
      <c r="ER112" s="1200"/>
      <c r="ES112" s="1197"/>
      <c r="ET112" s="1194" t="s">
        <v>270</v>
      </c>
      <c r="EU112" s="1197" t="b">
        <f t="shared" si="215"/>
        <v>1</v>
      </c>
      <c r="EV112" s="1197"/>
      <c r="EW112" s="1197"/>
      <c r="EX112" s="1197"/>
      <c r="EY112" s="1128" t="s">
        <v>587</v>
      </c>
      <c r="EZ112" s="1128" t="s">
        <v>484</v>
      </c>
      <c r="FA112" s="1169">
        <f t="shared" si="274"/>
        <v>-21120</v>
      </c>
      <c r="FI112" s="1309" t="s">
        <v>96</v>
      </c>
      <c r="FJ112" s="1159" t="s">
        <v>96</v>
      </c>
      <c r="FK112" s="1160" t="b">
        <f t="shared" si="275"/>
        <v>1</v>
      </c>
      <c r="FL112" s="1131"/>
      <c r="FM112" s="1161"/>
      <c r="FO112" s="888"/>
      <c r="FP112" s="1166"/>
      <c r="FQ112" s="1203"/>
      <c r="FU112" s="1295"/>
      <c r="FV112" s="1295"/>
      <c r="FW112" s="1023">
        <v>0.125</v>
      </c>
      <c r="FX112" s="1162">
        <v>12502.48220353587</v>
      </c>
      <c r="FY112" s="1163">
        <v>12893.184772396366</v>
      </c>
      <c r="GA112" s="1164">
        <f t="shared" si="276"/>
        <v>4185745.8682088619</v>
      </c>
      <c r="GB112" s="1165">
        <f>FW112</f>
        <v>0.125</v>
      </c>
      <c r="GC112" s="1154">
        <f t="shared" si="278"/>
        <v>523218.23352610774</v>
      </c>
      <c r="GD112" s="1164">
        <f t="shared" si="279"/>
        <v>30000</v>
      </c>
      <c r="GE112" s="1154">
        <f t="shared" si="280"/>
        <v>493218.23352610774</v>
      </c>
      <c r="GF112" s="1060">
        <f t="shared" si="281"/>
        <v>35</v>
      </c>
      <c r="GG112" s="1166">
        <f t="shared" si="282"/>
        <v>14091.949529317364</v>
      </c>
      <c r="GI112" s="1164">
        <f t="shared" si="283"/>
        <v>4185745.8682088619</v>
      </c>
      <c r="GJ112" s="1154">
        <f t="shared" si="284"/>
        <v>418574.58682088624</v>
      </c>
      <c r="GK112" s="1154">
        <f t="shared" si="285"/>
        <v>104643.64670522156</v>
      </c>
      <c r="GL112" s="1166">
        <v>15000</v>
      </c>
      <c r="GM112" s="1154">
        <f t="shared" si="286"/>
        <v>403574.58682088624</v>
      </c>
      <c r="GN112" s="1060">
        <f t="shared" si="287"/>
        <v>35</v>
      </c>
      <c r="GO112" s="1154">
        <f t="shared" si="288"/>
        <v>11530.70248059675</v>
      </c>
      <c r="GS112" s="1010">
        <f t="shared" si="289"/>
        <v>4185745.8682088619</v>
      </c>
      <c r="GT112" s="1011">
        <f t="shared" si="290"/>
        <v>0.125</v>
      </c>
      <c r="GU112" s="1010">
        <f t="shared" si="291"/>
        <v>523218.23352610774</v>
      </c>
      <c r="GV112" s="1010">
        <f t="shared" si="292"/>
        <v>30000</v>
      </c>
      <c r="GW112" s="1010">
        <f t="shared" si="293"/>
        <v>493218.23352610774</v>
      </c>
      <c r="GX112" s="1010">
        <f t="shared" si="294"/>
        <v>13</v>
      </c>
      <c r="GY112" s="1010">
        <f t="shared" si="295"/>
        <v>37939.864117392906</v>
      </c>
      <c r="GZ112" s="1011">
        <f t="shared" si="296"/>
        <v>0.875</v>
      </c>
      <c r="HA112" s="1010">
        <f t="shared" si="297"/>
        <v>3662527.6346827541</v>
      </c>
      <c r="HB112" s="1010">
        <f t="shared" si="298"/>
        <v>28395.537768442537</v>
      </c>
      <c r="HC112" s="1010">
        <f t="shared" si="299"/>
        <v>32919.833808311298</v>
      </c>
      <c r="HD112" s="1010">
        <f t="shared" si="300"/>
        <v>42525.051375919888</v>
      </c>
      <c r="HE112" s="1010">
        <f t="shared" si="301"/>
        <v>72522.436853869993</v>
      </c>
      <c r="HG112" s="1010">
        <f t="shared" si="302"/>
        <v>4185745.8682088619</v>
      </c>
      <c r="HH112" s="1011">
        <f t="shared" si="303"/>
        <v>0.125</v>
      </c>
      <c r="HI112" s="1010">
        <f t="shared" si="304"/>
        <v>523218.23352610774</v>
      </c>
      <c r="HJ112" s="1010">
        <f t="shared" si="305"/>
        <v>30000</v>
      </c>
      <c r="HK112" s="1010">
        <f t="shared" si="306"/>
        <v>493218.23352610774</v>
      </c>
      <c r="HL112" s="1012">
        <f t="shared" si="307"/>
        <v>33</v>
      </c>
      <c r="HM112" s="1167">
        <f t="shared" si="308"/>
        <v>14946.00707654872</v>
      </c>
      <c r="HN112" s="1168">
        <f t="shared" si="309"/>
        <v>0.875</v>
      </c>
      <c r="HO112" s="1167">
        <f t="shared" si="310"/>
        <v>3662527.6346827541</v>
      </c>
      <c r="HP112" s="1146">
        <f t="shared" si="311"/>
        <v>28395.537768442537</v>
      </c>
      <c r="HQ112" s="1146">
        <f t="shared" si="312"/>
        <v>32919.833808311298</v>
      </c>
      <c r="HR112" s="1146">
        <f t="shared" si="313"/>
        <v>42525.051375919888</v>
      </c>
      <c r="HS112" s="1146">
        <f t="shared" si="314"/>
        <v>72522.436853869993</v>
      </c>
      <c r="HU112" s="1167">
        <f t="shared" si="315"/>
        <v>-22993.857040844188</v>
      </c>
      <c r="HX112" s="1154"/>
      <c r="HY112" s="1154"/>
      <c r="IB112" s="1154"/>
      <c r="IC112" s="1154"/>
      <c r="ID112" s="1154"/>
      <c r="IE112" s="1154"/>
      <c r="IG112" s="1060"/>
    </row>
    <row r="113" spans="1:241" ht="14.25" hidden="1" customHeight="1">
      <c r="A113" s="1186">
        <f t="shared" si="330"/>
        <v>107</v>
      </c>
      <c r="B113" s="824" t="s">
        <v>149</v>
      </c>
      <c r="C113" s="855">
        <f>C112+1</f>
        <v>2</v>
      </c>
      <c r="D113" s="856" t="s">
        <v>511</v>
      </c>
      <c r="E113" s="857" t="str">
        <f t="shared" si="216"/>
        <v>8th Floor</v>
      </c>
      <c r="F113" s="1185"/>
      <c r="G113" s="764" t="s">
        <v>271</v>
      </c>
      <c r="H113" s="764" t="s">
        <v>489</v>
      </c>
      <c r="I113" s="764" t="s">
        <v>476</v>
      </c>
      <c r="J113" s="1139">
        <v>22</v>
      </c>
      <c r="K113" s="1142"/>
      <c r="L113" s="764" t="s">
        <v>344</v>
      </c>
      <c r="M113" s="764" t="s">
        <v>93</v>
      </c>
      <c r="N113" s="856">
        <f t="shared" si="217"/>
        <v>100909.09090909091</v>
      </c>
      <c r="O113" s="1138">
        <f t="shared" si="324"/>
        <v>2220000</v>
      </c>
      <c r="P113" s="1138">
        <f t="shared" si="331"/>
        <v>22400</v>
      </c>
      <c r="Q113" s="1138">
        <f t="shared" si="203"/>
        <v>50000</v>
      </c>
      <c r="R113" s="1138"/>
      <c r="S113" s="1138"/>
      <c r="T113" s="1138">
        <f t="shared" ref="T113:T129" si="349">J113*$T$5</f>
        <v>66000</v>
      </c>
      <c r="U113" s="1138"/>
      <c r="V113" s="1138"/>
      <c r="W113" s="858"/>
      <c r="X113" s="1138"/>
      <c r="Y113" s="1138">
        <f>$Y$112</f>
        <v>80000</v>
      </c>
      <c r="Z113" s="1138">
        <f t="shared" si="327"/>
        <v>75000</v>
      </c>
      <c r="AA113" s="1138">
        <f t="shared" si="328"/>
        <v>293400</v>
      </c>
      <c r="AB113" s="1138">
        <f t="shared" si="218"/>
        <v>2513400</v>
      </c>
      <c r="AC113" s="1138">
        <f t="shared" si="219"/>
        <v>62835</v>
      </c>
      <c r="AD113" s="1138">
        <f t="shared" si="220"/>
        <v>2576235</v>
      </c>
      <c r="AE113" s="1138">
        <f t="shared" si="221"/>
        <v>64405.875</v>
      </c>
      <c r="AF113" s="1138">
        <f t="shared" si="222"/>
        <v>2640640.875</v>
      </c>
      <c r="AG113" s="1138">
        <f t="shared" si="223"/>
        <v>66016.021875000006</v>
      </c>
      <c r="AH113" s="1138">
        <f t="shared" si="224"/>
        <v>2706656.8968750001</v>
      </c>
      <c r="AI113" s="1138">
        <f t="shared" si="225"/>
        <v>135332.84484375</v>
      </c>
      <c r="AJ113" s="1138">
        <f t="shared" si="226"/>
        <v>2841989.74171875</v>
      </c>
      <c r="AK113" s="1138">
        <f t="shared" si="227"/>
        <v>28419.897417187502</v>
      </c>
      <c r="AL113" s="1138">
        <f t="shared" si="228"/>
        <v>27537.409960060559</v>
      </c>
      <c r="AM113" s="1138"/>
      <c r="AN113" s="1138"/>
      <c r="AO113" s="1138">
        <f t="shared" si="229"/>
        <v>2897947.0490959981</v>
      </c>
      <c r="AP113" s="1138">
        <f t="shared" si="230"/>
        <v>391222.85162795975</v>
      </c>
      <c r="AQ113" s="1248">
        <f t="shared" si="231"/>
        <v>3289169.9007239579</v>
      </c>
      <c r="AR113" s="1248">
        <f t="shared" si="347"/>
        <v>2959169.9007239579</v>
      </c>
      <c r="AS113" s="1248">
        <v>15000</v>
      </c>
      <c r="AT113" s="1248">
        <f t="shared" si="348"/>
        <v>330000</v>
      </c>
      <c r="AU113" s="1248">
        <f t="shared" si="232"/>
        <v>39600</v>
      </c>
      <c r="AV113" s="1140">
        <f t="shared" si="233"/>
        <v>369600</v>
      </c>
      <c r="AW113" s="1140">
        <f t="shared" si="234"/>
        <v>3328769.9007239579</v>
      </c>
      <c r="AX113" s="1139">
        <f t="shared" si="235"/>
        <v>41609.623759049478</v>
      </c>
      <c r="AY113" s="831" t="s">
        <v>478</v>
      </c>
      <c r="AZ113" s="831">
        <f t="shared" si="236"/>
        <v>3370379.5244830074</v>
      </c>
      <c r="BA113" s="831">
        <f t="shared" si="237"/>
        <v>126389.23216811277</v>
      </c>
      <c r="BB113" s="831"/>
      <c r="BC113" s="831">
        <f t="shared" si="346"/>
        <v>33600</v>
      </c>
      <c r="BD113" s="831"/>
      <c r="BE113" s="831">
        <f t="shared" si="238"/>
        <v>3530368.7566511203</v>
      </c>
      <c r="BF113" s="831"/>
      <c r="BG113" s="831">
        <f t="shared" si="239"/>
        <v>3530368.7566511203</v>
      </c>
      <c r="BH113" s="831"/>
      <c r="BI113" s="831">
        <f t="shared" si="240"/>
        <v>3530368.7566511203</v>
      </c>
      <c r="BJ113" s="831"/>
      <c r="BK113" s="831">
        <f t="shared" si="241"/>
        <v>3530368.7566511203</v>
      </c>
      <c r="BL113" s="831"/>
      <c r="BM113" s="831">
        <f t="shared" si="242"/>
        <v>3530368.7566511203</v>
      </c>
      <c r="BN113" s="831"/>
      <c r="BO113" s="831">
        <f t="shared" si="243"/>
        <v>3530368.7566511203</v>
      </c>
      <c r="BP113" s="831"/>
      <c r="BQ113" s="831">
        <f t="shared" si="244"/>
        <v>3530368.7566511203</v>
      </c>
      <c r="BR113" s="831"/>
      <c r="BS113" s="831">
        <f t="shared" si="245"/>
        <v>3530368.7566511203</v>
      </c>
      <c r="BT113" s="831"/>
      <c r="BU113" s="831">
        <f t="shared" si="246"/>
        <v>3530368.7566511203</v>
      </c>
      <c r="BV113" s="831"/>
      <c r="BW113" s="831">
        <f t="shared" si="247"/>
        <v>56400</v>
      </c>
      <c r="BX113" s="831">
        <f t="shared" si="248"/>
        <v>3586768.7566511203</v>
      </c>
      <c r="BY113" s="831"/>
      <c r="BZ113" s="831">
        <f t="shared" si="249"/>
        <v>3586768.7566511203</v>
      </c>
      <c r="CA113" s="1260">
        <f t="shared" si="250"/>
        <v>3586768.7566511203</v>
      </c>
      <c r="CB113" s="1260">
        <f t="shared" si="251"/>
        <v>3586768.7566511203</v>
      </c>
      <c r="CC113" s="1260"/>
      <c r="CD113" s="1260">
        <f t="shared" si="252"/>
        <v>0</v>
      </c>
      <c r="CE113" s="1260">
        <f t="shared" si="253"/>
        <v>0</v>
      </c>
      <c r="CF113" s="1260">
        <f t="shared" si="254"/>
        <v>0</v>
      </c>
      <c r="CG113" s="1266">
        <f t="shared" si="255"/>
        <v>3586768.7566511203</v>
      </c>
      <c r="CH113" s="1141">
        <f t="shared" si="256"/>
        <v>3586768.7566511203</v>
      </c>
      <c r="CI113" s="1142">
        <f t="shared" si="257"/>
        <v>0</v>
      </c>
      <c r="CJ113" s="1141">
        <f t="shared" si="258"/>
        <v>367643.79755673982</v>
      </c>
      <c r="CK113" s="1141">
        <f t="shared" si="259"/>
        <v>125536.90648278921</v>
      </c>
      <c r="CL113" s="1143">
        <f t="shared" si="329"/>
        <v>4079949.4606906492</v>
      </c>
      <c r="CM113" s="1144">
        <f t="shared" si="260"/>
        <v>0.125</v>
      </c>
      <c r="CN113" s="1141">
        <f t="shared" si="261"/>
        <v>509993.68258633115</v>
      </c>
      <c r="CO113" s="1141">
        <f t="shared" si="262"/>
        <v>30000</v>
      </c>
      <c r="CP113" s="1141">
        <f t="shared" si="263"/>
        <v>479993.68258633115</v>
      </c>
      <c r="CQ113" s="1145">
        <f t="shared" si="264"/>
        <v>13</v>
      </c>
      <c r="CR113" s="1141">
        <f t="shared" si="265"/>
        <v>36922.59096817932</v>
      </c>
      <c r="CS113" s="1144">
        <f t="shared" si="266"/>
        <v>0.875</v>
      </c>
      <c r="CT113" s="1141">
        <f t="shared" si="267"/>
        <v>3569955.7781043183</v>
      </c>
      <c r="CU113" s="1146">
        <f t="shared" si="204"/>
        <v>27677.829149707293</v>
      </c>
      <c r="CV113" s="1146">
        <f t="shared" si="205"/>
        <v>32087.771790531348</v>
      </c>
      <c r="CW113" s="1146">
        <f t="shared" si="206"/>
        <v>41450.213627343212</v>
      </c>
      <c r="CX113" s="1146">
        <f t="shared" si="207"/>
        <v>70689.403142511612</v>
      </c>
      <c r="CY113" s="1146">
        <f t="shared" si="268"/>
        <v>289998.85501085385</v>
      </c>
      <c r="CZ113" s="1146">
        <f t="shared" si="269"/>
        <v>114751.13426226669</v>
      </c>
      <c r="DA113" s="1146">
        <f t="shared" si="270"/>
        <v>82883.119034989897</v>
      </c>
      <c r="DB113" s="1146">
        <f t="shared" si="271"/>
        <v>63077.869327352804</v>
      </c>
      <c r="DC113" s="1146"/>
      <c r="DD113" s="1146"/>
      <c r="DE113" s="1146"/>
      <c r="DF113" s="1146"/>
      <c r="DG113" s="1146"/>
      <c r="DH113" s="1146"/>
      <c r="DI113" s="1146"/>
      <c r="DJ113" s="1146"/>
      <c r="DK113" s="1146"/>
      <c r="DL113" s="1146"/>
      <c r="DM113" s="1146"/>
      <c r="DN113" s="1146"/>
      <c r="DO113" s="1146"/>
      <c r="DP113" s="1146"/>
      <c r="DQ113" s="1146"/>
      <c r="DR113" s="1146"/>
      <c r="DS113" s="1146"/>
      <c r="DT113" s="1146"/>
      <c r="DU113" s="1146"/>
      <c r="DV113" s="1146"/>
      <c r="DW113" s="1146"/>
      <c r="DX113" s="1146"/>
      <c r="DY113" s="1146"/>
      <c r="DZ113" s="1146"/>
      <c r="EA113" s="1147">
        <f t="shared" si="208"/>
        <v>0.11151776040952087</v>
      </c>
      <c r="EB113" s="1148">
        <f t="shared" si="272"/>
        <v>0</v>
      </c>
      <c r="EC113" s="1190">
        <f t="shared" si="316"/>
        <v>45839</v>
      </c>
      <c r="ED113" s="1031">
        <f t="shared" si="209"/>
        <v>20</v>
      </c>
      <c r="EE113" s="1191"/>
      <c r="EF113" s="1032">
        <f t="shared" si="210"/>
        <v>45904</v>
      </c>
      <c r="EG113" s="1029">
        <f t="shared" si="273"/>
        <v>22</v>
      </c>
      <c r="EH113" s="859" t="s">
        <v>490</v>
      </c>
      <c r="EI113" s="859" t="s">
        <v>480</v>
      </c>
      <c r="EJ113" s="860">
        <f t="shared" si="211"/>
        <v>16800</v>
      </c>
      <c r="EK113" s="860">
        <f t="shared" si="212"/>
        <v>369600</v>
      </c>
      <c r="EL113" s="861">
        <f t="shared" si="213"/>
        <v>0.12489989165866337</v>
      </c>
      <c r="EM113" s="1197"/>
      <c r="EN113" s="860"/>
      <c r="EO113" s="860"/>
      <c r="EP113" s="860">
        <f t="shared" si="214"/>
        <v>0</v>
      </c>
      <c r="EQ113" s="1197"/>
      <c r="ER113" s="1200"/>
      <c r="ES113" s="1197"/>
      <c r="ET113" s="1194" t="s">
        <v>271</v>
      </c>
      <c r="EU113" s="1197" t="b">
        <f t="shared" si="215"/>
        <v>1</v>
      </c>
      <c r="EV113" s="1197" t="s">
        <v>609</v>
      </c>
      <c r="EW113" s="1197" t="s">
        <v>482</v>
      </c>
      <c r="EX113" s="1197"/>
      <c r="EY113" s="1128" t="s">
        <v>587</v>
      </c>
      <c r="EZ113" s="1128" t="s">
        <v>484</v>
      </c>
      <c r="FA113" s="1169">
        <f t="shared" si="274"/>
        <v>0</v>
      </c>
      <c r="FI113" s="1309" t="s">
        <v>149</v>
      </c>
      <c r="FJ113" s="1159" t="s">
        <v>149</v>
      </c>
      <c r="FK113" s="1160" t="b">
        <f t="shared" si="275"/>
        <v>1</v>
      </c>
      <c r="FL113" s="1131"/>
      <c r="FM113" s="1161"/>
      <c r="FP113" s="1166"/>
      <c r="FQ113" s="1203"/>
      <c r="FU113" s="1295"/>
      <c r="FV113" s="1295"/>
      <c r="FW113" s="1023">
        <v>0.15</v>
      </c>
      <c r="FX113" s="1162">
        <v>14949.670607265574</v>
      </c>
      <c r="FY113" s="1163">
        <v>15416.847813742623</v>
      </c>
      <c r="GA113" s="1164">
        <f t="shared" si="276"/>
        <v>4079949.4606906492</v>
      </c>
      <c r="GB113" s="1165">
        <f t="shared" si="277"/>
        <v>0.15</v>
      </c>
      <c r="GC113" s="1154">
        <f t="shared" si="278"/>
        <v>611992.41910359741</v>
      </c>
      <c r="GD113" s="1164">
        <f t="shared" si="279"/>
        <v>30000</v>
      </c>
      <c r="GE113" s="1154">
        <f t="shared" si="280"/>
        <v>581992.41910359741</v>
      </c>
      <c r="GF113" s="1060">
        <f t="shared" si="281"/>
        <v>35</v>
      </c>
      <c r="GG113" s="1166">
        <f t="shared" si="282"/>
        <v>16628.354831531353</v>
      </c>
      <c r="GI113" s="1164">
        <f t="shared" si="283"/>
        <v>4079949.4606906492</v>
      </c>
      <c r="GJ113" s="1154">
        <f t="shared" si="284"/>
        <v>407994.94606906496</v>
      </c>
      <c r="GK113" s="1154">
        <f t="shared" si="285"/>
        <v>101998.73651726624</v>
      </c>
      <c r="GL113" s="1166">
        <v>15000</v>
      </c>
      <c r="GM113" s="1154">
        <f t="shared" si="286"/>
        <v>392994.94606906496</v>
      </c>
      <c r="GN113" s="1060">
        <f t="shared" si="287"/>
        <v>35</v>
      </c>
      <c r="GO113" s="1154">
        <f t="shared" si="288"/>
        <v>11228.427030544713</v>
      </c>
      <c r="GS113" s="1010">
        <f t="shared" si="289"/>
        <v>4079949.4606906492</v>
      </c>
      <c r="GT113" s="1011">
        <f t="shared" si="290"/>
        <v>0.125</v>
      </c>
      <c r="GU113" s="1010">
        <f t="shared" si="291"/>
        <v>509993.68258633115</v>
      </c>
      <c r="GV113" s="1010">
        <f t="shared" si="292"/>
        <v>30000</v>
      </c>
      <c r="GW113" s="1010">
        <f t="shared" si="293"/>
        <v>479993.68258633115</v>
      </c>
      <c r="GX113" s="1010">
        <f t="shared" si="294"/>
        <v>13</v>
      </c>
      <c r="GY113" s="1010">
        <f t="shared" si="295"/>
        <v>36922.59096817932</v>
      </c>
      <c r="GZ113" s="1011">
        <f t="shared" si="296"/>
        <v>0.875</v>
      </c>
      <c r="HA113" s="1010">
        <f t="shared" si="297"/>
        <v>3569955.7781043183</v>
      </c>
      <c r="HB113" s="1010">
        <f t="shared" si="298"/>
        <v>27677.829149707293</v>
      </c>
      <c r="HC113" s="1010">
        <f t="shared" si="299"/>
        <v>32087.771790531348</v>
      </c>
      <c r="HD113" s="1010">
        <f t="shared" si="300"/>
        <v>41450.213627343212</v>
      </c>
      <c r="HE113" s="1010">
        <f t="shared" si="301"/>
        <v>70689.403142511612</v>
      </c>
      <c r="HG113" s="1010">
        <f t="shared" si="302"/>
        <v>4079949.4606906492</v>
      </c>
      <c r="HH113" s="1011">
        <f t="shared" si="303"/>
        <v>0.125</v>
      </c>
      <c r="HI113" s="1010">
        <f t="shared" si="304"/>
        <v>509993.68258633115</v>
      </c>
      <c r="HJ113" s="1010">
        <f t="shared" si="305"/>
        <v>30000</v>
      </c>
      <c r="HK113" s="1010">
        <f t="shared" si="306"/>
        <v>479993.68258633115</v>
      </c>
      <c r="HL113" s="1012">
        <f t="shared" si="307"/>
        <v>33</v>
      </c>
      <c r="HM113" s="1167">
        <f t="shared" si="308"/>
        <v>14545.263108676701</v>
      </c>
      <c r="HN113" s="1168">
        <f t="shared" si="309"/>
        <v>0.875</v>
      </c>
      <c r="HO113" s="1167">
        <f t="shared" si="310"/>
        <v>3569955.7781043183</v>
      </c>
      <c r="HP113" s="1146">
        <f t="shared" si="311"/>
        <v>27677.829149707293</v>
      </c>
      <c r="HQ113" s="1146">
        <f t="shared" si="312"/>
        <v>32087.771790531348</v>
      </c>
      <c r="HR113" s="1146">
        <f t="shared" si="313"/>
        <v>41450.213627343212</v>
      </c>
      <c r="HS113" s="1146">
        <f t="shared" si="314"/>
        <v>70689.403142511612</v>
      </c>
      <c r="HU113" s="1167">
        <f t="shared" si="315"/>
        <v>-22377.32785950262</v>
      </c>
      <c r="HX113" s="1154"/>
      <c r="HY113" s="1154"/>
      <c r="IB113" s="1154"/>
      <c r="IC113" s="1154"/>
      <c r="ID113" s="1154"/>
      <c r="IE113" s="1154"/>
      <c r="IG113" s="1060"/>
    </row>
    <row r="114" spans="1:241" ht="14.25" customHeight="1">
      <c r="A114" s="1186">
        <f t="shared" si="330"/>
        <v>108</v>
      </c>
      <c r="B114" s="824" t="s">
        <v>149</v>
      </c>
      <c r="C114" s="855">
        <f t="shared" ref="C114:C129" si="350">C113+1</f>
        <v>3</v>
      </c>
      <c r="D114" s="856" t="s">
        <v>511</v>
      </c>
      <c r="E114" s="857" t="str">
        <f t="shared" si="216"/>
        <v>8th Floor</v>
      </c>
      <c r="F114" s="1185"/>
      <c r="G114" s="764" t="s">
        <v>272</v>
      </c>
      <c r="H114" s="764" t="s">
        <v>493</v>
      </c>
      <c r="I114" s="764" t="s">
        <v>476</v>
      </c>
      <c r="J114" s="1139">
        <v>22</v>
      </c>
      <c r="K114" s="1142"/>
      <c r="L114" s="764" t="s">
        <v>344</v>
      </c>
      <c r="M114" s="764" t="s">
        <v>477</v>
      </c>
      <c r="N114" s="856">
        <f t="shared" si="217"/>
        <v>100909.09090909091</v>
      </c>
      <c r="O114" s="1138">
        <f t="shared" si="324"/>
        <v>2220000</v>
      </c>
      <c r="P114" s="1138">
        <f t="shared" si="331"/>
        <v>22400</v>
      </c>
      <c r="Q114" s="1138">
        <f t="shared" si="203"/>
        <v>50000</v>
      </c>
      <c r="R114" s="1138"/>
      <c r="S114" s="1138"/>
      <c r="T114" s="1138">
        <f t="shared" si="349"/>
        <v>66000</v>
      </c>
      <c r="U114" s="1138"/>
      <c r="V114" s="1138"/>
      <c r="W114" s="858">
        <f t="shared" ref="W114:W117" si="351">J114*$W$5</f>
        <v>22000</v>
      </c>
      <c r="X114" s="1138"/>
      <c r="Y114" s="1138">
        <f t="shared" ref="Y114:Y129" si="352">$Y$112</f>
        <v>80000</v>
      </c>
      <c r="Z114" s="1138">
        <f t="shared" si="327"/>
        <v>75000</v>
      </c>
      <c r="AA114" s="1138">
        <f t="shared" si="328"/>
        <v>315400</v>
      </c>
      <c r="AB114" s="1138">
        <f t="shared" si="218"/>
        <v>2535400</v>
      </c>
      <c r="AC114" s="1138">
        <f t="shared" si="219"/>
        <v>63385</v>
      </c>
      <c r="AD114" s="1138">
        <f t="shared" si="220"/>
        <v>2598785</v>
      </c>
      <c r="AE114" s="1138">
        <f t="shared" si="221"/>
        <v>64969.625</v>
      </c>
      <c r="AF114" s="1138">
        <f t="shared" si="222"/>
        <v>2663754.625</v>
      </c>
      <c r="AG114" s="1138">
        <f t="shared" si="223"/>
        <v>66593.865625000006</v>
      </c>
      <c r="AH114" s="1138">
        <f t="shared" si="224"/>
        <v>2730348.4906250001</v>
      </c>
      <c r="AI114" s="1138">
        <f t="shared" si="225"/>
        <v>136517.42453125</v>
      </c>
      <c r="AJ114" s="1138">
        <f t="shared" si="226"/>
        <v>2866865.9151562499</v>
      </c>
      <c r="AK114" s="1138">
        <f t="shared" si="227"/>
        <v>28668.6591515625</v>
      </c>
      <c r="AL114" s="1138">
        <f t="shared" si="228"/>
        <v>27537.409960060559</v>
      </c>
      <c r="AM114" s="1138"/>
      <c r="AN114" s="1138"/>
      <c r="AO114" s="1138">
        <f t="shared" si="229"/>
        <v>2923071.9842678728</v>
      </c>
      <c r="AP114" s="1138">
        <f t="shared" si="230"/>
        <v>394614.71787616285</v>
      </c>
      <c r="AQ114" s="1248">
        <f t="shared" si="231"/>
        <v>3317686.7021440356</v>
      </c>
      <c r="AR114" s="1248">
        <f t="shared" si="347"/>
        <v>2987686.7021440356</v>
      </c>
      <c r="AS114" s="1248">
        <v>15000</v>
      </c>
      <c r="AT114" s="1248">
        <f t="shared" si="348"/>
        <v>330000</v>
      </c>
      <c r="AU114" s="1248">
        <f t="shared" si="232"/>
        <v>39600</v>
      </c>
      <c r="AV114" s="1140">
        <f t="shared" si="233"/>
        <v>369600</v>
      </c>
      <c r="AW114" s="1140">
        <f t="shared" si="234"/>
        <v>3357286.7021440356</v>
      </c>
      <c r="AX114" s="1139">
        <f t="shared" si="235"/>
        <v>41966.083776800449</v>
      </c>
      <c r="AY114" s="831">
        <v>13444.671373913045</v>
      </c>
      <c r="AZ114" s="831">
        <f t="shared" si="236"/>
        <v>3412697.4572947491</v>
      </c>
      <c r="BA114" s="831">
        <f t="shared" si="237"/>
        <v>127976.15464855309</v>
      </c>
      <c r="BB114" s="831"/>
      <c r="BC114" s="831">
        <f t="shared" si="346"/>
        <v>33600</v>
      </c>
      <c r="BD114" s="831">
        <v>8990.8965517241377</v>
      </c>
      <c r="BE114" s="831">
        <f t="shared" si="238"/>
        <v>3583264.5084950263</v>
      </c>
      <c r="BF114" s="831">
        <v>42723.767172413798</v>
      </c>
      <c r="BG114" s="831">
        <f t="shared" si="239"/>
        <v>3625988.2756674401</v>
      </c>
      <c r="BH114" s="831"/>
      <c r="BI114" s="831">
        <f t="shared" si="240"/>
        <v>3625988.2756674401</v>
      </c>
      <c r="BJ114" s="831"/>
      <c r="BK114" s="831">
        <f t="shared" si="241"/>
        <v>3625988.2756674401</v>
      </c>
      <c r="BL114" s="831"/>
      <c r="BM114" s="831">
        <f t="shared" si="242"/>
        <v>3625988.2756674401</v>
      </c>
      <c r="BN114" s="831"/>
      <c r="BO114" s="831">
        <f t="shared" si="243"/>
        <v>3625988.2756674401</v>
      </c>
      <c r="BP114" s="831">
        <f t="shared" ref="BP114:BP115" si="353">$BP$5/37</f>
        <v>5065.3710270270276</v>
      </c>
      <c r="BQ114" s="831">
        <f t="shared" si="244"/>
        <v>3631053.6466944674</v>
      </c>
      <c r="BR114" s="831">
        <f t="shared" ref="BR114:BR115" si="354">$BR$5/42</f>
        <v>3544.6104</v>
      </c>
      <c r="BS114" s="831">
        <f t="shared" si="245"/>
        <v>3634598.2570944675</v>
      </c>
      <c r="BT114" s="831">
        <f t="shared" ref="BT114:BT115" si="355">$BT$5/41</f>
        <v>1609.3168000000001</v>
      </c>
      <c r="BU114" s="831">
        <f t="shared" si="246"/>
        <v>3636207.5738944677</v>
      </c>
      <c r="BV114" s="831">
        <f t="shared" ref="BV114:BV115" si="356">$BV$5/43</f>
        <v>1163.3400930232558</v>
      </c>
      <c r="BW114" s="831">
        <f t="shared" si="247"/>
        <v>56400</v>
      </c>
      <c r="BX114" s="831">
        <f t="shared" si="248"/>
        <v>3693770.9139874908</v>
      </c>
      <c r="BY114" s="831">
        <f t="shared" ref="BY114:BY115" si="357">$BY$5/44</f>
        <v>30549.183723443901</v>
      </c>
      <c r="BZ114" s="831">
        <f t="shared" si="249"/>
        <v>3724320.0977109349</v>
      </c>
      <c r="CA114" s="1260">
        <f t="shared" si="250"/>
        <v>3724320.0977109349</v>
      </c>
      <c r="CB114" s="1260">
        <f>CA114-CD114</f>
        <v>3548320.0977109349</v>
      </c>
      <c r="CC114" s="1260">
        <v>8000</v>
      </c>
      <c r="CD114" s="1260">
        <f t="shared" si="252"/>
        <v>176000</v>
      </c>
      <c r="CE114" s="1260">
        <f t="shared" si="253"/>
        <v>21120</v>
      </c>
      <c r="CF114" s="1260">
        <f>CD114+CE114</f>
        <v>197120</v>
      </c>
      <c r="CG114" s="1266">
        <f t="shared" si="255"/>
        <v>3745440.0977109349</v>
      </c>
      <c r="CH114" s="1141">
        <f t="shared" si="256"/>
        <v>3745440.0977109349</v>
      </c>
      <c r="CI114" s="1142">
        <f t="shared" si="257"/>
        <v>0</v>
      </c>
      <c r="CJ114" s="1141">
        <f t="shared" si="258"/>
        <v>383907.61001537082</v>
      </c>
      <c r="CK114" s="1141">
        <f t="shared" si="259"/>
        <v>131090.40341988273</v>
      </c>
      <c r="CL114" s="1143">
        <f t="shared" si="329"/>
        <v>4260438.1111461883</v>
      </c>
      <c r="CM114" s="1144">
        <f t="shared" si="260"/>
        <v>0.125</v>
      </c>
      <c r="CN114" s="1141">
        <f t="shared" si="261"/>
        <v>532554.76389327354</v>
      </c>
      <c r="CO114" s="1141">
        <f t="shared" si="262"/>
        <v>30000</v>
      </c>
      <c r="CP114" s="1141">
        <f t="shared" si="263"/>
        <v>502554.76389327354</v>
      </c>
      <c r="CQ114" s="1145">
        <f t="shared" si="264"/>
        <v>13</v>
      </c>
      <c r="CR114" s="1141">
        <f t="shared" si="265"/>
        <v>38658.058761021042</v>
      </c>
      <c r="CS114" s="1144">
        <f t="shared" si="266"/>
        <v>0.875</v>
      </c>
      <c r="CT114" s="1141">
        <f t="shared" si="267"/>
        <v>3727883.3472529147</v>
      </c>
      <c r="CU114" s="1146">
        <f t="shared" si="204"/>
        <v>28902.239912365123</v>
      </c>
      <c r="CV114" s="1146">
        <f t="shared" si="205"/>
        <v>33507.269429508946</v>
      </c>
      <c r="CW114" s="1146">
        <f t="shared" si="206"/>
        <v>43283.886615396972</v>
      </c>
      <c r="CX114" s="1146">
        <f t="shared" si="207"/>
        <v>73816.558294217743</v>
      </c>
      <c r="CY114" s="1146">
        <f t="shared" si="268"/>
        <v>302827.81342782901</v>
      </c>
      <c r="CZ114" s="1146">
        <f t="shared" si="269"/>
        <v>119827.49061441937</v>
      </c>
      <c r="DA114" s="1146">
        <f t="shared" si="270"/>
        <v>86549.6993307269</v>
      </c>
      <c r="DB114" s="1146">
        <f t="shared" si="271"/>
        <v>65868.30573304728</v>
      </c>
      <c r="DC114" s="1146"/>
      <c r="DD114" s="1146"/>
      <c r="DE114" s="1146"/>
      <c r="DF114" s="1146"/>
      <c r="DG114" s="1146"/>
      <c r="DH114" s="1146"/>
      <c r="DI114" s="1146"/>
      <c r="DJ114" s="1146"/>
      <c r="DK114" s="1146"/>
      <c r="DL114" s="1146"/>
      <c r="DM114" s="1146"/>
      <c r="DN114" s="1146"/>
      <c r="DO114" s="1146"/>
      <c r="DP114" s="1146"/>
      <c r="DQ114" s="1146"/>
      <c r="DR114" s="1146"/>
      <c r="DS114" s="1146"/>
      <c r="DT114" s="1146"/>
      <c r="DU114" s="1146"/>
      <c r="DV114" s="1146"/>
      <c r="DW114" s="1146"/>
      <c r="DX114" s="1146"/>
      <c r="DY114" s="1146"/>
      <c r="DZ114" s="1146"/>
      <c r="EA114" s="1147">
        <f t="shared" si="208"/>
        <v>0.11045334832570768</v>
      </c>
      <c r="EB114" s="1148">
        <f t="shared" si="272"/>
        <v>5.555304892790381E-2</v>
      </c>
      <c r="EC114" s="1190">
        <f t="shared" si="316"/>
        <v>45839</v>
      </c>
      <c r="ED114" s="1031">
        <f t="shared" si="209"/>
        <v>20</v>
      </c>
      <c r="EE114" s="1191"/>
      <c r="EF114" s="1032">
        <f t="shared" si="210"/>
        <v>45904</v>
      </c>
      <c r="EG114" s="1029">
        <f t="shared" si="273"/>
        <v>22</v>
      </c>
      <c r="EH114" s="859" t="s">
        <v>490</v>
      </c>
      <c r="EI114" s="859" t="s">
        <v>480</v>
      </c>
      <c r="EJ114" s="860">
        <f t="shared" si="211"/>
        <v>16800</v>
      </c>
      <c r="EK114" s="860">
        <f t="shared" si="212"/>
        <v>369600</v>
      </c>
      <c r="EL114" s="861">
        <f t="shared" si="213"/>
        <v>0.1237077501247926</v>
      </c>
      <c r="EM114" s="1197"/>
      <c r="EN114" s="860"/>
      <c r="EO114" s="860"/>
      <c r="EP114" s="860">
        <f t="shared" si="214"/>
        <v>0</v>
      </c>
      <c r="EQ114" s="1197"/>
      <c r="ER114" s="1200"/>
      <c r="ES114" s="1197"/>
      <c r="ET114" s="1194" t="s">
        <v>272</v>
      </c>
      <c r="EU114" s="1197" t="b">
        <f t="shared" si="215"/>
        <v>1</v>
      </c>
      <c r="EV114" s="1197" t="s">
        <v>610</v>
      </c>
      <c r="EW114" s="1197" t="s">
        <v>482</v>
      </c>
      <c r="EX114" s="1197"/>
      <c r="EY114" s="1128" t="s">
        <v>587</v>
      </c>
      <c r="EZ114" s="1128" t="s">
        <v>611</v>
      </c>
      <c r="FA114" s="1169"/>
      <c r="FI114" s="1309" t="s">
        <v>96</v>
      </c>
      <c r="FJ114" s="1159" t="s">
        <v>96</v>
      </c>
      <c r="FK114" s="1160" t="b">
        <f t="shared" si="275"/>
        <v>1</v>
      </c>
      <c r="FL114" s="1131"/>
      <c r="FM114" s="1161"/>
      <c r="FO114" s="888"/>
      <c r="FP114" s="1166"/>
      <c r="FQ114" s="1203"/>
      <c r="FU114" s="1295"/>
      <c r="FV114" s="1295"/>
      <c r="FW114" s="1023">
        <v>0.125</v>
      </c>
      <c r="FX114" s="1162">
        <v>12502.48220353587</v>
      </c>
      <c r="FY114" s="1163">
        <v>12893.184772396366</v>
      </c>
      <c r="GA114" s="1164">
        <f t="shared" si="276"/>
        <v>4260438.1111461883</v>
      </c>
      <c r="GB114" s="1165">
        <f t="shared" ref="GB114:GB115" si="358">FW114</f>
        <v>0.125</v>
      </c>
      <c r="GC114" s="1154">
        <f t="shared" si="278"/>
        <v>532554.76389327354</v>
      </c>
      <c r="GD114" s="1164">
        <f t="shared" si="279"/>
        <v>30000</v>
      </c>
      <c r="GE114" s="1154">
        <f t="shared" si="280"/>
        <v>502554.76389327354</v>
      </c>
      <c r="GF114" s="1060">
        <f t="shared" si="281"/>
        <v>35</v>
      </c>
      <c r="GG114" s="1166">
        <f t="shared" si="282"/>
        <v>14358.707539807816</v>
      </c>
      <c r="GI114" s="1164">
        <f t="shared" si="283"/>
        <v>4260438.1111461883</v>
      </c>
      <c r="GJ114" s="1154">
        <f t="shared" si="284"/>
        <v>426043.81111461885</v>
      </c>
      <c r="GK114" s="1154">
        <f t="shared" si="285"/>
        <v>106510.95277865471</v>
      </c>
      <c r="GL114" s="1166">
        <v>15000</v>
      </c>
      <c r="GM114" s="1154">
        <f t="shared" si="286"/>
        <v>411043.81111461885</v>
      </c>
      <c r="GN114" s="1060">
        <f t="shared" si="287"/>
        <v>35</v>
      </c>
      <c r="GO114" s="1154">
        <f t="shared" si="288"/>
        <v>11744.108888989111</v>
      </c>
      <c r="GS114" s="1010">
        <f t="shared" si="289"/>
        <v>4260438.1111461883</v>
      </c>
      <c r="GT114" s="1011">
        <f t="shared" si="290"/>
        <v>0.125</v>
      </c>
      <c r="GU114" s="1010">
        <f t="shared" si="291"/>
        <v>532554.76389327354</v>
      </c>
      <c r="GV114" s="1010">
        <f t="shared" si="292"/>
        <v>30000</v>
      </c>
      <c r="GW114" s="1010">
        <f t="shared" si="293"/>
        <v>502554.76389327354</v>
      </c>
      <c r="GX114" s="1010">
        <f t="shared" si="294"/>
        <v>13</v>
      </c>
      <c r="GY114" s="1010">
        <f t="shared" si="295"/>
        <v>38658.058761021042</v>
      </c>
      <c r="GZ114" s="1011">
        <f t="shared" si="296"/>
        <v>0.875</v>
      </c>
      <c r="HA114" s="1010">
        <f t="shared" si="297"/>
        <v>3727883.3472529147</v>
      </c>
      <c r="HB114" s="1010">
        <f t="shared" si="298"/>
        <v>28902.239912365123</v>
      </c>
      <c r="HC114" s="1010">
        <f t="shared" si="299"/>
        <v>33507.269429508946</v>
      </c>
      <c r="HD114" s="1010">
        <f t="shared" si="300"/>
        <v>43283.886615396972</v>
      </c>
      <c r="HE114" s="1010">
        <f t="shared" si="301"/>
        <v>73816.558294217743</v>
      </c>
      <c r="HG114" s="1010">
        <f t="shared" si="302"/>
        <v>4260438.1111461883</v>
      </c>
      <c r="HH114" s="1011">
        <f t="shared" si="303"/>
        <v>0.125</v>
      </c>
      <c r="HI114" s="1010">
        <f t="shared" si="304"/>
        <v>532554.76389327354</v>
      </c>
      <c r="HJ114" s="1010">
        <f t="shared" si="305"/>
        <v>30000</v>
      </c>
      <c r="HK114" s="1010">
        <f t="shared" si="306"/>
        <v>502554.76389327354</v>
      </c>
      <c r="HL114" s="1012">
        <f t="shared" si="307"/>
        <v>33</v>
      </c>
      <c r="HM114" s="1167">
        <f t="shared" si="308"/>
        <v>15228.932239190108</v>
      </c>
      <c r="HN114" s="1168">
        <f t="shared" si="309"/>
        <v>0.875</v>
      </c>
      <c r="HO114" s="1167">
        <f t="shared" si="310"/>
        <v>3727883.3472529147</v>
      </c>
      <c r="HP114" s="1146">
        <f t="shared" si="311"/>
        <v>28902.239912365123</v>
      </c>
      <c r="HQ114" s="1146">
        <f t="shared" si="312"/>
        <v>33507.269429508946</v>
      </c>
      <c r="HR114" s="1146">
        <f t="shared" si="313"/>
        <v>43283.886615396972</v>
      </c>
      <c r="HS114" s="1146">
        <f t="shared" si="314"/>
        <v>73816.558294217743</v>
      </c>
      <c r="HU114" s="1167">
        <f t="shared" si="315"/>
        <v>-23429.126521830935</v>
      </c>
      <c r="HX114" s="1154"/>
      <c r="HY114" s="1154"/>
      <c r="IB114" s="1154"/>
      <c r="IC114" s="1154"/>
      <c r="ID114" s="1154"/>
      <c r="IE114" s="1154"/>
      <c r="IG114" s="1060"/>
    </row>
    <row r="115" spans="1:241" ht="14.25" customHeight="1">
      <c r="A115" s="1186">
        <f t="shared" si="330"/>
        <v>109</v>
      </c>
      <c r="B115" s="824" t="s">
        <v>149</v>
      </c>
      <c r="C115" s="855">
        <f t="shared" si="350"/>
        <v>4</v>
      </c>
      <c r="D115" s="856" t="s">
        <v>511</v>
      </c>
      <c r="E115" s="857" t="str">
        <f t="shared" si="216"/>
        <v>8th Floor</v>
      </c>
      <c r="F115" s="1185"/>
      <c r="G115" s="764" t="s">
        <v>273</v>
      </c>
      <c r="H115" s="764" t="s">
        <v>496</v>
      </c>
      <c r="I115" s="764" t="s">
        <v>476</v>
      </c>
      <c r="J115" s="1139">
        <v>22</v>
      </c>
      <c r="K115" s="1142"/>
      <c r="L115" s="764" t="s">
        <v>344</v>
      </c>
      <c r="M115" s="764" t="s">
        <v>477</v>
      </c>
      <c r="N115" s="856">
        <f t="shared" si="217"/>
        <v>100909.09090909091</v>
      </c>
      <c r="O115" s="1138">
        <f t="shared" si="324"/>
        <v>2220000</v>
      </c>
      <c r="P115" s="1138">
        <f t="shared" si="331"/>
        <v>22400</v>
      </c>
      <c r="Q115" s="1138">
        <f t="shared" si="203"/>
        <v>50000</v>
      </c>
      <c r="R115" s="1138"/>
      <c r="S115" s="1138"/>
      <c r="T115" s="1138">
        <f t="shared" si="349"/>
        <v>66000</v>
      </c>
      <c r="U115" s="1138"/>
      <c r="V115" s="1138"/>
      <c r="W115" s="858">
        <f t="shared" si="351"/>
        <v>22000</v>
      </c>
      <c r="X115" s="1138"/>
      <c r="Y115" s="1138">
        <f t="shared" si="352"/>
        <v>80000</v>
      </c>
      <c r="Z115" s="1138">
        <f t="shared" si="327"/>
        <v>75000</v>
      </c>
      <c r="AA115" s="1138">
        <f t="shared" si="328"/>
        <v>315400</v>
      </c>
      <c r="AB115" s="1138">
        <f t="shared" si="218"/>
        <v>2535400</v>
      </c>
      <c r="AC115" s="1138">
        <f t="shared" si="219"/>
        <v>63385</v>
      </c>
      <c r="AD115" s="1138">
        <f t="shared" si="220"/>
        <v>2598785</v>
      </c>
      <c r="AE115" s="1138">
        <f t="shared" si="221"/>
        <v>64969.625</v>
      </c>
      <c r="AF115" s="1138">
        <f t="shared" si="222"/>
        <v>2663754.625</v>
      </c>
      <c r="AG115" s="1138">
        <f t="shared" si="223"/>
        <v>66593.865625000006</v>
      </c>
      <c r="AH115" s="1138">
        <f t="shared" si="224"/>
        <v>2730348.4906250001</v>
      </c>
      <c r="AI115" s="1138">
        <f t="shared" si="225"/>
        <v>136517.42453125</v>
      </c>
      <c r="AJ115" s="1138">
        <f t="shared" si="226"/>
        <v>2866865.9151562499</v>
      </c>
      <c r="AK115" s="1138">
        <f t="shared" si="227"/>
        <v>28668.6591515625</v>
      </c>
      <c r="AL115" s="1138">
        <f t="shared" si="228"/>
        <v>27537.409960060559</v>
      </c>
      <c r="AM115" s="1138"/>
      <c r="AN115" s="1138"/>
      <c r="AO115" s="1138">
        <f t="shared" si="229"/>
        <v>2923071.9842678728</v>
      </c>
      <c r="AP115" s="1138">
        <f t="shared" si="230"/>
        <v>394614.71787616285</v>
      </c>
      <c r="AQ115" s="1248">
        <f t="shared" si="231"/>
        <v>3317686.7021440356</v>
      </c>
      <c r="AR115" s="1248">
        <f t="shared" si="347"/>
        <v>2987686.7021440356</v>
      </c>
      <c r="AS115" s="1248">
        <v>15000</v>
      </c>
      <c r="AT115" s="1248">
        <f t="shared" si="348"/>
        <v>330000</v>
      </c>
      <c r="AU115" s="1248">
        <f t="shared" si="232"/>
        <v>39600</v>
      </c>
      <c r="AV115" s="1140">
        <f t="shared" si="233"/>
        <v>369600</v>
      </c>
      <c r="AW115" s="1140">
        <f t="shared" si="234"/>
        <v>3357286.7021440356</v>
      </c>
      <c r="AX115" s="1139">
        <f t="shared" si="235"/>
        <v>41966.083776800449</v>
      </c>
      <c r="AY115" s="831">
        <v>13444.671373913045</v>
      </c>
      <c r="AZ115" s="831">
        <f t="shared" si="236"/>
        <v>3412697.4572947491</v>
      </c>
      <c r="BA115" s="831">
        <f t="shared" si="237"/>
        <v>127976.15464855309</v>
      </c>
      <c r="BB115" s="831"/>
      <c r="BC115" s="831">
        <f t="shared" si="346"/>
        <v>33600</v>
      </c>
      <c r="BD115" s="831">
        <v>8990.8965517241377</v>
      </c>
      <c r="BE115" s="831">
        <f t="shared" si="238"/>
        <v>3583264.5084950263</v>
      </c>
      <c r="BF115" s="831">
        <v>42723.767172413798</v>
      </c>
      <c r="BG115" s="831">
        <f t="shared" si="239"/>
        <v>3625988.2756674401</v>
      </c>
      <c r="BH115" s="831"/>
      <c r="BI115" s="831">
        <f t="shared" si="240"/>
        <v>3625988.2756674401</v>
      </c>
      <c r="BJ115" s="831"/>
      <c r="BK115" s="831">
        <f t="shared" si="241"/>
        <v>3625988.2756674401</v>
      </c>
      <c r="BL115" s="831"/>
      <c r="BM115" s="831">
        <f t="shared" si="242"/>
        <v>3625988.2756674401</v>
      </c>
      <c r="BN115" s="831"/>
      <c r="BO115" s="831">
        <f t="shared" si="243"/>
        <v>3625988.2756674401</v>
      </c>
      <c r="BP115" s="831">
        <f t="shared" si="353"/>
        <v>5065.3710270270276</v>
      </c>
      <c r="BQ115" s="831">
        <f t="shared" si="244"/>
        <v>3631053.6466944674</v>
      </c>
      <c r="BR115" s="831">
        <f t="shared" si="354"/>
        <v>3544.6104</v>
      </c>
      <c r="BS115" s="831">
        <f t="shared" si="245"/>
        <v>3634598.2570944675</v>
      </c>
      <c r="BT115" s="831">
        <f t="shared" si="355"/>
        <v>1609.3168000000001</v>
      </c>
      <c r="BU115" s="831">
        <f t="shared" si="246"/>
        <v>3636207.5738944677</v>
      </c>
      <c r="BV115" s="831">
        <f t="shared" si="356"/>
        <v>1163.3400930232558</v>
      </c>
      <c r="BW115" s="831">
        <f t="shared" si="247"/>
        <v>56400</v>
      </c>
      <c r="BX115" s="831">
        <f t="shared" si="248"/>
        <v>3693770.9139874908</v>
      </c>
      <c r="BY115" s="831">
        <f t="shared" si="357"/>
        <v>30549.183723443901</v>
      </c>
      <c r="BZ115" s="831">
        <f t="shared" si="249"/>
        <v>3724320.0977109349</v>
      </c>
      <c r="CA115" s="1260">
        <f t="shared" si="250"/>
        <v>3724320.0977109349</v>
      </c>
      <c r="CB115" s="1260">
        <f t="shared" si="251"/>
        <v>3548320.0977109349</v>
      </c>
      <c r="CC115" s="1260">
        <v>8000</v>
      </c>
      <c r="CD115" s="1260">
        <f t="shared" si="252"/>
        <v>176000</v>
      </c>
      <c r="CE115" s="1260">
        <f t="shared" si="253"/>
        <v>21120</v>
      </c>
      <c r="CF115" s="1260">
        <f t="shared" si="254"/>
        <v>197120</v>
      </c>
      <c r="CG115" s="1266">
        <f t="shared" si="255"/>
        <v>3745440.0977109349</v>
      </c>
      <c r="CH115" s="1141">
        <f t="shared" si="256"/>
        <v>3745440.0977109349</v>
      </c>
      <c r="CI115" s="1142">
        <f t="shared" si="257"/>
        <v>0</v>
      </c>
      <c r="CJ115" s="1141">
        <f t="shared" si="258"/>
        <v>383907.61001537082</v>
      </c>
      <c r="CK115" s="1141">
        <f t="shared" si="259"/>
        <v>131090.40341988273</v>
      </c>
      <c r="CL115" s="1143">
        <f t="shared" si="329"/>
        <v>4260438.1111461883</v>
      </c>
      <c r="CM115" s="1144">
        <f t="shared" si="260"/>
        <v>0.125</v>
      </c>
      <c r="CN115" s="1141">
        <f t="shared" si="261"/>
        <v>532554.76389327354</v>
      </c>
      <c r="CO115" s="1141">
        <f t="shared" si="262"/>
        <v>30000</v>
      </c>
      <c r="CP115" s="1141">
        <f t="shared" si="263"/>
        <v>502554.76389327354</v>
      </c>
      <c r="CQ115" s="1145">
        <f t="shared" si="264"/>
        <v>13</v>
      </c>
      <c r="CR115" s="1141">
        <f t="shared" si="265"/>
        <v>38658.058761021042</v>
      </c>
      <c r="CS115" s="1144">
        <f t="shared" si="266"/>
        <v>0.875</v>
      </c>
      <c r="CT115" s="1141">
        <f t="shared" si="267"/>
        <v>3727883.3472529147</v>
      </c>
      <c r="CU115" s="1146">
        <f t="shared" si="204"/>
        <v>28902.239912365123</v>
      </c>
      <c r="CV115" s="1146">
        <f t="shared" si="205"/>
        <v>33507.269429508946</v>
      </c>
      <c r="CW115" s="1146">
        <f t="shared" si="206"/>
        <v>43283.886615396972</v>
      </c>
      <c r="CX115" s="1146">
        <f t="shared" si="207"/>
        <v>73816.558294217743</v>
      </c>
      <c r="CY115" s="1146">
        <f t="shared" si="268"/>
        <v>302827.81342782901</v>
      </c>
      <c r="CZ115" s="1146">
        <f t="shared" si="269"/>
        <v>119827.49061441937</v>
      </c>
      <c r="DA115" s="1146">
        <f t="shared" si="270"/>
        <v>86549.6993307269</v>
      </c>
      <c r="DB115" s="1146">
        <f t="shared" si="271"/>
        <v>65868.30573304728</v>
      </c>
      <c r="DC115" s="1146"/>
      <c r="DD115" s="1146"/>
      <c r="DE115" s="1146"/>
      <c r="DF115" s="1146"/>
      <c r="DG115" s="1146"/>
      <c r="DH115" s="1146"/>
      <c r="DI115" s="1146"/>
      <c r="DJ115" s="1146"/>
      <c r="DK115" s="1146"/>
      <c r="DL115" s="1146"/>
      <c r="DM115" s="1146"/>
      <c r="DN115" s="1146"/>
      <c r="DO115" s="1146"/>
      <c r="DP115" s="1146"/>
      <c r="DQ115" s="1146"/>
      <c r="DR115" s="1146"/>
      <c r="DS115" s="1146"/>
      <c r="DT115" s="1146"/>
      <c r="DU115" s="1146"/>
      <c r="DV115" s="1146"/>
      <c r="DW115" s="1146"/>
      <c r="DX115" s="1146"/>
      <c r="DY115" s="1146"/>
      <c r="DZ115" s="1146"/>
      <c r="EA115" s="1147">
        <f t="shared" si="208"/>
        <v>0.11045334832570768</v>
      </c>
      <c r="EB115" s="1148">
        <f t="shared" si="272"/>
        <v>5.555304892790381E-2</v>
      </c>
      <c r="EC115" s="1190">
        <f t="shared" si="316"/>
        <v>45839</v>
      </c>
      <c r="ED115" s="1031">
        <f t="shared" si="209"/>
        <v>20</v>
      </c>
      <c r="EE115" s="1191"/>
      <c r="EF115" s="1032">
        <f t="shared" si="210"/>
        <v>45904</v>
      </c>
      <c r="EG115" s="1029">
        <f t="shared" si="273"/>
        <v>22</v>
      </c>
      <c r="EH115" s="859" t="s">
        <v>490</v>
      </c>
      <c r="EI115" s="859" t="s">
        <v>480</v>
      </c>
      <c r="EJ115" s="860">
        <f t="shared" si="211"/>
        <v>16800</v>
      </c>
      <c r="EK115" s="860">
        <f t="shared" si="212"/>
        <v>369600</v>
      </c>
      <c r="EL115" s="861">
        <f t="shared" si="213"/>
        <v>0.1237077501247926</v>
      </c>
      <c r="EM115" s="1197"/>
      <c r="EN115" s="860"/>
      <c r="EO115" s="860"/>
      <c r="EP115" s="860">
        <f t="shared" si="214"/>
        <v>0</v>
      </c>
      <c r="EQ115" s="1197"/>
      <c r="ER115" s="1200"/>
      <c r="ES115" s="1197"/>
      <c r="ET115" s="1194" t="s">
        <v>273</v>
      </c>
      <c r="EU115" s="1197" t="b">
        <f t="shared" si="215"/>
        <v>1</v>
      </c>
      <c r="EV115" s="1197" t="s">
        <v>612</v>
      </c>
      <c r="EW115" s="1197" t="s">
        <v>482</v>
      </c>
      <c r="EX115" s="1197"/>
      <c r="EY115" s="1128" t="s">
        <v>587</v>
      </c>
      <c r="EZ115" s="1128" t="s">
        <v>611</v>
      </c>
      <c r="FA115" s="1169"/>
      <c r="FI115" s="1309" t="s">
        <v>96</v>
      </c>
      <c r="FJ115" s="1159" t="s">
        <v>96</v>
      </c>
      <c r="FK115" s="1160" t="b">
        <f t="shared" si="275"/>
        <v>1</v>
      </c>
      <c r="FL115" s="1131"/>
      <c r="FM115" s="1161"/>
      <c r="FO115" s="888"/>
      <c r="FP115" s="1166"/>
      <c r="FQ115" s="1203"/>
      <c r="FU115" s="1295"/>
      <c r="FV115" s="1295"/>
      <c r="FW115" s="1023">
        <v>0.125</v>
      </c>
      <c r="FX115" s="1162">
        <v>12502.48220353587</v>
      </c>
      <c r="FY115" s="1163">
        <v>12893.184772396366</v>
      </c>
      <c r="GA115" s="1164">
        <f t="shared" si="276"/>
        <v>4260438.1111461883</v>
      </c>
      <c r="GB115" s="1165">
        <f t="shared" si="358"/>
        <v>0.125</v>
      </c>
      <c r="GC115" s="1154">
        <f t="shared" si="278"/>
        <v>532554.76389327354</v>
      </c>
      <c r="GD115" s="1164">
        <f t="shared" si="279"/>
        <v>30000</v>
      </c>
      <c r="GE115" s="1154">
        <f t="shared" si="280"/>
        <v>502554.76389327354</v>
      </c>
      <c r="GF115" s="1060">
        <f t="shared" si="281"/>
        <v>35</v>
      </c>
      <c r="GG115" s="1166">
        <f t="shared" si="282"/>
        <v>14358.707539807816</v>
      </c>
      <c r="GI115" s="1164">
        <f t="shared" si="283"/>
        <v>4260438.1111461883</v>
      </c>
      <c r="GJ115" s="1154">
        <f t="shared" si="284"/>
        <v>426043.81111461885</v>
      </c>
      <c r="GK115" s="1154">
        <f t="shared" si="285"/>
        <v>106510.95277865471</v>
      </c>
      <c r="GL115" s="1166">
        <v>15000</v>
      </c>
      <c r="GM115" s="1154">
        <f t="shared" si="286"/>
        <v>411043.81111461885</v>
      </c>
      <c r="GN115" s="1060">
        <f t="shared" si="287"/>
        <v>35</v>
      </c>
      <c r="GO115" s="1154">
        <f t="shared" si="288"/>
        <v>11744.108888989111</v>
      </c>
      <c r="GS115" s="1010">
        <f t="shared" si="289"/>
        <v>4260438.1111461883</v>
      </c>
      <c r="GT115" s="1011">
        <f t="shared" si="290"/>
        <v>0.125</v>
      </c>
      <c r="GU115" s="1010">
        <f t="shared" si="291"/>
        <v>532554.76389327354</v>
      </c>
      <c r="GV115" s="1010">
        <f t="shared" si="292"/>
        <v>30000</v>
      </c>
      <c r="GW115" s="1010">
        <f t="shared" si="293"/>
        <v>502554.76389327354</v>
      </c>
      <c r="GX115" s="1010">
        <f t="shared" si="294"/>
        <v>13</v>
      </c>
      <c r="GY115" s="1010">
        <f t="shared" si="295"/>
        <v>38658.058761021042</v>
      </c>
      <c r="GZ115" s="1011">
        <f t="shared" si="296"/>
        <v>0.875</v>
      </c>
      <c r="HA115" s="1010">
        <f t="shared" si="297"/>
        <v>3727883.3472529147</v>
      </c>
      <c r="HB115" s="1010">
        <f t="shared" si="298"/>
        <v>28902.239912365123</v>
      </c>
      <c r="HC115" s="1010">
        <f t="shared" si="299"/>
        <v>33507.269429508946</v>
      </c>
      <c r="HD115" s="1010">
        <f t="shared" si="300"/>
        <v>43283.886615396972</v>
      </c>
      <c r="HE115" s="1010">
        <f t="shared" si="301"/>
        <v>73816.558294217743</v>
      </c>
      <c r="HG115" s="1010">
        <f t="shared" si="302"/>
        <v>4260438.1111461883</v>
      </c>
      <c r="HH115" s="1011">
        <f t="shared" si="303"/>
        <v>0.125</v>
      </c>
      <c r="HI115" s="1010">
        <f t="shared" si="304"/>
        <v>532554.76389327354</v>
      </c>
      <c r="HJ115" s="1010">
        <f t="shared" si="305"/>
        <v>30000</v>
      </c>
      <c r="HK115" s="1010">
        <f t="shared" si="306"/>
        <v>502554.76389327354</v>
      </c>
      <c r="HL115" s="1012">
        <f t="shared" si="307"/>
        <v>33</v>
      </c>
      <c r="HM115" s="1167">
        <f t="shared" si="308"/>
        <v>15228.932239190108</v>
      </c>
      <c r="HN115" s="1168">
        <f t="shared" si="309"/>
        <v>0.875</v>
      </c>
      <c r="HO115" s="1167">
        <f t="shared" si="310"/>
        <v>3727883.3472529147</v>
      </c>
      <c r="HP115" s="1146">
        <f t="shared" si="311"/>
        <v>28902.239912365123</v>
      </c>
      <c r="HQ115" s="1146">
        <f t="shared" si="312"/>
        <v>33507.269429508946</v>
      </c>
      <c r="HR115" s="1146">
        <f t="shared" si="313"/>
        <v>43283.886615396972</v>
      </c>
      <c r="HS115" s="1146">
        <f t="shared" si="314"/>
        <v>73816.558294217743</v>
      </c>
      <c r="HU115" s="1167">
        <f t="shared" si="315"/>
        <v>-23429.126521830935</v>
      </c>
      <c r="HX115" s="1154"/>
      <c r="HY115" s="1154"/>
      <c r="IB115" s="1154"/>
      <c r="IC115" s="1154"/>
      <c r="ID115" s="1154"/>
      <c r="IE115" s="1154"/>
      <c r="IG115" s="1060"/>
    </row>
    <row r="116" spans="1:241" ht="14.25" hidden="1" customHeight="1">
      <c r="A116" s="1186">
        <f t="shared" si="330"/>
        <v>110</v>
      </c>
      <c r="B116" s="824" t="s">
        <v>149</v>
      </c>
      <c r="C116" s="855">
        <f t="shared" si="350"/>
        <v>5</v>
      </c>
      <c r="D116" s="856" t="s">
        <v>511</v>
      </c>
      <c r="E116" s="857" t="str">
        <f t="shared" si="216"/>
        <v>8th Floor</v>
      </c>
      <c r="F116" s="1185"/>
      <c r="G116" s="764" t="s">
        <v>274</v>
      </c>
      <c r="H116" s="764" t="s">
        <v>499</v>
      </c>
      <c r="I116" s="764" t="s">
        <v>476</v>
      </c>
      <c r="J116" s="1139">
        <v>22</v>
      </c>
      <c r="K116" s="1142"/>
      <c r="L116" s="764" t="s">
        <v>344</v>
      </c>
      <c r="M116" s="764" t="s">
        <v>477</v>
      </c>
      <c r="N116" s="856">
        <f t="shared" si="217"/>
        <v>100909.09090909091</v>
      </c>
      <c r="O116" s="1138">
        <f t="shared" si="324"/>
        <v>2220000</v>
      </c>
      <c r="P116" s="1138">
        <f t="shared" si="331"/>
        <v>22400</v>
      </c>
      <c r="Q116" s="1138">
        <f t="shared" si="203"/>
        <v>50000</v>
      </c>
      <c r="R116" s="1138"/>
      <c r="S116" s="1138"/>
      <c r="T116" s="1138">
        <f t="shared" si="349"/>
        <v>66000</v>
      </c>
      <c r="U116" s="1138"/>
      <c r="V116" s="858"/>
      <c r="W116" s="858">
        <f t="shared" si="351"/>
        <v>22000</v>
      </c>
      <c r="X116" s="1138"/>
      <c r="Y116" s="1138">
        <f t="shared" si="352"/>
        <v>80000</v>
      </c>
      <c r="Z116" s="1138">
        <f t="shared" si="327"/>
        <v>75000</v>
      </c>
      <c r="AA116" s="1138">
        <f t="shared" si="328"/>
        <v>315400</v>
      </c>
      <c r="AB116" s="1138">
        <f t="shared" si="218"/>
        <v>2535400</v>
      </c>
      <c r="AC116" s="1138">
        <f t="shared" si="219"/>
        <v>63385</v>
      </c>
      <c r="AD116" s="1138">
        <f t="shared" si="220"/>
        <v>2598785</v>
      </c>
      <c r="AE116" s="1138">
        <f t="shared" si="221"/>
        <v>64969.625</v>
      </c>
      <c r="AF116" s="1138">
        <f t="shared" si="222"/>
        <v>2663754.625</v>
      </c>
      <c r="AG116" s="1138">
        <f t="shared" si="223"/>
        <v>66593.865625000006</v>
      </c>
      <c r="AH116" s="1138">
        <f t="shared" si="224"/>
        <v>2730348.4906250001</v>
      </c>
      <c r="AI116" s="1138">
        <f t="shared" si="225"/>
        <v>136517.42453125</v>
      </c>
      <c r="AJ116" s="1138">
        <f t="shared" si="226"/>
        <v>2866865.9151562499</v>
      </c>
      <c r="AK116" s="1138">
        <f t="shared" si="227"/>
        <v>28668.6591515625</v>
      </c>
      <c r="AL116" s="1138">
        <f t="shared" si="228"/>
        <v>27537.409960060559</v>
      </c>
      <c r="AM116" s="1138"/>
      <c r="AN116" s="1138"/>
      <c r="AO116" s="1138">
        <f t="shared" si="229"/>
        <v>2923071.9842678728</v>
      </c>
      <c r="AP116" s="1138">
        <f t="shared" si="230"/>
        <v>394614.71787616285</v>
      </c>
      <c r="AQ116" s="1248">
        <f t="shared" si="231"/>
        <v>3317686.7021440356</v>
      </c>
      <c r="AR116" s="1248">
        <f t="shared" si="347"/>
        <v>2987686.7021440356</v>
      </c>
      <c r="AS116" s="1248">
        <v>15000</v>
      </c>
      <c r="AT116" s="1248">
        <f t="shared" si="348"/>
        <v>330000</v>
      </c>
      <c r="AU116" s="1248">
        <f t="shared" si="232"/>
        <v>39600</v>
      </c>
      <c r="AV116" s="1140">
        <f t="shared" si="233"/>
        <v>369600</v>
      </c>
      <c r="AW116" s="1140">
        <f t="shared" si="234"/>
        <v>3357286.7021440356</v>
      </c>
      <c r="AX116" s="1139">
        <f t="shared" si="235"/>
        <v>41966.083776800449</v>
      </c>
      <c r="AY116" s="831" t="s">
        <v>478</v>
      </c>
      <c r="AZ116" s="831">
        <f t="shared" si="236"/>
        <v>3399252.785920836</v>
      </c>
      <c r="BA116" s="831">
        <f t="shared" si="237"/>
        <v>127471.97947203135</v>
      </c>
      <c r="BB116" s="831"/>
      <c r="BC116" s="831">
        <f t="shared" si="346"/>
        <v>33600</v>
      </c>
      <c r="BD116" s="831"/>
      <c r="BE116" s="831">
        <f t="shared" si="238"/>
        <v>3560324.7653928674</v>
      </c>
      <c r="BF116" s="831"/>
      <c r="BG116" s="831">
        <f t="shared" si="239"/>
        <v>3560324.7653928674</v>
      </c>
      <c r="BH116" s="831"/>
      <c r="BI116" s="831">
        <f t="shared" si="240"/>
        <v>3560324.7653928674</v>
      </c>
      <c r="BJ116" s="831"/>
      <c r="BK116" s="831">
        <f t="shared" si="241"/>
        <v>3560324.7653928674</v>
      </c>
      <c r="BL116" s="831"/>
      <c r="BM116" s="831">
        <f t="shared" si="242"/>
        <v>3560324.7653928674</v>
      </c>
      <c r="BN116" s="831"/>
      <c r="BO116" s="831">
        <f t="shared" si="243"/>
        <v>3560324.7653928674</v>
      </c>
      <c r="BP116" s="831"/>
      <c r="BQ116" s="831">
        <f t="shared" si="244"/>
        <v>3560324.7653928674</v>
      </c>
      <c r="BR116" s="831"/>
      <c r="BS116" s="831">
        <f t="shared" si="245"/>
        <v>3560324.7653928674</v>
      </c>
      <c r="BT116" s="831"/>
      <c r="BU116" s="831">
        <f t="shared" si="246"/>
        <v>3560324.7653928674</v>
      </c>
      <c r="BV116" s="831"/>
      <c r="BW116" s="831">
        <f t="shared" si="247"/>
        <v>56400</v>
      </c>
      <c r="BX116" s="831">
        <f t="shared" si="248"/>
        <v>3616724.7653928674</v>
      </c>
      <c r="BY116" s="831"/>
      <c r="BZ116" s="831">
        <f t="shared" si="249"/>
        <v>3616724.7653928674</v>
      </c>
      <c r="CA116" s="1260">
        <f t="shared" si="250"/>
        <v>3616724.7653928674</v>
      </c>
      <c r="CB116" s="1260">
        <f t="shared" si="251"/>
        <v>3616724.7653928674</v>
      </c>
      <c r="CC116" s="1260"/>
      <c r="CD116" s="1260">
        <f t="shared" si="252"/>
        <v>0</v>
      </c>
      <c r="CE116" s="1260">
        <f t="shared" si="253"/>
        <v>0</v>
      </c>
      <c r="CF116" s="1260">
        <f t="shared" si="254"/>
        <v>0</v>
      </c>
      <c r="CG116" s="1266">
        <f t="shared" si="255"/>
        <v>3616724.7653928674</v>
      </c>
      <c r="CH116" s="1141">
        <f t="shared" si="256"/>
        <v>3616724.7653928674</v>
      </c>
      <c r="CI116" s="1142">
        <f t="shared" si="257"/>
        <v>434006.97184714407</v>
      </c>
      <c r="CJ116" s="1141">
        <f t="shared" si="258"/>
        <v>370714.28845276887</v>
      </c>
      <c r="CK116" s="1141">
        <f t="shared" si="259"/>
        <v>126585.36678875037</v>
      </c>
      <c r="CL116" s="1143">
        <f t="shared" si="329"/>
        <v>4548031.392481531</v>
      </c>
      <c r="CM116" s="1144">
        <f t="shared" si="260"/>
        <v>0.125</v>
      </c>
      <c r="CN116" s="1141">
        <f t="shared" si="261"/>
        <v>568503.92406019138</v>
      </c>
      <c r="CO116" s="1141">
        <f t="shared" si="262"/>
        <v>30000</v>
      </c>
      <c r="CP116" s="1141">
        <f t="shared" si="263"/>
        <v>538503.92406019138</v>
      </c>
      <c r="CQ116" s="1145">
        <f t="shared" si="264"/>
        <v>13</v>
      </c>
      <c r="CR116" s="1141">
        <f t="shared" si="265"/>
        <v>41423.378773860873</v>
      </c>
      <c r="CS116" s="1144">
        <f t="shared" si="266"/>
        <v>0.875</v>
      </c>
      <c r="CT116" s="1141">
        <f t="shared" si="267"/>
        <v>3979527.4684213395</v>
      </c>
      <c r="CU116" s="1146">
        <f t="shared" si="204"/>
        <v>30853.234105331394</v>
      </c>
      <c r="CV116" s="1146">
        <f t="shared" si="205"/>
        <v>35769.117932508889</v>
      </c>
      <c r="CW116" s="1146">
        <f t="shared" si="206"/>
        <v>46205.688236714268</v>
      </c>
      <c r="CX116" s="1146">
        <f t="shared" si="207"/>
        <v>78799.413498985508</v>
      </c>
      <c r="CY116" s="1146">
        <f t="shared" si="268"/>
        <v>323269.66524477419</v>
      </c>
      <c r="CZ116" s="1146">
        <f t="shared" si="269"/>
        <v>127916.23180040732</v>
      </c>
      <c r="DA116" s="1146">
        <f t="shared" si="270"/>
        <v>92392.082526950486</v>
      </c>
      <c r="DB116" s="1146">
        <f t="shared" si="271"/>
        <v>70314.628314804097</v>
      </c>
      <c r="DC116" s="1146"/>
      <c r="DD116" s="1146"/>
      <c r="DE116" s="1146"/>
      <c r="DF116" s="1146"/>
      <c r="DG116" s="1146"/>
      <c r="DH116" s="1146"/>
      <c r="DI116" s="1146"/>
      <c r="DJ116" s="1146"/>
      <c r="DK116" s="1146"/>
      <c r="DL116" s="1146"/>
      <c r="DM116" s="1146"/>
      <c r="DN116" s="1146"/>
      <c r="DO116" s="1146"/>
      <c r="DP116" s="1146"/>
      <c r="DQ116" s="1146"/>
      <c r="DR116" s="1146"/>
      <c r="DS116" s="1146"/>
      <c r="DT116" s="1146"/>
      <c r="DU116" s="1146"/>
      <c r="DV116" s="1146"/>
      <c r="DW116" s="1146"/>
      <c r="DX116" s="1146"/>
      <c r="DY116" s="1146"/>
      <c r="DZ116" s="1146"/>
      <c r="EA116" s="1147">
        <f t="shared" si="208"/>
        <v>0.11045334832570768</v>
      </c>
      <c r="EB116" s="1148">
        <f t="shared" si="272"/>
        <v>0</v>
      </c>
      <c r="EC116" s="1190">
        <f t="shared" si="316"/>
        <v>45839</v>
      </c>
      <c r="ED116" s="1031">
        <f t="shared" si="209"/>
        <v>20</v>
      </c>
      <c r="EE116" s="1191"/>
      <c r="EF116" s="1032">
        <f t="shared" si="210"/>
        <v>45904</v>
      </c>
      <c r="EG116" s="1029">
        <f t="shared" si="273"/>
        <v>22</v>
      </c>
      <c r="EH116" s="859" t="s">
        <v>490</v>
      </c>
      <c r="EI116" s="859" t="s">
        <v>480</v>
      </c>
      <c r="EJ116" s="860">
        <f t="shared" si="211"/>
        <v>16800</v>
      </c>
      <c r="EK116" s="860">
        <f t="shared" si="212"/>
        <v>369600</v>
      </c>
      <c r="EL116" s="861">
        <f t="shared" si="213"/>
        <v>0.1237077501247926</v>
      </c>
      <c r="EM116" s="1197"/>
      <c r="EN116" s="860"/>
      <c r="EO116" s="860"/>
      <c r="EP116" s="860">
        <f t="shared" si="214"/>
        <v>0</v>
      </c>
      <c r="EQ116" s="1197"/>
      <c r="ER116" s="1200"/>
      <c r="ES116" s="1197"/>
      <c r="ET116" s="1194" t="s">
        <v>274</v>
      </c>
      <c r="EU116" s="1197" t="b">
        <f t="shared" si="215"/>
        <v>1</v>
      </c>
      <c r="EV116" s="1197" t="s">
        <v>613</v>
      </c>
      <c r="EW116" s="1197" t="s">
        <v>482</v>
      </c>
      <c r="EX116" s="1197"/>
      <c r="EY116" s="1128" t="s">
        <v>587</v>
      </c>
      <c r="EZ116" s="1128" t="s">
        <v>484</v>
      </c>
      <c r="FA116" s="1169">
        <f t="shared" si="274"/>
        <v>0</v>
      </c>
      <c r="FI116" s="1309" t="s">
        <v>149</v>
      </c>
      <c r="FJ116" s="1159" t="s">
        <v>149</v>
      </c>
      <c r="FK116" s="1160" t="b">
        <f t="shared" si="275"/>
        <v>1</v>
      </c>
      <c r="FL116" s="1131"/>
      <c r="FM116" s="1161"/>
      <c r="FP116" s="1166"/>
      <c r="FQ116" s="1203"/>
      <c r="FU116" s="1295"/>
      <c r="FV116" s="1295"/>
      <c r="FW116" s="1023">
        <v>0.15</v>
      </c>
      <c r="FX116" s="1162">
        <v>15093.887735152133</v>
      </c>
      <c r="FY116" s="1163">
        <v>15565.571726875638</v>
      </c>
      <c r="GA116" s="1164">
        <f t="shared" si="276"/>
        <v>4548031.392481531</v>
      </c>
      <c r="GB116" s="1165">
        <f t="shared" si="277"/>
        <v>0.15</v>
      </c>
      <c r="GC116" s="1154">
        <f t="shared" si="278"/>
        <v>682204.70887222968</v>
      </c>
      <c r="GD116" s="1164">
        <f t="shared" si="279"/>
        <v>30000</v>
      </c>
      <c r="GE116" s="1154">
        <f t="shared" si="280"/>
        <v>652204.70887222968</v>
      </c>
      <c r="GF116" s="1060">
        <f t="shared" si="281"/>
        <v>35</v>
      </c>
      <c r="GG116" s="1166">
        <f t="shared" si="282"/>
        <v>18634.420253492277</v>
      </c>
      <c r="GI116" s="1164">
        <f t="shared" si="283"/>
        <v>4548031.392481531</v>
      </c>
      <c r="GJ116" s="1154">
        <f t="shared" si="284"/>
        <v>454803.13924815314</v>
      </c>
      <c r="GK116" s="1154">
        <f t="shared" si="285"/>
        <v>113700.78481203828</v>
      </c>
      <c r="GL116" s="1166">
        <v>15000</v>
      </c>
      <c r="GM116" s="1154">
        <f t="shared" si="286"/>
        <v>439803.13924815314</v>
      </c>
      <c r="GN116" s="1060">
        <f t="shared" si="287"/>
        <v>35</v>
      </c>
      <c r="GO116" s="1154">
        <f t="shared" si="288"/>
        <v>12565.803978518661</v>
      </c>
      <c r="GS116" s="1010">
        <f t="shared" si="289"/>
        <v>4548031.392481531</v>
      </c>
      <c r="GT116" s="1011">
        <f t="shared" si="290"/>
        <v>0.125</v>
      </c>
      <c r="GU116" s="1010">
        <f t="shared" si="291"/>
        <v>568503.92406019138</v>
      </c>
      <c r="GV116" s="1010">
        <f t="shared" si="292"/>
        <v>30000</v>
      </c>
      <c r="GW116" s="1010">
        <f t="shared" si="293"/>
        <v>538503.92406019138</v>
      </c>
      <c r="GX116" s="1010">
        <f t="shared" si="294"/>
        <v>13</v>
      </c>
      <c r="GY116" s="1010">
        <f t="shared" si="295"/>
        <v>41423.378773860873</v>
      </c>
      <c r="GZ116" s="1011">
        <f t="shared" si="296"/>
        <v>0.875</v>
      </c>
      <c r="HA116" s="1010">
        <f t="shared" si="297"/>
        <v>3979527.4684213395</v>
      </c>
      <c r="HB116" s="1010">
        <f t="shared" si="298"/>
        <v>30853.234105331394</v>
      </c>
      <c r="HC116" s="1010">
        <f t="shared" si="299"/>
        <v>35769.117932508889</v>
      </c>
      <c r="HD116" s="1010">
        <f t="shared" si="300"/>
        <v>46205.688236714268</v>
      </c>
      <c r="HE116" s="1010">
        <f t="shared" si="301"/>
        <v>78799.413498985508</v>
      </c>
      <c r="HG116" s="1010">
        <f t="shared" si="302"/>
        <v>4548031.392481531</v>
      </c>
      <c r="HH116" s="1011">
        <f t="shared" si="303"/>
        <v>0.125</v>
      </c>
      <c r="HI116" s="1010">
        <f t="shared" si="304"/>
        <v>568503.92406019138</v>
      </c>
      <c r="HJ116" s="1010">
        <f t="shared" si="305"/>
        <v>30000</v>
      </c>
      <c r="HK116" s="1010">
        <f t="shared" si="306"/>
        <v>538503.92406019138</v>
      </c>
      <c r="HL116" s="1012">
        <f t="shared" si="307"/>
        <v>33</v>
      </c>
      <c r="HM116" s="1167">
        <f t="shared" si="308"/>
        <v>16318.300729096709</v>
      </c>
      <c r="HN116" s="1168">
        <f t="shared" si="309"/>
        <v>0.875</v>
      </c>
      <c r="HO116" s="1167">
        <f t="shared" si="310"/>
        <v>3979527.4684213395</v>
      </c>
      <c r="HP116" s="1146">
        <f t="shared" si="311"/>
        <v>30853.234105331394</v>
      </c>
      <c r="HQ116" s="1146">
        <f t="shared" si="312"/>
        <v>35769.117932508889</v>
      </c>
      <c r="HR116" s="1146">
        <f t="shared" si="313"/>
        <v>46205.688236714268</v>
      </c>
      <c r="HS116" s="1146">
        <f t="shared" si="314"/>
        <v>78799.413498985508</v>
      </c>
      <c r="HU116" s="1167">
        <f t="shared" si="315"/>
        <v>-25105.078044764166</v>
      </c>
      <c r="HX116" s="1154"/>
      <c r="HY116" s="1154"/>
      <c r="IB116" s="1154"/>
      <c r="IC116" s="1154"/>
      <c r="ID116" s="1154"/>
      <c r="IE116" s="1154"/>
      <c r="IG116" s="1060"/>
    </row>
    <row r="117" spans="1:241" ht="14.25" hidden="1" customHeight="1">
      <c r="A117" s="1186">
        <f t="shared" si="330"/>
        <v>111</v>
      </c>
      <c r="B117" s="824" t="s">
        <v>149</v>
      </c>
      <c r="C117" s="855">
        <f t="shared" si="350"/>
        <v>6</v>
      </c>
      <c r="D117" s="856" t="s">
        <v>511</v>
      </c>
      <c r="E117" s="857" t="str">
        <f t="shared" si="216"/>
        <v>8th Floor</v>
      </c>
      <c r="F117" s="1185"/>
      <c r="G117" s="764" t="s">
        <v>275</v>
      </c>
      <c r="H117" s="764" t="s">
        <v>503</v>
      </c>
      <c r="I117" s="764" t="s">
        <v>476</v>
      </c>
      <c r="J117" s="1139">
        <v>22</v>
      </c>
      <c r="K117" s="1142"/>
      <c r="L117" s="764" t="s">
        <v>344</v>
      </c>
      <c r="M117" s="764" t="s">
        <v>477</v>
      </c>
      <c r="N117" s="856">
        <f t="shared" si="217"/>
        <v>100909.09090909091</v>
      </c>
      <c r="O117" s="1138">
        <f t="shared" si="324"/>
        <v>2220000</v>
      </c>
      <c r="P117" s="1138">
        <f t="shared" si="331"/>
        <v>22400</v>
      </c>
      <c r="Q117" s="1138">
        <f t="shared" si="203"/>
        <v>50000</v>
      </c>
      <c r="R117" s="1138"/>
      <c r="S117" s="1138"/>
      <c r="T117" s="1138">
        <f t="shared" si="349"/>
        <v>66000</v>
      </c>
      <c r="U117" s="1138"/>
      <c r="V117" s="1138"/>
      <c r="W117" s="858">
        <f t="shared" si="351"/>
        <v>22000</v>
      </c>
      <c r="X117" s="1138"/>
      <c r="Y117" s="1138">
        <f t="shared" si="352"/>
        <v>80000</v>
      </c>
      <c r="Z117" s="1138">
        <f t="shared" si="327"/>
        <v>75000</v>
      </c>
      <c r="AA117" s="1138">
        <f t="shared" si="328"/>
        <v>315400</v>
      </c>
      <c r="AB117" s="1138">
        <f t="shared" si="218"/>
        <v>2535400</v>
      </c>
      <c r="AC117" s="1138">
        <f t="shared" si="219"/>
        <v>63385</v>
      </c>
      <c r="AD117" s="1138">
        <f t="shared" si="220"/>
        <v>2598785</v>
      </c>
      <c r="AE117" s="1138">
        <f t="shared" si="221"/>
        <v>64969.625</v>
      </c>
      <c r="AF117" s="1138">
        <f t="shared" si="222"/>
        <v>2663754.625</v>
      </c>
      <c r="AG117" s="1138">
        <f t="shared" si="223"/>
        <v>66593.865625000006</v>
      </c>
      <c r="AH117" s="1138">
        <f t="shared" si="224"/>
        <v>2730348.4906250001</v>
      </c>
      <c r="AI117" s="1138">
        <f t="shared" si="225"/>
        <v>136517.42453125</v>
      </c>
      <c r="AJ117" s="1138">
        <f t="shared" si="226"/>
        <v>2866865.9151562499</v>
      </c>
      <c r="AK117" s="1138">
        <f t="shared" si="227"/>
        <v>28668.6591515625</v>
      </c>
      <c r="AL117" s="1138">
        <f t="shared" si="228"/>
        <v>27537.409960060559</v>
      </c>
      <c r="AM117" s="1138"/>
      <c r="AN117" s="1138"/>
      <c r="AO117" s="1138">
        <f t="shared" si="229"/>
        <v>2923071.9842678728</v>
      </c>
      <c r="AP117" s="1138">
        <f t="shared" si="230"/>
        <v>394614.71787616285</v>
      </c>
      <c r="AQ117" s="1248">
        <f t="shared" si="231"/>
        <v>3317686.7021440356</v>
      </c>
      <c r="AR117" s="1248">
        <f t="shared" si="347"/>
        <v>2987686.7021440356</v>
      </c>
      <c r="AS117" s="1248">
        <v>15000</v>
      </c>
      <c r="AT117" s="1248">
        <f t="shared" si="348"/>
        <v>330000</v>
      </c>
      <c r="AU117" s="1248">
        <f t="shared" si="232"/>
        <v>39600</v>
      </c>
      <c r="AV117" s="1140">
        <f t="shared" si="233"/>
        <v>369600</v>
      </c>
      <c r="AW117" s="1140">
        <f t="shared" si="234"/>
        <v>3357286.7021440356</v>
      </c>
      <c r="AX117" s="1139">
        <f t="shared" si="235"/>
        <v>41966.083776800449</v>
      </c>
      <c r="AY117" s="831" t="s">
        <v>478</v>
      </c>
      <c r="AZ117" s="831">
        <f t="shared" si="236"/>
        <v>3399252.785920836</v>
      </c>
      <c r="BA117" s="831">
        <f t="shared" si="237"/>
        <v>127471.97947203135</v>
      </c>
      <c r="BB117" s="831"/>
      <c r="BC117" s="831">
        <f t="shared" si="346"/>
        <v>33600</v>
      </c>
      <c r="BD117" s="831"/>
      <c r="BE117" s="831">
        <f t="shared" si="238"/>
        <v>3560324.7653928674</v>
      </c>
      <c r="BF117" s="831"/>
      <c r="BG117" s="831">
        <f t="shared" si="239"/>
        <v>3560324.7653928674</v>
      </c>
      <c r="BH117" s="831"/>
      <c r="BI117" s="831">
        <f t="shared" si="240"/>
        <v>3560324.7653928674</v>
      </c>
      <c r="BJ117" s="831"/>
      <c r="BK117" s="831">
        <f t="shared" si="241"/>
        <v>3560324.7653928674</v>
      </c>
      <c r="BL117" s="831"/>
      <c r="BM117" s="831">
        <f t="shared" si="242"/>
        <v>3560324.7653928674</v>
      </c>
      <c r="BN117" s="831"/>
      <c r="BO117" s="831">
        <f t="shared" si="243"/>
        <v>3560324.7653928674</v>
      </c>
      <c r="BP117" s="831"/>
      <c r="BQ117" s="831">
        <f t="shared" si="244"/>
        <v>3560324.7653928674</v>
      </c>
      <c r="BR117" s="831"/>
      <c r="BS117" s="831">
        <f t="shared" si="245"/>
        <v>3560324.7653928674</v>
      </c>
      <c r="BT117" s="831"/>
      <c r="BU117" s="831">
        <f t="shared" si="246"/>
        <v>3560324.7653928674</v>
      </c>
      <c r="BV117" s="831"/>
      <c r="BW117" s="831">
        <f t="shared" si="247"/>
        <v>56400</v>
      </c>
      <c r="BX117" s="831">
        <f t="shared" si="248"/>
        <v>3616724.7653928674</v>
      </c>
      <c r="BY117" s="831"/>
      <c r="BZ117" s="831">
        <f t="shared" si="249"/>
        <v>3616724.7653928674</v>
      </c>
      <c r="CA117" s="1260">
        <f t="shared" si="250"/>
        <v>3616724.7653928674</v>
      </c>
      <c r="CB117" s="1260">
        <f t="shared" si="251"/>
        <v>3616724.7653928674</v>
      </c>
      <c r="CC117" s="1260"/>
      <c r="CD117" s="1260">
        <f t="shared" si="252"/>
        <v>0</v>
      </c>
      <c r="CE117" s="1260">
        <f t="shared" si="253"/>
        <v>0</v>
      </c>
      <c r="CF117" s="1260">
        <f t="shared" si="254"/>
        <v>0</v>
      </c>
      <c r="CG117" s="1266">
        <f t="shared" si="255"/>
        <v>3616724.7653928674</v>
      </c>
      <c r="CH117" s="1141">
        <f t="shared" si="256"/>
        <v>3616724.7653928674</v>
      </c>
      <c r="CI117" s="1142">
        <f t="shared" si="257"/>
        <v>434006.97184714407</v>
      </c>
      <c r="CJ117" s="1141">
        <f t="shared" si="258"/>
        <v>370714.28845276887</v>
      </c>
      <c r="CK117" s="1141">
        <f t="shared" si="259"/>
        <v>126585.36678875037</v>
      </c>
      <c r="CL117" s="1143">
        <f t="shared" si="329"/>
        <v>4548031.392481531</v>
      </c>
      <c r="CM117" s="1144">
        <f t="shared" si="260"/>
        <v>0.125</v>
      </c>
      <c r="CN117" s="1141">
        <f t="shared" si="261"/>
        <v>568503.92406019138</v>
      </c>
      <c r="CO117" s="1141">
        <f t="shared" si="262"/>
        <v>30000</v>
      </c>
      <c r="CP117" s="1141">
        <f t="shared" si="263"/>
        <v>538503.92406019138</v>
      </c>
      <c r="CQ117" s="1145">
        <f t="shared" si="264"/>
        <v>13</v>
      </c>
      <c r="CR117" s="1141">
        <f t="shared" si="265"/>
        <v>41423.378773860873</v>
      </c>
      <c r="CS117" s="1144">
        <f t="shared" si="266"/>
        <v>0.875</v>
      </c>
      <c r="CT117" s="1141">
        <f t="shared" si="267"/>
        <v>3979527.4684213395</v>
      </c>
      <c r="CU117" s="1146">
        <f t="shared" si="204"/>
        <v>30853.234105331394</v>
      </c>
      <c r="CV117" s="1146">
        <f t="shared" si="205"/>
        <v>35769.117932508889</v>
      </c>
      <c r="CW117" s="1146">
        <f t="shared" si="206"/>
        <v>46205.688236714268</v>
      </c>
      <c r="CX117" s="1146">
        <f t="shared" si="207"/>
        <v>78799.413498985508</v>
      </c>
      <c r="CY117" s="1146">
        <f t="shared" si="268"/>
        <v>323269.66524477419</v>
      </c>
      <c r="CZ117" s="1146">
        <f t="shared" si="269"/>
        <v>127916.23180040732</v>
      </c>
      <c r="DA117" s="1146">
        <f t="shared" si="270"/>
        <v>92392.082526950486</v>
      </c>
      <c r="DB117" s="1146">
        <f t="shared" si="271"/>
        <v>70314.628314804097</v>
      </c>
      <c r="DC117" s="1146"/>
      <c r="DD117" s="1146"/>
      <c r="DE117" s="1146"/>
      <c r="DF117" s="1146"/>
      <c r="DG117" s="1146"/>
      <c r="DH117" s="1146"/>
      <c r="DI117" s="1146"/>
      <c r="DJ117" s="1146"/>
      <c r="DK117" s="1146"/>
      <c r="DL117" s="1146"/>
      <c r="DM117" s="1146"/>
      <c r="DN117" s="1146"/>
      <c r="DO117" s="1146"/>
      <c r="DP117" s="1146"/>
      <c r="DQ117" s="1146"/>
      <c r="DR117" s="1146"/>
      <c r="DS117" s="1146"/>
      <c r="DT117" s="1146"/>
      <c r="DU117" s="1146"/>
      <c r="DV117" s="1146"/>
      <c r="DW117" s="1146"/>
      <c r="DX117" s="1146"/>
      <c r="DY117" s="1146"/>
      <c r="DZ117" s="1146"/>
      <c r="EA117" s="1147">
        <f t="shared" si="208"/>
        <v>0.11045334832570768</v>
      </c>
      <c r="EB117" s="1148">
        <f t="shared" si="272"/>
        <v>0</v>
      </c>
      <c r="EC117" s="1190">
        <f t="shared" si="316"/>
        <v>45839</v>
      </c>
      <c r="ED117" s="1031">
        <f t="shared" si="209"/>
        <v>20</v>
      </c>
      <c r="EE117" s="1191"/>
      <c r="EF117" s="1032">
        <f t="shared" si="210"/>
        <v>45904</v>
      </c>
      <c r="EG117" s="1029">
        <f t="shared" si="273"/>
        <v>22</v>
      </c>
      <c r="EH117" s="859" t="s">
        <v>490</v>
      </c>
      <c r="EI117" s="859" t="s">
        <v>480</v>
      </c>
      <c r="EJ117" s="860">
        <f t="shared" si="211"/>
        <v>16800</v>
      </c>
      <c r="EK117" s="860">
        <f t="shared" si="212"/>
        <v>369600</v>
      </c>
      <c r="EL117" s="861">
        <f t="shared" si="213"/>
        <v>0.1237077501247926</v>
      </c>
      <c r="EM117" s="1197"/>
      <c r="EN117" s="860"/>
      <c r="EO117" s="860"/>
      <c r="EP117" s="860">
        <f t="shared" si="214"/>
        <v>0</v>
      </c>
      <c r="EQ117" s="1197"/>
      <c r="ER117" s="1200"/>
      <c r="ES117" s="1197"/>
      <c r="ET117" s="1194" t="s">
        <v>275</v>
      </c>
      <c r="EU117" s="1197" t="b">
        <f t="shared" si="215"/>
        <v>1</v>
      </c>
      <c r="EV117" s="1197" t="s">
        <v>614</v>
      </c>
      <c r="EW117" s="1197" t="s">
        <v>482</v>
      </c>
      <c r="EX117" s="1197"/>
      <c r="EY117" s="1128" t="s">
        <v>587</v>
      </c>
      <c r="EZ117" s="1128" t="s">
        <v>484</v>
      </c>
      <c r="FA117" s="1169">
        <f t="shared" si="274"/>
        <v>0</v>
      </c>
      <c r="FI117" s="1309" t="s">
        <v>149</v>
      </c>
      <c r="FJ117" s="1159" t="s">
        <v>149</v>
      </c>
      <c r="FK117" s="1160" t="b">
        <f t="shared" si="275"/>
        <v>1</v>
      </c>
      <c r="FL117" s="1131"/>
      <c r="FM117" s="1161"/>
      <c r="FP117" s="1166"/>
      <c r="FQ117" s="1203"/>
      <c r="FU117" s="1295"/>
      <c r="FV117" s="1295"/>
      <c r="FW117" s="1023">
        <v>0.15</v>
      </c>
      <c r="FX117" s="1162">
        <v>15093.887735152133</v>
      </c>
      <c r="FY117" s="1163">
        <v>15565.571726875638</v>
      </c>
      <c r="GA117" s="1164">
        <f t="shared" si="276"/>
        <v>4548031.392481531</v>
      </c>
      <c r="GB117" s="1165">
        <f t="shared" si="277"/>
        <v>0.15</v>
      </c>
      <c r="GC117" s="1154">
        <f t="shared" si="278"/>
        <v>682204.70887222968</v>
      </c>
      <c r="GD117" s="1164">
        <f t="shared" si="279"/>
        <v>30000</v>
      </c>
      <c r="GE117" s="1154">
        <f t="shared" si="280"/>
        <v>652204.70887222968</v>
      </c>
      <c r="GF117" s="1060">
        <f t="shared" si="281"/>
        <v>35</v>
      </c>
      <c r="GG117" s="1166">
        <f t="shared" si="282"/>
        <v>18634.420253492277</v>
      </c>
      <c r="GI117" s="1164">
        <f t="shared" si="283"/>
        <v>4548031.392481531</v>
      </c>
      <c r="GJ117" s="1154">
        <f t="shared" si="284"/>
        <v>454803.13924815314</v>
      </c>
      <c r="GK117" s="1154">
        <f t="shared" si="285"/>
        <v>113700.78481203828</v>
      </c>
      <c r="GL117" s="1166">
        <v>15000</v>
      </c>
      <c r="GM117" s="1154">
        <f t="shared" si="286"/>
        <v>439803.13924815314</v>
      </c>
      <c r="GN117" s="1060">
        <f t="shared" si="287"/>
        <v>35</v>
      </c>
      <c r="GO117" s="1154">
        <f t="shared" si="288"/>
        <v>12565.803978518661</v>
      </c>
      <c r="GS117" s="1010">
        <f t="shared" si="289"/>
        <v>4548031.392481531</v>
      </c>
      <c r="GT117" s="1011">
        <f t="shared" si="290"/>
        <v>0.125</v>
      </c>
      <c r="GU117" s="1010">
        <f t="shared" si="291"/>
        <v>568503.92406019138</v>
      </c>
      <c r="GV117" s="1010">
        <f t="shared" si="292"/>
        <v>30000</v>
      </c>
      <c r="GW117" s="1010">
        <f t="shared" si="293"/>
        <v>538503.92406019138</v>
      </c>
      <c r="GX117" s="1010">
        <f t="shared" si="294"/>
        <v>13</v>
      </c>
      <c r="GY117" s="1010">
        <f t="shared" si="295"/>
        <v>41423.378773860873</v>
      </c>
      <c r="GZ117" s="1011">
        <f t="shared" si="296"/>
        <v>0.875</v>
      </c>
      <c r="HA117" s="1010">
        <f t="shared" si="297"/>
        <v>3979527.4684213395</v>
      </c>
      <c r="HB117" s="1010">
        <f t="shared" si="298"/>
        <v>30853.234105331394</v>
      </c>
      <c r="HC117" s="1010">
        <f t="shared" si="299"/>
        <v>35769.117932508889</v>
      </c>
      <c r="HD117" s="1010">
        <f t="shared" si="300"/>
        <v>46205.688236714268</v>
      </c>
      <c r="HE117" s="1010">
        <f t="shared" si="301"/>
        <v>78799.413498985508</v>
      </c>
      <c r="HG117" s="1010">
        <f t="shared" si="302"/>
        <v>4548031.392481531</v>
      </c>
      <c r="HH117" s="1011">
        <f t="shared" si="303"/>
        <v>0.125</v>
      </c>
      <c r="HI117" s="1010">
        <f t="shared" si="304"/>
        <v>568503.92406019138</v>
      </c>
      <c r="HJ117" s="1010">
        <f t="shared" si="305"/>
        <v>30000</v>
      </c>
      <c r="HK117" s="1010">
        <f t="shared" si="306"/>
        <v>538503.92406019138</v>
      </c>
      <c r="HL117" s="1012">
        <f t="shared" si="307"/>
        <v>33</v>
      </c>
      <c r="HM117" s="1167">
        <f t="shared" si="308"/>
        <v>16318.300729096709</v>
      </c>
      <c r="HN117" s="1168">
        <f t="shared" si="309"/>
        <v>0.875</v>
      </c>
      <c r="HO117" s="1167">
        <f t="shared" si="310"/>
        <v>3979527.4684213395</v>
      </c>
      <c r="HP117" s="1146">
        <f t="shared" si="311"/>
        <v>30853.234105331394</v>
      </c>
      <c r="HQ117" s="1146">
        <f t="shared" si="312"/>
        <v>35769.117932508889</v>
      </c>
      <c r="HR117" s="1146">
        <f t="shared" si="313"/>
        <v>46205.688236714268</v>
      </c>
      <c r="HS117" s="1146">
        <f t="shared" si="314"/>
        <v>78799.413498985508</v>
      </c>
      <c r="HU117" s="1167">
        <f t="shared" si="315"/>
        <v>-25105.078044764166</v>
      </c>
      <c r="HX117" s="1154"/>
      <c r="HY117" s="1154"/>
      <c r="IB117" s="1154"/>
      <c r="IC117" s="1154"/>
      <c r="ID117" s="1154"/>
      <c r="IE117" s="1154"/>
      <c r="IG117" s="1060"/>
    </row>
    <row r="118" spans="1:241" ht="14.25" hidden="1" customHeight="1">
      <c r="A118" s="1186">
        <f t="shared" si="330"/>
        <v>112</v>
      </c>
      <c r="B118" s="824" t="s">
        <v>149</v>
      </c>
      <c r="C118" s="855">
        <f t="shared" si="350"/>
        <v>7</v>
      </c>
      <c r="D118" s="856" t="s">
        <v>511</v>
      </c>
      <c r="E118" s="857" t="str">
        <f t="shared" si="216"/>
        <v>8th Floor</v>
      </c>
      <c r="F118" s="1185"/>
      <c r="G118" s="764" t="s">
        <v>276</v>
      </c>
      <c r="H118" s="764" t="s">
        <v>506</v>
      </c>
      <c r="I118" s="764" t="s">
        <v>476</v>
      </c>
      <c r="J118" s="831">
        <v>22</v>
      </c>
      <c r="K118" s="1142"/>
      <c r="L118" s="764" t="s">
        <v>344</v>
      </c>
      <c r="M118" s="764" t="s">
        <v>117</v>
      </c>
      <c r="N118" s="856">
        <f t="shared" si="217"/>
        <v>100909.09090909091</v>
      </c>
      <c r="O118" s="1138">
        <f t="shared" si="324"/>
        <v>2220000</v>
      </c>
      <c r="P118" s="1138">
        <f t="shared" si="331"/>
        <v>22400</v>
      </c>
      <c r="Q118" s="1138">
        <f t="shared" si="203"/>
        <v>50000</v>
      </c>
      <c r="R118" s="1138"/>
      <c r="S118" s="1138"/>
      <c r="T118" s="1138">
        <f t="shared" si="349"/>
        <v>66000</v>
      </c>
      <c r="U118" s="1138"/>
      <c r="V118" s="858">
        <f t="shared" ref="V118:V119" si="359">J118*$V$5</f>
        <v>55000</v>
      </c>
      <c r="W118" s="1138"/>
      <c r="X118" s="1138"/>
      <c r="Y118" s="1138">
        <f t="shared" si="352"/>
        <v>80000</v>
      </c>
      <c r="Z118" s="1138">
        <f t="shared" si="327"/>
        <v>75000</v>
      </c>
      <c r="AA118" s="1138">
        <f t="shared" si="328"/>
        <v>348400</v>
      </c>
      <c r="AB118" s="1138">
        <f t="shared" si="218"/>
        <v>2568400</v>
      </c>
      <c r="AC118" s="1138">
        <f t="shared" si="219"/>
        <v>64210</v>
      </c>
      <c r="AD118" s="1138">
        <f t="shared" si="220"/>
        <v>2632610</v>
      </c>
      <c r="AE118" s="1138">
        <f t="shared" si="221"/>
        <v>65815.25</v>
      </c>
      <c r="AF118" s="1138">
        <f t="shared" si="222"/>
        <v>2698425.25</v>
      </c>
      <c r="AG118" s="1138">
        <f t="shared" si="223"/>
        <v>67460.631250000006</v>
      </c>
      <c r="AH118" s="1138">
        <f t="shared" si="224"/>
        <v>2765885.8812500001</v>
      </c>
      <c r="AI118" s="1138">
        <f t="shared" si="225"/>
        <v>138294.2940625</v>
      </c>
      <c r="AJ118" s="1138">
        <f t="shared" si="226"/>
        <v>2904180.1753125</v>
      </c>
      <c r="AK118" s="1138">
        <f t="shared" si="227"/>
        <v>29041.801753125001</v>
      </c>
      <c r="AL118" s="1138">
        <f t="shared" si="228"/>
        <v>27537.409960060559</v>
      </c>
      <c r="AM118" s="1138"/>
      <c r="AN118" s="1138"/>
      <c r="AO118" s="1138">
        <f t="shared" si="229"/>
        <v>2960759.3870256855</v>
      </c>
      <c r="AP118" s="1138">
        <f t="shared" si="230"/>
        <v>399702.51724846754</v>
      </c>
      <c r="AQ118" s="1248">
        <f t="shared" si="231"/>
        <v>3360461.9042741531</v>
      </c>
      <c r="AR118" s="1248">
        <f t="shared" si="347"/>
        <v>3030461.9042741531</v>
      </c>
      <c r="AS118" s="1248">
        <v>15000</v>
      </c>
      <c r="AT118" s="1248">
        <f t="shared" si="348"/>
        <v>330000</v>
      </c>
      <c r="AU118" s="1248">
        <f t="shared" si="232"/>
        <v>39600</v>
      </c>
      <c r="AV118" s="1140">
        <f t="shared" si="233"/>
        <v>369600</v>
      </c>
      <c r="AW118" s="1140">
        <f t="shared" si="234"/>
        <v>3400061.9042741531</v>
      </c>
      <c r="AX118" s="1139">
        <f t="shared" si="235"/>
        <v>42500.773803426913</v>
      </c>
      <c r="AY118" s="831" t="s">
        <v>478</v>
      </c>
      <c r="AZ118" s="831">
        <f t="shared" si="236"/>
        <v>3442562.6780775799</v>
      </c>
      <c r="BA118" s="831">
        <f t="shared" si="237"/>
        <v>129096.10042790924</v>
      </c>
      <c r="BB118" s="831"/>
      <c r="BC118" s="831">
        <f t="shared" si="346"/>
        <v>33600</v>
      </c>
      <c r="BD118" s="831"/>
      <c r="BE118" s="831">
        <f t="shared" si="238"/>
        <v>3605258.7785054892</v>
      </c>
      <c r="BF118" s="831"/>
      <c r="BG118" s="831">
        <f t="shared" si="239"/>
        <v>3605258.7785054892</v>
      </c>
      <c r="BH118" s="831"/>
      <c r="BI118" s="831">
        <f t="shared" si="240"/>
        <v>3605258.7785054892</v>
      </c>
      <c r="BJ118" s="831"/>
      <c r="BK118" s="831">
        <f t="shared" si="241"/>
        <v>3605258.7785054892</v>
      </c>
      <c r="BL118" s="831"/>
      <c r="BM118" s="831">
        <f t="shared" si="242"/>
        <v>3605258.7785054892</v>
      </c>
      <c r="BN118" s="831"/>
      <c r="BO118" s="831">
        <f t="shared" si="243"/>
        <v>3605258.7785054892</v>
      </c>
      <c r="BP118" s="831"/>
      <c r="BQ118" s="831">
        <f t="shared" si="244"/>
        <v>3605258.7785054892</v>
      </c>
      <c r="BR118" s="831"/>
      <c r="BS118" s="831">
        <f t="shared" si="245"/>
        <v>3605258.7785054892</v>
      </c>
      <c r="BT118" s="831"/>
      <c r="BU118" s="831">
        <f t="shared" si="246"/>
        <v>3605258.7785054892</v>
      </c>
      <c r="BV118" s="831"/>
      <c r="BW118" s="831">
        <f t="shared" si="247"/>
        <v>56400</v>
      </c>
      <c r="BX118" s="831">
        <f t="shared" si="248"/>
        <v>3661658.7785054892</v>
      </c>
      <c r="BY118" s="831"/>
      <c r="BZ118" s="831">
        <f t="shared" si="249"/>
        <v>3661658.7785054892</v>
      </c>
      <c r="CA118" s="1260">
        <f t="shared" si="250"/>
        <v>3661658.7785054892</v>
      </c>
      <c r="CB118" s="1260">
        <f t="shared" si="251"/>
        <v>3485658.7785054892</v>
      </c>
      <c r="CC118" s="1260">
        <v>8000</v>
      </c>
      <c r="CD118" s="1260">
        <f t="shared" si="252"/>
        <v>176000</v>
      </c>
      <c r="CE118" s="1260">
        <f t="shared" si="253"/>
        <v>21120</v>
      </c>
      <c r="CF118" s="1260">
        <f t="shared" si="254"/>
        <v>197120</v>
      </c>
      <c r="CG118" s="1266">
        <f t="shared" si="255"/>
        <v>3682778.7785054892</v>
      </c>
      <c r="CH118" s="1141">
        <f t="shared" si="256"/>
        <v>3682778.7785054892</v>
      </c>
      <c r="CI118" s="1142">
        <f t="shared" si="257"/>
        <v>0</v>
      </c>
      <c r="CJ118" s="1141">
        <f t="shared" si="258"/>
        <v>377484.82479681261</v>
      </c>
      <c r="CK118" s="1141">
        <f t="shared" si="259"/>
        <v>128897.25724769213</v>
      </c>
      <c r="CL118" s="1143">
        <f t="shared" si="329"/>
        <v>4189160.8605499938</v>
      </c>
      <c r="CM118" s="1144">
        <f t="shared" si="260"/>
        <v>0.125</v>
      </c>
      <c r="CN118" s="1141">
        <f t="shared" si="261"/>
        <v>523645.10756874923</v>
      </c>
      <c r="CO118" s="1141">
        <f t="shared" si="262"/>
        <v>30000</v>
      </c>
      <c r="CP118" s="1141">
        <f t="shared" si="263"/>
        <v>493645.10756874923</v>
      </c>
      <c r="CQ118" s="1145">
        <f t="shared" si="264"/>
        <v>13</v>
      </c>
      <c r="CR118" s="1141">
        <f t="shared" si="265"/>
        <v>37972.700582211481</v>
      </c>
      <c r="CS118" s="1144">
        <f t="shared" si="266"/>
        <v>0.875</v>
      </c>
      <c r="CT118" s="1141">
        <f t="shared" si="267"/>
        <v>3665515.7529812446</v>
      </c>
      <c r="CU118" s="1146">
        <f t="shared" si="204"/>
        <v>28418.704617805768</v>
      </c>
      <c r="CV118" s="1146">
        <f t="shared" si="205"/>
        <v>32946.691860344639</v>
      </c>
      <c r="CW118" s="1146">
        <f t="shared" si="206"/>
        <v>42559.745963056193</v>
      </c>
      <c r="CX118" s="1146">
        <f t="shared" si="207"/>
        <v>72581.605177560443</v>
      </c>
      <c r="CY118" s="1146">
        <f t="shared" si="268"/>
        <v>297761.49550885183</v>
      </c>
      <c r="CZ118" s="1146">
        <f t="shared" si="269"/>
        <v>117822.77329333161</v>
      </c>
      <c r="DA118" s="1146">
        <f t="shared" si="270"/>
        <v>85101.720402906751</v>
      </c>
      <c r="DB118" s="1146">
        <f t="shared" si="271"/>
        <v>64766.327107469246</v>
      </c>
      <c r="DC118" s="1146"/>
      <c r="DD118" s="1146"/>
      <c r="DE118" s="1146"/>
      <c r="DF118" s="1146"/>
      <c r="DG118" s="1146"/>
      <c r="DH118" s="1146"/>
      <c r="DI118" s="1146"/>
      <c r="DJ118" s="1146"/>
      <c r="DK118" s="1146"/>
      <c r="DL118" s="1146"/>
      <c r="DM118" s="1146"/>
      <c r="DN118" s="1146"/>
      <c r="DO118" s="1146"/>
      <c r="DP118" s="1146"/>
      <c r="DQ118" s="1146"/>
      <c r="DR118" s="1146"/>
      <c r="DS118" s="1146"/>
      <c r="DT118" s="1146"/>
      <c r="DU118" s="1146"/>
      <c r="DV118" s="1146"/>
      <c r="DW118" s="1146"/>
      <c r="DX118" s="1146"/>
      <c r="DY118" s="1146"/>
      <c r="DZ118" s="1146"/>
      <c r="EA118" s="1147">
        <f t="shared" si="208"/>
        <v>0.10889429084542167</v>
      </c>
      <c r="EB118" s="1148">
        <f t="shared" si="272"/>
        <v>5.6551720212991458E-2</v>
      </c>
      <c r="EC118" s="1190">
        <f t="shared" si="316"/>
        <v>45839</v>
      </c>
      <c r="ED118" s="1031">
        <f t="shared" si="209"/>
        <v>20</v>
      </c>
      <c r="EE118" s="1191"/>
      <c r="EF118" s="1032">
        <f t="shared" si="210"/>
        <v>45904</v>
      </c>
      <c r="EG118" s="1029">
        <f t="shared" si="273"/>
        <v>22</v>
      </c>
      <c r="EH118" s="859" t="s">
        <v>490</v>
      </c>
      <c r="EI118" s="859" t="s">
        <v>480</v>
      </c>
      <c r="EJ118" s="860">
        <f t="shared" si="211"/>
        <v>16800</v>
      </c>
      <c r="EK118" s="860">
        <f t="shared" si="212"/>
        <v>369600</v>
      </c>
      <c r="EL118" s="861">
        <f t="shared" si="213"/>
        <v>0.12196160574687226</v>
      </c>
      <c r="EM118" s="1197"/>
      <c r="EN118" s="860"/>
      <c r="EO118" s="860"/>
      <c r="EP118" s="860">
        <f t="shared" si="214"/>
        <v>0</v>
      </c>
      <c r="EQ118" s="1197"/>
      <c r="ER118" s="1200"/>
      <c r="ES118" s="1197"/>
      <c r="ET118" s="1194" t="s">
        <v>276</v>
      </c>
      <c r="EU118" s="1197" t="b">
        <f t="shared" si="215"/>
        <v>1</v>
      </c>
      <c r="EV118" s="1197" t="s">
        <v>615</v>
      </c>
      <c r="EW118" s="1197" t="s">
        <v>482</v>
      </c>
      <c r="EX118" s="1197"/>
      <c r="EY118" s="1128" t="s">
        <v>587</v>
      </c>
      <c r="EZ118" s="1128" t="s">
        <v>611</v>
      </c>
      <c r="FA118" s="1169"/>
      <c r="FI118" s="1309" t="s">
        <v>149</v>
      </c>
      <c r="FJ118" s="1159" t="s">
        <v>149</v>
      </c>
      <c r="FK118" s="1160" t="b">
        <f t="shared" si="275"/>
        <v>1</v>
      </c>
      <c r="FL118" s="1131"/>
      <c r="FM118" s="1161"/>
      <c r="FP118" s="1166"/>
      <c r="FQ118" s="1203"/>
      <c r="FU118" s="1295"/>
      <c r="FV118" s="1295"/>
      <c r="FW118" s="1023">
        <v>0.15</v>
      </c>
      <c r="FX118" s="1162">
        <v>15603.182775082447</v>
      </c>
      <c r="FY118" s="1163">
        <v>16090.782236803774</v>
      </c>
      <c r="GA118" s="1164">
        <f t="shared" si="276"/>
        <v>4189160.8605499938</v>
      </c>
      <c r="GB118" s="1165">
        <f t="shared" si="277"/>
        <v>0.15</v>
      </c>
      <c r="GC118" s="1154">
        <f t="shared" si="278"/>
        <v>628374.12908249907</v>
      </c>
      <c r="GD118" s="1164">
        <f t="shared" si="279"/>
        <v>30000</v>
      </c>
      <c r="GE118" s="1154">
        <f t="shared" si="280"/>
        <v>598374.12908249907</v>
      </c>
      <c r="GF118" s="1060">
        <f t="shared" si="281"/>
        <v>35</v>
      </c>
      <c r="GG118" s="1166">
        <f t="shared" si="282"/>
        <v>17096.403688071401</v>
      </c>
      <c r="GI118" s="1164">
        <f t="shared" si="283"/>
        <v>4189160.8605499938</v>
      </c>
      <c r="GJ118" s="1154">
        <f t="shared" si="284"/>
        <v>418916.08605499938</v>
      </c>
      <c r="GK118" s="1154">
        <f t="shared" si="285"/>
        <v>104729.02151374985</v>
      </c>
      <c r="GL118" s="1166">
        <v>15000</v>
      </c>
      <c r="GM118" s="1154">
        <f t="shared" si="286"/>
        <v>403916.08605499938</v>
      </c>
      <c r="GN118" s="1060">
        <f t="shared" si="287"/>
        <v>35</v>
      </c>
      <c r="GO118" s="1154">
        <f t="shared" si="288"/>
        <v>11540.459601571411</v>
      </c>
      <c r="GS118" s="1010">
        <f t="shared" si="289"/>
        <v>4189160.8605499938</v>
      </c>
      <c r="GT118" s="1011">
        <f t="shared" si="290"/>
        <v>0.125</v>
      </c>
      <c r="GU118" s="1010">
        <f t="shared" si="291"/>
        <v>523645.10756874923</v>
      </c>
      <c r="GV118" s="1010">
        <f t="shared" si="292"/>
        <v>30000</v>
      </c>
      <c r="GW118" s="1010">
        <f t="shared" si="293"/>
        <v>493645.10756874923</v>
      </c>
      <c r="GX118" s="1010">
        <f t="shared" si="294"/>
        <v>13</v>
      </c>
      <c r="GY118" s="1010">
        <f t="shared" si="295"/>
        <v>37972.700582211481</v>
      </c>
      <c r="GZ118" s="1011">
        <f t="shared" si="296"/>
        <v>0.875</v>
      </c>
      <c r="HA118" s="1010">
        <f t="shared" si="297"/>
        <v>3665515.7529812446</v>
      </c>
      <c r="HB118" s="1010">
        <f t="shared" si="298"/>
        <v>28418.704617805768</v>
      </c>
      <c r="HC118" s="1010">
        <f t="shared" si="299"/>
        <v>32946.691860344639</v>
      </c>
      <c r="HD118" s="1010">
        <f t="shared" si="300"/>
        <v>42559.745963056193</v>
      </c>
      <c r="HE118" s="1010">
        <f t="shared" si="301"/>
        <v>72581.605177560443</v>
      </c>
      <c r="HG118" s="1010">
        <f t="shared" si="302"/>
        <v>4189160.8605499938</v>
      </c>
      <c r="HH118" s="1011">
        <f t="shared" si="303"/>
        <v>0.125</v>
      </c>
      <c r="HI118" s="1010">
        <f t="shared" si="304"/>
        <v>523645.10756874923</v>
      </c>
      <c r="HJ118" s="1010">
        <f t="shared" si="305"/>
        <v>30000</v>
      </c>
      <c r="HK118" s="1010">
        <f t="shared" si="306"/>
        <v>493645.10756874923</v>
      </c>
      <c r="HL118" s="1012">
        <f t="shared" si="307"/>
        <v>33</v>
      </c>
      <c r="HM118" s="1167">
        <f t="shared" si="308"/>
        <v>14958.942653598462</v>
      </c>
      <c r="HN118" s="1168">
        <f t="shared" si="309"/>
        <v>0.875</v>
      </c>
      <c r="HO118" s="1167">
        <f t="shared" si="310"/>
        <v>3665515.7529812446</v>
      </c>
      <c r="HP118" s="1146">
        <f t="shared" si="311"/>
        <v>28418.704617805768</v>
      </c>
      <c r="HQ118" s="1146">
        <f t="shared" si="312"/>
        <v>32946.691860344639</v>
      </c>
      <c r="HR118" s="1146">
        <f t="shared" si="313"/>
        <v>42559.745963056193</v>
      </c>
      <c r="HS118" s="1146">
        <f t="shared" si="314"/>
        <v>72581.605177560443</v>
      </c>
      <c r="HU118" s="1167">
        <f t="shared" si="315"/>
        <v>-23013.75792861302</v>
      </c>
      <c r="HX118" s="1154"/>
      <c r="HY118" s="1154"/>
      <c r="IB118" s="1154"/>
      <c r="IC118" s="1154"/>
      <c r="ID118" s="1154"/>
      <c r="IE118" s="1154"/>
      <c r="IG118" s="1060"/>
    </row>
    <row r="119" spans="1:241" ht="14.25" hidden="1" customHeight="1">
      <c r="A119" s="1186">
        <f t="shared" si="330"/>
        <v>113</v>
      </c>
      <c r="B119" s="824" t="s">
        <v>149</v>
      </c>
      <c r="C119" s="855">
        <f t="shared" si="350"/>
        <v>8</v>
      </c>
      <c r="D119" s="856" t="s">
        <v>511</v>
      </c>
      <c r="E119" s="857" t="str">
        <f t="shared" si="216"/>
        <v>8th Floor</v>
      </c>
      <c r="F119" s="1185"/>
      <c r="G119" s="764" t="s">
        <v>277</v>
      </c>
      <c r="H119" s="764" t="s">
        <v>508</v>
      </c>
      <c r="I119" s="764" t="s">
        <v>476</v>
      </c>
      <c r="J119" s="831">
        <v>22</v>
      </c>
      <c r="K119" s="1142"/>
      <c r="L119" s="764" t="s">
        <v>500</v>
      </c>
      <c r="M119" s="764" t="s">
        <v>117</v>
      </c>
      <c r="N119" s="856">
        <f t="shared" si="217"/>
        <v>100909.09090909091</v>
      </c>
      <c r="O119" s="1138">
        <f t="shared" si="324"/>
        <v>2220000</v>
      </c>
      <c r="P119" s="1138">
        <f t="shared" si="331"/>
        <v>22400</v>
      </c>
      <c r="Q119" s="1138">
        <f t="shared" si="203"/>
        <v>50000</v>
      </c>
      <c r="R119" s="1138"/>
      <c r="S119" s="1138"/>
      <c r="T119" s="1138">
        <f t="shared" si="349"/>
        <v>66000</v>
      </c>
      <c r="U119" s="1138"/>
      <c r="V119" s="858">
        <f t="shared" si="359"/>
        <v>55000</v>
      </c>
      <c r="W119" s="1138"/>
      <c r="X119" s="1138"/>
      <c r="Y119" s="1138">
        <f t="shared" si="352"/>
        <v>80000</v>
      </c>
      <c r="Z119" s="1138">
        <f t="shared" si="327"/>
        <v>75000</v>
      </c>
      <c r="AA119" s="1138">
        <f t="shared" si="328"/>
        <v>348400</v>
      </c>
      <c r="AB119" s="1138">
        <f t="shared" si="218"/>
        <v>2568400</v>
      </c>
      <c r="AC119" s="1138">
        <f t="shared" si="219"/>
        <v>64210</v>
      </c>
      <c r="AD119" s="1138">
        <f t="shared" si="220"/>
        <v>2632610</v>
      </c>
      <c r="AE119" s="1138">
        <f t="shared" si="221"/>
        <v>65815.25</v>
      </c>
      <c r="AF119" s="1138">
        <f t="shared" si="222"/>
        <v>2698425.25</v>
      </c>
      <c r="AG119" s="1138">
        <f t="shared" si="223"/>
        <v>67460.631250000006</v>
      </c>
      <c r="AH119" s="1138">
        <f t="shared" si="224"/>
        <v>2765885.8812500001</v>
      </c>
      <c r="AI119" s="1138">
        <f t="shared" si="225"/>
        <v>138294.2940625</v>
      </c>
      <c r="AJ119" s="1138">
        <f t="shared" si="226"/>
        <v>2904180.1753125</v>
      </c>
      <c r="AK119" s="1138">
        <f t="shared" si="227"/>
        <v>29041.801753125001</v>
      </c>
      <c r="AL119" s="1138">
        <f t="shared" si="228"/>
        <v>27537.409960060559</v>
      </c>
      <c r="AM119" s="1138"/>
      <c r="AN119" s="1138"/>
      <c r="AO119" s="1138">
        <f t="shared" si="229"/>
        <v>2960759.3870256855</v>
      </c>
      <c r="AP119" s="1138">
        <f t="shared" si="230"/>
        <v>399702.51724846754</v>
      </c>
      <c r="AQ119" s="1248">
        <f t="shared" si="231"/>
        <v>3360461.9042741531</v>
      </c>
      <c r="AR119" s="1248">
        <f t="shared" si="347"/>
        <v>3030461.9042741531</v>
      </c>
      <c r="AS119" s="1248">
        <v>15000</v>
      </c>
      <c r="AT119" s="1248">
        <f t="shared" si="348"/>
        <v>330000</v>
      </c>
      <c r="AU119" s="1248">
        <f t="shared" si="232"/>
        <v>39600</v>
      </c>
      <c r="AV119" s="1140">
        <f t="shared" si="233"/>
        <v>369600</v>
      </c>
      <c r="AW119" s="1140">
        <f t="shared" si="234"/>
        <v>3400061.9042741531</v>
      </c>
      <c r="AX119" s="1139">
        <f t="shared" si="235"/>
        <v>42500.773803426913</v>
      </c>
      <c r="AY119" s="831" t="s">
        <v>478</v>
      </c>
      <c r="AZ119" s="831">
        <f t="shared" si="236"/>
        <v>3442562.6780775799</v>
      </c>
      <c r="BA119" s="831">
        <f t="shared" si="237"/>
        <v>129096.10042790924</v>
      </c>
      <c r="BB119" s="831"/>
      <c r="BC119" s="831">
        <f t="shared" si="346"/>
        <v>33600</v>
      </c>
      <c r="BD119" s="831"/>
      <c r="BE119" s="831">
        <f t="shared" si="238"/>
        <v>3605258.7785054892</v>
      </c>
      <c r="BF119" s="831"/>
      <c r="BG119" s="831">
        <f t="shared" si="239"/>
        <v>3605258.7785054892</v>
      </c>
      <c r="BH119" s="831"/>
      <c r="BI119" s="831">
        <f t="shared" si="240"/>
        <v>3605258.7785054892</v>
      </c>
      <c r="BJ119" s="831"/>
      <c r="BK119" s="831">
        <f t="shared" si="241"/>
        <v>3605258.7785054892</v>
      </c>
      <c r="BL119" s="831"/>
      <c r="BM119" s="831">
        <f t="shared" si="242"/>
        <v>3605258.7785054892</v>
      </c>
      <c r="BN119" s="831"/>
      <c r="BO119" s="831">
        <f t="shared" si="243"/>
        <v>3605258.7785054892</v>
      </c>
      <c r="BP119" s="831"/>
      <c r="BQ119" s="831">
        <f t="shared" si="244"/>
        <v>3605258.7785054892</v>
      </c>
      <c r="BR119" s="831"/>
      <c r="BS119" s="831">
        <f t="shared" si="245"/>
        <v>3605258.7785054892</v>
      </c>
      <c r="BT119" s="831"/>
      <c r="BU119" s="831">
        <f t="shared" si="246"/>
        <v>3605258.7785054892</v>
      </c>
      <c r="BV119" s="831"/>
      <c r="BW119" s="831">
        <f t="shared" si="247"/>
        <v>56400</v>
      </c>
      <c r="BX119" s="831">
        <f t="shared" si="248"/>
        <v>3661658.7785054892</v>
      </c>
      <c r="BY119" s="831"/>
      <c r="BZ119" s="831">
        <f t="shared" si="249"/>
        <v>3661658.7785054892</v>
      </c>
      <c r="CA119" s="1260">
        <f t="shared" si="250"/>
        <v>3661658.7785054892</v>
      </c>
      <c r="CB119" s="1260">
        <f t="shared" si="251"/>
        <v>3485658.7785054892</v>
      </c>
      <c r="CC119" s="1260">
        <v>8000</v>
      </c>
      <c r="CD119" s="1260">
        <f t="shared" si="252"/>
        <v>176000</v>
      </c>
      <c r="CE119" s="1260">
        <f t="shared" si="253"/>
        <v>21120</v>
      </c>
      <c r="CF119" s="1260">
        <f t="shared" si="254"/>
        <v>197120</v>
      </c>
      <c r="CG119" s="1266">
        <f t="shared" si="255"/>
        <v>3682778.7785054892</v>
      </c>
      <c r="CH119" s="1141">
        <f t="shared" si="256"/>
        <v>3682778.7785054892</v>
      </c>
      <c r="CI119" s="1142">
        <f t="shared" si="257"/>
        <v>0</v>
      </c>
      <c r="CJ119" s="1141">
        <f t="shared" si="258"/>
        <v>377484.82479681261</v>
      </c>
      <c r="CK119" s="1141">
        <f t="shared" si="259"/>
        <v>128897.25724769213</v>
      </c>
      <c r="CL119" s="1143">
        <f t="shared" si="329"/>
        <v>4189160.8605499938</v>
      </c>
      <c r="CM119" s="1144">
        <f t="shared" si="260"/>
        <v>0.125</v>
      </c>
      <c r="CN119" s="1141">
        <f t="shared" si="261"/>
        <v>523645.10756874923</v>
      </c>
      <c r="CO119" s="1141">
        <f t="shared" si="262"/>
        <v>30000</v>
      </c>
      <c r="CP119" s="1141">
        <f t="shared" si="263"/>
        <v>493645.10756874923</v>
      </c>
      <c r="CQ119" s="1145">
        <f t="shared" si="264"/>
        <v>13</v>
      </c>
      <c r="CR119" s="1141">
        <f t="shared" si="265"/>
        <v>37972.700582211481</v>
      </c>
      <c r="CS119" s="1144">
        <f t="shared" si="266"/>
        <v>0.875</v>
      </c>
      <c r="CT119" s="1141">
        <f t="shared" si="267"/>
        <v>3665515.7529812446</v>
      </c>
      <c r="CU119" s="1146">
        <f t="shared" si="204"/>
        <v>28418.704617805768</v>
      </c>
      <c r="CV119" s="1146">
        <f t="shared" si="205"/>
        <v>32946.691860344639</v>
      </c>
      <c r="CW119" s="1146">
        <f t="shared" si="206"/>
        <v>42559.745963056193</v>
      </c>
      <c r="CX119" s="1146">
        <f t="shared" si="207"/>
        <v>72581.605177560443</v>
      </c>
      <c r="CY119" s="1146">
        <f t="shared" si="268"/>
        <v>297761.49550885183</v>
      </c>
      <c r="CZ119" s="1146">
        <f t="shared" si="269"/>
        <v>117822.77329333161</v>
      </c>
      <c r="DA119" s="1146">
        <f t="shared" si="270"/>
        <v>85101.720402906751</v>
      </c>
      <c r="DB119" s="1146">
        <f t="shared" si="271"/>
        <v>64766.327107469246</v>
      </c>
      <c r="DC119" s="1146"/>
      <c r="DD119" s="1146"/>
      <c r="DE119" s="1146"/>
      <c r="DF119" s="1146"/>
      <c r="DG119" s="1146"/>
      <c r="DH119" s="1146"/>
      <c r="DI119" s="1146"/>
      <c r="DJ119" s="1146"/>
      <c r="DK119" s="1146"/>
      <c r="DL119" s="1146"/>
      <c r="DM119" s="1146"/>
      <c r="DN119" s="1146"/>
      <c r="DO119" s="1146"/>
      <c r="DP119" s="1146"/>
      <c r="DQ119" s="1146"/>
      <c r="DR119" s="1146"/>
      <c r="DS119" s="1146"/>
      <c r="DT119" s="1146"/>
      <c r="DU119" s="1146"/>
      <c r="DV119" s="1146"/>
      <c r="DW119" s="1146"/>
      <c r="DX119" s="1146"/>
      <c r="DY119" s="1146"/>
      <c r="DZ119" s="1146"/>
      <c r="EA119" s="1147">
        <f t="shared" si="208"/>
        <v>0.10889429084542167</v>
      </c>
      <c r="EB119" s="1148">
        <f t="shared" si="272"/>
        <v>5.6551720212991458E-2</v>
      </c>
      <c r="EC119" s="1190">
        <f t="shared" si="316"/>
        <v>45839</v>
      </c>
      <c r="ED119" s="1031">
        <f t="shared" si="209"/>
        <v>20</v>
      </c>
      <c r="EE119" s="1191"/>
      <c r="EF119" s="1032">
        <f t="shared" si="210"/>
        <v>45904</v>
      </c>
      <c r="EG119" s="1029">
        <f t="shared" si="273"/>
        <v>22</v>
      </c>
      <c r="EH119" s="859" t="s">
        <v>490</v>
      </c>
      <c r="EI119" s="859" t="s">
        <v>480</v>
      </c>
      <c r="EJ119" s="860">
        <f t="shared" si="211"/>
        <v>16800</v>
      </c>
      <c r="EK119" s="860">
        <f t="shared" si="212"/>
        <v>369600</v>
      </c>
      <c r="EL119" s="861">
        <f t="shared" si="213"/>
        <v>0.12196160574687226</v>
      </c>
      <c r="EM119" s="1197"/>
      <c r="EN119" s="860"/>
      <c r="EO119" s="860"/>
      <c r="EP119" s="860">
        <f t="shared" si="214"/>
        <v>0</v>
      </c>
      <c r="EQ119" s="1197"/>
      <c r="ER119" s="1200"/>
      <c r="ES119" s="1197"/>
      <c r="ET119" s="1194" t="s">
        <v>277</v>
      </c>
      <c r="EU119" s="1197" t="b">
        <f t="shared" si="215"/>
        <v>1</v>
      </c>
      <c r="EV119" s="1197" t="s">
        <v>616</v>
      </c>
      <c r="EW119" s="1197" t="s">
        <v>482</v>
      </c>
      <c r="EX119" s="1197"/>
      <c r="EY119" s="1128" t="s">
        <v>587</v>
      </c>
      <c r="EZ119" s="1128" t="s">
        <v>611</v>
      </c>
      <c r="FA119" s="1169"/>
      <c r="FI119" s="1309" t="s">
        <v>149</v>
      </c>
      <c r="FJ119" s="1159" t="s">
        <v>149</v>
      </c>
      <c r="FK119" s="1160" t="b">
        <f t="shared" si="275"/>
        <v>1</v>
      </c>
      <c r="FL119" s="1131"/>
      <c r="FM119" s="1161"/>
      <c r="FP119" s="1166"/>
      <c r="FQ119" s="1203"/>
      <c r="FU119" s="1295"/>
      <c r="FV119" s="1295"/>
      <c r="FW119" s="1023">
        <v>0.15</v>
      </c>
      <c r="FX119" s="1162">
        <v>15603.182775082447</v>
      </c>
      <c r="FY119" s="1163">
        <v>16090.782236803774</v>
      </c>
      <c r="GA119" s="1164">
        <f t="shared" si="276"/>
        <v>4189160.8605499938</v>
      </c>
      <c r="GB119" s="1165">
        <f t="shared" si="277"/>
        <v>0.15</v>
      </c>
      <c r="GC119" s="1154">
        <f t="shared" si="278"/>
        <v>628374.12908249907</v>
      </c>
      <c r="GD119" s="1164">
        <f t="shared" si="279"/>
        <v>30000</v>
      </c>
      <c r="GE119" s="1154">
        <f t="shared" si="280"/>
        <v>598374.12908249907</v>
      </c>
      <c r="GF119" s="1060">
        <f t="shared" si="281"/>
        <v>35</v>
      </c>
      <c r="GG119" s="1166">
        <f t="shared" si="282"/>
        <v>17096.403688071401</v>
      </c>
      <c r="GI119" s="1164">
        <f t="shared" si="283"/>
        <v>4189160.8605499938</v>
      </c>
      <c r="GJ119" s="1154">
        <f t="shared" si="284"/>
        <v>418916.08605499938</v>
      </c>
      <c r="GK119" s="1154">
        <f t="shared" si="285"/>
        <v>104729.02151374985</v>
      </c>
      <c r="GL119" s="1166">
        <v>15000</v>
      </c>
      <c r="GM119" s="1154">
        <f t="shared" si="286"/>
        <v>403916.08605499938</v>
      </c>
      <c r="GN119" s="1060">
        <f t="shared" si="287"/>
        <v>35</v>
      </c>
      <c r="GO119" s="1154">
        <f t="shared" si="288"/>
        <v>11540.459601571411</v>
      </c>
      <c r="GS119" s="1010">
        <f t="shared" si="289"/>
        <v>4189160.8605499938</v>
      </c>
      <c r="GT119" s="1011">
        <f t="shared" si="290"/>
        <v>0.125</v>
      </c>
      <c r="GU119" s="1010">
        <f t="shared" si="291"/>
        <v>523645.10756874923</v>
      </c>
      <c r="GV119" s="1010">
        <f t="shared" si="292"/>
        <v>30000</v>
      </c>
      <c r="GW119" s="1010">
        <f t="shared" si="293"/>
        <v>493645.10756874923</v>
      </c>
      <c r="GX119" s="1010">
        <f t="shared" si="294"/>
        <v>13</v>
      </c>
      <c r="GY119" s="1010">
        <f t="shared" si="295"/>
        <v>37972.700582211481</v>
      </c>
      <c r="GZ119" s="1011">
        <f t="shared" si="296"/>
        <v>0.875</v>
      </c>
      <c r="HA119" s="1010">
        <f t="shared" si="297"/>
        <v>3665515.7529812446</v>
      </c>
      <c r="HB119" s="1010">
        <f t="shared" si="298"/>
        <v>28418.704617805768</v>
      </c>
      <c r="HC119" s="1010">
        <f t="shared" si="299"/>
        <v>32946.691860344639</v>
      </c>
      <c r="HD119" s="1010">
        <f t="shared" si="300"/>
        <v>42559.745963056193</v>
      </c>
      <c r="HE119" s="1010">
        <f t="shared" si="301"/>
        <v>72581.605177560443</v>
      </c>
      <c r="HG119" s="1010">
        <f t="shared" si="302"/>
        <v>4189160.8605499938</v>
      </c>
      <c r="HH119" s="1011">
        <f t="shared" si="303"/>
        <v>0.125</v>
      </c>
      <c r="HI119" s="1010">
        <f t="shared" si="304"/>
        <v>523645.10756874923</v>
      </c>
      <c r="HJ119" s="1010">
        <f t="shared" si="305"/>
        <v>30000</v>
      </c>
      <c r="HK119" s="1010">
        <f t="shared" si="306"/>
        <v>493645.10756874923</v>
      </c>
      <c r="HL119" s="1012">
        <f t="shared" si="307"/>
        <v>33</v>
      </c>
      <c r="HM119" s="1167">
        <f t="shared" si="308"/>
        <v>14958.942653598462</v>
      </c>
      <c r="HN119" s="1168">
        <f t="shared" si="309"/>
        <v>0.875</v>
      </c>
      <c r="HO119" s="1167">
        <f t="shared" si="310"/>
        <v>3665515.7529812446</v>
      </c>
      <c r="HP119" s="1146">
        <f t="shared" si="311"/>
        <v>28418.704617805768</v>
      </c>
      <c r="HQ119" s="1146">
        <f t="shared" si="312"/>
        <v>32946.691860344639</v>
      </c>
      <c r="HR119" s="1146">
        <f t="shared" si="313"/>
        <v>42559.745963056193</v>
      </c>
      <c r="HS119" s="1146">
        <f t="shared" si="314"/>
        <v>72581.605177560443</v>
      </c>
      <c r="HU119" s="1167">
        <f t="shared" si="315"/>
        <v>-23013.75792861302</v>
      </c>
      <c r="HX119" s="1154"/>
      <c r="HY119" s="1154"/>
      <c r="IB119" s="1154"/>
      <c r="IC119" s="1154"/>
      <c r="ID119" s="1154"/>
      <c r="IE119" s="1154"/>
      <c r="IG119" s="1060"/>
    </row>
    <row r="120" spans="1:241" ht="14.25" hidden="1" customHeight="1">
      <c r="A120" s="1186">
        <f t="shared" si="330"/>
        <v>114</v>
      </c>
      <c r="B120" s="824" t="s">
        <v>149</v>
      </c>
      <c r="C120" s="855">
        <f t="shared" si="350"/>
        <v>9</v>
      </c>
      <c r="D120" s="856" t="s">
        <v>511</v>
      </c>
      <c r="E120" s="857" t="str">
        <f t="shared" si="216"/>
        <v>8th Floor</v>
      </c>
      <c r="F120" s="1185"/>
      <c r="G120" s="764" t="s">
        <v>278</v>
      </c>
      <c r="H120" s="764" t="s">
        <v>512</v>
      </c>
      <c r="I120" s="764" t="s">
        <v>476</v>
      </c>
      <c r="J120" s="1139">
        <v>22</v>
      </c>
      <c r="K120" s="1142"/>
      <c r="L120" s="764" t="s">
        <v>500</v>
      </c>
      <c r="M120" s="764" t="s">
        <v>93</v>
      </c>
      <c r="N120" s="856">
        <f t="shared" si="217"/>
        <v>100909.09090909091</v>
      </c>
      <c r="O120" s="1138">
        <f t="shared" si="324"/>
        <v>2220000</v>
      </c>
      <c r="P120" s="1138">
        <f t="shared" si="331"/>
        <v>22400</v>
      </c>
      <c r="Q120" s="1138">
        <f t="shared" si="203"/>
        <v>50000</v>
      </c>
      <c r="R120" s="1138"/>
      <c r="S120" s="1138"/>
      <c r="T120" s="1138">
        <f t="shared" si="349"/>
        <v>66000</v>
      </c>
      <c r="U120" s="1138"/>
      <c r="V120" s="858"/>
      <c r="W120" s="1138"/>
      <c r="X120" s="1138"/>
      <c r="Y120" s="1138">
        <f t="shared" si="352"/>
        <v>80000</v>
      </c>
      <c r="Z120" s="1138">
        <f t="shared" si="327"/>
        <v>75000</v>
      </c>
      <c r="AA120" s="1138">
        <f t="shared" si="328"/>
        <v>293400</v>
      </c>
      <c r="AB120" s="1138">
        <f t="shared" si="218"/>
        <v>2513400</v>
      </c>
      <c r="AC120" s="1138">
        <f t="shared" si="219"/>
        <v>62835</v>
      </c>
      <c r="AD120" s="1138">
        <f t="shared" si="220"/>
        <v>2576235</v>
      </c>
      <c r="AE120" s="1138">
        <f t="shared" si="221"/>
        <v>64405.875</v>
      </c>
      <c r="AF120" s="1138">
        <f t="shared" si="222"/>
        <v>2640640.875</v>
      </c>
      <c r="AG120" s="1138">
        <f t="shared" si="223"/>
        <v>66016.021875000006</v>
      </c>
      <c r="AH120" s="1138">
        <f t="shared" si="224"/>
        <v>2706656.8968750001</v>
      </c>
      <c r="AI120" s="1138">
        <f t="shared" si="225"/>
        <v>135332.84484375</v>
      </c>
      <c r="AJ120" s="1138">
        <f t="shared" si="226"/>
        <v>2841989.74171875</v>
      </c>
      <c r="AK120" s="1138">
        <f t="shared" si="227"/>
        <v>28419.897417187502</v>
      </c>
      <c r="AL120" s="1138">
        <f t="shared" si="228"/>
        <v>27537.409960060559</v>
      </c>
      <c r="AM120" s="1138"/>
      <c r="AN120" s="1138"/>
      <c r="AO120" s="1138">
        <f t="shared" si="229"/>
        <v>2897947.0490959981</v>
      </c>
      <c r="AP120" s="1138">
        <f t="shared" si="230"/>
        <v>391222.85162795975</v>
      </c>
      <c r="AQ120" s="1248">
        <f t="shared" si="231"/>
        <v>3289169.9007239579</v>
      </c>
      <c r="AR120" s="1248">
        <f t="shared" si="347"/>
        <v>2959169.9007239579</v>
      </c>
      <c r="AS120" s="1248">
        <v>15000</v>
      </c>
      <c r="AT120" s="1248">
        <f t="shared" si="348"/>
        <v>330000</v>
      </c>
      <c r="AU120" s="1248">
        <f t="shared" si="232"/>
        <v>39600</v>
      </c>
      <c r="AV120" s="1140">
        <f t="shared" si="233"/>
        <v>369600</v>
      </c>
      <c r="AW120" s="1140">
        <f t="shared" si="234"/>
        <v>3328769.9007239579</v>
      </c>
      <c r="AX120" s="1139">
        <f t="shared" si="235"/>
        <v>41609.623759049478</v>
      </c>
      <c r="AY120" s="831" t="s">
        <v>478</v>
      </c>
      <c r="AZ120" s="831">
        <f t="shared" si="236"/>
        <v>3370379.5244830074</v>
      </c>
      <c r="BA120" s="831">
        <f t="shared" si="237"/>
        <v>126389.23216811277</v>
      </c>
      <c r="BB120" s="831"/>
      <c r="BC120" s="831">
        <f t="shared" si="346"/>
        <v>33600</v>
      </c>
      <c r="BD120" s="831"/>
      <c r="BE120" s="831">
        <f t="shared" si="238"/>
        <v>3530368.7566511203</v>
      </c>
      <c r="BF120" s="831"/>
      <c r="BG120" s="831">
        <f t="shared" si="239"/>
        <v>3530368.7566511203</v>
      </c>
      <c r="BH120" s="831"/>
      <c r="BI120" s="831">
        <f t="shared" si="240"/>
        <v>3530368.7566511203</v>
      </c>
      <c r="BJ120" s="831"/>
      <c r="BK120" s="831">
        <f t="shared" si="241"/>
        <v>3530368.7566511203</v>
      </c>
      <c r="BL120" s="831"/>
      <c r="BM120" s="831">
        <f t="shared" si="242"/>
        <v>3530368.7566511203</v>
      </c>
      <c r="BN120" s="831"/>
      <c r="BO120" s="831">
        <f t="shared" si="243"/>
        <v>3530368.7566511203</v>
      </c>
      <c r="BP120" s="831"/>
      <c r="BQ120" s="831">
        <f t="shared" si="244"/>
        <v>3530368.7566511203</v>
      </c>
      <c r="BR120" s="831"/>
      <c r="BS120" s="831">
        <f t="shared" si="245"/>
        <v>3530368.7566511203</v>
      </c>
      <c r="BT120" s="831"/>
      <c r="BU120" s="831">
        <f t="shared" si="246"/>
        <v>3530368.7566511203</v>
      </c>
      <c r="BV120" s="831"/>
      <c r="BW120" s="831">
        <f t="shared" si="247"/>
        <v>56400</v>
      </c>
      <c r="BX120" s="831">
        <f t="shared" si="248"/>
        <v>3586768.7566511203</v>
      </c>
      <c r="BY120" s="831"/>
      <c r="BZ120" s="831">
        <f t="shared" si="249"/>
        <v>3586768.7566511203</v>
      </c>
      <c r="CA120" s="1260">
        <f t="shared" si="250"/>
        <v>3586768.7566511203</v>
      </c>
      <c r="CB120" s="1260">
        <f t="shared" si="251"/>
        <v>3586768.7566511203</v>
      </c>
      <c r="CC120" s="1260"/>
      <c r="CD120" s="1260">
        <f t="shared" si="252"/>
        <v>0</v>
      </c>
      <c r="CE120" s="1260">
        <f t="shared" si="253"/>
        <v>0</v>
      </c>
      <c r="CF120" s="1260">
        <f t="shared" si="254"/>
        <v>0</v>
      </c>
      <c r="CG120" s="1266">
        <f t="shared" si="255"/>
        <v>3586768.7566511203</v>
      </c>
      <c r="CH120" s="1141">
        <f t="shared" si="256"/>
        <v>3586768.7566511203</v>
      </c>
      <c r="CI120" s="1142">
        <f t="shared" si="257"/>
        <v>0</v>
      </c>
      <c r="CJ120" s="1141">
        <f t="shared" si="258"/>
        <v>367643.79755673982</v>
      </c>
      <c r="CK120" s="1141">
        <f t="shared" si="259"/>
        <v>125536.90648278921</v>
      </c>
      <c r="CL120" s="1143">
        <f t="shared" si="329"/>
        <v>4079949.4606906492</v>
      </c>
      <c r="CM120" s="1144">
        <f t="shared" si="260"/>
        <v>0.125</v>
      </c>
      <c r="CN120" s="1141">
        <f t="shared" si="261"/>
        <v>509993.68258633115</v>
      </c>
      <c r="CO120" s="1141">
        <f t="shared" si="262"/>
        <v>30000</v>
      </c>
      <c r="CP120" s="1141">
        <f t="shared" si="263"/>
        <v>479993.68258633115</v>
      </c>
      <c r="CQ120" s="1145">
        <f t="shared" si="264"/>
        <v>13</v>
      </c>
      <c r="CR120" s="1141">
        <f t="shared" si="265"/>
        <v>36922.59096817932</v>
      </c>
      <c r="CS120" s="1144">
        <f t="shared" si="266"/>
        <v>0.875</v>
      </c>
      <c r="CT120" s="1141">
        <f t="shared" si="267"/>
        <v>3569955.7781043183</v>
      </c>
      <c r="CU120" s="1146">
        <f t="shared" si="204"/>
        <v>27677.829149707293</v>
      </c>
      <c r="CV120" s="1146">
        <f t="shared" si="205"/>
        <v>32087.771790531348</v>
      </c>
      <c r="CW120" s="1146">
        <f t="shared" si="206"/>
        <v>41450.213627343212</v>
      </c>
      <c r="CX120" s="1146">
        <f t="shared" si="207"/>
        <v>70689.403142511612</v>
      </c>
      <c r="CY120" s="1146">
        <f t="shared" si="268"/>
        <v>289998.85501085385</v>
      </c>
      <c r="CZ120" s="1146">
        <f t="shared" si="269"/>
        <v>114751.13426226669</v>
      </c>
      <c r="DA120" s="1146">
        <f t="shared" si="270"/>
        <v>82883.119034989897</v>
      </c>
      <c r="DB120" s="1146">
        <f t="shared" si="271"/>
        <v>63077.869327352804</v>
      </c>
      <c r="DC120" s="1146"/>
      <c r="DD120" s="1146"/>
      <c r="DE120" s="1146"/>
      <c r="DF120" s="1146"/>
      <c r="DG120" s="1146"/>
      <c r="DH120" s="1146"/>
      <c r="DI120" s="1146"/>
      <c r="DJ120" s="1146"/>
      <c r="DK120" s="1146"/>
      <c r="DL120" s="1146"/>
      <c r="DM120" s="1146"/>
      <c r="DN120" s="1146"/>
      <c r="DO120" s="1146"/>
      <c r="DP120" s="1146"/>
      <c r="DQ120" s="1146"/>
      <c r="DR120" s="1146"/>
      <c r="DS120" s="1146"/>
      <c r="DT120" s="1146"/>
      <c r="DU120" s="1146"/>
      <c r="DV120" s="1146"/>
      <c r="DW120" s="1146"/>
      <c r="DX120" s="1146"/>
      <c r="DY120" s="1146"/>
      <c r="DZ120" s="1146"/>
      <c r="EA120" s="1147">
        <f t="shared" si="208"/>
        <v>0.11151776040952087</v>
      </c>
      <c r="EB120" s="1148">
        <f t="shared" si="272"/>
        <v>0</v>
      </c>
      <c r="EC120" s="1190">
        <f t="shared" si="316"/>
        <v>45839</v>
      </c>
      <c r="ED120" s="1031">
        <f t="shared" si="209"/>
        <v>20</v>
      </c>
      <c r="EE120" s="1191"/>
      <c r="EF120" s="1032">
        <f t="shared" si="210"/>
        <v>45904</v>
      </c>
      <c r="EG120" s="1029">
        <f t="shared" si="273"/>
        <v>22</v>
      </c>
      <c r="EH120" s="859" t="s">
        <v>490</v>
      </c>
      <c r="EI120" s="859" t="s">
        <v>480</v>
      </c>
      <c r="EJ120" s="860">
        <f t="shared" si="211"/>
        <v>16800</v>
      </c>
      <c r="EK120" s="860">
        <f t="shared" si="212"/>
        <v>369600</v>
      </c>
      <c r="EL120" s="861">
        <f t="shared" si="213"/>
        <v>0.12489989165866337</v>
      </c>
      <c r="EM120" s="1197"/>
      <c r="EN120" s="860"/>
      <c r="EO120" s="860"/>
      <c r="EP120" s="860">
        <f t="shared" si="214"/>
        <v>0</v>
      </c>
      <c r="EQ120" s="1197"/>
      <c r="ER120" s="1200"/>
      <c r="ES120" s="1197"/>
      <c r="ET120" s="1194" t="s">
        <v>278</v>
      </c>
      <c r="EU120" s="1197" t="b">
        <f t="shared" si="215"/>
        <v>1</v>
      </c>
      <c r="EV120" s="1197" t="s">
        <v>617</v>
      </c>
      <c r="EW120" s="1197" t="s">
        <v>482</v>
      </c>
      <c r="EX120" s="1197"/>
      <c r="EY120" s="1128" t="s">
        <v>587</v>
      </c>
      <c r="EZ120" s="1128" t="s">
        <v>484</v>
      </c>
      <c r="FA120" s="1169">
        <f t="shared" si="274"/>
        <v>0</v>
      </c>
      <c r="FI120" s="1309" t="s">
        <v>149</v>
      </c>
      <c r="FJ120" s="1159" t="s">
        <v>149</v>
      </c>
      <c r="FK120" s="1160" t="b">
        <f t="shared" si="275"/>
        <v>1</v>
      </c>
      <c r="FL120" s="1131"/>
      <c r="FM120" s="1161"/>
      <c r="FP120" s="1166"/>
      <c r="FQ120" s="1203"/>
      <c r="FU120" s="1295"/>
      <c r="FV120" s="1295"/>
      <c r="FW120" s="1023">
        <v>0.15</v>
      </c>
      <c r="FX120" s="1162">
        <v>14949.670607265574</v>
      </c>
      <c r="FY120" s="1163">
        <v>15416.847813742623</v>
      </c>
      <c r="GA120" s="1164">
        <f t="shared" si="276"/>
        <v>4079949.4606906492</v>
      </c>
      <c r="GB120" s="1165">
        <f t="shared" si="277"/>
        <v>0.15</v>
      </c>
      <c r="GC120" s="1154">
        <f t="shared" si="278"/>
        <v>611992.41910359741</v>
      </c>
      <c r="GD120" s="1164">
        <f t="shared" si="279"/>
        <v>30000</v>
      </c>
      <c r="GE120" s="1154">
        <f t="shared" si="280"/>
        <v>581992.41910359741</v>
      </c>
      <c r="GF120" s="1060">
        <f t="shared" si="281"/>
        <v>35</v>
      </c>
      <c r="GG120" s="1166">
        <f t="shared" si="282"/>
        <v>16628.354831531353</v>
      </c>
      <c r="GI120" s="1164">
        <f t="shared" si="283"/>
        <v>4079949.4606906492</v>
      </c>
      <c r="GJ120" s="1154">
        <f t="shared" si="284"/>
        <v>407994.94606906496</v>
      </c>
      <c r="GK120" s="1154">
        <f t="shared" si="285"/>
        <v>101998.73651726624</v>
      </c>
      <c r="GL120" s="1166">
        <v>15000</v>
      </c>
      <c r="GM120" s="1154">
        <f t="shared" si="286"/>
        <v>392994.94606906496</v>
      </c>
      <c r="GN120" s="1060">
        <f t="shared" si="287"/>
        <v>35</v>
      </c>
      <c r="GO120" s="1154">
        <f t="shared" si="288"/>
        <v>11228.427030544713</v>
      </c>
      <c r="GS120" s="1010">
        <f t="shared" si="289"/>
        <v>4079949.4606906492</v>
      </c>
      <c r="GT120" s="1011">
        <f t="shared" si="290"/>
        <v>0.125</v>
      </c>
      <c r="GU120" s="1010">
        <f t="shared" si="291"/>
        <v>509993.68258633115</v>
      </c>
      <c r="GV120" s="1010">
        <f t="shared" si="292"/>
        <v>30000</v>
      </c>
      <c r="GW120" s="1010">
        <f t="shared" si="293"/>
        <v>479993.68258633115</v>
      </c>
      <c r="GX120" s="1010">
        <f t="shared" si="294"/>
        <v>13</v>
      </c>
      <c r="GY120" s="1010">
        <f t="shared" si="295"/>
        <v>36922.59096817932</v>
      </c>
      <c r="GZ120" s="1011">
        <f t="shared" si="296"/>
        <v>0.875</v>
      </c>
      <c r="HA120" s="1010">
        <f t="shared" si="297"/>
        <v>3569955.7781043183</v>
      </c>
      <c r="HB120" s="1010">
        <f t="shared" si="298"/>
        <v>27677.829149707293</v>
      </c>
      <c r="HC120" s="1010">
        <f t="shared" si="299"/>
        <v>32087.771790531348</v>
      </c>
      <c r="HD120" s="1010">
        <f t="shared" si="300"/>
        <v>41450.213627343212</v>
      </c>
      <c r="HE120" s="1010">
        <f t="shared" si="301"/>
        <v>70689.403142511612</v>
      </c>
      <c r="HG120" s="1010">
        <f t="shared" si="302"/>
        <v>4079949.4606906492</v>
      </c>
      <c r="HH120" s="1011">
        <f t="shared" si="303"/>
        <v>0.125</v>
      </c>
      <c r="HI120" s="1010">
        <f t="shared" si="304"/>
        <v>509993.68258633115</v>
      </c>
      <c r="HJ120" s="1010">
        <f t="shared" si="305"/>
        <v>30000</v>
      </c>
      <c r="HK120" s="1010">
        <f t="shared" si="306"/>
        <v>479993.68258633115</v>
      </c>
      <c r="HL120" s="1012">
        <f t="shared" si="307"/>
        <v>33</v>
      </c>
      <c r="HM120" s="1167">
        <f t="shared" si="308"/>
        <v>14545.263108676701</v>
      </c>
      <c r="HN120" s="1168">
        <f t="shared" si="309"/>
        <v>0.875</v>
      </c>
      <c r="HO120" s="1167">
        <f t="shared" si="310"/>
        <v>3569955.7781043183</v>
      </c>
      <c r="HP120" s="1146">
        <f t="shared" si="311"/>
        <v>27677.829149707293</v>
      </c>
      <c r="HQ120" s="1146">
        <f t="shared" si="312"/>
        <v>32087.771790531348</v>
      </c>
      <c r="HR120" s="1146">
        <f t="shared" si="313"/>
        <v>41450.213627343212</v>
      </c>
      <c r="HS120" s="1146">
        <f t="shared" si="314"/>
        <v>70689.403142511612</v>
      </c>
      <c r="HU120" s="1167">
        <f t="shared" si="315"/>
        <v>-22377.32785950262</v>
      </c>
      <c r="HX120" s="1154"/>
      <c r="HY120" s="1154"/>
      <c r="IB120" s="1154"/>
      <c r="IC120" s="1154"/>
      <c r="ID120" s="1154"/>
      <c r="IE120" s="1154"/>
      <c r="IG120" s="1060"/>
    </row>
    <row r="121" spans="1:241" ht="14.25" hidden="1" customHeight="1">
      <c r="A121" s="1186">
        <f t="shared" si="330"/>
        <v>115</v>
      </c>
      <c r="B121" s="824" t="s">
        <v>149</v>
      </c>
      <c r="C121" s="855">
        <f t="shared" si="350"/>
        <v>10</v>
      </c>
      <c r="D121" s="856" t="s">
        <v>511</v>
      </c>
      <c r="E121" s="857" t="str">
        <f t="shared" si="216"/>
        <v>8th Floor</v>
      </c>
      <c r="F121" s="1185"/>
      <c r="G121" s="764" t="s">
        <v>279</v>
      </c>
      <c r="H121" s="764" t="s">
        <v>516</v>
      </c>
      <c r="I121" s="764" t="s">
        <v>476</v>
      </c>
      <c r="J121" s="1139">
        <v>22</v>
      </c>
      <c r="K121" s="1142"/>
      <c r="L121" s="764" t="s">
        <v>500</v>
      </c>
      <c r="M121" s="764" t="s">
        <v>93</v>
      </c>
      <c r="N121" s="856">
        <f t="shared" si="217"/>
        <v>100909.09090909091</v>
      </c>
      <c r="O121" s="1138">
        <f t="shared" si="324"/>
        <v>2220000</v>
      </c>
      <c r="P121" s="1138">
        <f t="shared" si="331"/>
        <v>22400</v>
      </c>
      <c r="Q121" s="1138">
        <f t="shared" si="203"/>
        <v>50000</v>
      </c>
      <c r="R121" s="1138"/>
      <c r="S121" s="1138"/>
      <c r="T121" s="1138">
        <f t="shared" si="349"/>
        <v>66000</v>
      </c>
      <c r="U121" s="1138"/>
      <c r="V121" s="1138"/>
      <c r="W121" s="858"/>
      <c r="X121" s="1138"/>
      <c r="Y121" s="1138">
        <f t="shared" si="352"/>
        <v>80000</v>
      </c>
      <c r="Z121" s="1138">
        <f t="shared" si="327"/>
        <v>75000</v>
      </c>
      <c r="AA121" s="1138">
        <f t="shared" si="328"/>
        <v>293400</v>
      </c>
      <c r="AB121" s="1138">
        <f t="shared" si="218"/>
        <v>2513400</v>
      </c>
      <c r="AC121" s="1138">
        <f t="shared" si="219"/>
        <v>62835</v>
      </c>
      <c r="AD121" s="1138">
        <f t="shared" si="220"/>
        <v>2576235</v>
      </c>
      <c r="AE121" s="1138">
        <f t="shared" si="221"/>
        <v>64405.875</v>
      </c>
      <c r="AF121" s="1138">
        <f t="shared" si="222"/>
        <v>2640640.875</v>
      </c>
      <c r="AG121" s="1138">
        <f t="shared" si="223"/>
        <v>66016.021875000006</v>
      </c>
      <c r="AH121" s="1138">
        <f t="shared" si="224"/>
        <v>2706656.8968750001</v>
      </c>
      <c r="AI121" s="1138">
        <f t="shared" si="225"/>
        <v>135332.84484375</v>
      </c>
      <c r="AJ121" s="1138">
        <f t="shared" si="226"/>
        <v>2841989.74171875</v>
      </c>
      <c r="AK121" s="1138">
        <f t="shared" si="227"/>
        <v>28419.897417187502</v>
      </c>
      <c r="AL121" s="1138">
        <f t="shared" si="228"/>
        <v>27537.409960060559</v>
      </c>
      <c r="AM121" s="1138"/>
      <c r="AN121" s="1138"/>
      <c r="AO121" s="1138">
        <f t="shared" si="229"/>
        <v>2897947.0490959981</v>
      </c>
      <c r="AP121" s="1138">
        <f t="shared" si="230"/>
        <v>391222.85162795975</v>
      </c>
      <c r="AQ121" s="1248">
        <f t="shared" si="231"/>
        <v>3289169.9007239579</v>
      </c>
      <c r="AR121" s="1248">
        <f t="shared" si="347"/>
        <v>2959169.9007239579</v>
      </c>
      <c r="AS121" s="1248">
        <v>15000</v>
      </c>
      <c r="AT121" s="1248">
        <f t="shared" si="348"/>
        <v>330000</v>
      </c>
      <c r="AU121" s="1248">
        <f t="shared" si="232"/>
        <v>39600</v>
      </c>
      <c r="AV121" s="1140">
        <f t="shared" si="233"/>
        <v>369600</v>
      </c>
      <c r="AW121" s="1140">
        <f t="shared" si="234"/>
        <v>3328769.9007239579</v>
      </c>
      <c r="AX121" s="1139">
        <f t="shared" si="235"/>
        <v>41609.623759049478</v>
      </c>
      <c r="AY121" s="831" t="s">
        <v>478</v>
      </c>
      <c r="AZ121" s="831">
        <f t="shared" si="236"/>
        <v>3370379.5244830074</v>
      </c>
      <c r="BA121" s="831">
        <f t="shared" si="237"/>
        <v>126389.23216811277</v>
      </c>
      <c r="BB121" s="831"/>
      <c r="BC121" s="831">
        <f t="shared" si="346"/>
        <v>33600</v>
      </c>
      <c r="BD121" s="831"/>
      <c r="BE121" s="831">
        <f t="shared" si="238"/>
        <v>3530368.7566511203</v>
      </c>
      <c r="BF121" s="831"/>
      <c r="BG121" s="831">
        <f t="shared" si="239"/>
        <v>3530368.7566511203</v>
      </c>
      <c r="BH121" s="831"/>
      <c r="BI121" s="831">
        <f t="shared" si="240"/>
        <v>3530368.7566511203</v>
      </c>
      <c r="BJ121" s="831"/>
      <c r="BK121" s="831">
        <f t="shared" si="241"/>
        <v>3530368.7566511203</v>
      </c>
      <c r="BL121" s="831"/>
      <c r="BM121" s="831">
        <f t="shared" si="242"/>
        <v>3530368.7566511203</v>
      </c>
      <c r="BN121" s="831"/>
      <c r="BO121" s="831">
        <f t="shared" si="243"/>
        <v>3530368.7566511203</v>
      </c>
      <c r="BP121" s="831"/>
      <c r="BQ121" s="831">
        <f t="shared" si="244"/>
        <v>3530368.7566511203</v>
      </c>
      <c r="BR121" s="831"/>
      <c r="BS121" s="831">
        <f t="shared" si="245"/>
        <v>3530368.7566511203</v>
      </c>
      <c r="BT121" s="831"/>
      <c r="BU121" s="831">
        <f t="shared" si="246"/>
        <v>3530368.7566511203</v>
      </c>
      <c r="BV121" s="831"/>
      <c r="BW121" s="831">
        <f t="shared" si="247"/>
        <v>56400</v>
      </c>
      <c r="BX121" s="831">
        <f t="shared" si="248"/>
        <v>3586768.7566511203</v>
      </c>
      <c r="BY121" s="831"/>
      <c r="BZ121" s="831">
        <f t="shared" si="249"/>
        <v>3586768.7566511203</v>
      </c>
      <c r="CA121" s="1260">
        <f t="shared" si="250"/>
        <v>3586768.7566511203</v>
      </c>
      <c r="CB121" s="1260">
        <f t="shared" si="251"/>
        <v>3586768.7566511203</v>
      </c>
      <c r="CC121" s="1260"/>
      <c r="CD121" s="1260">
        <f t="shared" si="252"/>
        <v>0</v>
      </c>
      <c r="CE121" s="1260">
        <f t="shared" si="253"/>
        <v>0</v>
      </c>
      <c r="CF121" s="1260">
        <f t="shared" si="254"/>
        <v>0</v>
      </c>
      <c r="CG121" s="1266">
        <f t="shared" si="255"/>
        <v>3586768.7566511203</v>
      </c>
      <c r="CH121" s="1141">
        <f t="shared" si="256"/>
        <v>3586768.7566511203</v>
      </c>
      <c r="CI121" s="1142">
        <f t="shared" si="257"/>
        <v>0</v>
      </c>
      <c r="CJ121" s="1141">
        <f t="shared" si="258"/>
        <v>367643.79755673982</v>
      </c>
      <c r="CK121" s="1141">
        <f t="shared" si="259"/>
        <v>125536.90648278921</v>
      </c>
      <c r="CL121" s="1143">
        <f t="shared" si="329"/>
        <v>4079949.4606906492</v>
      </c>
      <c r="CM121" s="1144">
        <f t="shared" si="260"/>
        <v>0.125</v>
      </c>
      <c r="CN121" s="1141">
        <f t="shared" si="261"/>
        <v>509993.68258633115</v>
      </c>
      <c r="CO121" s="1141">
        <f t="shared" si="262"/>
        <v>30000</v>
      </c>
      <c r="CP121" s="1141">
        <f t="shared" si="263"/>
        <v>479993.68258633115</v>
      </c>
      <c r="CQ121" s="1145">
        <f t="shared" si="264"/>
        <v>13</v>
      </c>
      <c r="CR121" s="1141">
        <f t="shared" si="265"/>
        <v>36922.59096817932</v>
      </c>
      <c r="CS121" s="1144">
        <f t="shared" si="266"/>
        <v>0.875</v>
      </c>
      <c r="CT121" s="1141">
        <f t="shared" si="267"/>
        <v>3569955.7781043183</v>
      </c>
      <c r="CU121" s="1146">
        <f t="shared" si="204"/>
        <v>27677.829149707293</v>
      </c>
      <c r="CV121" s="1146">
        <f t="shared" si="205"/>
        <v>32087.771790531348</v>
      </c>
      <c r="CW121" s="1146">
        <f t="shared" si="206"/>
        <v>41450.213627343212</v>
      </c>
      <c r="CX121" s="1146">
        <f t="shared" si="207"/>
        <v>70689.403142511612</v>
      </c>
      <c r="CY121" s="1146">
        <f t="shared" si="268"/>
        <v>289998.85501085385</v>
      </c>
      <c r="CZ121" s="1146">
        <f t="shared" si="269"/>
        <v>114751.13426226669</v>
      </c>
      <c r="DA121" s="1146">
        <f t="shared" si="270"/>
        <v>82883.119034989897</v>
      </c>
      <c r="DB121" s="1146">
        <f t="shared" si="271"/>
        <v>63077.869327352804</v>
      </c>
      <c r="DC121" s="1146"/>
      <c r="DD121" s="1146"/>
      <c r="DE121" s="1146"/>
      <c r="DF121" s="1146"/>
      <c r="DG121" s="1146"/>
      <c r="DH121" s="1146"/>
      <c r="DI121" s="1146"/>
      <c r="DJ121" s="1146"/>
      <c r="DK121" s="1146"/>
      <c r="DL121" s="1146"/>
      <c r="DM121" s="1146"/>
      <c r="DN121" s="1146"/>
      <c r="DO121" s="1146"/>
      <c r="DP121" s="1146"/>
      <c r="DQ121" s="1146"/>
      <c r="DR121" s="1146"/>
      <c r="DS121" s="1146"/>
      <c r="DT121" s="1146"/>
      <c r="DU121" s="1146"/>
      <c r="DV121" s="1146"/>
      <c r="DW121" s="1146"/>
      <c r="DX121" s="1146"/>
      <c r="DY121" s="1146"/>
      <c r="DZ121" s="1146"/>
      <c r="EA121" s="1147">
        <f t="shared" si="208"/>
        <v>0.11151776040952087</v>
      </c>
      <c r="EB121" s="1148">
        <f t="shared" si="272"/>
        <v>0</v>
      </c>
      <c r="EC121" s="1190">
        <f t="shared" si="316"/>
        <v>45839</v>
      </c>
      <c r="ED121" s="1031">
        <f t="shared" si="209"/>
        <v>20</v>
      </c>
      <c r="EE121" s="1191"/>
      <c r="EF121" s="1032">
        <f t="shared" si="210"/>
        <v>45904</v>
      </c>
      <c r="EG121" s="1029">
        <f t="shared" si="273"/>
        <v>22</v>
      </c>
      <c r="EH121" s="859" t="s">
        <v>490</v>
      </c>
      <c r="EI121" s="859" t="s">
        <v>480</v>
      </c>
      <c r="EJ121" s="860">
        <f t="shared" si="211"/>
        <v>16800</v>
      </c>
      <c r="EK121" s="860">
        <f t="shared" si="212"/>
        <v>369600</v>
      </c>
      <c r="EL121" s="861">
        <f t="shared" si="213"/>
        <v>0.12489989165866337</v>
      </c>
      <c r="EM121" s="1197"/>
      <c r="EN121" s="860"/>
      <c r="EO121" s="860"/>
      <c r="EP121" s="860">
        <f t="shared" si="214"/>
        <v>0</v>
      </c>
      <c r="EQ121" s="1197"/>
      <c r="ER121" s="1200"/>
      <c r="ES121" s="1197"/>
      <c r="ET121" s="1194" t="s">
        <v>279</v>
      </c>
      <c r="EU121" s="1197" t="b">
        <f t="shared" si="215"/>
        <v>1</v>
      </c>
      <c r="EV121" s="1197" t="s">
        <v>618</v>
      </c>
      <c r="EW121" s="1197" t="s">
        <v>482</v>
      </c>
      <c r="EX121" s="1197"/>
      <c r="EY121" s="1128" t="s">
        <v>587</v>
      </c>
      <c r="EZ121" s="1128" t="s">
        <v>484</v>
      </c>
      <c r="FA121" s="1169">
        <f t="shared" si="274"/>
        <v>0</v>
      </c>
      <c r="FI121" s="1309" t="s">
        <v>149</v>
      </c>
      <c r="FJ121" s="1159" t="s">
        <v>149</v>
      </c>
      <c r="FK121" s="1160" t="b">
        <f t="shared" si="275"/>
        <v>1</v>
      </c>
      <c r="FL121" s="1131"/>
      <c r="FM121" s="1161"/>
      <c r="FP121" s="1166"/>
      <c r="FQ121" s="1203"/>
      <c r="FU121" s="1295"/>
      <c r="FV121" s="1295"/>
      <c r="FW121" s="1023">
        <v>0.15</v>
      </c>
      <c r="FX121" s="1162">
        <v>14949.670607265574</v>
      </c>
      <c r="FY121" s="1163">
        <v>15416.847813742623</v>
      </c>
      <c r="GA121" s="1164">
        <f t="shared" si="276"/>
        <v>4079949.4606906492</v>
      </c>
      <c r="GB121" s="1165">
        <f t="shared" si="277"/>
        <v>0.15</v>
      </c>
      <c r="GC121" s="1154">
        <f t="shared" si="278"/>
        <v>611992.41910359741</v>
      </c>
      <c r="GD121" s="1164">
        <f t="shared" si="279"/>
        <v>30000</v>
      </c>
      <c r="GE121" s="1154">
        <f t="shared" si="280"/>
        <v>581992.41910359741</v>
      </c>
      <c r="GF121" s="1060">
        <f t="shared" si="281"/>
        <v>35</v>
      </c>
      <c r="GG121" s="1166">
        <f t="shared" si="282"/>
        <v>16628.354831531353</v>
      </c>
      <c r="GI121" s="1164">
        <f t="shared" si="283"/>
        <v>4079949.4606906492</v>
      </c>
      <c r="GJ121" s="1154">
        <f t="shared" si="284"/>
        <v>407994.94606906496</v>
      </c>
      <c r="GK121" s="1154">
        <f t="shared" si="285"/>
        <v>101998.73651726624</v>
      </c>
      <c r="GL121" s="1166">
        <v>15000</v>
      </c>
      <c r="GM121" s="1154">
        <f t="shared" si="286"/>
        <v>392994.94606906496</v>
      </c>
      <c r="GN121" s="1060">
        <f t="shared" si="287"/>
        <v>35</v>
      </c>
      <c r="GO121" s="1154">
        <f t="shared" si="288"/>
        <v>11228.427030544713</v>
      </c>
      <c r="GS121" s="1010">
        <f t="shared" si="289"/>
        <v>4079949.4606906492</v>
      </c>
      <c r="GT121" s="1011">
        <f t="shared" si="290"/>
        <v>0.125</v>
      </c>
      <c r="GU121" s="1010">
        <f t="shared" si="291"/>
        <v>509993.68258633115</v>
      </c>
      <c r="GV121" s="1010">
        <f t="shared" si="292"/>
        <v>30000</v>
      </c>
      <c r="GW121" s="1010">
        <f t="shared" si="293"/>
        <v>479993.68258633115</v>
      </c>
      <c r="GX121" s="1010">
        <f t="shared" si="294"/>
        <v>13</v>
      </c>
      <c r="GY121" s="1010">
        <f t="shared" si="295"/>
        <v>36922.59096817932</v>
      </c>
      <c r="GZ121" s="1011">
        <f t="shared" si="296"/>
        <v>0.875</v>
      </c>
      <c r="HA121" s="1010">
        <f t="shared" si="297"/>
        <v>3569955.7781043183</v>
      </c>
      <c r="HB121" s="1010">
        <f t="shared" si="298"/>
        <v>27677.829149707293</v>
      </c>
      <c r="HC121" s="1010">
        <f t="shared" si="299"/>
        <v>32087.771790531348</v>
      </c>
      <c r="HD121" s="1010">
        <f t="shared" si="300"/>
        <v>41450.213627343212</v>
      </c>
      <c r="HE121" s="1010">
        <f t="shared" si="301"/>
        <v>70689.403142511612</v>
      </c>
      <c r="HG121" s="1010">
        <f t="shared" si="302"/>
        <v>4079949.4606906492</v>
      </c>
      <c r="HH121" s="1011">
        <f t="shared" si="303"/>
        <v>0.125</v>
      </c>
      <c r="HI121" s="1010">
        <f t="shared" si="304"/>
        <v>509993.68258633115</v>
      </c>
      <c r="HJ121" s="1010">
        <f t="shared" si="305"/>
        <v>30000</v>
      </c>
      <c r="HK121" s="1010">
        <f t="shared" si="306"/>
        <v>479993.68258633115</v>
      </c>
      <c r="HL121" s="1012">
        <f t="shared" si="307"/>
        <v>33</v>
      </c>
      <c r="HM121" s="1167">
        <f t="shared" si="308"/>
        <v>14545.263108676701</v>
      </c>
      <c r="HN121" s="1168">
        <f t="shared" si="309"/>
        <v>0.875</v>
      </c>
      <c r="HO121" s="1167">
        <f t="shared" si="310"/>
        <v>3569955.7781043183</v>
      </c>
      <c r="HP121" s="1146">
        <f t="shared" si="311"/>
        <v>27677.829149707293</v>
      </c>
      <c r="HQ121" s="1146">
        <f t="shared" si="312"/>
        <v>32087.771790531348</v>
      </c>
      <c r="HR121" s="1146">
        <f t="shared" si="313"/>
        <v>41450.213627343212</v>
      </c>
      <c r="HS121" s="1146">
        <f t="shared" si="314"/>
        <v>70689.403142511612</v>
      </c>
      <c r="HU121" s="1167">
        <f t="shared" si="315"/>
        <v>-22377.32785950262</v>
      </c>
      <c r="HX121" s="1154"/>
      <c r="HY121" s="1154"/>
      <c r="IB121" s="1154"/>
      <c r="IC121" s="1154"/>
      <c r="ID121" s="1154"/>
      <c r="IE121" s="1154"/>
      <c r="IG121" s="1060"/>
    </row>
    <row r="122" spans="1:241" ht="14.25" hidden="1" customHeight="1">
      <c r="A122" s="1186">
        <f t="shared" si="330"/>
        <v>116</v>
      </c>
      <c r="B122" s="824" t="s">
        <v>149</v>
      </c>
      <c r="C122" s="855">
        <f t="shared" si="350"/>
        <v>11</v>
      </c>
      <c r="D122" s="856" t="s">
        <v>511</v>
      </c>
      <c r="E122" s="857" t="str">
        <f t="shared" si="216"/>
        <v>8th Floor</v>
      </c>
      <c r="F122" s="1185"/>
      <c r="G122" s="764" t="s">
        <v>280</v>
      </c>
      <c r="H122" s="764" t="s">
        <v>517</v>
      </c>
      <c r="I122" s="764" t="s">
        <v>476</v>
      </c>
      <c r="J122" s="1139">
        <v>22</v>
      </c>
      <c r="K122" s="1142"/>
      <c r="L122" s="764" t="s">
        <v>500</v>
      </c>
      <c r="M122" s="764" t="s">
        <v>93</v>
      </c>
      <c r="N122" s="856">
        <f t="shared" si="217"/>
        <v>100909.09090909091</v>
      </c>
      <c r="O122" s="1138">
        <f t="shared" si="324"/>
        <v>2220000</v>
      </c>
      <c r="P122" s="1138">
        <f t="shared" si="331"/>
        <v>22400</v>
      </c>
      <c r="Q122" s="1138">
        <f t="shared" si="203"/>
        <v>50000</v>
      </c>
      <c r="R122" s="1138"/>
      <c r="S122" s="1138"/>
      <c r="T122" s="1138">
        <f t="shared" si="349"/>
        <v>66000</v>
      </c>
      <c r="U122" s="1138"/>
      <c r="V122" s="1138"/>
      <c r="W122" s="858"/>
      <c r="X122" s="1138"/>
      <c r="Y122" s="1138">
        <f t="shared" si="352"/>
        <v>80000</v>
      </c>
      <c r="Z122" s="1138">
        <f t="shared" si="327"/>
        <v>75000</v>
      </c>
      <c r="AA122" s="1138">
        <f t="shared" si="328"/>
        <v>293400</v>
      </c>
      <c r="AB122" s="1138">
        <f t="shared" si="218"/>
        <v>2513400</v>
      </c>
      <c r="AC122" s="1138">
        <f t="shared" si="219"/>
        <v>62835</v>
      </c>
      <c r="AD122" s="1138">
        <f t="shared" si="220"/>
        <v>2576235</v>
      </c>
      <c r="AE122" s="1138">
        <f t="shared" si="221"/>
        <v>64405.875</v>
      </c>
      <c r="AF122" s="1138">
        <f t="shared" si="222"/>
        <v>2640640.875</v>
      </c>
      <c r="AG122" s="1138">
        <f t="shared" si="223"/>
        <v>66016.021875000006</v>
      </c>
      <c r="AH122" s="1138">
        <f t="shared" si="224"/>
        <v>2706656.8968750001</v>
      </c>
      <c r="AI122" s="1138">
        <f t="shared" si="225"/>
        <v>135332.84484375</v>
      </c>
      <c r="AJ122" s="1138">
        <f t="shared" si="226"/>
        <v>2841989.74171875</v>
      </c>
      <c r="AK122" s="1138">
        <f t="shared" si="227"/>
        <v>28419.897417187502</v>
      </c>
      <c r="AL122" s="1138">
        <f t="shared" si="228"/>
        <v>27537.409960060559</v>
      </c>
      <c r="AM122" s="1138"/>
      <c r="AN122" s="1138"/>
      <c r="AO122" s="1138">
        <f t="shared" si="229"/>
        <v>2897947.0490959981</v>
      </c>
      <c r="AP122" s="1138">
        <f t="shared" si="230"/>
        <v>391222.85162795975</v>
      </c>
      <c r="AQ122" s="1248">
        <f t="shared" si="231"/>
        <v>3289169.9007239579</v>
      </c>
      <c r="AR122" s="1248">
        <f t="shared" si="347"/>
        <v>2959169.9007239579</v>
      </c>
      <c r="AS122" s="1248">
        <v>15000</v>
      </c>
      <c r="AT122" s="1248">
        <f t="shared" si="348"/>
        <v>330000</v>
      </c>
      <c r="AU122" s="1248">
        <f t="shared" si="232"/>
        <v>39600</v>
      </c>
      <c r="AV122" s="1140">
        <f t="shared" si="233"/>
        <v>369600</v>
      </c>
      <c r="AW122" s="1140">
        <f t="shared" si="234"/>
        <v>3328769.9007239579</v>
      </c>
      <c r="AX122" s="1139">
        <f t="shared" si="235"/>
        <v>41609.623759049478</v>
      </c>
      <c r="AY122" s="831" t="s">
        <v>478</v>
      </c>
      <c r="AZ122" s="831">
        <f t="shared" si="236"/>
        <v>3370379.5244830074</v>
      </c>
      <c r="BA122" s="831">
        <f t="shared" si="237"/>
        <v>126389.23216811277</v>
      </c>
      <c r="BB122" s="831"/>
      <c r="BC122" s="831">
        <f t="shared" si="346"/>
        <v>33600</v>
      </c>
      <c r="BD122" s="831"/>
      <c r="BE122" s="831">
        <f t="shared" si="238"/>
        <v>3530368.7566511203</v>
      </c>
      <c r="BF122" s="831"/>
      <c r="BG122" s="831">
        <f t="shared" si="239"/>
        <v>3530368.7566511203</v>
      </c>
      <c r="BH122" s="831"/>
      <c r="BI122" s="831">
        <f t="shared" si="240"/>
        <v>3530368.7566511203</v>
      </c>
      <c r="BJ122" s="831"/>
      <c r="BK122" s="831">
        <f t="shared" si="241"/>
        <v>3530368.7566511203</v>
      </c>
      <c r="BL122" s="831"/>
      <c r="BM122" s="831">
        <f t="shared" si="242"/>
        <v>3530368.7566511203</v>
      </c>
      <c r="BN122" s="831"/>
      <c r="BO122" s="831">
        <f t="shared" si="243"/>
        <v>3530368.7566511203</v>
      </c>
      <c r="BP122" s="831"/>
      <c r="BQ122" s="831">
        <f t="shared" si="244"/>
        <v>3530368.7566511203</v>
      </c>
      <c r="BR122" s="831"/>
      <c r="BS122" s="831">
        <f t="shared" si="245"/>
        <v>3530368.7566511203</v>
      </c>
      <c r="BT122" s="831"/>
      <c r="BU122" s="831">
        <f t="shared" si="246"/>
        <v>3530368.7566511203</v>
      </c>
      <c r="BV122" s="831"/>
      <c r="BW122" s="831">
        <f t="shared" si="247"/>
        <v>56400</v>
      </c>
      <c r="BX122" s="831">
        <f t="shared" si="248"/>
        <v>3586768.7566511203</v>
      </c>
      <c r="BY122" s="831"/>
      <c r="BZ122" s="831">
        <f t="shared" si="249"/>
        <v>3586768.7566511203</v>
      </c>
      <c r="CA122" s="1260">
        <f t="shared" si="250"/>
        <v>3586768.7566511203</v>
      </c>
      <c r="CB122" s="1260">
        <f t="shared" si="251"/>
        <v>3586768.7566511203</v>
      </c>
      <c r="CC122" s="1260"/>
      <c r="CD122" s="1260">
        <f t="shared" si="252"/>
        <v>0</v>
      </c>
      <c r="CE122" s="1260">
        <f t="shared" si="253"/>
        <v>0</v>
      </c>
      <c r="CF122" s="1260">
        <f t="shared" si="254"/>
        <v>0</v>
      </c>
      <c r="CG122" s="1266">
        <f t="shared" si="255"/>
        <v>3586768.7566511203</v>
      </c>
      <c r="CH122" s="1141">
        <f t="shared" si="256"/>
        <v>3586768.7566511203</v>
      </c>
      <c r="CI122" s="1142">
        <f t="shared" si="257"/>
        <v>0</v>
      </c>
      <c r="CJ122" s="1141">
        <f t="shared" si="258"/>
        <v>367643.79755673982</v>
      </c>
      <c r="CK122" s="1141">
        <f t="shared" si="259"/>
        <v>125536.90648278921</v>
      </c>
      <c r="CL122" s="1143">
        <f t="shared" si="329"/>
        <v>4079949.4606906492</v>
      </c>
      <c r="CM122" s="1144">
        <f t="shared" si="260"/>
        <v>0.125</v>
      </c>
      <c r="CN122" s="1141">
        <f t="shared" si="261"/>
        <v>509993.68258633115</v>
      </c>
      <c r="CO122" s="1141">
        <f t="shared" si="262"/>
        <v>30000</v>
      </c>
      <c r="CP122" s="1141">
        <f t="shared" si="263"/>
        <v>479993.68258633115</v>
      </c>
      <c r="CQ122" s="1145">
        <f t="shared" si="264"/>
        <v>13</v>
      </c>
      <c r="CR122" s="1141">
        <f t="shared" si="265"/>
        <v>36922.59096817932</v>
      </c>
      <c r="CS122" s="1144">
        <f t="shared" si="266"/>
        <v>0.875</v>
      </c>
      <c r="CT122" s="1141">
        <f t="shared" si="267"/>
        <v>3569955.7781043183</v>
      </c>
      <c r="CU122" s="1146">
        <f t="shared" si="204"/>
        <v>27677.829149707293</v>
      </c>
      <c r="CV122" s="1146">
        <f t="shared" si="205"/>
        <v>32087.771790531348</v>
      </c>
      <c r="CW122" s="1146">
        <f t="shared" si="206"/>
        <v>41450.213627343212</v>
      </c>
      <c r="CX122" s="1146">
        <f t="shared" si="207"/>
        <v>70689.403142511612</v>
      </c>
      <c r="CY122" s="1146">
        <f t="shared" si="268"/>
        <v>289998.85501085385</v>
      </c>
      <c r="CZ122" s="1146">
        <f t="shared" si="269"/>
        <v>114751.13426226669</v>
      </c>
      <c r="DA122" s="1146">
        <f t="shared" si="270"/>
        <v>82883.119034989897</v>
      </c>
      <c r="DB122" s="1146">
        <f t="shared" si="271"/>
        <v>63077.869327352804</v>
      </c>
      <c r="DC122" s="1146"/>
      <c r="DD122" s="1146"/>
      <c r="DE122" s="1146"/>
      <c r="DF122" s="1146"/>
      <c r="DG122" s="1146"/>
      <c r="DH122" s="1146"/>
      <c r="DI122" s="1146"/>
      <c r="DJ122" s="1146"/>
      <c r="DK122" s="1146"/>
      <c r="DL122" s="1146"/>
      <c r="DM122" s="1146"/>
      <c r="DN122" s="1146"/>
      <c r="DO122" s="1146"/>
      <c r="DP122" s="1146"/>
      <c r="DQ122" s="1146"/>
      <c r="DR122" s="1146"/>
      <c r="DS122" s="1146"/>
      <c r="DT122" s="1146"/>
      <c r="DU122" s="1146"/>
      <c r="DV122" s="1146"/>
      <c r="DW122" s="1146"/>
      <c r="DX122" s="1146"/>
      <c r="DY122" s="1146"/>
      <c r="DZ122" s="1146"/>
      <c r="EA122" s="1147">
        <f t="shared" si="208"/>
        <v>0.11151776040952087</v>
      </c>
      <c r="EB122" s="1148">
        <f t="shared" si="272"/>
        <v>0</v>
      </c>
      <c r="EC122" s="1190">
        <f t="shared" si="316"/>
        <v>45839</v>
      </c>
      <c r="ED122" s="1031">
        <f t="shared" si="209"/>
        <v>20</v>
      </c>
      <c r="EE122" s="1191"/>
      <c r="EF122" s="1032">
        <f t="shared" si="210"/>
        <v>45904</v>
      </c>
      <c r="EG122" s="1029">
        <f t="shared" si="273"/>
        <v>22</v>
      </c>
      <c r="EH122" s="859" t="s">
        <v>490</v>
      </c>
      <c r="EI122" s="859" t="s">
        <v>480</v>
      </c>
      <c r="EJ122" s="860">
        <f t="shared" si="211"/>
        <v>16800</v>
      </c>
      <c r="EK122" s="860">
        <f t="shared" si="212"/>
        <v>369600</v>
      </c>
      <c r="EL122" s="861">
        <f t="shared" si="213"/>
        <v>0.12489989165866337</v>
      </c>
      <c r="EM122" s="1197"/>
      <c r="EN122" s="860"/>
      <c r="EO122" s="860"/>
      <c r="EP122" s="860">
        <f t="shared" si="214"/>
        <v>0</v>
      </c>
      <c r="EQ122" s="1197"/>
      <c r="ER122" s="1200"/>
      <c r="ES122" s="1197"/>
      <c r="ET122" s="1194" t="s">
        <v>280</v>
      </c>
      <c r="EU122" s="1197" t="b">
        <f t="shared" si="215"/>
        <v>1</v>
      </c>
      <c r="EV122" s="1197" t="s">
        <v>619</v>
      </c>
      <c r="EW122" s="1197" t="s">
        <v>482</v>
      </c>
      <c r="EX122" s="1197"/>
      <c r="EY122" s="1128" t="s">
        <v>587</v>
      </c>
      <c r="EZ122" s="1128" t="s">
        <v>484</v>
      </c>
      <c r="FA122" s="1169">
        <f t="shared" si="274"/>
        <v>0</v>
      </c>
      <c r="FI122" s="1309" t="s">
        <v>149</v>
      </c>
      <c r="FJ122" s="1159" t="s">
        <v>149</v>
      </c>
      <c r="FK122" s="1160" t="b">
        <f t="shared" si="275"/>
        <v>1</v>
      </c>
      <c r="FL122" s="1131"/>
      <c r="FM122" s="1161"/>
      <c r="FP122" s="1166"/>
      <c r="FQ122" s="1203"/>
      <c r="FU122" s="1295"/>
      <c r="FV122" s="1295"/>
      <c r="FW122" s="1023">
        <v>0.15</v>
      </c>
      <c r="FX122" s="1162">
        <v>14949.670607265574</v>
      </c>
      <c r="FY122" s="1163">
        <v>15416.847813742623</v>
      </c>
      <c r="GA122" s="1164">
        <f t="shared" si="276"/>
        <v>4079949.4606906492</v>
      </c>
      <c r="GB122" s="1165">
        <f t="shared" si="277"/>
        <v>0.15</v>
      </c>
      <c r="GC122" s="1154">
        <f t="shared" si="278"/>
        <v>611992.41910359741</v>
      </c>
      <c r="GD122" s="1164">
        <f t="shared" si="279"/>
        <v>30000</v>
      </c>
      <c r="GE122" s="1154">
        <f t="shared" si="280"/>
        <v>581992.41910359741</v>
      </c>
      <c r="GF122" s="1060">
        <f t="shared" si="281"/>
        <v>35</v>
      </c>
      <c r="GG122" s="1166">
        <f t="shared" si="282"/>
        <v>16628.354831531353</v>
      </c>
      <c r="GI122" s="1164">
        <f t="shared" si="283"/>
        <v>4079949.4606906492</v>
      </c>
      <c r="GJ122" s="1154">
        <f t="shared" si="284"/>
        <v>407994.94606906496</v>
      </c>
      <c r="GK122" s="1154">
        <f t="shared" si="285"/>
        <v>101998.73651726624</v>
      </c>
      <c r="GL122" s="1166">
        <v>15000</v>
      </c>
      <c r="GM122" s="1154">
        <f t="shared" si="286"/>
        <v>392994.94606906496</v>
      </c>
      <c r="GN122" s="1060">
        <f t="shared" si="287"/>
        <v>35</v>
      </c>
      <c r="GO122" s="1154">
        <f t="shared" si="288"/>
        <v>11228.427030544713</v>
      </c>
      <c r="GS122" s="1010">
        <f t="shared" si="289"/>
        <v>4079949.4606906492</v>
      </c>
      <c r="GT122" s="1011">
        <f t="shared" si="290"/>
        <v>0.125</v>
      </c>
      <c r="GU122" s="1010">
        <f t="shared" si="291"/>
        <v>509993.68258633115</v>
      </c>
      <c r="GV122" s="1010">
        <f t="shared" si="292"/>
        <v>30000</v>
      </c>
      <c r="GW122" s="1010">
        <f t="shared" si="293"/>
        <v>479993.68258633115</v>
      </c>
      <c r="GX122" s="1010">
        <f t="shared" si="294"/>
        <v>13</v>
      </c>
      <c r="GY122" s="1010">
        <f t="shared" si="295"/>
        <v>36922.59096817932</v>
      </c>
      <c r="GZ122" s="1011">
        <f t="shared" si="296"/>
        <v>0.875</v>
      </c>
      <c r="HA122" s="1010">
        <f t="shared" si="297"/>
        <v>3569955.7781043183</v>
      </c>
      <c r="HB122" s="1010">
        <f t="shared" si="298"/>
        <v>27677.829149707293</v>
      </c>
      <c r="HC122" s="1010">
        <f t="shared" si="299"/>
        <v>32087.771790531348</v>
      </c>
      <c r="HD122" s="1010">
        <f t="shared" si="300"/>
        <v>41450.213627343212</v>
      </c>
      <c r="HE122" s="1010">
        <f t="shared" si="301"/>
        <v>70689.403142511612</v>
      </c>
      <c r="HG122" s="1010">
        <f t="shared" si="302"/>
        <v>4079949.4606906492</v>
      </c>
      <c r="HH122" s="1011">
        <f t="shared" si="303"/>
        <v>0.125</v>
      </c>
      <c r="HI122" s="1010">
        <f t="shared" si="304"/>
        <v>509993.68258633115</v>
      </c>
      <c r="HJ122" s="1010">
        <f t="shared" si="305"/>
        <v>30000</v>
      </c>
      <c r="HK122" s="1010">
        <f t="shared" si="306"/>
        <v>479993.68258633115</v>
      </c>
      <c r="HL122" s="1012">
        <f t="shared" si="307"/>
        <v>33</v>
      </c>
      <c r="HM122" s="1167">
        <f t="shared" si="308"/>
        <v>14545.263108676701</v>
      </c>
      <c r="HN122" s="1168">
        <f t="shared" si="309"/>
        <v>0.875</v>
      </c>
      <c r="HO122" s="1167">
        <f t="shared" si="310"/>
        <v>3569955.7781043183</v>
      </c>
      <c r="HP122" s="1146">
        <f t="shared" si="311"/>
        <v>27677.829149707293</v>
      </c>
      <c r="HQ122" s="1146">
        <f t="shared" si="312"/>
        <v>32087.771790531348</v>
      </c>
      <c r="HR122" s="1146">
        <f t="shared" si="313"/>
        <v>41450.213627343212</v>
      </c>
      <c r="HS122" s="1146">
        <f t="shared" si="314"/>
        <v>70689.403142511612</v>
      </c>
      <c r="HU122" s="1167">
        <f t="shared" si="315"/>
        <v>-22377.32785950262</v>
      </c>
      <c r="HX122" s="1154"/>
      <c r="HY122" s="1154"/>
      <c r="IB122" s="1154"/>
      <c r="IC122" s="1154"/>
      <c r="ID122" s="1154"/>
      <c r="IE122" s="1154"/>
      <c r="IG122" s="1060"/>
    </row>
    <row r="123" spans="1:241" ht="14.25" hidden="1" customHeight="1">
      <c r="A123" s="1186">
        <f t="shared" si="330"/>
        <v>117</v>
      </c>
      <c r="B123" s="824" t="s">
        <v>149</v>
      </c>
      <c r="C123" s="855">
        <f t="shared" si="350"/>
        <v>12</v>
      </c>
      <c r="D123" s="856" t="s">
        <v>511</v>
      </c>
      <c r="E123" s="857" t="str">
        <f t="shared" si="216"/>
        <v>8th Floor</v>
      </c>
      <c r="F123" s="1185"/>
      <c r="G123" s="764" t="s">
        <v>281</v>
      </c>
      <c r="H123" s="764" t="s">
        <v>520</v>
      </c>
      <c r="I123" s="764" t="s">
        <v>476</v>
      </c>
      <c r="J123" s="1139">
        <v>22</v>
      </c>
      <c r="K123" s="1142"/>
      <c r="L123" s="764" t="s">
        <v>500</v>
      </c>
      <c r="M123" s="764" t="s">
        <v>93</v>
      </c>
      <c r="N123" s="856">
        <f t="shared" si="217"/>
        <v>100909.09090909091</v>
      </c>
      <c r="O123" s="1138">
        <f t="shared" si="324"/>
        <v>2220000</v>
      </c>
      <c r="P123" s="1138">
        <f t="shared" si="331"/>
        <v>22400</v>
      </c>
      <c r="Q123" s="1138">
        <f t="shared" si="203"/>
        <v>50000</v>
      </c>
      <c r="R123" s="1138"/>
      <c r="S123" s="1138"/>
      <c r="T123" s="1138">
        <f t="shared" si="349"/>
        <v>66000</v>
      </c>
      <c r="U123" s="1138"/>
      <c r="V123" s="1138"/>
      <c r="W123" s="858"/>
      <c r="X123" s="1138"/>
      <c r="Y123" s="1138">
        <f t="shared" si="352"/>
        <v>80000</v>
      </c>
      <c r="Z123" s="1138">
        <f t="shared" si="327"/>
        <v>75000</v>
      </c>
      <c r="AA123" s="1138">
        <f t="shared" si="328"/>
        <v>293400</v>
      </c>
      <c r="AB123" s="1138">
        <f t="shared" si="218"/>
        <v>2513400</v>
      </c>
      <c r="AC123" s="1138">
        <f t="shared" si="219"/>
        <v>62835</v>
      </c>
      <c r="AD123" s="1138">
        <f t="shared" si="220"/>
        <v>2576235</v>
      </c>
      <c r="AE123" s="1138">
        <f t="shared" si="221"/>
        <v>64405.875</v>
      </c>
      <c r="AF123" s="1138">
        <f t="shared" si="222"/>
        <v>2640640.875</v>
      </c>
      <c r="AG123" s="1138">
        <f t="shared" si="223"/>
        <v>66016.021875000006</v>
      </c>
      <c r="AH123" s="1138">
        <f t="shared" si="224"/>
        <v>2706656.8968750001</v>
      </c>
      <c r="AI123" s="1138">
        <f t="shared" si="225"/>
        <v>135332.84484375</v>
      </c>
      <c r="AJ123" s="1138">
        <f t="shared" si="226"/>
        <v>2841989.74171875</v>
      </c>
      <c r="AK123" s="1138">
        <f t="shared" si="227"/>
        <v>28419.897417187502</v>
      </c>
      <c r="AL123" s="1138">
        <f t="shared" si="228"/>
        <v>27537.409960060559</v>
      </c>
      <c r="AM123" s="1138"/>
      <c r="AN123" s="1138"/>
      <c r="AO123" s="1138">
        <f t="shared" si="229"/>
        <v>2897947.0490959981</v>
      </c>
      <c r="AP123" s="1138">
        <f t="shared" si="230"/>
        <v>391222.85162795975</v>
      </c>
      <c r="AQ123" s="1248">
        <f t="shared" si="231"/>
        <v>3289169.9007239579</v>
      </c>
      <c r="AR123" s="1248">
        <f t="shared" si="347"/>
        <v>2959169.9007239579</v>
      </c>
      <c r="AS123" s="1248">
        <v>15000</v>
      </c>
      <c r="AT123" s="1248">
        <f t="shared" si="348"/>
        <v>330000</v>
      </c>
      <c r="AU123" s="1248">
        <f t="shared" si="232"/>
        <v>39600</v>
      </c>
      <c r="AV123" s="1140">
        <f t="shared" si="233"/>
        <v>369600</v>
      </c>
      <c r="AW123" s="1140">
        <f t="shared" si="234"/>
        <v>3328769.9007239579</v>
      </c>
      <c r="AX123" s="1139">
        <f t="shared" si="235"/>
        <v>41609.623759049478</v>
      </c>
      <c r="AY123" s="831" t="s">
        <v>478</v>
      </c>
      <c r="AZ123" s="831">
        <f t="shared" si="236"/>
        <v>3370379.5244830074</v>
      </c>
      <c r="BA123" s="831">
        <f t="shared" si="237"/>
        <v>126389.23216811277</v>
      </c>
      <c r="BB123" s="831"/>
      <c r="BC123" s="831">
        <f t="shared" si="346"/>
        <v>33600</v>
      </c>
      <c r="BD123" s="831"/>
      <c r="BE123" s="831">
        <f t="shared" si="238"/>
        <v>3530368.7566511203</v>
      </c>
      <c r="BF123" s="831"/>
      <c r="BG123" s="831">
        <f t="shared" si="239"/>
        <v>3530368.7566511203</v>
      </c>
      <c r="BH123" s="831"/>
      <c r="BI123" s="831">
        <f t="shared" si="240"/>
        <v>3530368.7566511203</v>
      </c>
      <c r="BJ123" s="831"/>
      <c r="BK123" s="831">
        <f t="shared" si="241"/>
        <v>3530368.7566511203</v>
      </c>
      <c r="BL123" s="831"/>
      <c r="BM123" s="831">
        <f t="shared" si="242"/>
        <v>3530368.7566511203</v>
      </c>
      <c r="BN123" s="831"/>
      <c r="BO123" s="831">
        <f t="shared" si="243"/>
        <v>3530368.7566511203</v>
      </c>
      <c r="BP123" s="831"/>
      <c r="BQ123" s="831">
        <f t="shared" si="244"/>
        <v>3530368.7566511203</v>
      </c>
      <c r="BR123" s="831"/>
      <c r="BS123" s="831">
        <f t="shared" si="245"/>
        <v>3530368.7566511203</v>
      </c>
      <c r="BT123" s="831"/>
      <c r="BU123" s="831">
        <f t="shared" si="246"/>
        <v>3530368.7566511203</v>
      </c>
      <c r="BV123" s="831"/>
      <c r="BW123" s="831">
        <f t="shared" si="247"/>
        <v>56400</v>
      </c>
      <c r="BX123" s="831">
        <f t="shared" si="248"/>
        <v>3586768.7566511203</v>
      </c>
      <c r="BY123" s="831"/>
      <c r="BZ123" s="831">
        <f t="shared" si="249"/>
        <v>3586768.7566511203</v>
      </c>
      <c r="CA123" s="1260">
        <f t="shared" si="250"/>
        <v>3586768.7566511203</v>
      </c>
      <c r="CB123" s="1260">
        <f t="shared" si="251"/>
        <v>3586768.7566511203</v>
      </c>
      <c r="CC123" s="1260"/>
      <c r="CD123" s="1260">
        <f t="shared" si="252"/>
        <v>0</v>
      </c>
      <c r="CE123" s="1260">
        <f t="shared" si="253"/>
        <v>0</v>
      </c>
      <c r="CF123" s="1260">
        <f t="shared" si="254"/>
        <v>0</v>
      </c>
      <c r="CG123" s="1266">
        <f t="shared" si="255"/>
        <v>3586768.7566511203</v>
      </c>
      <c r="CH123" s="1141">
        <f t="shared" si="256"/>
        <v>3586768.7566511203</v>
      </c>
      <c r="CI123" s="1142">
        <f t="shared" si="257"/>
        <v>0</v>
      </c>
      <c r="CJ123" s="1141">
        <f t="shared" si="258"/>
        <v>367643.79755673982</v>
      </c>
      <c r="CK123" s="1141">
        <f t="shared" si="259"/>
        <v>125536.90648278921</v>
      </c>
      <c r="CL123" s="1143">
        <f t="shared" si="329"/>
        <v>4079949.4606906492</v>
      </c>
      <c r="CM123" s="1144">
        <f t="shared" si="260"/>
        <v>0.125</v>
      </c>
      <c r="CN123" s="1141">
        <f t="shared" si="261"/>
        <v>509993.68258633115</v>
      </c>
      <c r="CO123" s="1141">
        <f t="shared" si="262"/>
        <v>30000</v>
      </c>
      <c r="CP123" s="1141">
        <f t="shared" si="263"/>
        <v>479993.68258633115</v>
      </c>
      <c r="CQ123" s="1145">
        <f t="shared" si="264"/>
        <v>13</v>
      </c>
      <c r="CR123" s="1141">
        <f t="shared" si="265"/>
        <v>36922.59096817932</v>
      </c>
      <c r="CS123" s="1144">
        <f t="shared" si="266"/>
        <v>0.875</v>
      </c>
      <c r="CT123" s="1141">
        <f t="shared" si="267"/>
        <v>3569955.7781043183</v>
      </c>
      <c r="CU123" s="1146">
        <f t="shared" si="204"/>
        <v>27677.829149707293</v>
      </c>
      <c r="CV123" s="1146">
        <f t="shared" si="205"/>
        <v>32087.771790531348</v>
      </c>
      <c r="CW123" s="1146">
        <f t="shared" si="206"/>
        <v>41450.213627343212</v>
      </c>
      <c r="CX123" s="1146">
        <f t="shared" si="207"/>
        <v>70689.403142511612</v>
      </c>
      <c r="CY123" s="1146">
        <f t="shared" si="268"/>
        <v>289998.85501085385</v>
      </c>
      <c r="CZ123" s="1146">
        <f t="shared" si="269"/>
        <v>114751.13426226669</v>
      </c>
      <c r="DA123" s="1146">
        <f t="shared" si="270"/>
        <v>82883.119034989897</v>
      </c>
      <c r="DB123" s="1146">
        <f t="shared" si="271"/>
        <v>63077.869327352804</v>
      </c>
      <c r="DC123" s="1146"/>
      <c r="DD123" s="1146"/>
      <c r="DE123" s="1146"/>
      <c r="DF123" s="1146"/>
      <c r="DG123" s="1146"/>
      <c r="DH123" s="1146"/>
      <c r="DI123" s="1146"/>
      <c r="DJ123" s="1146"/>
      <c r="DK123" s="1146"/>
      <c r="DL123" s="1146"/>
      <c r="DM123" s="1146"/>
      <c r="DN123" s="1146"/>
      <c r="DO123" s="1146"/>
      <c r="DP123" s="1146"/>
      <c r="DQ123" s="1146"/>
      <c r="DR123" s="1146"/>
      <c r="DS123" s="1146"/>
      <c r="DT123" s="1146"/>
      <c r="DU123" s="1146"/>
      <c r="DV123" s="1146"/>
      <c r="DW123" s="1146"/>
      <c r="DX123" s="1146"/>
      <c r="DY123" s="1146"/>
      <c r="DZ123" s="1146"/>
      <c r="EA123" s="1147">
        <f t="shared" si="208"/>
        <v>0.11151776040952087</v>
      </c>
      <c r="EB123" s="1148">
        <f t="shared" si="272"/>
        <v>0</v>
      </c>
      <c r="EC123" s="1190">
        <f t="shared" si="316"/>
        <v>45839</v>
      </c>
      <c r="ED123" s="1031">
        <f t="shared" si="209"/>
        <v>20</v>
      </c>
      <c r="EE123" s="1191"/>
      <c r="EF123" s="1032">
        <f t="shared" si="210"/>
        <v>45904</v>
      </c>
      <c r="EG123" s="1029">
        <f t="shared" si="273"/>
        <v>22</v>
      </c>
      <c r="EH123" s="859" t="s">
        <v>490</v>
      </c>
      <c r="EI123" s="859" t="s">
        <v>480</v>
      </c>
      <c r="EJ123" s="860">
        <f t="shared" si="211"/>
        <v>16800</v>
      </c>
      <c r="EK123" s="860">
        <f t="shared" si="212"/>
        <v>369600</v>
      </c>
      <c r="EL123" s="861">
        <f t="shared" si="213"/>
        <v>0.12489989165866337</v>
      </c>
      <c r="EM123" s="1197"/>
      <c r="EN123" s="860"/>
      <c r="EO123" s="860"/>
      <c r="EP123" s="860">
        <f t="shared" si="214"/>
        <v>0</v>
      </c>
      <c r="EQ123" s="1197"/>
      <c r="ER123" s="1200"/>
      <c r="ES123" s="1197"/>
      <c r="ET123" s="1194" t="s">
        <v>281</v>
      </c>
      <c r="EU123" s="1197" t="b">
        <f t="shared" si="215"/>
        <v>1</v>
      </c>
      <c r="EV123" s="1197" t="s">
        <v>620</v>
      </c>
      <c r="EW123" s="1197" t="s">
        <v>482</v>
      </c>
      <c r="EX123" s="1197"/>
      <c r="EY123" s="1128" t="s">
        <v>587</v>
      </c>
      <c r="EZ123" s="1128" t="s">
        <v>484</v>
      </c>
      <c r="FA123" s="1169">
        <f t="shared" si="274"/>
        <v>0</v>
      </c>
      <c r="FI123" s="1309" t="s">
        <v>149</v>
      </c>
      <c r="FJ123" s="1159" t="s">
        <v>149</v>
      </c>
      <c r="FK123" s="1160" t="b">
        <f t="shared" si="275"/>
        <v>1</v>
      </c>
      <c r="FL123" s="1131"/>
      <c r="FM123" s="1161"/>
      <c r="FP123" s="1166"/>
      <c r="FQ123" s="1203"/>
      <c r="FU123" s="1295"/>
      <c r="FV123" s="1295"/>
      <c r="FW123" s="1023">
        <v>0.15</v>
      </c>
      <c r="FX123" s="1162">
        <v>14949.670607265574</v>
      </c>
      <c r="FY123" s="1163">
        <v>15416.847813742623</v>
      </c>
      <c r="GA123" s="1164">
        <f t="shared" si="276"/>
        <v>4079949.4606906492</v>
      </c>
      <c r="GB123" s="1165">
        <f t="shared" si="277"/>
        <v>0.15</v>
      </c>
      <c r="GC123" s="1154">
        <f t="shared" si="278"/>
        <v>611992.41910359741</v>
      </c>
      <c r="GD123" s="1164">
        <f t="shared" si="279"/>
        <v>30000</v>
      </c>
      <c r="GE123" s="1154">
        <f t="shared" si="280"/>
        <v>581992.41910359741</v>
      </c>
      <c r="GF123" s="1060">
        <f t="shared" si="281"/>
        <v>35</v>
      </c>
      <c r="GG123" s="1166">
        <f t="shared" si="282"/>
        <v>16628.354831531353</v>
      </c>
      <c r="GI123" s="1164">
        <f t="shared" si="283"/>
        <v>4079949.4606906492</v>
      </c>
      <c r="GJ123" s="1154">
        <f t="shared" si="284"/>
        <v>407994.94606906496</v>
      </c>
      <c r="GK123" s="1154">
        <f t="shared" si="285"/>
        <v>101998.73651726624</v>
      </c>
      <c r="GL123" s="1166">
        <v>15000</v>
      </c>
      <c r="GM123" s="1154">
        <f t="shared" si="286"/>
        <v>392994.94606906496</v>
      </c>
      <c r="GN123" s="1060">
        <f t="shared" si="287"/>
        <v>35</v>
      </c>
      <c r="GO123" s="1154">
        <f t="shared" si="288"/>
        <v>11228.427030544713</v>
      </c>
      <c r="GS123" s="1010">
        <f t="shared" si="289"/>
        <v>4079949.4606906492</v>
      </c>
      <c r="GT123" s="1011">
        <f t="shared" si="290"/>
        <v>0.125</v>
      </c>
      <c r="GU123" s="1010">
        <f t="shared" si="291"/>
        <v>509993.68258633115</v>
      </c>
      <c r="GV123" s="1010">
        <f t="shared" si="292"/>
        <v>30000</v>
      </c>
      <c r="GW123" s="1010">
        <f t="shared" si="293"/>
        <v>479993.68258633115</v>
      </c>
      <c r="GX123" s="1010">
        <f t="shared" si="294"/>
        <v>13</v>
      </c>
      <c r="GY123" s="1010">
        <f t="shared" si="295"/>
        <v>36922.59096817932</v>
      </c>
      <c r="GZ123" s="1011">
        <f t="shared" si="296"/>
        <v>0.875</v>
      </c>
      <c r="HA123" s="1010">
        <f t="shared" si="297"/>
        <v>3569955.7781043183</v>
      </c>
      <c r="HB123" s="1010">
        <f t="shared" si="298"/>
        <v>27677.829149707293</v>
      </c>
      <c r="HC123" s="1010">
        <f t="shared" si="299"/>
        <v>32087.771790531348</v>
      </c>
      <c r="HD123" s="1010">
        <f t="shared" si="300"/>
        <v>41450.213627343212</v>
      </c>
      <c r="HE123" s="1010">
        <f t="shared" si="301"/>
        <v>70689.403142511612</v>
      </c>
      <c r="HG123" s="1010">
        <f t="shared" si="302"/>
        <v>4079949.4606906492</v>
      </c>
      <c r="HH123" s="1011">
        <f t="shared" si="303"/>
        <v>0.125</v>
      </c>
      <c r="HI123" s="1010">
        <f t="shared" si="304"/>
        <v>509993.68258633115</v>
      </c>
      <c r="HJ123" s="1010">
        <f t="shared" si="305"/>
        <v>30000</v>
      </c>
      <c r="HK123" s="1010">
        <f t="shared" si="306"/>
        <v>479993.68258633115</v>
      </c>
      <c r="HL123" s="1012">
        <f t="shared" si="307"/>
        <v>33</v>
      </c>
      <c r="HM123" s="1167">
        <f t="shared" si="308"/>
        <v>14545.263108676701</v>
      </c>
      <c r="HN123" s="1168">
        <f t="shared" si="309"/>
        <v>0.875</v>
      </c>
      <c r="HO123" s="1167">
        <f t="shared" si="310"/>
        <v>3569955.7781043183</v>
      </c>
      <c r="HP123" s="1146">
        <f t="shared" si="311"/>
        <v>27677.829149707293</v>
      </c>
      <c r="HQ123" s="1146">
        <f t="shared" si="312"/>
        <v>32087.771790531348</v>
      </c>
      <c r="HR123" s="1146">
        <f t="shared" si="313"/>
        <v>41450.213627343212</v>
      </c>
      <c r="HS123" s="1146">
        <f t="shared" si="314"/>
        <v>70689.403142511612</v>
      </c>
      <c r="HU123" s="1167">
        <f t="shared" si="315"/>
        <v>-22377.32785950262</v>
      </c>
      <c r="HX123" s="1154"/>
      <c r="HY123" s="1154"/>
      <c r="IB123" s="1154"/>
      <c r="IC123" s="1154"/>
      <c r="ID123" s="1154"/>
      <c r="IE123" s="1154"/>
      <c r="IG123" s="1060"/>
    </row>
    <row r="124" spans="1:241" ht="14.25" hidden="1" customHeight="1">
      <c r="A124" s="1186">
        <f t="shared" si="330"/>
        <v>118</v>
      </c>
      <c r="B124" s="824" t="s">
        <v>149</v>
      </c>
      <c r="C124" s="855">
        <f t="shared" si="350"/>
        <v>13</v>
      </c>
      <c r="D124" s="856" t="s">
        <v>511</v>
      </c>
      <c r="E124" s="857" t="str">
        <f t="shared" si="216"/>
        <v>8th Floor</v>
      </c>
      <c r="F124" s="1185"/>
      <c r="G124" s="764" t="s">
        <v>282</v>
      </c>
      <c r="H124" s="764" t="s">
        <v>525</v>
      </c>
      <c r="I124" s="764" t="s">
        <v>476</v>
      </c>
      <c r="J124" s="1139">
        <v>22</v>
      </c>
      <c r="K124" s="1142"/>
      <c r="L124" s="764" t="s">
        <v>500</v>
      </c>
      <c r="M124" s="764" t="s">
        <v>93</v>
      </c>
      <c r="N124" s="856">
        <f t="shared" si="217"/>
        <v>100909.09090909091</v>
      </c>
      <c r="O124" s="1138">
        <f t="shared" si="324"/>
        <v>2220000</v>
      </c>
      <c r="P124" s="1138">
        <f t="shared" si="331"/>
        <v>22400</v>
      </c>
      <c r="Q124" s="1138">
        <f t="shared" si="203"/>
        <v>50000</v>
      </c>
      <c r="R124" s="1138"/>
      <c r="S124" s="1138"/>
      <c r="T124" s="1138">
        <f t="shared" si="349"/>
        <v>66000</v>
      </c>
      <c r="U124" s="1138"/>
      <c r="V124" s="1138"/>
      <c r="W124" s="858"/>
      <c r="X124" s="1138"/>
      <c r="Y124" s="1138">
        <f t="shared" si="352"/>
        <v>80000</v>
      </c>
      <c r="Z124" s="1138">
        <f t="shared" si="327"/>
        <v>75000</v>
      </c>
      <c r="AA124" s="1138">
        <f t="shared" si="328"/>
        <v>293400</v>
      </c>
      <c r="AB124" s="1138">
        <f t="shared" si="218"/>
        <v>2513400</v>
      </c>
      <c r="AC124" s="1138">
        <f t="shared" si="219"/>
        <v>62835</v>
      </c>
      <c r="AD124" s="1138">
        <f t="shared" si="220"/>
        <v>2576235</v>
      </c>
      <c r="AE124" s="1138">
        <f t="shared" si="221"/>
        <v>64405.875</v>
      </c>
      <c r="AF124" s="1138">
        <f t="shared" si="222"/>
        <v>2640640.875</v>
      </c>
      <c r="AG124" s="1138">
        <f t="shared" si="223"/>
        <v>66016.021875000006</v>
      </c>
      <c r="AH124" s="1138">
        <f t="shared" si="224"/>
        <v>2706656.8968750001</v>
      </c>
      <c r="AI124" s="1138">
        <f t="shared" si="225"/>
        <v>135332.84484375</v>
      </c>
      <c r="AJ124" s="1138">
        <f t="shared" si="226"/>
        <v>2841989.74171875</v>
      </c>
      <c r="AK124" s="1138">
        <f t="shared" si="227"/>
        <v>28419.897417187502</v>
      </c>
      <c r="AL124" s="1138">
        <f t="shared" si="228"/>
        <v>27537.409960060559</v>
      </c>
      <c r="AM124" s="1138"/>
      <c r="AN124" s="1138"/>
      <c r="AO124" s="1138">
        <f t="shared" si="229"/>
        <v>2897947.0490959981</v>
      </c>
      <c r="AP124" s="1138">
        <f t="shared" si="230"/>
        <v>391222.85162795975</v>
      </c>
      <c r="AQ124" s="1248">
        <f t="shared" si="231"/>
        <v>3289169.9007239579</v>
      </c>
      <c r="AR124" s="1248">
        <f t="shared" si="347"/>
        <v>2959169.9007239579</v>
      </c>
      <c r="AS124" s="1248">
        <v>15000</v>
      </c>
      <c r="AT124" s="1248">
        <f t="shared" si="348"/>
        <v>330000</v>
      </c>
      <c r="AU124" s="1248">
        <f t="shared" si="232"/>
        <v>39600</v>
      </c>
      <c r="AV124" s="1140">
        <f t="shared" si="233"/>
        <v>369600</v>
      </c>
      <c r="AW124" s="1140">
        <f t="shared" si="234"/>
        <v>3328769.9007239579</v>
      </c>
      <c r="AX124" s="1139">
        <f t="shared" si="235"/>
        <v>41609.623759049478</v>
      </c>
      <c r="AY124" s="831" t="s">
        <v>478</v>
      </c>
      <c r="AZ124" s="831">
        <f t="shared" si="236"/>
        <v>3370379.5244830074</v>
      </c>
      <c r="BA124" s="831">
        <f t="shared" si="237"/>
        <v>126389.23216811277</v>
      </c>
      <c r="BB124" s="831"/>
      <c r="BC124" s="831">
        <f t="shared" si="346"/>
        <v>33600</v>
      </c>
      <c r="BD124" s="831"/>
      <c r="BE124" s="831">
        <f t="shared" si="238"/>
        <v>3530368.7566511203</v>
      </c>
      <c r="BF124" s="831"/>
      <c r="BG124" s="831">
        <f t="shared" si="239"/>
        <v>3530368.7566511203</v>
      </c>
      <c r="BH124" s="831"/>
      <c r="BI124" s="831">
        <f t="shared" si="240"/>
        <v>3530368.7566511203</v>
      </c>
      <c r="BJ124" s="831"/>
      <c r="BK124" s="831">
        <f t="shared" si="241"/>
        <v>3530368.7566511203</v>
      </c>
      <c r="BL124" s="831"/>
      <c r="BM124" s="831">
        <f t="shared" si="242"/>
        <v>3530368.7566511203</v>
      </c>
      <c r="BN124" s="831"/>
      <c r="BO124" s="831">
        <f t="shared" si="243"/>
        <v>3530368.7566511203</v>
      </c>
      <c r="BP124" s="831"/>
      <c r="BQ124" s="831">
        <f t="shared" si="244"/>
        <v>3530368.7566511203</v>
      </c>
      <c r="BR124" s="831"/>
      <c r="BS124" s="831">
        <f t="shared" si="245"/>
        <v>3530368.7566511203</v>
      </c>
      <c r="BT124" s="831"/>
      <c r="BU124" s="831">
        <f t="shared" si="246"/>
        <v>3530368.7566511203</v>
      </c>
      <c r="BV124" s="831"/>
      <c r="BW124" s="831">
        <f t="shared" si="247"/>
        <v>56400</v>
      </c>
      <c r="BX124" s="831">
        <f t="shared" si="248"/>
        <v>3586768.7566511203</v>
      </c>
      <c r="BY124" s="831"/>
      <c r="BZ124" s="831">
        <f t="shared" si="249"/>
        <v>3586768.7566511203</v>
      </c>
      <c r="CA124" s="1260">
        <f t="shared" si="250"/>
        <v>3586768.7566511203</v>
      </c>
      <c r="CB124" s="1260">
        <f t="shared" si="251"/>
        <v>3586768.7566511203</v>
      </c>
      <c r="CC124" s="1260"/>
      <c r="CD124" s="1260">
        <f t="shared" si="252"/>
        <v>0</v>
      </c>
      <c r="CE124" s="1260">
        <f t="shared" si="253"/>
        <v>0</v>
      </c>
      <c r="CF124" s="1260">
        <f t="shared" si="254"/>
        <v>0</v>
      </c>
      <c r="CG124" s="1266">
        <f t="shared" si="255"/>
        <v>3586768.7566511203</v>
      </c>
      <c r="CH124" s="1141">
        <f t="shared" si="256"/>
        <v>3586768.7566511203</v>
      </c>
      <c r="CI124" s="1142">
        <f t="shared" si="257"/>
        <v>0</v>
      </c>
      <c r="CJ124" s="1141">
        <f t="shared" si="258"/>
        <v>367643.79755673982</v>
      </c>
      <c r="CK124" s="1141">
        <f t="shared" si="259"/>
        <v>125536.90648278921</v>
      </c>
      <c r="CL124" s="1143">
        <f t="shared" si="329"/>
        <v>4079949.4606906492</v>
      </c>
      <c r="CM124" s="1144">
        <f t="shared" si="260"/>
        <v>0.125</v>
      </c>
      <c r="CN124" s="1141">
        <f t="shared" si="261"/>
        <v>509993.68258633115</v>
      </c>
      <c r="CO124" s="1141">
        <f t="shared" si="262"/>
        <v>30000</v>
      </c>
      <c r="CP124" s="1141">
        <f t="shared" si="263"/>
        <v>479993.68258633115</v>
      </c>
      <c r="CQ124" s="1145">
        <f t="shared" si="264"/>
        <v>13</v>
      </c>
      <c r="CR124" s="1141">
        <f t="shared" si="265"/>
        <v>36922.59096817932</v>
      </c>
      <c r="CS124" s="1144">
        <f t="shared" si="266"/>
        <v>0.875</v>
      </c>
      <c r="CT124" s="1141">
        <f t="shared" si="267"/>
        <v>3569955.7781043183</v>
      </c>
      <c r="CU124" s="1146">
        <f t="shared" si="204"/>
        <v>27677.829149707293</v>
      </c>
      <c r="CV124" s="1146">
        <f t="shared" si="205"/>
        <v>32087.771790531348</v>
      </c>
      <c r="CW124" s="1146">
        <f t="shared" si="206"/>
        <v>41450.213627343212</v>
      </c>
      <c r="CX124" s="1146">
        <f t="shared" si="207"/>
        <v>70689.403142511612</v>
      </c>
      <c r="CY124" s="1146">
        <f t="shared" si="268"/>
        <v>289998.85501085385</v>
      </c>
      <c r="CZ124" s="1146">
        <f t="shared" si="269"/>
        <v>114751.13426226669</v>
      </c>
      <c r="DA124" s="1146">
        <f t="shared" si="270"/>
        <v>82883.119034989897</v>
      </c>
      <c r="DB124" s="1146">
        <f t="shared" si="271"/>
        <v>63077.869327352804</v>
      </c>
      <c r="DC124" s="1146"/>
      <c r="DD124" s="1146"/>
      <c r="DE124" s="1146"/>
      <c r="DF124" s="1146"/>
      <c r="DG124" s="1146"/>
      <c r="DH124" s="1146"/>
      <c r="DI124" s="1146"/>
      <c r="DJ124" s="1146"/>
      <c r="DK124" s="1146"/>
      <c r="DL124" s="1146"/>
      <c r="DM124" s="1146"/>
      <c r="DN124" s="1146"/>
      <c r="DO124" s="1146"/>
      <c r="DP124" s="1146"/>
      <c r="DQ124" s="1146"/>
      <c r="DR124" s="1146"/>
      <c r="DS124" s="1146"/>
      <c r="DT124" s="1146"/>
      <c r="DU124" s="1146"/>
      <c r="DV124" s="1146"/>
      <c r="DW124" s="1146"/>
      <c r="DX124" s="1146"/>
      <c r="DY124" s="1146"/>
      <c r="DZ124" s="1146"/>
      <c r="EA124" s="1147">
        <f t="shared" si="208"/>
        <v>0.11151776040952087</v>
      </c>
      <c r="EB124" s="1148">
        <f t="shared" si="272"/>
        <v>0</v>
      </c>
      <c r="EC124" s="1190">
        <f t="shared" si="316"/>
        <v>45839</v>
      </c>
      <c r="ED124" s="1031">
        <f t="shared" si="209"/>
        <v>20</v>
      </c>
      <c r="EE124" s="1191"/>
      <c r="EF124" s="1032">
        <f t="shared" si="210"/>
        <v>45904</v>
      </c>
      <c r="EG124" s="1029">
        <f t="shared" si="273"/>
        <v>22</v>
      </c>
      <c r="EH124" s="859" t="s">
        <v>490</v>
      </c>
      <c r="EI124" s="859" t="s">
        <v>480</v>
      </c>
      <c r="EJ124" s="860">
        <f t="shared" si="211"/>
        <v>16800</v>
      </c>
      <c r="EK124" s="860">
        <f t="shared" si="212"/>
        <v>369600</v>
      </c>
      <c r="EL124" s="861">
        <f t="shared" si="213"/>
        <v>0.12489989165866337</v>
      </c>
      <c r="EM124" s="1197"/>
      <c r="EN124" s="860"/>
      <c r="EO124" s="860"/>
      <c r="EP124" s="860">
        <f t="shared" si="214"/>
        <v>0</v>
      </c>
      <c r="EQ124" s="1197"/>
      <c r="ER124" s="1200"/>
      <c r="ES124" s="1197"/>
      <c r="ET124" s="1194" t="s">
        <v>282</v>
      </c>
      <c r="EU124" s="1197" t="b">
        <f t="shared" si="215"/>
        <v>1</v>
      </c>
      <c r="EV124" s="1197" t="s">
        <v>618</v>
      </c>
      <c r="EW124" s="1197" t="s">
        <v>482</v>
      </c>
      <c r="EX124" s="1197"/>
      <c r="EY124" s="1128" t="s">
        <v>587</v>
      </c>
      <c r="EZ124" s="1128" t="s">
        <v>484</v>
      </c>
      <c r="FA124" s="1169">
        <f t="shared" si="274"/>
        <v>0</v>
      </c>
      <c r="FI124" s="1309" t="s">
        <v>149</v>
      </c>
      <c r="FJ124" s="1159" t="s">
        <v>149</v>
      </c>
      <c r="FK124" s="1160" t="b">
        <f t="shared" si="275"/>
        <v>1</v>
      </c>
      <c r="FL124" s="1131"/>
      <c r="FM124" s="1161"/>
      <c r="FP124" s="1166"/>
      <c r="FQ124" s="1203"/>
      <c r="FU124" s="1295"/>
      <c r="FV124" s="1295"/>
      <c r="FW124" s="1023">
        <v>0.15</v>
      </c>
      <c r="FX124" s="1162">
        <v>14949.670607265574</v>
      </c>
      <c r="FY124" s="1163">
        <v>15416.847813742623</v>
      </c>
      <c r="GA124" s="1164">
        <f t="shared" si="276"/>
        <v>4079949.4606906492</v>
      </c>
      <c r="GB124" s="1165">
        <f t="shared" si="277"/>
        <v>0.15</v>
      </c>
      <c r="GC124" s="1154">
        <f t="shared" si="278"/>
        <v>611992.41910359741</v>
      </c>
      <c r="GD124" s="1164">
        <f t="shared" si="279"/>
        <v>30000</v>
      </c>
      <c r="GE124" s="1154">
        <f t="shared" si="280"/>
        <v>581992.41910359741</v>
      </c>
      <c r="GF124" s="1060">
        <f t="shared" si="281"/>
        <v>35</v>
      </c>
      <c r="GG124" s="1166">
        <f t="shared" si="282"/>
        <v>16628.354831531353</v>
      </c>
      <c r="GI124" s="1164">
        <f t="shared" si="283"/>
        <v>4079949.4606906492</v>
      </c>
      <c r="GJ124" s="1154">
        <f t="shared" si="284"/>
        <v>407994.94606906496</v>
      </c>
      <c r="GK124" s="1154">
        <f t="shared" si="285"/>
        <v>101998.73651726624</v>
      </c>
      <c r="GL124" s="1166">
        <v>15000</v>
      </c>
      <c r="GM124" s="1154">
        <f t="shared" si="286"/>
        <v>392994.94606906496</v>
      </c>
      <c r="GN124" s="1060">
        <f t="shared" si="287"/>
        <v>35</v>
      </c>
      <c r="GO124" s="1154">
        <f t="shared" si="288"/>
        <v>11228.427030544713</v>
      </c>
      <c r="GS124" s="1010">
        <f t="shared" si="289"/>
        <v>4079949.4606906492</v>
      </c>
      <c r="GT124" s="1011">
        <f t="shared" si="290"/>
        <v>0.125</v>
      </c>
      <c r="GU124" s="1010">
        <f t="shared" si="291"/>
        <v>509993.68258633115</v>
      </c>
      <c r="GV124" s="1010">
        <f t="shared" si="292"/>
        <v>30000</v>
      </c>
      <c r="GW124" s="1010">
        <f t="shared" si="293"/>
        <v>479993.68258633115</v>
      </c>
      <c r="GX124" s="1010">
        <f t="shared" si="294"/>
        <v>13</v>
      </c>
      <c r="GY124" s="1010">
        <f t="shared" si="295"/>
        <v>36922.59096817932</v>
      </c>
      <c r="GZ124" s="1011">
        <f t="shared" si="296"/>
        <v>0.875</v>
      </c>
      <c r="HA124" s="1010">
        <f t="shared" si="297"/>
        <v>3569955.7781043183</v>
      </c>
      <c r="HB124" s="1010">
        <f t="shared" si="298"/>
        <v>27677.829149707293</v>
      </c>
      <c r="HC124" s="1010">
        <f t="shared" si="299"/>
        <v>32087.771790531348</v>
      </c>
      <c r="HD124" s="1010">
        <f t="shared" si="300"/>
        <v>41450.213627343212</v>
      </c>
      <c r="HE124" s="1010">
        <f t="shared" si="301"/>
        <v>70689.403142511612</v>
      </c>
      <c r="HG124" s="1010">
        <f t="shared" si="302"/>
        <v>4079949.4606906492</v>
      </c>
      <c r="HH124" s="1011">
        <f t="shared" si="303"/>
        <v>0.125</v>
      </c>
      <c r="HI124" s="1010">
        <f t="shared" si="304"/>
        <v>509993.68258633115</v>
      </c>
      <c r="HJ124" s="1010">
        <f t="shared" si="305"/>
        <v>30000</v>
      </c>
      <c r="HK124" s="1010">
        <f t="shared" si="306"/>
        <v>479993.68258633115</v>
      </c>
      <c r="HL124" s="1012">
        <f t="shared" si="307"/>
        <v>33</v>
      </c>
      <c r="HM124" s="1167">
        <f t="shared" si="308"/>
        <v>14545.263108676701</v>
      </c>
      <c r="HN124" s="1168">
        <f t="shared" si="309"/>
        <v>0.875</v>
      </c>
      <c r="HO124" s="1167">
        <f t="shared" si="310"/>
        <v>3569955.7781043183</v>
      </c>
      <c r="HP124" s="1146">
        <f t="shared" si="311"/>
        <v>27677.829149707293</v>
      </c>
      <c r="HQ124" s="1146">
        <f t="shared" si="312"/>
        <v>32087.771790531348</v>
      </c>
      <c r="HR124" s="1146">
        <f t="shared" si="313"/>
        <v>41450.213627343212</v>
      </c>
      <c r="HS124" s="1146">
        <f t="shared" si="314"/>
        <v>70689.403142511612</v>
      </c>
      <c r="HU124" s="1167">
        <f t="shared" si="315"/>
        <v>-22377.32785950262</v>
      </c>
      <c r="HX124" s="1154"/>
      <c r="HY124" s="1154"/>
      <c r="IB124" s="1154"/>
      <c r="IC124" s="1154"/>
      <c r="ID124" s="1154"/>
      <c r="IE124" s="1154"/>
      <c r="IG124" s="1060"/>
    </row>
    <row r="125" spans="1:241" ht="14.25" hidden="1" customHeight="1">
      <c r="A125" s="1186">
        <f t="shared" si="330"/>
        <v>119</v>
      </c>
      <c r="B125" s="824" t="s">
        <v>149</v>
      </c>
      <c r="C125" s="855">
        <f t="shared" si="350"/>
        <v>14</v>
      </c>
      <c r="D125" s="856" t="s">
        <v>511</v>
      </c>
      <c r="E125" s="857" t="str">
        <f t="shared" si="216"/>
        <v>8th Floor</v>
      </c>
      <c r="F125" s="1185"/>
      <c r="G125" s="764" t="s">
        <v>283</v>
      </c>
      <c r="H125" s="764" t="s">
        <v>529</v>
      </c>
      <c r="I125" s="764" t="s">
        <v>476</v>
      </c>
      <c r="J125" s="1139">
        <v>22</v>
      </c>
      <c r="K125" s="1142"/>
      <c r="L125" s="764" t="s">
        <v>500</v>
      </c>
      <c r="M125" s="764" t="s">
        <v>93</v>
      </c>
      <c r="N125" s="856">
        <f t="shared" si="217"/>
        <v>100909.09090909091</v>
      </c>
      <c r="O125" s="1138">
        <f t="shared" si="324"/>
        <v>2220000</v>
      </c>
      <c r="P125" s="1138">
        <f t="shared" si="331"/>
        <v>22400</v>
      </c>
      <c r="Q125" s="1138">
        <f t="shared" si="203"/>
        <v>50000</v>
      </c>
      <c r="R125" s="1138"/>
      <c r="S125" s="1138"/>
      <c r="T125" s="1138">
        <f t="shared" si="349"/>
        <v>66000</v>
      </c>
      <c r="U125" s="1138"/>
      <c r="V125" s="1138"/>
      <c r="W125" s="1138"/>
      <c r="X125" s="1138"/>
      <c r="Y125" s="1138">
        <f t="shared" si="352"/>
        <v>80000</v>
      </c>
      <c r="Z125" s="1138">
        <f t="shared" si="327"/>
        <v>75000</v>
      </c>
      <c r="AA125" s="1138">
        <f t="shared" si="328"/>
        <v>293400</v>
      </c>
      <c r="AB125" s="1138">
        <f t="shared" si="218"/>
        <v>2513400</v>
      </c>
      <c r="AC125" s="1138">
        <f t="shared" si="219"/>
        <v>62835</v>
      </c>
      <c r="AD125" s="1138">
        <f t="shared" si="220"/>
        <v>2576235</v>
      </c>
      <c r="AE125" s="1138">
        <f t="shared" si="221"/>
        <v>64405.875</v>
      </c>
      <c r="AF125" s="1138">
        <f t="shared" si="222"/>
        <v>2640640.875</v>
      </c>
      <c r="AG125" s="1138">
        <f t="shared" si="223"/>
        <v>66016.021875000006</v>
      </c>
      <c r="AH125" s="1138">
        <f t="shared" si="224"/>
        <v>2706656.8968750001</v>
      </c>
      <c r="AI125" s="1138">
        <f t="shared" si="225"/>
        <v>135332.84484375</v>
      </c>
      <c r="AJ125" s="1138">
        <f t="shared" si="226"/>
        <v>2841989.74171875</v>
      </c>
      <c r="AK125" s="1138">
        <f t="shared" si="227"/>
        <v>28419.897417187502</v>
      </c>
      <c r="AL125" s="1138">
        <f t="shared" si="228"/>
        <v>27537.409960060559</v>
      </c>
      <c r="AM125" s="1138"/>
      <c r="AN125" s="1138"/>
      <c r="AO125" s="1138">
        <f t="shared" si="229"/>
        <v>2897947.0490959981</v>
      </c>
      <c r="AP125" s="1138">
        <f t="shared" si="230"/>
        <v>391222.85162795975</v>
      </c>
      <c r="AQ125" s="1248">
        <f t="shared" si="231"/>
        <v>3289169.9007239579</v>
      </c>
      <c r="AR125" s="1248">
        <f t="shared" si="347"/>
        <v>2959169.9007239579</v>
      </c>
      <c r="AS125" s="1248">
        <v>15000</v>
      </c>
      <c r="AT125" s="1248">
        <f t="shared" si="348"/>
        <v>330000</v>
      </c>
      <c r="AU125" s="1248">
        <f t="shared" si="232"/>
        <v>39600</v>
      </c>
      <c r="AV125" s="1140">
        <f t="shared" si="233"/>
        <v>369600</v>
      </c>
      <c r="AW125" s="1140">
        <f t="shared" si="234"/>
        <v>3328769.9007239579</v>
      </c>
      <c r="AX125" s="1139">
        <f t="shared" si="235"/>
        <v>41609.623759049478</v>
      </c>
      <c r="AY125" s="831" t="s">
        <v>478</v>
      </c>
      <c r="AZ125" s="831">
        <f t="shared" si="236"/>
        <v>3370379.5244830074</v>
      </c>
      <c r="BA125" s="831">
        <f t="shared" si="237"/>
        <v>126389.23216811277</v>
      </c>
      <c r="BB125" s="831"/>
      <c r="BC125" s="831">
        <f t="shared" si="346"/>
        <v>33600</v>
      </c>
      <c r="BD125" s="831"/>
      <c r="BE125" s="831">
        <f t="shared" si="238"/>
        <v>3530368.7566511203</v>
      </c>
      <c r="BF125" s="831"/>
      <c r="BG125" s="831">
        <f t="shared" si="239"/>
        <v>3530368.7566511203</v>
      </c>
      <c r="BH125" s="831"/>
      <c r="BI125" s="831">
        <f t="shared" si="240"/>
        <v>3530368.7566511203</v>
      </c>
      <c r="BJ125" s="831"/>
      <c r="BK125" s="831">
        <f t="shared" si="241"/>
        <v>3530368.7566511203</v>
      </c>
      <c r="BL125" s="831"/>
      <c r="BM125" s="831">
        <f t="shared" si="242"/>
        <v>3530368.7566511203</v>
      </c>
      <c r="BN125" s="831"/>
      <c r="BO125" s="831">
        <f t="shared" si="243"/>
        <v>3530368.7566511203</v>
      </c>
      <c r="BP125" s="831"/>
      <c r="BQ125" s="831">
        <f t="shared" si="244"/>
        <v>3530368.7566511203</v>
      </c>
      <c r="BR125" s="831"/>
      <c r="BS125" s="831">
        <f t="shared" si="245"/>
        <v>3530368.7566511203</v>
      </c>
      <c r="BT125" s="831"/>
      <c r="BU125" s="831">
        <f t="shared" si="246"/>
        <v>3530368.7566511203</v>
      </c>
      <c r="BV125" s="831"/>
      <c r="BW125" s="831">
        <f t="shared" si="247"/>
        <v>56400</v>
      </c>
      <c r="BX125" s="831">
        <f t="shared" si="248"/>
        <v>3586768.7566511203</v>
      </c>
      <c r="BY125" s="831"/>
      <c r="BZ125" s="831">
        <f t="shared" si="249"/>
        <v>3586768.7566511203</v>
      </c>
      <c r="CA125" s="1260">
        <f t="shared" si="250"/>
        <v>3586768.7566511203</v>
      </c>
      <c r="CB125" s="1260">
        <f t="shared" si="251"/>
        <v>3586768.7566511203</v>
      </c>
      <c r="CC125" s="1260"/>
      <c r="CD125" s="1260">
        <f t="shared" si="252"/>
        <v>0</v>
      </c>
      <c r="CE125" s="1260">
        <f t="shared" si="253"/>
        <v>0</v>
      </c>
      <c r="CF125" s="1260">
        <f t="shared" si="254"/>
        <v>0</v>
      </c>
      <c r="CG125" s="1266">
        <f t="shared" si="255"/>
        <v>3586768.7566511203</v>
      </c>
      <c r="CH125" s="1141">
        <f t="shared" si="256"/>
        <v>3586768.7566511203</v>
      </c>
      <c r="CI125" s="1142">
        <f t="shared" si="257"/>
        <v>0</v>
      </c>
      <c r="CJ125" s="1141">
        <f t="shared" si="258"/>
        <v>367643.79755673982</v>
      </c>
      <c r="CK125" s="1141">
        <f t="shared" si="259"/>
        <v>125536.90648278921</v>
      </c>
      <c r="CL125" s="1143">
        <f t="shared" si="329"/>
        <v>4079949.4606906492</v>
      </c>
      <c r="CM125" s="1144">
        <f t="shared" si="260"/>
        <v>0.125</v>
      </c>
      <c r="CN125" s="1141">
        <f t="shared" si="261"/>
        <v>509993.68258633115</v>
      </c>
      <c r="CO125" s="1141">
        <f t="shared" si="262"/>
        <v>30000</v>
      </c>
      <c r="CP125" s="1141">
        <f t="shared" si="263"/>
        <v>479993.68258633115</v>
      </c>
      <c r="CQ125" s="1145">
        <f t="shared" si="264"/>
        <v>13</v>
      </c>
      <c r="CR125" s="1141">
        <f t="shared" si="265"/>
        <v>36922.59096817932</v>
      </c>
      <c r="CS125" s="1144">
        <f t="shared" si="266"/>
        <v>0.875</v>
      </c>
      <c r="CT125" s="1141">
        <f t="shared" si="267"/>
        <v>3569955.7781043183</v>
      </c>
      <c r="CU125" s="1146">
        <f t="shared" si="204"/>
        <v>27677.829149707293</v>
      </c>
      <c r="CV125" s="1146">
        <f t="shared" si="205"/>
        <v>32087.771790531348</v>
      </c>
      <c r="CW125" s="1146">
        <f t="shared" si="206"/>
        <v>41450.213627343212</v>
      </c>
      <c r="CX125" s="1146">
        <f t="shared" si="207"/>
        <v>70689.403142511612</v>
      </c>
      <c r="CY125" s="1146">
        <f t="shared" si="268"/>
        <v>289998.85501085385</v>
      </c>
      <c r="CZ125" s="1146">
        <f t="shared" si="269"/>
        <v>114751.13426226669</v>
      </c>
      <c r="DA125" s="1146">
        <f t="shared" si="270"/>
        <v>82883.119034989897</v>
      </c>
      <c r="DB125" s="1146">
        <f t="shared" si="271"/>
        <v>63077.869327352804</v>
      </c>
      <c r="DC125" s="1146"/>
      <c r="DD125" s="1146"/>
      <c r="DE125" s="1146"/>
      <c r="DF125" s="1146"/>
      <c r="DG125" s="1146"/>
      <c r="DH125" s="1146"/>
      <c r="DI125" s="1146"/>
      <c r="DJ125" s="1146"/>
      <c r="DK125" s="1146"/>
      <c r="DL125" s="1146"/>
      <c r="DM125" s="1146"/>
      <c r="DN125" s="1146"/>
      <c r="DO125" s="1146"/>
      <c r="DP125" s="1146"/>
      <c r="DQ125" s="1146"/>
      <c r="DR125" s="1146"/>
      <c r="DS125" s="1146"/>
      <c r="DT125" s="1146"/>
      <c r="DU125" s="1146"/>
      <c r="DV125" s="1146"/>
      <c r="DW125" s="1146"/>
      <c r="DX125" s="1146"/>
      <c r="DY125" s="1146"/>
      <c r="DZ125" s="1146"/>
      <c r="EA125" s="1147">
        <f t="shared" si="208"/>
        <v>0.11151776040952087</v>
      </c>
      <c r="EB125" s="1148">
        <f t="shared" si="272"/>
        <v>0</v>
      </c>
      <c r="EC125" s="1190">
        <f t="shared" si="316"/>
        <v>45839</v>
      </c>
      <c r="ED125" s="1031">
        <f t="shared" si="209"/>
        <v>20</v>
      </c>
      <c r="EE125" s="1191"/>
      <c r="EF125" s="1032">
        <f t="shared" si="210"/>
        <v>45904</v>
      </c>
      <c r="EG125" s="1029">
        <f t="shared" si="273"/>
        <v>22</v>
      </c>
      <c r="EH125" s="859" t="s">
        <v>490</v>
      </c>
      <c r="EI125" s="859" t="s">
        <v>480</v>
      </c>
      <c r="EJ125" s="860">
        <f t="shared" si="211"/>
        <v>16800</v>
      </c>
      <c r="EK125" s="860">
        <f t="shared" si="212"/>
        <v>369600</v>
      </c>
      <c r="EL125" s="861">
        <f t="shared" si="213"/>
        <v>0.12489989165866337</v>
      </c>
      <c r="EM125" s="1197"/>
      <c r="EN125" s="860"/>
      <c r="EO125" s="860"/>
      <c r="EP125" s="860">
        <f t="shared" si="214"/>
        <v>0</v>
      </c>
      <c r="EQ125" s="1197"/>
      <c r="ER125" s="1200"/>
      <c r="ES125" s="1197"/>
      <c r="ET125" s="1194" t="s">
        <v>283</v>
      </c>
      <c r="EU125" s="1197" t="b">
        <f t="shared" si="215"/>
        <v>1</v>
      </c>
      <c r="EV125" s="1197" t="s">
        <v>621</v>
      </c>
      <c r="EW125" s="1197" t="s">
        <v>482</v>
      </c>
      <c r="EX125" s="1197"/>
      <c r="EY125" s="1128" t="s">
        <v>587</v>
      </c>
      <c r="EZ125" s="1128" t="s">
        <v>484</v>
      </c>
      <c r="FA125" s="1169">
        <f t="shared" si="274"/>
        <v>0</v>
      </c>
      <c r="FI125" s="1309" t="s">
        <v>149</v>
      </c>
      <c r="FJ125" s="1159" t="s">
        <v>149</v>
      </c>
      <c r="FK125" s="1160" t="b">
        <f t="shared" si="275"/>
        <v>1</v>
      </c>
      <c r="FL125" s="1131"/>
      <c r="FM125" s="1161"/>
      <c r="FP125" s="1166"/>
      <c r="FQ125" s="1203"/>
      <c r="FU125" s="1295"/>
      <c r="FV125" s="1295"/>
      <c r="FW125" s="1023">
        <v>0.15</v>
      </c>
      <c r="FX125" s="1162">
        <v>14949.670607265574</v>
      </c>
      <c r="FY125" s="1163">
        <v>15416.847813742623</v>
      </c>
      <c r="GA125" s="1164">
        <f t="shared" si="276"/>
        <v>4079949.4606906492</v>
      </c>
      <c r="GB125" s="1165">
        <f t="shared" si="277"/>
        <v>0.15</v>
      </c>
      <c r="GC125" s="1154">
        <f t="shared" si="278"/>
        <v>611992.41910359741</v>
      </c>
      <c r="GD125" s="1164">
        <f t="shared" si="279"/>
        <v>30000</v>
      </c>
      <c r="GE125" s="1154">
        <f t="shared" si="280"/>
        <v>581992.41910359741</v>
      </c>
      <c r="GF125" s="1060">
        <f t="shared" si="281"/>
        <v>35</v>
      </c>
      <c r="GG125" s="1166">
        <f t="shared" si="282"/>
        <v>16628.354831531353</v>
      </c>
      <c r="GI125" s="1164">
        <f t="shared" si="283"/>
        <v>4079949.4606906492</v>
      </c>
      <c r="GJ125" s="1154">
        <f t="shared" si="284"/>
        <v>407994.94606906496</v>
      </c>
      <c r="GK125" s="1154">
        <f t="shared" si="285"/>
        <v>101998.73651726624</v>
      </c>
      <c r="GL125" s="1166">
        <v>15000</v>
      </c>
      <c r="GM125" s="1154">
        <f t="shared" si="286"/>
        <v>392994.94606906496</v>
      </c>
      <c r="GN125" s="1060">
        <f t="shared" si="287"/>
        <v>35</v>
      </c>
      <c r="GO125" s="1154">
        <f t="shared" si="288"/>
        <v>11228.427030544713</v>
      </c>
      <c r="GS125" s="1010">
        <f t="shared" si="289"/>
        <v>4079949.4606906492</v>
      </c>
      <c r="GT125" s="1011">
        <f t="shared" si="290"/>
        <v>0.125</v>
      </c>
      <c r="GU125" s="1010">
        <f t="shared" si="291"/>
        <v>509993.68258633115</v>
      </c>
      <c r="GV125" s="1010">
        <f t="shared" si="292"/>
        <v>30000</v>
      </c>
      <c r="GW125" s="1010">
        <f t="shared" si="293"/>
        <v>479993.68258633115</v>
      </c>
      <c r="GX125" s="1010">
        <f t="shared" si="294"/>
        <v>13</v>
      </c>
      <c r="GY125" s="1010">
        <f t="shared" si="295"/>
        <v>36922.59096817932</v>
      </c>
      <c r="GZ125" s="1011">
        <f t="shared" si="296"/>
        <v>0.875</v>
      </c>
      <c r="HA125" s="1010">
        <f t="shared" si="297"/>
        <v>3569955.7781043183</v>
      </c>
      <c r="HB125" s="1010">
        <f t="shared" si="298"/>
        <v>27677.829149707293</v>
      </c>
      <c r="HC125" s="1010">
        <f t="shared" si="299"/>
        <v>32087.771790531348</v>
      </c>
      <c r="HD125" s="1010">
        <f t="shared" si="300"/>
        <v>41450.213627343212</v>
      </c>
      <c r="HE125" s="1010">
        <f t="shared" si="301"/>
        <v>70689.403142511612</v>
      </c>
      <c r="HG125" s="1010">
        <f t="shared" si="302"/>
        <v>4079949.4606906492</v>
      </c>
      <c r="HH125" s="1011">
        <f t="shared" si="303"/>
        <v>0.125</v>
      </c>
      <c r="HI125" s="1010">
        <f t="shared" si="304"/>
        <v>509993.68258633115</v>
      </c>
      <c r="HJ125" s="1010">
        <f t="shared" si="305"/>
        <v>30000</v>
      </c>
      <c r="HK125" s="1010">
        <f t="shared" si="306"/>
        <v>479993.68258633115</v>
      </c>
      <c r="HL125" s="1012">
        <f t="shared" si="307"/>
        <v>33</v>
      </c>
      <c r="HM125" s="1167">
        <f t="shared" si="308"/>
        <v>14545.263108676701</v>
      </c>
      <c r="HN125" s="1168">
        <f t="shared" si="309"/>
        <v>0.875</v>
      </c>
      <c r="HO125" s="1167">
        <f t="shared" si="310"/>
        <v>3569955.7781043183</v>
      </c>
      <c r="HP125" s="1146">
        <f t="shared" si="311"/>
        <v>27677.829149707293</v>
      </c>
      <c r="HQ125" s="1146">
        <f t="shared" si="312"/>
        <v>32087.771790531348</v>
      </c>
      <c r="HR125" s="1146">
        <f t="shared" si="313"/>
        <v>41450.213627343212</v>
      </c>
      <c r="HS125" s="1146">
        <f t="shared" si="314"/>
        <v>70689.403142511612</v>
      </c>
      <c r="HU125" s="1167">
        <f t="shared" si="315"/>
        <v>-22377.32785950262</v>
      </c>
      <c r="HX125" s="1154"/>
      <c r="HY125" s="1154"/>
      <c r="IB125" s="1154"/>
      <c r="IC125" s="1154"/>
      <c r="ID125" s="1154"/>
      <c r="IE125" s="1154"/>
      <c r="IG125" s="1060"/>
    </row>
    <row r="126" spans="1:241" ht="14.25" customHeight="1">
      <c r="A126" s="1186">
        <f t="shared" si="330"/>
        <v>120</v>
      </c>
      <c r="B126" s="824" t="s">
        <v>149</v>
      </c>
      <c r="C126" s="855">
        <f t="shared" si="350"/>
        <v>15</v>
      </c>
      <c r="D126" s="856" t="s">
        <v>511</v>
      </c>
      <c r="E126" s="857" t="str">
        <f t="shared" si="216"/>
        <v>8th Floor</v>
      </c>
      <c r="F126" s="1185"/>
      <c r="G126" s="764" t="s">
        <v>284</v>
      </c>
      <c r="H126" s="764" t="s">
        <v>533</v>
      </c>
      <c r="I126" s="764" t="s">
        <v>476</v>
      </c>
      <c r="J126" s="1139">
        <v>22</v>
      </c>
      <c r="K126" s="1142"/>
      <c r="L126" s="764" t="s">
        <v>500</v>
      </c>
      <c r="M126" s="764" t="s">
        <v>93</v>
      </c>
      <c r="N126" s="856">
        <f t="shared" si="217"/>
        <v>100909.09090909091</v>
      </c>
      <c r="O126" s="1138">
        <f t="shared" si="324"/>
        <v>2220000</v>
      </c>
      <c r="P126" s="1138">
        <f t="shared" si="331"/>
        <v>22400</v>
      </c>
      <c r="Q126" s="1138">
        <f t="shared" si="203"/>
        <v>50000</v>
      </c>
      <c r="R126" s="1138"/>
      <c r="S126" s="1138"/>
      <c r="T126" s="1138">
        <f t="shared" si="349"/>
        <v>66000</v>
      </c>
      <c r="U126" s="1138"/>
      <c r="V126" s="858"/>
      <c r="W126" s="858"/>
      <c r="X126" s="1138"/>
      <c r="Y126" s="1138">
        <f t="shared" si="352"/>
        <v>80000</v>
      </c>
      <c r="Z126" s="1138">
        <f t="shared" si="327"/>
        <v>75000</v>
      </c>
      <c r="AA126" s="1138">
        <f t="shared" si="328"/>
        <v>293400</v>
      </c>
      <c r="AB126" s="1138">
        <f t="shared" si="218"/>
        <v>2513400</v>
      </c>
      <c r="AC126" s="1138">
        <f t="shared" si="219"/>
        <v>62835</v>
      </c>
      <c r="AD126" s="1138">
        <f t="shared" si="220"/>
        <v>2576235</v>
      </c>
      <c r="AE126" s="1138">
        <f t="shared" si="221"/>
        <v>64405.875</v>
      </c>
      <c r="AF126" s="1138">
        <f t="shared" si="222"/>
        <v>2640640.875</v>
      </c>
      <c r="AG126" s="1138">
        <f t="shared" si="223"/>
        <v>66016.021875000006</v>
      </c>
      <c r="AH126" s="1138">
        <f t="shared" si="224"/>
        <v>2706656.8968750001</v>
      </c>
      <c r="AI126" s="1138">
        <f t="shared" si="225"/>
        <v>135332.84484375</v>
      </c>
      <c r="AJ126" s="1138">
        <f t="shared" si="226"/>
        <v>2841989.74171875</v>
      </c>
      <c r="AK126" s="1138">
        <f t="shared" si="227"/>
        <v>28419.897417187502</v>
      </c>
      <c r="AL126" s="1138">
        <f t="shared" si="228"/>
        <v>27537.409960060559</v>
      </c>
      <c r="AM126" s="1138"/>
      <c r="AN126" s="1138"/>
      <c r="AO126" s="1138">
        <f t="shared" si="229"/>
        <v>2897947.0490959981</v>
      </c>
      <c r="AP126" s="1138">
        <f t="shared" si="230"/>
        <v>391222.85162795975</v>
      </c>
      <c r="AQ126" s="1248">
        <f t="shared" si="231"/>
        <v>3289169.9007239579</v>
      </c>
      <c r="AR126" s="1248">
        <f t="shared" si="347"/>
        <v>2959169.9007239579</v>
      </c>
      <c r="AS126" s="1248">
        <v>15000</v>
      </c>
      <c r="AT126" s="1248">
        <f t="shared" si="348"/>
        <v>330000</v>
      </c>
      <c r="AU126" s="1248">
        <f t="shared" si="232"/>
        <v>39600</v>
      </c>
      <c r="AV126" s="1140">
        <f t="shared" si="233"/>
        <v>369600</v>
      </c>
      <c r="AW126" s="1140">
        <f t="shared" si="234"/>
        <v>3328769.9007239579</v>
      </c>
      <c r="AX126" s="1139">
        <f t="shared" si="235"/>
        <v>41609.623759049478</v>
      </c>
      <c r="AY126" s="831" t="s">
        <v>478</v>
      </c>
      <c r="AZ126" s="831">
        <f t="shared" si="236"/>
        <v>3370379.5244830074</v>
      </c>
      <c r="BA126" s="831">
        <f t="shared" si="237"/>
        <v>126389.23216811277</v>
      </c>
      <c r="BB126" s="831"/>
      <c r="BC126" s="831">
        <f t="shared" si="346"/>
        <v>33600</v>
      </c>
      <c r="BD126" s="831"/>
      <c r="BE126" s="831">
        <f t="shared" si="238"/>
        <v>3530368.7566511203</v>
      </c>
      <c r="BF126" s="831"/>
      <c r="BG126" s="831">
        <f t="shared" si="239"/>
        <v>3530368.7566511203</v>
      </c>
      <c r="BH126" s="831"/>
      <c r="BI126" s="831">
        <f t="shared" si="240"/>
        <v>3530368.7566511203</v>
      </c>
      <c r="BJ126" s="831"/>
      <c r="BK126" s="831">
        <f t="shared" si="241"/>
        <v>3530368.7566511203</v>
      </c>
      <c r="BL126" s="831"/>
      <c r="BM126" s="831">
        <f t="shared" si="242"/>
        <v>3530368.7566511203</v>
      </c>
      <c r="BN126" s="831"/>
      <c r="BO126" s="831">
        <f t="shared" si="243"/>
        <v>3530368.7566511203</v>
      </c>
      <c r="BP126" s="831">
        <f t="shared" ref="BP126:BP127" si="360">$BP$5/37</f>
        <v>5065.3710270270276</v>
      </c>
      <c r="BQ126" s="831">
        <f t="shared" si="244"/>
        <v>3535434.1276781475</v>
      </c>
      <c r="BR126" s="831">
        <f t="shared" ref="BR126:BR127" si="361">$BR$5/42</f>
        <v>3544.6104</v>
      </c>
      <c r="BS126" s="831">
        <f t="shared" si="245"/>
        <v>3538978.7380781476</v>
      </c>
      <c r="BT126" s="831">
        <f t="shared" ref="BT126:BT127" si="362">$BT$5/41</f>
        <v>1609.3168000000001</v>
      </c>
      <c r="BU126" s="831">
        <f t="shared" si="246"/>
        <v>3540588.0548781478</v>
      </c>
      <c r="BV126" s="831">
        <f t="shared" ref="BV126:BV127" si="363">$BV$5/43</f>
        <v>1163.3400930232558</v>
      </c>
      <c r="BW126" s="831">
        <f t="shared" si="247"/>
        <v>56400</v>
      </c>
      <c r="BX126" s="831">
        <f t="shared" si="248"/>
        <v>3598151.3949711709</v>
      </c>
      <c r="BY126" s="831">
        <f t="shared" ref="BY126:BY127" si="364">$BY$5/44</f>
        <v>30549.183723443901</v>
      </c>
      <c r="BZ126" s="831">
        <f t="shared" si="249"/>
        <v>3628700.578694615</v>
      </c>
      <c r="CA126" s="1260">
        <f t="shared" si="250"/>
        <v>3628700.578694615</v>
      </c>
      <c r="CB126" s="1260">
        <f t="shared" si="251"/>
        <v>3452700.578694615</v>
      </c>
      <c r="CC126" s="1260">
        <v>8000</v>
      </c>
      <c r="CD126" s="1260">
        <f t="shared" si="252"/>
        <v>176000</v>
      </c>
      <c r="CE126" s="1260">
        <f t="shared" si="253"/>
        <v>21120</v>
      </c>
      <c r="CF126" s="1260">
        <f t="shared" si="254"/>
        <v>197120</v>
      </c>
      <c r="CG126" s="1266">
        <f t="shared" si="255"/>
        <v>3649820.578694615</v>
      </c>
      <c r="CH126" s="1141">
        <f t="shared" si="256"/>
        <v>3649820.578694615</v>
      </c>
      <c r="CI126" s="1142">
        <f t="shared" si="257"/>
        <v>0</v>
      </c>
      <c r="CJ126" s="1141">
        <f t="shared" si="258"/>
        <v>374106.60931619804</v>
      </c>
      <c r="CK126" s="1141">
        <f t="shared" si="259"/>
        <v>127743.72025431154</v>
      </c>
      <c r="CL126" s="1143">
        <f t="shared" si="329"/>
        <v>4151670.9082651245</v>
      </c>
      <c r="CM126" s="1144">
        <f t="shared" si="260"/>
        <v>0.125</v>
      </c>
      <c r="CN126" s="1141">
        <f t="shared" si="261"/>
        <v>518958.86353314057</v>
      </c>
      <c r="CO126" s="1141">
        <f t="shared" si="262"/>
        <v>30000</v>
      </c>
      <c r="CP126" s="1141">
        <f t="shared" si="263"/>
        <v>488958.86353314057</v>
      </c>
      <c r="CQ126" s="1145">
        <f t="shared" si="264"/>
        <v>13</v>
      </c>
      <c r="CR126" s="1141">
        <f t="shared" si="265"/>
        <v>37612.220271780046</v>
      </c>
      <c r="CS126" s="1144">
        <f t="shared" si="266"/>
        <v>0.875</v>
      </c>
      <c r="CT126" s="1141">
        <f t="shared" si="267"/>
        <v>3632712.0447319839</v>
      </c>
      <c r="CU126" s="1146">
        <f t="shared" si="204"/>
        <v>28164.37781690573</v>
      </c>
      <c r="CV126" s="1146">
        <f t="shared" si="205"/>
        <v>32651.842856712337</v>
      </c>
      <c r="CW126" s="1146">
        <f t="shared" si="206"/>
        <v>42178.867095300884</v>
      </c>
      <c r="CX126" s="1146">
        <f t="shared" si="207"/>
        <v>71932.052437657127</v>
      </c>
      <c r="CY126" s="1146">
        <f t="shared" si="268"/>
        <v>295096.74602070916</v>
      </c>
      <c r="CZ126" s="1146">
        <f t="shared" si="269"/>
        <v>116768.34490161357</v>
      </c>
      <c r="DA126" s="1146">
        <f t="shared" si="270"/>
        <v>84340.12170964331</v>
      </c>
      <c r="DB126" s="1146">
        <f t="shared" si="271"/>
        <v>64186.715439702813</v>
      </c>
      <c r="DC126" s="1146"/>
      <c r="DD126" s="1146"/>
      <c r="DE126" s="1146"/>
      <c r="DF126" s="1146"/>
      <c r="DG126" s="1146"/>
      <c r="DH126" s="1146"/>
      <c r="DI126" s="1146"/>
      <c r="DJ126" s="1146"/>
      <c r="DK126" s="1146"/>
      <c r="DL126" s="1146"/>
      <c r="DM126" s="1146"/>
      <c r="DN126" s="1146"/>
      <c r="DO126" s="1146"/>
      <c r="DP126" s="1146"/>
      <c r="DQ126" s="1146"/>
      <c r="DR126" s="1146"/>
      <c r="DS126" s="1146"/>
      <c r="DT126" s="1146"/>
      <c r="DU126" s="1146"/>
      <c r="DV126" s="1146"/>
      <c r="DW126" s="1146"/>
      <c r="DX126" s="1146"/>
      <c r="DY126" s="1146"/>
      <c r="DZ126" s="1146"/>
      <c r="EA126" s="1147">
        <f t="shared" si="208"/>
        <v>0.11151776040952087</v>
      </c>
      <c r="EB126" s="1148">
        <f t="shared" si="272"/>
        <v>5.7091541970467195E-2</v>
      </c>
      <c r="EC126" s="1190">
        <f t="shared" si="316"/>
        <v>45839</v>
      </c>
      <c r="ED126" s="1031">
        <f t="shared" si="209"/>
        <v>20</v>
      </c>
      <c r="EE126" s="1191"/>
      <c r="EF126" s="1032">
        <f t="shared" si="210"/>
        <v>45904</v>
      </c>
      <c r="EG126" s="1029">
        <f t="shared" si="273"/>
        <v>22</v>
      </c>
      <c r="EH126" s="859" t="s">
        <v>490</v>
      </c>
      <c r="EI126" s="859" t="s">
        <v>480</v>
      </c>
      <c r="EJ126" s="860">
        <f t="shared" si="211"/>
        <v>16800</v>
      </c>
      <c r="EK126" s="860">
        <f t="shared" si="212"/>
        <v>369600</v>
      </c>
      <c r="EL126" s="861">
        <f t="shared" si="213"/>
        <v>0.12489989165866337</v>
      </c>
      <c r="EM126" s="1197"/>
      <c r="EN126" s="860"/>
      <c r="EO126" s="860"/>
      <c r="EP126" s="860">
        <f t="shared" si="214"/>
        <v>0</v>
      </c>
      <c r="EQ126" s="1197"/>
      <c r="ER126" s="1200"/>
      <c r="ES126" s="1197"/>
      <c r="ET126" s="1194" t="s">
        <v>284</v>
      </c>
      <c r="EU126" s="1197" t="b">
        <f t="shared" si="215"/>
        <v>1</v>
      </c>
      <c r="EV126" s="1197" t="s">
        <v>622</v>
      </c>
      <c r="EW126" s="1197" t="s">
        <v>482</v>
      </c>
      <c r="EX126" s="1197"/>
      <c r="EY126" s="1128" t="s">
        <v>587</v>
      </c>
      <c r="EZ126" s="1128" t="s">
        <v>484</v>
      </c>
      <c r="FA126" s="1169">
        <f t="shared" si="274"/>
        <v>-21120</v>
      </c>
      <c r="FI126" s="1309" t="s">
        <v>96</v>
      </c>
      <c r="FJ126" s="1159" t="s">
        <v>96</v>
      </c>
      <c r="FK126" s="1160" t="b">
        <f t="shared" si="275"/>
        <v>1</v>
      </c>
      <c r="FL126" s="1131"/>
      <c r="FM126" s="1161"/>
      <c r="FP126" s="1166"/>
      <c r="FQ126" s="1203"/>
      <c r="FU126" s="1295"/>
      <c r="FV126" s="1295"/>
      <c r="FW126" s="1023">
        <v>0.15</v>
      </c>
      <c r="FX126" s="1162">
        <v>14949.670607265574</v>
      </c>
      <c r="FY126" s="1163">
        <v>15416.847813742623</v>
      </c>
      <c r="GA126" s="1164">
        <f t="shared" si="276"/>
        <v>4151670.9082651245</v>
      </c>
      <c r="GB126" s="1165">
        <f t="shared" si="277"/>
        <v>0.15</v>
      </c>
      <c r="GC126" s="1154">
        <f t="shared" si="278"/>
        <v>622750.6362397687</v>
      </c>
      <c r="GD126" s="1164">
        <f t="shared" si="279"/>
        <v>30000</v>
      </c>
      <c r="GE126" s="1154">
        <f t="shared" si="280"/>
        <v>592750.6362397687</v>
      </c>
      <c r="GF126" s="1060">
        <f t="shared" si="281"/>
        <v>35</v>
      </c>
      <c r="GG126" s="1166">
        <f t="shared" si="282"/>
        <v>16935.73246399339</v>
      </c>
      <c r="GI126" s="1164">
        <f t="shared" si="283"/>
        <v>4151670.9082651245</v>
      </c>
      <c r="GJ126" s="1154">
        <f t="shared" si="284"/>
        <v>415167.09082651249</v>
      </c>
      <c r="GK126" s="1154">
        <f t="shared" si="285"/>
        <v>103791.77270662812</v>
      </c>
      <c r="GL126" s="1166">
        <v>15000</v>
      </c>
      <c r="GM126" s="1154">
        <f t="shared" si="286"/>
        <v>400167.09082651249</v>
      </c>
      <c r="GN126" s="1060">
        <f t="shared" si="287"/>
        <v>35</v>
      </c>
      <c r="GO126" s="1154">
        <f t="shared" si="288"/>
        <v>11433.345452186071</v>
      </c>
      <c r="GS126" s="1010">
        <f t="shared" si="289"/>
        <v>4151670.9082651245</v>
      </c>
      <c r="GT126" s="1011">
        <f t="shared" si="290"/>
        <v>0.125</v>
      </c>
      <c r="GU126" s="1010">
        <f t="shared" si="291"/>
        <v>518958.86353314057</v>
      </c>
      <c r="GV126" s="1010">
        <f t="shared" si="292"/>
        <v>30000</v>
      </c>
      <c r="GW126" s="1010">
        <f t="shared" si="293"/>
        <v>488958.86353314057</v>
      </c>
      <c r="GX126" s="1010">
        <f t="shared" si="294"/>
        <v>13</v>
      </c>
      <c r="GY126" s="1010">
        <f t="shared" si="295"/>
        <v>37612.220271780046</v>
      </c>
      <c r="GZ126" s="1011">
        <f t="shared" si="296"/>
        <v>0.875</v>
      </c>
      <c r="HA126" s="1010">
        <f t="shared" si="297"/>
        <v>3632712.0447319839</v>
      </c>
      <c r="HB126" s="1010">
        <f t="shared" si="298"/>
        <v>28164.37781690573</v>
      </c>
      <c r="HC126" s="1010">
        <f t="shared" si="299"/>
        <v>32651.842856712337</v>
      </c>
      <c r="HD126" s="1010">
        <f t="shared" si="300"/>
        <v>42178.867095300884</v>
      </c>
      <c r="HE126" s="1010">
        <f t="shared" si="301"/>
        <v>71932.052437657127</v>
      </c>
      <c r="HG126" s="1010">
        <f t="shared" si="302"/>
        <v>4151670.9082651245</v>
      </c>
      <c r="HH126" s="1011">
        <f t="shared" si="303"/>
        <v>0.125</v>
      </c>
      <c r="HI126" s="1010">
        <f t="shared" si="304"/>
        <v>518958.86353314057</v>
      </c>
      <c r="HJ126" s="1010">
        <f t="shared" si="305"/>
        <v>30000</v>
      </c>
      <c r="HK126" s="1010">
        <f t="shared" si="306"/>
        <v>488958.86353314057</v>
      </c>
      <c r="HL126" s="1012">
        <f t="shared" si="307"/>
        <v>33</v>
      </c>
      <c r="HM126" s="1167">
        <f t="shared" si="308"/>
        <v>14816.935258580017</v>
      </c>
      <c r="HN126" s="1168">
        <f t="shared" si="309"/>
        <v>0.875</v>
      </c>
      <c r="HO126" s="1167">
        <f t="shared" si="310"/>
        <v>3632712.0447319839</v>
      </c>
      <c r="HP126" s="1146">
        <f t="shared" si="311"/>
        <v>28164.37781690573</v>
      </c>
      <c r="HQ126" s="1146">
        <f t="shared" si="312"/>
        <v>32651.842856712337</v>
      </c>
      <c r="HR126" s="1146">
        <f t="shared" si="313"/>
        <v>42178.867095300884</v>
      </c>
      <c r="HS126" s="1146">
        <f t="shared" si="314"/>
        <v>71932.052437657127</v>
      </c>
      <c r="HU126" s="1167">
        <f t="shared" si="315"/>
        <v>-22795.285013200031</v>
      </c>
      <c r="HX126" s="1154"/>
      <c r="HY126" s="1154"/>
      <c r="IB126" s="1154"/>
      <c r="IC126" s="1154"/>
      <c r="ID126" s="1154"/>
      <c r="IE126" s="1154"/>
      <c r="IG126" s="1060"/>
    </row>
    <row r="127" spans="1:241" ht="14.25" customHeight="1">
      <c r="A127" s="1186">
        <f t="shared" si="330"/>
        <v>121</v>
      </c>
      <c r="B127" s="824" t="s">
        <v>149</v>
      </c>
      <c r="C127" s="855">
        <f t="shared" si="350"/>
        <v>16</v>
      </c>
      <c r="D127" s="856" t="s">
        <v>511</v>
      </c>
      <c r="E127" s="857" t="str">
        <f t="shared" si="216"/>
        <v>8th Floor</v>
      </c>
      <c r="F127" s="1185"/>
      <c r="G127" s="764" t="s">
        <v>285</v>
      </c>
      <c r="H127" s="764" t="s">
        <v>550</v>
      </c>
      <c r="I127" s="764" t="s">
        <v>476</v>
      </c>
      <c r="J127" s="1139">
        <v>22</v>
      </c>
      <c r="K127" s="1142"/>
      <c r="L127" s="764" t="s">
        <v>500</v>
      </c>
      <c r="M127" s="764" t="s">
        <v>93</v>
      </c>
      <c r="N127" s="856">
        <f t="shared" si="217"/>
        <v>100909.09090909091</v>
      </c>
      <c r="O127" s="1138">
        <f t="shared" si="324"/>
        <v>2220000</v>
      </c>
      <c r="P127" s="1138">
        <f t="shared" si="331"/>
        <v>22400</v>
      </c>
      <c r="Q127" s="1138">
        <f t="shared" si="203"/>
        <v>50000</v>
      </c>
      <c r="R127" s="1138"/>
      <c r="S127" s="1138"/>
      <c r="T127" s="1138">
        <f t="shared" si="349"/>
        <v>66000</v>
      </c>
      <c r="U127" s="1138"/>
      <c r="V127" s="858"/>
      <c r="W127" s="858"/>
      <c r="X127" s="1138"/>
      <c r="Y127" s="1138">
        <f t="shared" si="352"/>
        <v>80000</v>
      </c>
      <c r="Z127" s="1138">
        <f t="shared" si="327"/>
        <v>75000</v>
      </c>
      <c r="AA127" s="1138">
        <f t="shared" si="328"/>
        <v>293400</v>
      </c>
      <c r="AB127" s="1138">
        <f t="shared" si="218"/>
        <v>2513400</v>
      </c>
      <c r="AC127" s="1138">
        <f t="shared" si="219"/>
        <v>62835</v>
      </c>
      <c r="AD127" s="1138">
        <f t="shared" si="220"/>
        <v>2576235</v>
      </c>
      <c r="AE127" s="1138">
        <f t="shared" si="221"/>
        <v>64405.875</v>
      </c>
      <c r="AF127" s="1138">
        <f t="shared" si="222"/>
        <v>2640640.875</v>
      </c>
      <c r="AG127" s="1138">
        <f t="shared" si="223"/>
        <v>66016.021875000006</v>
      </c>
      <c r="AH127" s="1138">
        <f t="shared" si="224"/>
        <v>2706656.8968750001</v>
      </c>
      <c r="AI127" s="1138">
        <f t="shared" si="225"/>
        <v>135332.84484375</v>
      </c>
      <c r="AJ127" s="1138">
        <f t="shared" si="226"/>
        <v>2841989.74171875</v>
      </c>
      <c r="AK127" s="1138">
        <f t="shared" si="227"/>
        <v>28419.897417187502</v>
      </c>
      <c r="AL127" s="1138">
        <f t="shared" si="228"/>
        <v>27537.409960060559</v>
      </c>
      <c r="AM127" s="1138"/>
      <c r="AN127" s="1138"/>
      <c r="AO127" s="1138">
        <f t="shared" si="229"/>
        <v>2897947.0490959981</v>
      </c>
      <c r="AP127" s="1138">
        <f t="shared" si="230"/>
        <v>391222.85162795975</v>
      </c>
      <c r="AQ127" s="1248">
        <f t="shared" si="231"/>
        <v>3289169.9007239579</v>
      </c>
      <c r="AR127" s="1248">
        <f t="shared" si="347"/>
        <v>2959169.9007239579</v>
      </c>
      <c r="AS127" s="1248">
        <v>15000</v>
      </c>
      <c r="AT127" s="1248">
        <f t="shared" si="348"/>
        <v>330000</v>
      </c>
      <c r="AU127" s="1248">
        <f t="shared" si="232"/>
        <v>39600</v>
      </c>
      <c r="AV127" s="1140">
        <f t="shared" si="233"/>
        <v>369600</v>
      </c>
      <c r="AW127" s="1140">
        <f t="shared" si="234"/>
        <v>3328769.9007239579</v>
      </c>
      <c r="AX127" s="1139">
        <f t="shared" si="235"/>
        <v>41609.623759049478</v>
      </c>
      <c r="AY127" s="831" t="s">
        <v>478</v>
      </c>
      <c r="AZ127" s="831">
        <f t="shared" si="236"/>
        <v>3370379.5244830074</v>
      </c>
      <c r="BA127" s="831">
        <f t="shared" si="237"/>
        <v>126389.23216811277</v>
      </c>
      <c r="BB127" s="831"/>
      <c r="BC127" s="831">
        <f t="shared" si="346"/>
        <v>33600</v>
      </c>
      <c r="BD127" s="831"/>
      <c r="BE127" s="831">
        <f t="shared" si="238"/>
        <v>3530368.7566511203</v>
      </c>
      <c r="BF127" s="831"/>
      <c r="BG127" s="831">
        <f t="shared" si="239"/>
        <v>3530368.7566511203</v>
      </c>
      <c r="BH127" s="831"/>
      <c r="BI127" s="831">
        <f t="shared" si="240"/>
        <v>3530368.7566511203</v>
      </c>
      <c r="BJ127" s="831"/>
      <c r="BK127" s="831">
        <f t="shared" si="241"/>
        <v>3530368.7566511203</v>
      </c>
      <c r="BL127" s="831"/>
      <c r="BM127" s="831">
        <f t="shared" si="242"/>
        <v>3530368.7566511203</v>
      </c>
      <c r="BN127" s="831"/>
      <c r="BO127" s="831">
        <f t="shared" si="243"/>
        <v>3530368.7566511203</v>
      </c>
      <c r="BP127" s="831">
        <f t="shared" si="360"/>
        <v>5065.3710270270276</v>
      </c>
      <c r="BQ127" s="831">
        <f t="shared" si="244"/>
        <v>3535434.1276781475</v>
      </c>
      <c r="BR127" s="831">
        <f t="shared" si="361"/>
        <v>3544.6104</v>
      </c>
      <c r="BS127" s="831">
        <f t="shared" si="245"/>
        <v>3538978.7380781476</v>
      </c>
      <c r="BT127" s="831">
        <f t="shared" si="362"/>
        <v>1609.3168000000001</v>
      </c>
      <c r="BU127" s="831">
        <f t="shared" si="246"/>
        <v>3540588.0548781478</v>
      </c>
      <c r="BV127" s="831">
        <f t="shared" si="363"/>
        <v>1163.3400930232558</v>
      </c>
      <c r="BW127" s="831">
        <f t="shared" si="247"/>
        <v>56400</v>
      </c>
      <c r="BX127" s="831">
        <f t="shared" si="248"/>
        <v>3598151.3949711709</v>
      </c>
      <c r="BY127" s="831">
        <f t="shared" si="364"/>
        <v>30549.183723443901</v>
      </c>
      <c r="BZ127" s="831">
        <f t="shared" si="249"/>
        <v>3628700.578694615</v>
      </c>
      <c r="CA127" s="1260">
        <f t="shared" si="250"/>
        <v>3628700.578694615</v>
      </c>
      <c r="CB127" s="1260">
        <f t="shared" si="251"/>
        <v>3452700.578694615</v>
      </c>
      <c r="CC127" s="1260">
        <v>8000</v>
      </c>
      <c r="CD127" s="1260">
        <f t="shared" si="252"/>
        <v>176000</v>
      </c>
      <c r="CE127" s="1260">
        <f t="shared" si="253"/>
        <v>21120</v>
      </c>
      <c r="CF127" s="1260">
        <f t="shared" si="254"/>
        <v>197120</v>
      </c>
      <c r="CG127" s="1266">
        <f t="shared" si="255"/>
        <v>3649820.578694615</v>
      </c>
      <c r="CH127" s="1141">
        <f t="shared" si="256"/>
        <v>3649820.578694615</v>
      </c>
      <c r="CI127" s="1142">
        <f t="shared" si="257"/>
        <v>0</v>
      </c>
      <c r="CJ127" s="1141">
        <f t="shared" si="258"/>
        <v>374106.60931619804</v>
      </c>
      <c r="CK127" s="1141">
        <f t="shared" si="259"/>
        <v>127743.72025431154</v>
      </c>
      <c r="CL127" s="1143">
        <f t="shared" si="329"/>
        <v>4151670.9082651245</v>
      </c>
      <c r="CM127" s="1144">
        <f t="shared" si="260"/>
        <v>0.125</v>
      </c>
      <c r="CN127" s="1141">
        <f t="shared" si="261"/>
        <v>518958.86353314057</v>
      </c>
      <c r="CO127" s="1141">
        <f t="shared" si="262"/>
        <v>30000</v>
      </c>
      <c r="CP127" s="1141">
        <f t="shared" si="263"/>
        <v>488958.86353314057</v>
      </c>
      <c r="CQ127" s="1145">
        <f t="shared" si="264"/>
        <v>13</v>
      </c>
      <c r="CR127" s="1141">
        <f t="shared" si="265"/>
        <v>37612.220271780046</v>
      </c>
      <c r="CS127" s="1144">
        <f t="shared" si="266"/>
        <v>0.875</v>
      </c>
      <c r="CT127" s="1141">
        <f t="shared" si="267"/>
        <v>3632712.0447319839</v>
      </c>
      <c r="CU127" s="1146">
        <f t="shared" si="204"/>
        <v>28164.37781690573</v>
      </c>
      <c r="CV127" s="1146">
        <f t="shared" si="205"/>
        <v>32651.842856712337</v>
      </c>
      <c r="CW127" s="1146">
        <f t="shared" si="206"/>
        <v>42178.867095300884</v>
      </c>
      <c r="CX127" s="1146">
        <f t="shared" si="207"/>
        <v>71932.052437657127</v>
      </c>
      <c r="CY127" s="1146">
        <f t="shared" si="268"/>
        <v>295096.74602070916</v>
      </c>
      <c r="CZ127" s="1146">
        <f t="shared" si="269"/>
        <v>116768.34490161357</v>
      </c>
      <c r="DA127" s="1146">
        <f t="shared" si="270"/>
        <v>84340.12170964331</v>
      </c>
      <c r="DB127" s="1146">
        <f t="shared" si="271"/>
        <v>64186.715439702813</v>
      </c>
      <c r="DC127" s="1146"/>
      <c r="DD127" s="1146"/>
      <c r="DE127" s="1146"/>
      <c r="DF127" s="1146"/>
      <c r="DG127" s="1146"/>
      <c r="DH127" s="1146"/>
      <c r="DI127" s="1146"/>
      <c r="DJ127" s="1146"/>
      <c r="DK127" s="1146"/>
      <c r="DL127" s="1146"/>
      <c r="DM127" s="1146"/>
      <c r="DN127" s="1146"/>
      <c r="DO127" s="1146"/>
      <c r="DP127" s="1146"/>
      <c r="DQ127" s="1146"/>
      <c r="DR127" s="1146"/>
      <c r="DS127" s="1146"/>
      <c r="DT127" s="1146"/>
      <c r="DU127" s="1146"/>
      <c r="DV127" s="1146"/>
      <c r="DW127" s="1146"/>
      <c r="DX127" s="1146"/>
      <c r="DY127" s="1146"/>
      <c r="DZ127" s="1146"/>
      <c r="EA127" s="1147">
        <f t="shared" si="208"/>
        <v>0.11151776040952087</v>
      </c>
      <c r="EB127" s="1148">
        <f t="shared" si="272"/>
        <v>5.7091541970467195E-2</v>
      </c>
      <c r="EC127" s="1190">
        <f t="shared" si="316"/>
        <v>45839</v>
      </c>
      <c r="ED127" s="1031">
        <f t="shared" si="209"/>
        <v>20</v>
      </c>
      <c r="EE127" s="1191"/>
      <c r="EF127" s="1032">
        <f t="shared" si="210"/>
        <v>45904</v>
      </c>
      <c r="EG127" s="1029">
        <f t="shared" si="273"/>
        <v>22</v>
      </c>
      <c r="EH127" s="859" t="s">
        <v>490</v>
      </c>
      <c r="EI127" s="859" t="s">
        <v>480</v>
      </c>
      <c r="EJ127" s="860">
        <f t="shared" si="211"/>
        <v>16800</v>
      </c>
      <c r="EK127" s="860">
        <f t="shared" si="212"/>
        <v>369600</v>
      </c>
      <c r="EL127" s="861">
        <f t="shared" si="213"/>
        <v>0.12489989165866337</v>
      </c>
      <c r="EM127" s="1197"/>
      <c r="EN127" s="860"/>
      <c r="EO127" s="860"/>
      <c r="EP127" s="860">
        <f t="shared" si="214"/>
        <v>0</v>
      </c>
      <c r="EQ127" s="1197"/>
      <c r="ER127" s="1200"/>
      <c r="ES127" s="1197"/>
      <c r="ET127" s="1194" t="s">
        <v>285</v>
      </c>
      <c r="EU127" s="1197" t="b">
        <f t="shared" si="215"/>
        <v>1</v>
      </c>
      <c r="EV127" s="1197" t="s">
        <v>623</v>
      </c>
      <c r="EW127" s="1197" t="s">
        <v>482</v>
      </c>
      <c r="EX127" s="1197"/>
      <c r="EY127" s="1128" t="s">
        <v>587</v>
      </c>
      <c r="EZ127" s="1128" t="s">
        <v>484</v>
      </c>
      <c r="FA127" s="1169">
        <f t="shared" si="274"/>
        <v>-21120</v>
      </c>
      <c r="FI127" s="1309" t="s">
        <v>96</v>
      </c>
      <c r="FJ127" s="1159" t="s">
        <v>96</v>
      </c>
      <c r="FK127" s="1160" t="b">
        <f t="shared" si="275"/>
        <v>1</v>
      </c>
      <c r="FL127" s="1131"/>
      <c r="FM127" s="1161"/>
      <c r="FP127" s="1166"/>
      <c r="FQ127" s="1203"/>
      <c r="FU127" s="1295"/>
      <c r="FV127" s="1295"/>
      <c r="FW127" s="1023">
        <v>0.15</v>
      </c>
      <c r="FX127" s="1162">
        <v>14949.670607265574</v>
      </c>
      <c r="FY127" s="1163">
        <v>15416.847813742623</v>
      </c>
      <c r="GA127" s="1164">
        <f t="shared" si="276"/>
        <v>4151670.9082651245</v>
      </c>
      <c r="GB127" s="1165">
        <f t="shared" si="277"/>
        <v>0.15</v>
      </c>
      <c r="GC127" s="1154">
        <f t="shared" si="278"/>
        <v>622750.6362397687</v>
      </c>
      <c r="GD127" s="1164">
        <f t="shared" si="279"/>
        <v>30000</v>
      </c>
      <c r="GE127" s="1154">
        <f t="shared" si="280"/>
        <v>592750.6362397687</v>
      </c>
      <c r="GF127" s="1060">
        <f t="shared" si="281"/>
        <v>35</v>
      </c>
      <c r="GG127" s="1166">
        <f t="shared" si="282"/>
        <v>16935.73246399339</v>
      </c>
      <c r="GI127" s="1164">
        <f t="shared" si="283"/>
        <v>4151670.9082651245</v>
      </c>
      <c r="GJ127" s="1154">
        <f t="shared" si="284"/>
        <v>415167.09082651249</v>
      </c>
      <c r="GK127" s="1154">
        <f t="shared" si="285"/>
        <v>103791.77270662812</v>
      </c>
      <c r="GL127" s="1166">
        <v>15000</v>
      </c>
      <c r="GM127" s="1154">
        <f t="shared" si="286"/>
        <v>400167.09082651249</v>
      </c>
      <c r="GN127" s="1060">
        <f t="shared" si="287"/>
        <v>35</v>
      </c>
      <c r="GO127" s="1154">
        <f t="shared" si="288"/>
        <v>11433.345452186071</v>
      </c>
      <c r="GS127" s="1010">
        <f t="shared" si="289"/>
        <v>4151670.9082651245</v>
      </c>
      <c r="GT127" s="1011">
        <f t="shared" si="290"/>
        <v>0.125</v>
      </c>
      <c r="GU127" s="1010">
        <f t="shared" si="291"/>
        <v>518958.86353314057</v>
      </c>
      <c r="GV127" s="1010">
        <f t="shared" si="292"/>
        <v>30000</v>
      </c>
      <c r="GW127" s="1010">
        <f t="shared" si="293"/>
        <v>488958.86353314057</v>
      </c>
      <c r="GX127" s="1010">
        <f t="shared" si="294"/>
        <v>13</v>
      </c>
      <c r="GY127" s="1010">
        <f t="shared" si="295"/>
        <v>37612.220271780046</v>
      </c>
      <c r="GZ127" s="1011">
        <f t="shared" si="296"/>
        <v>0.875</v>
      </c>
      <c r="HA127" s="1010">
        <f t="shared" si="297"/>
        <v>3632712.0447319839</v>
      </c>
      <c r="HB127" s="1010">
        <f t="shared" si="298"/>
        <v>28164.37781690573</v>
      </c>
      <c r="HC127" s="1010">
        <f t="shared" si="299"/>
        <v>32651.842856712337</v>
      </c>
      <c r="HD127" s="1010">
        <f t="shared" si="300"/>
        <v>42178.867095300884</v>
      </c>
      <c r="HE127" s="1010">
        <f t="shared" si="301"/>
        <v>71932.052437657127</v>
      </c>
      <c r="HG127" s="1010">
        <f t="shared" si="302"/>
        <v>4151670.9082651245</v>
      </c>
      <c r="HH127" s="1011">
        <f t="shared" si="303"/>
        <v>0.125</v>
      </c>
      <c r="HI127" s="1010">
        <f t="shared" si="304"/>
        <v>518958.86353314057</v>
      </c>
      <c r="HJ127" s="1010">
        <f t="shared" si="305"/>
        <v>30000</v>
      </c>
      <c r="HK127" s="1010">
        <f t="shared" si="306"/>
        <v>488958.86353314057</v>
      </c>
      <c r="HL127" s="1012">
        <f t="shared" si="307"/>
        <v>33</v>
      </c>
      <c r="HM127" s="1167">
        <f t="shared" si="308"/>
        <v>14816.935258580017</v>
      </c>
      <c r="HN127" s="1168">
        <f t="shared" si="309"/>
        <v>0.875</v>
      </c>
      <c r="HO127" s="1167">
        <f t="shared" si="310"/>
        <v>3632712.0447319839</v>
      </c>
      <c r="HP127" s="1146">
        <f t="shared" si="311"/>
        <v>28164.37781690573</v>
      </c>
      <c r="HQ127" s="1146">
        <f t="shared" si="312"/>
        <v>32651.842856712337</v>
      </c>
      <c r="HR127" s="1146">
        <f t="shared" si="313"/>
        <v>42178.867095300884</v>
      </c>
      <c r="HS127" s="1146">
        <f t="shared" si="314"/>
        <v>71932.052437657127</v>
      </c>
      <c r="HU127" s="1167">
        <f t="shared" si="315"/>
        <v>-22795.285013200031</v>
      </c>
      <c r="HX127" s="1154"/>
      <c r="HY127" s="1154"/>
      <c r="IB127" s="1154"/>
      <c r="IC127" s="1154"/>
      <c r="ID127" s="1154"/>
      <c r="IE127" s="1154"/>
      <c r="IG127" s="1060"/>
    </row>
    <row r="128" spans="1:241" ht="14.25" hidden="1" customHeight="1">
      <c r="A128" s="1186">
        <f t="shared" si="330"/>
        <v>122</v>
      </c>
      <c r="B128" s="824" t="s">
        <v>149</v>
      </c>
      <c r="C128" s="855">
        <f t="shared" si="350"/>
        <v>17</v>
      </c>
      <c r="D128" s="856" t="s">
        <v>511</v>
      </c>
      <c r="E128" s="857" t="str">
        <f t="shared" si="216"/>
        <v>8th Floor</v>
      </c>
      <c r="F128" s="1185"/>
      <c r="G128" s="764" t="s">
        <v>286</v>
      </c>
      <c r="H128" s="764" t="s">
        <v>552</v>
      </c>
      <c r="I128" s="764" t="s">
        <v>476</v>
      </c>
      <c r="J128" s="1139">
        <v>22</v>
      </c>
      <c r="K128" s="1142"/>
      <c r="L128" s="764" t="s">
        <v>500</v>
      </c>
      <c r="M128" s="764" t="s">
        <v>93</v>
      </c>
      <c r="N128" s="856">
        <f t="shared" si="217"/>
        <v>100909.09090909091</v>
      </c>
      <c r="O128" s="1138">
        <f t="shared" si="324"/>
        <v>2220000</v>
      </c>
      <c r="P128" s="1138">
        <f t="shared" si="331"/>
        <v>22400</v>
      </c>
      <c r="Q128" s="1138">
        <f t="shared" si="203"/>
        <v>50000</v>
      </c>
      <c r="R128" s="1138"/>
      <c r="S128" s="1138"/>
      <c r="T128" s="1138">
        <f t="shared" si="349"/>
        <v>66000</v>
      </c>
      <c r="U128" s="1138"/>
      <c r="V128" s="1138"/>
      <c r="W128" s="858"/>
      <c r="X128" s="1138"/>
      <c r="Y128" s="1138">
        <f t="shared" si="352"/>
        <v>80000</v>
      </c>
      <c r="Z128" s="1138">
        <f t="shared" si="327"/>
        <v>75000</v>
      </c>
      <c r="AA128" s="1138">
        <f t="shared" si="328"/>
        <v>293400</v>
      </c>
      <c r="AB128" s="1138">
        <f t="shared" si="218"/>
        <v>2513400</v>
      </c>
      <c r="AC128" s="1138">
        <f t="shared" si="219"/>
        <v>62835</v>
      </c>
      <c r="AD128" s="1138">
        <f t="shared" si="220"/>
        <v>2576235</v>
      </c>
      <c r="AE128" s="1138">
        <f t="shared" si="221"/>
        <v>64405.875</v>
      </c>
      <c r="AF128" s="1138">
        <f t="shared" si="222"/>
        <v>2640640.875</v>
      </c>
      <c r="AG128" s="1138">
        <f t="shared" si="223"/>
        <v>66016.021875000006</v>
      </c>
      <c r="AH128" s="1138">
        <f t="shared" si="224"/>
        <v>2706656.8968750001</v>
      </c>
      <c r="AI128" s="1138">
        <f t="shared" si="225"/>
        <v>135332.84484375</v>
      </c>
      <c r="AJ128" s="1138">
        <f t="shared" si="226"/>
        <v>2841989.74171875</v>
      </c>
      <c r="AK128" s="1138">
        <f t="shared" si="227"/>
        <v>28419.897417187502</v>
      </c>
      <c r="AL128" s="1138">
        <f t="shared" si="228"/>
        <v>27537.409960060559</v>
      </c>
      <c r="AM128" s="1138"/>
      <c r="AN128" s="1138"/>
      <c r="AO128" s="1138">
        <f t="shared" si="229"/>
        <v>2897947.0490959981</v>
      </c>
      <c r="AP128" s="1138">
        <f t="shared" si="230"/>
        <v>391222.85162795975</v>
      </c>
      <c r="AQ128" s="1248">
        <f t="shared" si="231"/>
        <v>3289169.9007239579</v>
      </c>
      <c r="AR128" s="1248">
        <f t="shared" si="347"/>
        <v>2959169.9007239579</v>
      </c>
      <c r="AS128" s="1248">
        <v>15000</v>
      </c>
      <c r="AT128" s="1248">
        <f t="shared" si="348"/>
        <v>330000</v>
      </c>
      <c r="AU128" s="1248">
        <f t="shared" si="232"/>
        <v>39600</v>
      </c>
      <c r="AV128" s="1140">
        <f t="shared" si="233"/>
        <v>369600</v>
      </c>
      <c r="AW128" s="1140">
        <f t="shared" si="234"/>
        <v>3328769.9007239579</v>
      </c>
      <c r="AX128" s="1139">
        <f t="shared" si="235"/>
        <v>41609.623759049478</v>
      </c>
      <c r="AY128" s="831" t="s">
        <v>478</v>
      </c>
      <c r="AZ128" s="831">
        <f t="shared" si="236"/>
        <v>3370379.5244830074</v>
      </c>
      <c r="BA128" s="831">
        <f t="shared" si="237"/>
        <v>126389.23216811277</v>
      </c>
      <c r="BB128" s="831"/>
      <c r="BC128" s="831">
        <f t="shared" si="346"/>
        <v>33600</v>
      </c>
      <c r="BD128" s="831"/>
      <c r="BE128" s="831">
        <f t="shared" si="238"/>
        <v>3530368.7566511203</v>
      </c>
      <c r="BF128" s="831"/>
      <c r="BG128" s="831">
        <f t="shared" si="239"/>
        <v>3530368.7566511203</v>
      </c>
      <c r="BH128" s="831"/>
      <c r="BI128" s="831">
        <f t="shared" si="240"/>
        <v>3530368.7566511203</v>
      </c>
      <c r="BJ128" s="831"/>
      <c r="BK128" s="831">
        <f t="shared" si="241"/>
        <v>3530368.7566511203</v>
      </c>
      <c r="BL128" s="831"/>
      <c r="BM128" s="831">
        <f t="shared" si="242"/>
        <v>3530368.7566511203</v>
      </c>
      <c r="BN128" s="831"/>
      <c r="BO128" s="831">
        <f t="shared" si="243"/>
        <v>3530368.7566511203</v>
      </c>
      <c r="BP128" s="831"/>
      <c r="BQ128" s="831">
        <f t="shared" si="244"/>
        <v>3530368.7566511203</v>
      </c>
      <c r="BR128" s="831"/>
      <c r="BS128" s="831">
        <f t="shared" si="245"/>
        <v>3530368.7566511203</v>
      </c>
      <c r="BT128" s="831"/>
      <c r="BU128" s="831">
        <f t="shared" si="246"/>
        <v>3530368.7566511203</v>
      </c>
      <c r="BV128" s="831"/>
      <c r="BW128" s="831">
        <f t="shared" si="247"/>
        <v>56400</v>
      </c>
      <c r="BX128" s="831">
        <f t="shared" si="248"/>
        <v>3586768.7566511203</v>
      </c>
      <c r="BY128" s="831"/>
      <c r="BZ128" s="831">
        <f t="shared" si="249"/>
        <v>3586768.7566511203</v>
      </c>
      <c r="CA128" s="1260">
        <f t="shared" si="250"/>
        <v>3586768.7566511203</v>
      </c>
      <c r="CB128" s="1260">
        <f t="shared" si="251"/>
        <v>3586768.7566511203</v>
      </c>
      <c r="CC128" s="1260"/>
      <c r="CD128" s="1260">
        <f t="shared" si="252"/>
        <v>0</v>
      </c>
      <c r="CE128" s="1260">
        <f t="shared" si="253"/>
        <v>0</v>
      </c>
      <c r="CF128" s="1260">
        <f t="shared" si="254"/>
        <v>0</v>
      </c>
      <c r="CG128" s="1266">
        <f t="shared" si="255"/>
        <v>3586768.7566511203</v>
      </c>
      <c r="CH128" s="1141">
        <f t="shared" si="256"/>
        <v>3586768.7566511203</v>
      </c>
      <c r="CI128" s="1142">
        <f t="shared" si="257"/>
        <v>0</v>
      </c>
      <c r="CJ128" s="1141">
        <f t="shared" si="258"/>
        <v>367643.79755673982</v>
      </c>
      <c r="CK128" s="1141">
        <f t="shared" si="259"/>
        <v>125536.90648278921</v>
      </c>
      <c r="CL128" s="1143">
        <f t="shared" si="329"/>
        <v>4079949.4606906492</v>
      </c>
      <c r="CM128" s="1144">
        <f t="shared" si="260"/>
        <v>0.125</v>
      </c>
      <c r="CN128" s="1141">
        <f t="shared" si="261"/>
        <v>509993.68258633115</v>
      </c>
      <c r="CO128" s="1141">
        <f t="shared" si="262"/>
        <v>30000</v>
      </c>
      <c r="CP128" s="1141">
        <f t="shared" si="263"/>
        <v>479993.68258633115</v>
      </c>
      <c r="CQ128" s="1145">
        <f t="shared" si="264"/>
        <v>13</v>
      </c>
      <c r="CR128" s="1141">
        <f t="shared" si="265"/>
        <v>36922.59096817932</v>
      </c>
      <c r="CS128" s="1144">
        <f t="shared" si="266"/>
        <v>0.875</v>
      </c>
      <c r="CT128" s="1141">
        <f t="shared" si="267"/>
        <v>3569955.7781043183</v>
      </c>
      <c r="CU128" s="1146">
        <f t="shared" si="204"/>
        <v>27677.829149707293</v>
      </c>
      <c r="CV128" s="1146">
        <f t="shared" si="205"/>
        <v>32087.771790531348</v>
      </c>
      <c r="CW128" s="1146">
        <f t="shared" si="206"/>
        <v>41450.213627343212</v>
      </c>
      <c r="CX128" s="1146">
        <f t="shared" si="207"/>
        <v>70689.403142511612</v>
      </c>
      <c r="CY128" s="1146">
        <f t="shared" si="268"/>
        <v>289998.85501085385</v>
      </c>
      <c r="CZ128" s="1146">
        <f t="shared" si="269"/>
        <v>114751.13426226669</v>
      </c>
      <c r="DA128" s="1146">
        <f t="shared" si="270"/>
        <v>82883.119034989897</v>
      </c>
      <c r="DB128" s="1146">
        <f t="shared" si="271"/>
        <v>63077.869327352804</v>
      </c>
      <c r="DC128" s="1146"/>
      <c r="DD128" s="1146"/>
      <c r="DE128" s="1146"/>
      <c r="DF128" s="1146"/>
      <c r="DG128" s="1146"/>
      <c r="DH128" s="1146"/>
      <c r="DI128" s="1146"/>
      <c r="DJ128" s="1146"/>
      <c r="DK128" s="1146"/>
      <c r="DL128" s="1146"/>
      <c r="DM128" s="1146"/>
      <c r="DN128" s="1146"/>
      <c r="DO128" s="1146"/>
      <c r="DP128" s="1146"/>
      <c r="DQ128" s="1146"/>
      <c r="DR128" s="1146"/>
      <c r="DS128" s="1146"/>
      <c r="DT128" s="1146"/>
      <c r="DU128" s="1146"/>
      <c r="DV128" s="1146"/>
      <c r="DW128" s="1146"/>
      <c r="DX128" s="1146"/>
      <c r="DY128" s="1146"/>
      <c r="DZ128" s="1146"/>
      <c r="EA128" s="1147">
        <f t="shared" si="208"/>
        <v>0.11151776040952087</v>
      </c>
      <c r="EB128" s="1148">
        <f t="shared" si="272"/>
        <v>0</v>
      </c>
      <c r="EC128" s="1190">
        <f t="shared" si="316"/>
        <v>45839</v>
      </c>
      <c r="ED128" s="1031">
        <f t="shared" si="209"/>
        <v>20</v>
      </c>
      <c r="EE128" s="1191"/>
      <c r="EF128" s="1032">
        <f t="shared" si="210"/>
        <v>45904</v>
      </c>
      <c r="EG128" s="1029">
        <f t="shared" si="273"/>
        <v>22</v>
      </c>
      <c r="EH128" s="859" t="s">
        <v>490</v>
      </c>
      <c r="EI128" s="859" t="s">
        <v>480</v>
      </c>
      <c r="EJ128" s="860">
        <f t="shared" si="211"/>
        <v>16800</v>
      </c>
      <c r="EK128" s="860">
        <f t="shared" si="212"/>
        <v>369600</v>
      </c>
      <c r="EL128" s="861">
        <f t="shared" si="213"/>
        <v>0.12489989165866337</v>
      </c>
      <c r="EM128" s="1197"/>
      <c r="EN128" s="860"/>
      <c r="EO128" s="860"/>
      <c r="EP128" s="860">
        <f t="shared" si="214"/>
        <v>0</v>
      </c>
      <c r="EQ128" s="1197"/>
      <c r="ER128" s="1200"/>
      <c r="ES128" s="1197"/>
      <c r="ET128" s="1194" t="s">
        <v>286</v>
      </c>
      <c r="EU128" s="1197" t="b">
        <f t="shared" si="215"/>
        <v>1</v>
      </c>
      <c r="EV128" s="1197" t="s">
        <v>624</v>
      </c>
      <c r="EW128" s="1197" t="s">
        <v>482</v>
      </c>
      <c r="EX128" s="1197"/>
      <c r="EY128" s="1128" t="s">
        <v>587</v>
      </c>
      <c r="EZ128" s="1128" t="s">
        <v>484</v>
      </c>
      <c r="FA128" s="1169">
        <f t="shared" si="274"/>
        <v>0</v>
      </c>
      <c r="FI128" s="1309" t="s">
        <v>149</v>
      </c>
      <c r="FJ128" s="1159" t="s">
        <v>149</v>
      </c>
      <c r="FK128" s="1160" t="b">
        <f t="shared" si="275"/>
        <v>1</v>
      </c>
      <c r="FL128" s="1131"/>
      <c r="FM128" s="1161"/>
      <c r="FP128" s="1166"/>
      <c r="FQ128" s="1203"/>
      <c r="FU128" s="1295"/>
      <c r="FV128" s="1295"/>
      <c r="FW128" s="1023">
        <v>0.15</v>
      </c>
      <c r="FX128" s="1162">
        <v>14949.670607265574</v>
      </c>
      <c r="FY128" s="1163">
        <v>15416.847813742623</v>
      </c>
      <c r="GA128" s="1164">
        <f t="shared" si="276"/>
        <v>4079949.4606906492</v>
      </c>
      <c r="GB128" s="1165">
        <f t="shared" si="277"/>
        <v>0.15</v>
      </c>
      <c r="GC128" s="1154">
        <f t="shared" si="278"/>
        <v>611992.41910359741</v>
      </c>
      <c r="GD128" s="1164">
        <f t="shared" si="279"/>
        <v>30000</v>
      </c>
      <c r="GE128" s="1154">
        <f t="shared" si="280"/>
        <v>581992.41910359741</v>
      </c>
      <c r="GF128" s="1060">
        <f t="shared" si="281"/>
        <v>35</v>
      </c>
      <c r="GG128" s="1166">
        <f t="shared" si="282"/>
        <v>16628.354831531353</v>
      </c>
      <c r="GI128" s="1164">
        <f t="shared" si="283"/>
        <v>4079949.4606906492</v>
      </c>
      <c r="GJ128" s="1154">
        <f t="shared" si="284"/>
        <v>407994.94606906496</v>
      </c>
      <c r="GK128" s="1154">
        <f t="shared" si="285"/>
        <v>101998.73651726624</v>
      </c>
      <c r="GL128" s="1166">
        <v>15000</v>
      </c>
      <c r="GM128" s="1154">
        <f t="shared" si="286"/>
        <v>392994.94606906496</v>
      </c>
      <c r="GN128" s="1060">
        <f t="shared" si="287"/>
        <v>35</v>
      </c>
      <c r="GO128" s="1154">
        <f t="shared" si="288"/>
        <v>11228.427030544713</v>
      </c>
      <c r="GS128" s="1010">
        <f t="shared" si="289"/>
        <v>4079949.4606906492</v>
      </c>
      <c r="GT128" s="1011">
        <f t="shared" si="290"/>
        <v>0.125</v>
      </c>
      <c r="GU128" s="1010">
        <f t="shared" si="291"/>
        <v>509993.68258633115</v>
      </c>
      <c r="GV128" s="1010">
        <f t="shared" si="292"/>
        <v>30000</v>
      </c>
      <c r="GW128" s="1010">
        <f t="shared" si="293"/>
        <v>479993.68258633115</v>
      </c>
      <c r="GX128" s="1010">
        <f t="shared" si="294"/>
        <v>13</v>
      </c>
      <c r="GY128" s="1010">
        <f t="shared" si="295"/>
        <v>36922.59096817932</v>
      </c>
      <c r="GZ128" s="1011">
        <f t="shared" si="296"/>
        <v>0.875</v>
      </c>
      <c r="HA128" s="1010">
        <f t="shared" si="297"/>
        <v>3569955.7781043183</v>
      </c>
      <c r="HB128" s="1010">
        <f t="shared" si="298"/>
        <v>27677.829149707293</v>
      </c>
      <c r="HC128" s="1010">
        <f t="shared" si="299"/>
        <v>32087.771790531348</v>
      </c>
      <c r="HD128" s="1010">
        <f t="shared" si="300"/>
        <v>41450.213627343212</v>
      </c>
      <c r="HE128" s="1010">
        <f t="shared" si="301"/>
        <v>70689.403142511612</v>
      </c>
      <c r="HG128" s="1010">
        <f t="shared" si="302"/>
        <v>4079949.4606906492</v>
      </c>
      <c r="HH128" s="1011">
        <f t="shared" si="303"/>
        <v>0.125</v>
      </c>
      <c r="HI128" s="1010">
        <f t="shared" si="304"/>
        <v>509993.68258633115</v>
      </c>
      <c r="HJ128" s="1010">
        <f t="shared" si="305"/>
        <v>30000</v>
      </c>
      <c r="HK128" s="1010">
        <f t="shared" si="306"/>
        <v>479993.68258633115</v>
      </c>
      <c r="HL128" s="1012">
        <f t="shared" si="307"/>
        <v>33</v>
      </c>
      <c r="HM128" s="1167">
        <f t="shared" si="308"/>
        <v>14545.263108676701</v>
      </c>
      <c r="HN128" s="1168">
        <f t="shared" si="309"/>
        <v>0.875</v>
      </c>
      <c r="HO128" s="1167">
        <f t="shared" si="310"/>
        <v>3569955.7781043183</v>
      </c>
      <c r="HP128" s="1146">
        <f t="shared" si="311"/>
        <v>27677.829149707293</v>
      </c>
      <c r="HQ128" s="1146">
        <f t="shared" si="312"/>
        <v>32087.771790531348</v>
      </c>
      <c r="HR128" s="1146">
        <f t="shared" si="313"/>
        <v>41450.213627343212</v>
      </c>
      <c r="HS128" s="1146">
        <f t="shared" si="314"/>
        <v>70689.403142511612</v>
      </c>
      <c r="HU128" s="1167">
        <f t="shared" si="315"/>
        <v>-22377.32785950262</v>
      </c>
      <c r="HX128" s="1154"/>
      <c r="HY128" s="1154"/>
      <c r="IB128" s="1154"/>
      <c r="IC128" s="1154"/>
      <c r="ID128" s="1154"/>
      <c r="IE128" s="1154"/>
      <c r="IG128" s="1060"/>
    </row>
    <row r="129" spans="1:241" ht="14.25" hidden="1" customHeight="1">
      <c r="A129" s="1186">
        <f t="shared" si="330"/>
        <v>123</v>
      </c>
      <c r="B129" s="824" t="s">
        <v>149</v>
      </c>
      <c r="C129" s="855">
        <f t="shared" si="350"/>
        <v>18</v>
      </c>
      <c r="D129" s="856" t="s">
        <v>511</v>
      </c>
      <c r="E129" s="857" t="str">
        <f t="shared" si="216"/>
        <v>8th Floor</v>
      </c>
      <c r="F129" s="1185"/>
      <c r="G129" s="764" t="s">
        <v>287</v>
      </c>
      <c r="H129" s="764" t="s">
        <v>552</v>
      </c>
      <c r="I129" s="764" t="s">
        <v>476</v>
      </c>
      <c r="J129" s="831">
        <v>22</v>
      </c>
      <c r="K129" s="1142"/>
      <c r="L129" s="764" t="s">
        <v>500</v>
      </c>
      <c r="M129" s="764" t="s">
        <v>117</v>
      </c>
      <c r="N129" s="856">
        <f t="shared" si="217"/>
        <v>100909.09090909091</v>
      </c>
      <c r="O129" s="1138">
        <f t="shared" si="324"/>
        <v>2220000</v>
      </c>
      <c r="P129" s="1138">
        <f t="shared" si="331"/>
        <v>22400</v>
      </c>
      <c r="Q129" s="1138">
        <f t="shared" si="203"/>
        <v>50000</v>
      </c>
      <c r="R129" s="1138"/>
      <c r="S129" s="1138"/>
      <c r="T129" s="1138">
        <f t="shared" si="349"/>
        <v>66000</v>
      </c>
      <c r="U129" s="1138"/>
      <c r="V129" s="858">
        <f>J129*$V$5</f>
        <v>55000</v>
      </c>
      <c r="W129" s="858"/>
      <c r="X129" s="1138"/>
      <c r="Y129" s="1138">
        <f t="shared" si="352"/>
        <v>80000</v>
      </c>
      <c r="Z129" s="1138">
        <f t="shared" si="327"/>
        <v>75000</v>
      </c>
      <c r="AA129" s="1138">
        <f t="shared" si="328"/>
        <v>348400</v>
      </c>
      <c r="AB129" s="1138">
        <f t="shared" si="218"/>
        <v>2568400</v>
      </c>
      <c r="AC129" s="1138">
        <f t="shared" si="219"/>
        <v>64210</v>
      </c>
      <c r="AD129" s="1138">
        <f t="shared" si="220"/>
        <v>2632610</v>
      </c>
      <c r="AE129" s="1138">
        <f t="shared" si="221"/>
        <v>65815.25</v>
      </c>
      <c r="AF129" s="1138">
        <f t="shared" si="222"/>
        <v>2698425.25</v>
      </c>
      <c r="AG129" s="1138">
        <f t="shared" si="223"/>
        <v>67460.631250000006</v>
      </c>
      <c r="AH129" s="1138">
        <f t="shared" si="224"/>
        <v>2765885.8812500001</v>
      </c>
      <c r="AI129" s="1138">
        <f t="shared" si="225"/>
        <v>138294.2940625</v>
      </c>
      <c r="AJ129" s="1138">
        <f t="shared" si="226"/>
        <v>2904180.1753125</v>
      </c>
      <c r="AK129" s="1138">
        <f t="shared" si="227"/>
        <v>29041.801753125001</v>
      </c>
      <c r="AL129" s="1138">
        <f t="shared" si="228"/>
        <v>27537.409960060559</v>
      </c>
      <c r="AM129" s="1138"/>
      <c r="AN129" s="1138"/>
      <c r="AO129" s="1138">
        <f t="shared" si="229"/>
        <v>2960759.3870256855</v>
      </c>
      <c r="AP129" s="1138">
        <f t="shared" si="230"/>
        <v>399702.51724846754</v>
      </c>
      <c r="AQ129" s="1248">
        <f t="shared" si="231"/>
        <v>3360461.9042741531</v>
      </c>
      <c r="AR129" s="1248">
        <f t="shared" si="347"/>
        <v>3030461.9042741531</v>
      </c>
      <c r="AS129" s="1248">
        <v>15000</v>
      </c>
      <c r="AT129" s="1248">
        <f t="shared" si="348"/>
        <v>330000</v>
      </c>
      <c r="AU129" s="1248">
        <f t="shared" si="232"/>
        <v>39600</v>
      </c>
      <c r="AV129" s="1140">
        <f t="shared" si="233"/>
        <v>369600</v>
      </c>
      <c r="AW129" s="1140">
        <f t="shared" si="234"/>
        <v>3400061.9042741531</v>
      </c>
      <c r="AX129" s="1139">
        <f t="shared" si="235"/>
        <v>42500.773803426913</v>
      </c>
      <c r="AY129" s="831" t="s">
        <v>478</v>
      </c>
      <c r="AZ129" s="831">
        <f t="shared" si="236"/>
        <v>3442562.6780775799</v>
      </c>
      <c r="BA129" s="831">
        <f t="shared" si="237"/>
        <v>129096.10042790924</v>
      </c>
      <c r="BB129" s="831"/>
      <c r="BC129" s="831">
        <f t="shared" si="346"/>
        <v>33600</v>
      </c>
      <c r="BD129" s="831"/>
      <c r="BE129" s="831">
        <f t="shared" si="238"/>
        <v>3605258.7785054892</v>
      </c>
      <c r="BF129" s="831"/>
      <c r="BG129" s="831">
        <f t="shared" si="239"/>
        <v>3605258.7785054892</v>
      </c>
      <c r="BH129" s="831"/>
      <c r="BI129" s="831">
        <f t="shared" si="240"/>
        <v>3605258.7785054892</v>
      </c>
      <c r="BJ129" s="831"/>
      <c r="BK129" s="831">
        <f t="shared" si="241"/>
        <v>3605258.7785054892</v>
      </c>
      <c r="BL129" s="831"/>
      <c r="BM129" s="831">
        <f t="shared" si="242"/>
        <v>3605258.7785054892</v>
      </c>
      <c r="BN129" s="831"/>
      <c r="BO129" s="831">
        <f t="shared" si="243"/>
        <v>3605258.7785054892</v>
      </c>
      <c r="BP129" s="831"/>
      <c r="BQ129" s="831">
        <f t="shared" si="244"/>
        <v>3605258.7785054892</v>
      </c>
      <c r="BR129" s="831"/>
      <c r="BS129" s="831">
        <f t="shared" si="245"/>
        <v>3605258.7785054892</v>
      </c>
      <c r="BT129" s="831"/>
      <c r="BU129" s="831">
        <f t="shared" si="246"/>
        <v>3605258.7785054892</v>
      </c>
      <c r="BV129" s="831"/>
      <c r="BW129" s="831">
        <f t="shared" si="247"/>
        <v>56400</v>
      </c>
      <c r="BX129" s="831">
        <f t="shared" si="248"/>
        <v>3661658.7785054892</v>
      </c>
      <c r="BY129" s="831"/>
      <c r="BZ129" s="831">
        <f t="shared" si="249"/>
        <v>3661658.7785054892</v>
      </c>
      <c r="CA129" s="1260">
        <f t="shared" si="250"/>
        <v>3661658.7785054892</v>
      </c>
      <c r="CB129" s="1260">
        <f t="shared" si="251"/>
        <v>3485658.7785054892</v>
      </c>
      <c r="CC129" s="1260">
        <v>8000</v>
      </c>
      <c r="CD129" s="1260">
        <f t="shared" si="252"/>
        <v>176000</v>
      </c>
      <c r="CE129" s="1260">
        <f t="shared" si="253"/>
        <v>21120</v>
      </c>
      <c r="CF129" s="1260">
        <f t="shared" si="254"/>
        <v>197120</v>
      </c>
      <c r="CG129" s="1266">
        <f t="shared" si="255"/>
        <v>3682778.7785054892</v>
      </c>
      <c r="CH129" s="1141">
        <f t="shared" si="256"/>
        <v>3682778.7785054892</v>
      </c>
      <c r="CI129" s="1142">
        <f t="shared" si="257"/>
        <v>0</v>
      </c>
      <c r="CJ129" s="1141">
        <f t="shared" si="258"/>
        <v>377484.82479681261</v>
      </c>
      <c r="CK129" s="1141">
        <f t="shared" si="259"/>
        <v>128897.25724769213</v>
      </c>
      <c r="CL129" s="1143">
        <f t="shared" si="329"/>
        <v>4189160.8605499938</v>
      </c>
      <c r="CM129" s="1144">
        <f t="shared" si="260"/>
        <v>0.125</v>
      </c>
      <c r="CN129" s="1141">
        <f t="shared" si="261"/>
        <v>523645.10756874923</v>
      </c>
      <c r="CO129" s="1141">
        <f t="shared" si="262"/>
        <v>30000</v>
      </c>
      <c r="CP129" s="1141">
        <f t="shared" si="263"/>
        <v>493645.10756874923</v>
      </c>
      <c r="CQ129" s="1145">
        <f t="shared" si="264"/>
        <v>13</v>
      </c>
      <c r="CR129" s="1141">
        <f t="shared" si="265"/>
        <v>37972.700582211481</v>
      </c>
      <c r="CS129" s="1144">
        <f t="shared" si="266"/>
        <v>0.875</v>
      </c>
      <c r="CT129" s="1141">
        <f t="shared" si="267"/>
        <v>3665515.7529812446</v>
      </c>
      <c r="CU129" s="1146">
        <f t="shared" si="204"/>
        <v>28418.704617805768</v>
      </c>
      <c r="CV129" s="1146">
        <f t="shared" si="205"/>
        <v>32946.691860344639</v>
      </c>
      <c r="CW129" s="1146">
        <f t="shared" si="206"/>
        <v>42559.745963056193</v>
      </c>
      <c r="CX129" s="1146">
        <f t="shared" si="207"/>
        <v>72581.605177560443</v>
      </c>
      <c r="CY129" s="1146">
        <f t="shared" si="268"/>
        <v>297761.49550885183</v>
      </c>
      <c r="CZ129" s="1146">
        <f t="shared" si="269"/>
        <v>117822.77329333161</v>
      </c>
      <c r="DA129" s="1146">
        <f t="shared" si="270"/>
        <v>85101.720402906751</v>
      </c>
      <c r="DB129" s="1146">
        <f t="shared" si="271"/>
        <v>64766.327107469246</v>
      </c>
      <c r="DC129" s="1146"/>
      <c r="DD129" s="1146"/>
      <c r="DE129" s="1146"/>
      <c r="DF129" s="1146"/>
      <c r="DG129" s="1146"/>
      <c r="DH129" s="1146"/>
      <c r="DI129" s="1146"/>
      <c r="DJ129" s="1146"/>
      <c r="DK129" s="1146"/>
      <c r="DL129" s="1146"/>
      <c r="DM129" s="1146"/>
      <c r="DN129" s="1146"/>
      <c r="DO129" s="1146"/>
      <c r="DP129" s="1146"/>
      <c r="DQ129" s="1146"/>
      <c r="DR129" s="1146"/>
      <c r="DS129" s="1146"/>
      <c r="DT129" s="1146"/>
      <c r="DU129" s="1146"/>
      <c r="DV129" s="1146"/>
      <c r="DW129" s="1146"/>
      <c r="DX129" s="1146"/>
      <c r="DY129" s="1146"/>
      <c r="DZ129" s="1146"/>
      <c r="EA129" s="1147">
        <f t="shared" si="208"/>
        <v>0.10889429084542167</v>
      </c>
      <c r="EB129" s="1148">
        <f>CF129/CB129</f>
        <v>5.6551720212991458E-2</v>
      </c>
      <c r="EC129" s="1190">
        <f t="shared" si="316"/>
        <v>45839</v>
      </c>
      <c r="ED129" s="1031">
        <f t="shared" si="209"/>
        <v>20</v>
      </c>
      <c r="EE129" s="1191"/>
      <c r="EF129" s="1032">
        <f t="shared" si="210"/>
        <v>45904</v>
      </c>
      <c r="EG129" s="1029">
        <f t="shared" si="273"/>
        <v>22</v>
      </c>
      <c r="EH129" s="859" t="s">
        <v>490</v>
      </c>
      <c r="EI129" s="859" t="s">
        <v>480</v>
      </c>
      <c r="EJ129" s="860">
        <f t="shared" si="211"/>
        <v>16800</v>
      </c>
      <c r="EK129" s="860">
        <f t="shared" si="212"/>
        <v>369600</v>
      </c>
      <c r="EL129" s="861">
        <f t="shared" si="213"/>
        <v>0.12196160574687226</v>
      </c>
      <c r="EM129" s="1197"/>
      <c r="EN129" s="860"/>
      <c r="EO129" s="860"/>
      <c r="EP129" s="860">
        <f t="shared" si="214"/>
        <v>0</v>
      </c>
      <c r="EQ129" s="1197"/>
      <c r="ER129" s="1200"/>
      <c r="ES129" s="1197"/>
      <c r="ET129" s="1194" t="s">
        <v>287</v>
      </c>
      <c r="EU129" s="1197" t="b">
        <f t="shared" si="215"/>
        <v>1</v>
      </c>
      <c r="EV129" s="1197" t="s">
        <v>596</v>
      </c>
      <c r="EW129" s="1197" t="s">
        <v>482</v>
      </c>
      <c r="EX129" s="1197"/>
      <c r="EY129" s="1128" t="s">
        <v>587</v>
      </c>
      <c r="EZ129" s="1128" t="s">
        <v>611</v>
      </c>
      <c r="FA129" s="1169"/>
      <c r="FI129" s="1309" t="s">
        <v>149</v>
      </c>
      <c r="FJ129" s="1159" t="s">
        <v>149</v>
      </c>
      <c r="FK129" s="1160" t="b">
        <f t="shared" si="275"/>
        <v>1</v>
      </c>
      <c r="FL129" s="1131"/>
      <c r="FM129" s="1161"/>
      <c r="FP129" s="1166"/>
      <c r="FQ129" s="1203"/>
      <c r="FU129" s="1295"/>
      <c r="FV129" s="1295"/>
      <c r="FW129" s="1023">
        <v>0.15</v>
      </c>
      <c r="FX129" s="1162">
        <v>15603.182775082447</v>
      </c>
      <c r="FY129" s="1163">
        <v>16090.782236803774</v>
      </c>
      <c r="GA129" s="1164">
        <f t="shared" si="276"/>
        <v>4189160.8605499938</v>
      </c>
      <c r="GB129" s="1165">
        <f t="shared" si="277"/>
        <v>0.15</v>
      </c>
      <c r="GC129" s="1154">
        <f t="shared" si="278"/>
        <v>628374.12908249907</v>
      </c>
      <c r="GD129" s="1164">
        <f t="shared" si="279"/>
        <v>30000</v>
      </c>
      <c r="GE129" s="1154">
        <f t="shared" si="280"/>
        <v>598374.12908249907</v>
      </c>
      <c r="GF129" s="1060">
        <f t="shared" si="281"/>
        <v>35</v>
      </c>
      <c r="GG129" s="1166">
        <f t="shared" si="282"/>
        <v>17096.403688071401</v>
      </c>
      <c r="GI129" s="1164">
        <f t="shared" si="283"/>
        <v>4189160.8605499938</v>
      </c>
      <c r="GJ129" s="1154">
        <f t="shared" si="284"/>
        <v>418916.08605499938</v>
      </c>
      <c r="GK129" s="1154">
        <f t="shared" si="285"/>
        <v>104729.02151374985</v>
      </c>
      <c r="GL129" s="1166">
        <v>15000</v>
      </c>
      <c r="GM129" s="1154">
        <f t="shared" si="286"/>
        <v>403916.08605499938</v>
      </c>
      <c r="GN129" s="1060">
        <f t="shared" si="287"/>
        <v>35</v>
      </c>
      <c r="GO129" s="1154">
        <f t="shared" si="288"/>
        <v>11540.459601571411</v>
      </c>
      <c r="GS129" s="1010">
        <f t="shared" si="289"/>
        <v>4189160.8605499938</v>
      </c>
      <c r="GT129" s="1011">
        <f t="shared" si="290"/>
        <v>0.125</v>
      </c>
      <c r="GU129" s="1010">
        <f t="shared" si="291"/>
        <v>523645.10756874923</v>
      </c>
      <c r="GV129" s="1010">
        <f t="shared" si="292"/>
        <v>30000</v>
      </c>
      <c r="GW129" s="1010">
        <f t="shared" si="293"/>
        <v>493645.10756874923</v>
      </c>
      <c r="GX129" s="1010">
        <f t="shared" si="294"/>
        <v>13</v>
      </c>
      <c r="GY129" s="1010">
        <f t="shared" si="295"/>
        <v>37972.700582211481</v>
      </c>
      <c r="GZ129" s="1011">
        <f t="shared" si="296"/>
        <v>0.875</v>
      </c>
      <c r="HA129" s="1010">
        <f t="shared" si="297"/>
        <v>3665515.7529812446</v>
      </c>
      <c r="HB129" s="1010">
        <f t="shared" si="298"/>
        <v>28418.704617805768</v>
      </c>
      <c r="HC129" s="1010">
        <f t="shared" si="299"/>
        <v>32946.691860344639</v>
      </c>
      <c r="HD129" s="1010">
        <f t="shared" si="300"/>
        <v>42559.745963056193</v>
      </c>
      <c r="HE129" s="1010">
        <f t="shared" si="301"/>
        <v>72581.605177560443</v>
      </c>
      <c r="HG129" s="1010">
        <f t="shared" si="302"/>
        <v>4189160.8605499938</v>
      </c>
      <c r="HH129" s="1011">
        <f t="shared" si="303"/>
        <v>0.125</v>
      </c>
      <c r="HI129" s="1010">
        <f t="shared" si="304"/>
        <v>523645.10756874923</v>
      </c>
      <c r="HJ129" s="1010">
        <f t="shared" si="305"/>
        <v>30000</v>
      </c>
      <c r="HK129" s="1010">
        <f t="shared" si="306"/>
        <v>493645.10756874923</v>
      </c>
      <c r="HL129" s="1012">
        <f t="shared" si="307"/>
        <v>33</v>
      </c>
      <c r="HM129" s="1167">
        <f t="shared" si="308"/>
        <v>14958.942653598462</v>
      </c>
      <c r="HN129" s="1168">
        <f t="shared" si="309"/>
        <v>0.875</v>
      </c>
      <c r="HO129" s="1167">
        <f t="shared" si="310"/>
        <v>3665515.7529812446</v>
      </c>
      <c r="HP129" s="1146">
        <f t="shared" si="311"/>
        <v>28418.704617805768</v>
      </c>
      <c r="HQ129" s="1146">
        <f t="shared" si="312"/>
        <v>32946.691860344639</v>
      </c>
      <c r="HR129" s="1146">
        <f t="shared" si="313"/>
        <v>42559.745963056193</v>
      </c>
      <c r="HS129" s="1146">
        <f t="shared" si="314"/>
        <v>72581.605177560443</v>
      </c>
      <c r="HU129" s="1167">
        <f t="shared" si="315"/>
        <v>-23013.75792861302</v>
      </c>
      <c r="HX129" s="1154"/>
      <c r="HY129" s="1154"/>
      <c r="IB129" s="1154"/>
      <c r="IC129" s="1154"/>
      <c r="ID129" s="1154"/>
      <c r="IE129" s="1154"/>
      <c r="IG129" s="1060"/>
    </row>
    <row r="130" spans="1:241" ht="14.25" customHeight="1">
      <c r="A130" s="1186">
        <f t="shared" si="330"/>
        <v>124</v>
      </c>
      <c r="B130" s="824"/>
      <c r="C130" s="855">
        <v>1</v>
      </c>
      <c r="D130" s="856" t="s">
        <v>515</v>
      </c>
      <c r="E130" s="857" t="str">
        <f t="shared" si="216"/>
        <v>9th Floor</v>
      </c>
      <c r="F130" s="1185"/>
      <c r="G130" s="764" t="s">
        <v>289</v>
      </c>
      <c r="H130" s="764" t="s">
        <v>475</v>
      </c>
      <c r="I130" s="764" t="s">
        <v>476</v>
      </c>
      <c r="J130" s="1139">
        <v>22</v>
      </c>
      <c r="K130" s="1142"/>
      <c r="L130" s="764" t="s">
        <v>344</v>
      </c>
      <c r="M130" s="764" t="s">
        <v>477</v>
      </c>
      <c r="N130" s="856">
        <f t="shared" si="217"/>
        <v>100909.09090909091</v>
      </c>
      <c r="O130" s="1138">
        <f t="shared" si="324"/>
        <v>2220000</v>
      </c>
      <c r="P130" s="1138">
        <f t="shared" si="331"/>
        <v>22400</v>
      </c>
      <c r="Q130" s="1138">
        <f t="shared" si="203"/>
        <v>50000</v>
      </c>
      <c r="R130" s="1138"/>
      <c r="S130" s="1138"/>
      <c r="T130" s="1138"/>
      <c r="U130" s="1138"/>
      <c r="V130" s="1138"/>
      <c r="W130" s="858">
        <f>J130*$W$5</f>
        <v>22000</v>
      </c>
      <c r="X130" s="1138"/>
      <c r="Y130" s="1138">
        <f>Y129+Y5</f>
        <v>100000</v>
      </c>
      <c r="Z130" s="1138">
        <f t="shared" si="327"/>
        <v>75000</v>
      </c>
      <c r="AA130" s="1138">
        <f t="shared" si="328"/>
        <v>269400</v>
      </c>
      <c r="AB130" s="1138">
        <f t="shared" si="218"/>
        <v>2489400</v>
      </c>
      <c r="AC130" s="1138">
        <f t="shared" si="219"/>
        <v>62235</v>
      </c>
      <c r="AD130" s="1138">
        <f t="shared" si="220"/>
        <v>2551635</v>
      </c>
      <c r="AE130" s="1138">
        <f t="shared" si="221"/>
        <v>63790.875</v>
      </c>
      <c r="AF130" s="1138">
        <f t="shared" si="222"/>
        <v>2615425.875</v>
      </c>
      <c r="AG130" s="1138">
        <f t="shared" si="223"/>
        <v>65385.646875000006</v>
      </c>
      <c r="AH130" s="1138">
        <f t="shared" si="224"/>
        <v>2680811.5218750001</v>
      </c>
      <c r="AI130" s="1138">
        <f t="shared" si="225"/>
        <v>134040.57609375002</v>
      </c>
      <c r="AJ130" s="1138">
        <f t="shared" si="226"/>
        <v>2814852.0979687502</v>
      </c>
      <c r="AK130" s="1138">
        <f t="shared" si="227"/>
        <v>28148.520979687502</v>
      </c>
      <c r="AL130" s="1138">
        <f t="shared" si="228"/>
        <v>27537.409960060559</v>
      </c>
      <c r="AM130" s="1138"/>
      <c r="AN130" s="1138"/>
      <c r="AO130" s="1138">
        <f t="shared" si="229"/>
        <v>2870538.0289084981</v>
      </c>
      <c r="AP130" s="1138">
        <f t="shared" si="230"/>
        <v>387522.6339026473</v>
      </c>
      <c r="AQ130" s="1248">
        <f t="shared" si="231"/>
        <v>3258060.6628111452</v>
      </c>
      <c r="AR130" s="1248">
        <f t="shared" si="347"/>
        <v>2928060.6628111452</v>
      </c>
      <c r="AS130" s="1248">
        <v>15000</v>
      </c>
      <c r="AT130" s="1248">
        <f t="shared" si="348"/>
        <v>330000</v>
      </c>
      <c r="AU130" s="1248">
        <f t="shared" si="232"/>
        <v>39600</v>
      </c>
      <c r="AV130" s="1140">
        <f t="shared" si="233"/>
        <v>369600</v>
      </c>
      <c r="AW130" s="1140">
        <f t="shared" si="234"/>
        <v>3297660.6628111452</v>
      </c>
      <c r="AX130" s="1139">
        <f t="shared" si="235"/>
        <v>41220.758285139316</v>
      </c>
      <c r="AY130" s="831" t="s">
        <v>478</v>
      </c>
      <c r="AZ130" s="831">
        <f t="shared" si="236"/>
        <v>3338881.4210962844</v>
      </c>
      <c r="BA130" s="831">
        <f t="shared" si="237"/>
        <v>125208.05329111066</v>
      </c>
      <c r="BB130" s="831"/>
      <c r="BC130" s="831">
        <f t="shared" si="346"/>
        <v>33600</v>
      </c>
      <c r="BD130" s="831"/>
      <c r="BE130" s="831">
        <f t="shared" si="238"/>
        <v>3497689.4743873952</v>
      </c>
      <c r="BF130" s="831"/>
      <c r="BG130" s="831">
        <f t="shared" si="239"/>
        <v>3497689.4743873952</v>
      </c>
      <c r="BH130" s="831"/>
      <c r="BI130" s="831">
        <f t="shared" si="240"/>
        <v>3497689.4743873952</v>
      </c>
      <c r="BJ130" s="831"/>
      <c r="BK130" s="831">
        <f t="shared" si="241"/>
        <v>3497689.4743873952</v>
      </c>
      <c r="BL130" s="831"/>
      <c r="BM130" s="831">
        <f t="shared" si="242"/>
        <v>3497689.4743873952</v>
      </c>
      <c r="BN130" s="831"/>
      <c r="BO130" s="831">
        <f t="shared" si="243"/>
        <v>3497689.4743873952</v>
      </c>
      <c r="BP130" s="831">
        <f t="shared" ref="BP130:BP131" si="365">$BP$5/37</f>
        <v>5065.3710270270276</v>
      </c>
      <c r="BQ130" s="831">
        <f t="shared" si="244"/>
        <v>3502754.8454144225</v>
      </c>
      <c r="BR130" s="831">
        <f t="shared" ref="BR130:BR131" si="366">$BR$5/42</f>
        <v>3544.6104</v>
      </c>
      <c r="BS130" s="831">
        <f t="shared" si="245"/>
        <v>3506299.4558144226</v>
      </c>
      <c r="BT130" s="831">
        <f t="shared" ref="BT130:BT131" si="367">$BT$5/41</f>
        <v>1609.3168000000001</v>
      </c>
      <c r="BU130" s="831">
        <f t="shared" si="246"/>
        <v>3507908.7726144227</v>
      </c>
      <c r="BV130" s="831">
        <f t="shared" ref="BV130:BV131" si="368">$BV$5/43</f>
        <v>1163.3400930232558</v>
      </c>
      <c r="BW130" s="831">
        <f t="shared" si="247"/>
        <v>56400</v>
      </c>
      <c r="BX130" s="831">
        <f t="shared" si="248"/>
        <v>3565472.1127074459</v>
      </c>
      <c r="BY130" s="831">
        <f t="shared" ref="BY130:BY131" si="369">$BY$5/44</f>
        <v>30549.183723443901</v>
      </c>
      <c r="BZ130" s="831">
        <f t="shared" si="249"/>
        <v>3596021.29643089</v>
      </c>
      <c r="CA130" s="1260">
        <f t="shared" si="250"/>
        <v>3596021.29643089</v>
      </c>
      <c r="CB130" s="1260">
        <f t="shared" si="251"/>
        <v>3596021.29643089</v>
      </c>
      <c r="CC130" s="1260"/>
      <c r="CD130" s="1260">
        <f t="shared" si="252"/>
        <v>0</v>
      </c>
      <c r="CE130" s="1260">
        <f t="shared" si="253"/>
        <v>0</v>
      </c>
      <c r="CF130" s="1260">
        <f t="shared" si="254"/>
        <v>0</v>
      </c>
      <c r="CG130" s="1266">
        <f t="shared" si="255"/>
        <v>3596021.29643089</v>
      </c>
      <c r="CH130" s="1141">
        <f t="shared" si="256"/>
        <v>3596021.29643089</v>
      </c>
      <c r="CI130" s="1142">
        <f t="shared" si="257"/>
        <v>0</v>
      </c>
      <c r="CJ130" s="1141">
        <f t="shared" si="258"/>
        <v>368592.18288416619</v>
      </c>
      <c r="CK130" s="1141">
        <f t="shared" si="259"/>
        <v>125860.74537508115</v>
      </c>
      <c r="CL130" s="1143">
        <f t="shared" si="329"/>
        <v>4090474.224690137</v>
      </c>
      <c r="CM130" s="1144">
        <f t="shared" si="260"/>
        <v>0.125</v>
      </c>
      <c r="CN130" s="1141">
        <f t="shared" si="261"/>
        <v>511309.27808626712</v>
      </c>
      <c r="CO130" s="1141">
        <f t="shared" si="262"/>
        <v>30000</v>
      </c>
      <c r="CP130" s="1141">
        <f t="shared" si="263"/>
        <v>481309.27808626712</v>
      </c>
      <c r="CQ130" s="1145">
        <f t="shared" si="264"/>
        <v>13</v>
      </c>
      <c r="CR130" s="1141">
        <f t="shared" si="265"/>
        <v>37023.790622020548</v>
      </c>
      <c r="CS130" s="1144">
        <f t="shared" si="266"/>
        <v>0.875</v>
      </c>
      <c r="CT130" s="1141">
        <f t="shared" si="267"/>
        <v>3579164.94660387</v>
      </c>
      <c r="CU130" s="1146">
        <f t="shared" si="204"/>
        <v>27749.227735063669</v>
      </c>
      <c r="CV130" s="1146">
        <f t="shared" si="205"/>
        <v>32170.546400515759</v>
      </c>
      <c r="CW130" s="1146">
        <f t="shared" si="206"/>
        <v>41557.139882278316</v>
      </c>
      <c r="CX130" s="1146">
        <f t="shared" si="207"/>
        <v>70871.755716362779</v>
      </c>
      <c r="CY130" s="1146">
        <f t="shared" si="268"/>
        <v>290746.94503954606</v>
      </c>
      <c r="CZ130" s="1146">
        <f t="shared" si="269"/>
        <v>115047.14984246445</v>
      </c>
      <c r="DA130" s="1146">
        <f t="shared" si="270"/>
        <v>83096.926896040473</v>
      </c>
      <c r="DB130" s="1146">
        <f t="shared" si="271"/>
        <v>63240.586952817837</v>
      </c>
      <c r="DC130" s="1146"/>
      <c r="DD130" s="1146"/>
      <c r="DE130" s="1146"/>
      <c r="DF130" s="1146"/>
      <c r="DG130" s="1146"/>
      <c r="DH130" s="1146"/>
      <c r="DI130" s="1146"/>
      <c r="DJ130" s="1146"/>
      <c r="DK130" s="1146"/>
      <c r="DL130" s="1146"/>
      <c r="DM130" s="1146"/>
      <c r="DN130" s="1146"/>
      <c r="DO130" s="1146"/>
      <c r="DP130" s="1146"/>
      <c r="DQ130" s="1146"/>
      <c r="DR130" s="1146"/>
      <c r="DS130" s="1146"/>
      <c r="DT130" s="1146"/>
      <c r="DU130" s="1146"/>
      <c r="DV130" s="1146"/>
      <c r="DW130" s="1146"/>
      <c r="DX130" s="1146"/>
      <c r="DY130" s="1146"/>
      <c r="DZ130" s="1146"/>
      <c r="EA130" s="1147">
        <f t="shared" si="208"/>
        <v>0.11270258304115074</v>
      </c>
      <c r="EB130" s="1148">
        <f t="shared" si="272"/>
        <v>0</v>
      </c>
      <c r="EC130" s="1190">
        <f t="shared" si="316"/>
        <v>45839</v>
      </c>
      <c r="ED130" s="1031">
        <f t="shared" si="209"/>
        <v>20</v>
      </c>
      <c r="EE130" s="1191"/>
      <c r="EF130" s="1032">
        <f t="shared" si="210"/>
        <v>45904</v>
      </c>
      <c r="EG130" s="1029">
        <f t="shared" si="273"/>
        <v>22</v>
      </c>
      <c r="EH130" s="859" t="s">
        <v>490</v>
      </c>
      <c r="EI130" s="859" t="s">
        <v>480</v>
      </c>
      <c r="EJ130" s="860">
        <f t="shared" si="211"/>
        <v>16800</v>
      </c>
      <c r="EK130" s="860">
        <f t="shared" si="212"/>
        <v>369600</v>
      </c>
      <c r="EL130" s="861">
        <f t="shared" si="213"/>
        <v>0.12622689300608883</v>
      </c>
      <c r="EM130" s="1197"/>
      <c r="EN130" s="860"/>
      <c r="EO130" s="860"/>
      <c r="EP130" s="860">
        <f t="shared" si="214"/>
        <v>0</v>
      </c>
      <c r="EQ130" s="1197"/>
      <c r="ER130" s="1200"/>
      <c r="ES130" s="1197"/>
      <c r="ET130" s="1194" t="s">
        <v>289</v>
      </c>
      <c r="EU130" s="1197" t="b">
        <f t="shared" si="215"/>
        <v>1</v>
      </c>
      <c r="EV130" s="1197"/>
      <c r="EW130" s="1197"/>
      <c r="EX130" s="1197"/>
      <c r="EY130" s="1128" t="s">
        <v>587</v>
      </c>
      <c r="EZ130" s="1128" t="s">
        <v>484</v>
      </c>
      <c r="FA130" s="1169">
        <f t="shared" si="274"/>
        <v>0</v>
      </c>
      <c r="FI130" s="1310" t="s">
        <v>96</v>
      </c>
      <c r="FJ130" s="1159" t="s">
        <v>96</v>
      </c>
      <c r="FK130" s="1160" t="b">
        <f t="shared" si="275"/>
        <v>1</v>
      </c>
      <c r="FL130" s="1131"/>
      <c r="FM130" s="1161"/>
      <c r="FO130" s="888"/>
      <c r="FP130" s="1166"/>
      <c r="FQ130" s="1203"/>
      <c r="FU130" s="1295"/>
      <c r="FV130" s="1295"/>
      <c r="FW130" s="1023">
        <v>0.125</v>
      </c>
      <c r="FX130" s="1162">
        <v>12251.194783733528</v>
      </c>
      <c r="FY130" s="1163">
        <v>12634.044620725201</v>
      </c>
      <c r="GA130" s="1164">
        <f t="shared" si="276"/>
        <v>4090474.224690137</v>
      </c>
      <c r="GB130" s="1165">
        <f t="shared" ref="GB130:GB131" si="370">FW130</f>
        <v>0.125</v>
      </c>
      <c r="GC130" s="1154">
        <f t="shared" si="278"/>
        <v>511309.27808626712</v>
      </c>
      <c r="GD130" s="1164">
        <f t="shared" si="279"/>
        <v>30000</v>
      </c>
      <c r="GE130" s="1154">
        <f t="shared" si="280"/>
        <v>481309.27808626712</v>
      </c>
      <c r="GF130" s="1060">
        <f t="shared" si="281"/>
        <v>35</v>
      </c>
      <c r="GG130" s="1166">
        <f t="shared" si="282"/>
        <v>13751.693659607632</v>
      </c>
      <c r="GI130" s="1164">
        <f t="shared" si="283"/>
        <v>4090474.224690137</v>
      </c>
      <c r="GJ130" s="1154">
        <f t="shared" si="284"/>
        <v>409047.42246901372</v>
      </c>
      <c r="GK130" s="1154">
        <f t="shared" si="285"/>
        <v>102261.85561725343</v>
      </c>
      <c r="GL130" s="1166">
        <v>15000</v>
      </c>
      <c r="GM130" s="1154">
        <f t="shared" si="286"/>
        <v>394047.42246901372</v>
      </c>
      <c r="GN130" s="1060">
        <f t="shared" si="287"/>
        <v>35</v>
      </c>
      <c r="GO130" s="1154">
        <f t="shared" si="288"/>
        <v>11258.497784828964</v>
      </c>
      <c r="GS130" s="1010">
        <f t="shared" si="289"/>
        <v>4090474.224690137</v>
      </c>
      <c r="GT130" s="1011">
        <f t="shared" si="290"/>
        <v>0.125</v>
      </c>
      <c r="GU130" s="1010">
        <f t="shared" si="291"/>
        <v>511309.27808626712</v>
      </c>
      <c r="GV130" s="1010">
        <f t="shared" si="292"/>
        <v>30000</v>
      </c>
      <c r="GW130" s="1010">
        <f t="shared" si="293"/>
        <v>481309.27808626712</v>
      </c>
      <c r="GX130" s="1010">
        <f t="shared" si="294"/>
        <v>13</v>
      </c>
      <c r="GY130" s="1010">
        <f t="shared" si="295"/>
        <v>37023.790622020548</v>
      </c>
      <c r="GZ130" s="1011">
        <f t="shared" si="296"/>
        <v>0.875</v>
      </c>
      <c r="HA130" s="1010">
        <f t="shared" si="297"/>
        <v>3579164.94660387</v>
      </c>
      <c r="HB130" s="1010">
        <f t="shared" si="298"/>
        <v>27749.227735063669</v>
      </c>
      <c r="HC130" s="1010">
        <f t="shared" si="299"/>
        <v>32170.546400515759</v>
      </c>
      <c r="HD130" s="1010">
        <f t="shared" si="300"/>
        <v>41557.139882278316</v>
      </c>
      <c r="HE130" s="1010">
        <f t="shared" si="301"/>
        <v>70871.755716362779</v>
      </c>
      <c r="HG130" s="1010">
        <f t="shared" si="302"/>
        <v>4090474.224690137</v>
      </c>
      <c r="HH130" s="1011">
        <f t="shared" si="303"/>
        <v>0.125</v>
      </c>
      <c r="HI130" s="1010">
        <f t="shared" si="304"/>
        <v>511309.27808626712</v>
      </c>
      <c r="HJ130" s="1010">
        <f t="shared" si="305"/>
        <v>30000</v>
      </c>
      <c r="HK130" s="1010">
        <f t="shared" si="306"/>
        <v>481309.27808626712</v>
      </c>
      <c r="HL130" s="1012">
        <f t="shared" si="307"/>
        <v>33</v>
      </c>
      <c r="HM130" s="1167">
        <f t="shared" si="308"/>
        <v>14585.129638977791</v>
      </c>
      <c r="HN130" s="1168">
        <f t="shared" si="309"/>
        <v>0.875</v>
      </c>
      <c r="HO130" s="1167">
        <f t="shared" si="310"/>
        <v>3579164.94660387</v>
      </c>
      <c r="HP130" s="1146">
        <f t="shared" si="311"/>
        <v>27749.227735063669</v>
      </c>
      <c r="HQ130" s="1146">
        <f t="shared" si="312"/>
        <v>32170.546400515759</v>
      </c>
      <c r="HR130" s="1146">
        <f t="shared" si="313"/>
        <v>41557.139882278316</v>
      </c>
      <c r="HS130" s="1146">
        <f t="shared" si="314"/>
        <v>70871.755716362779</v>
      </c>
      <c r="HU130" s="1167">
        <f t="shared" si="315"/>
        <v>-22438.660983042755</v>
      </c>
      <c r="HX130" s="1154"/>
      <c r="HY130" s="1154"/>
      <c r="IB130" s="1154"/>
      <c r="IC130" s="1154"/>
      <c r="ID130" s="1154"/>
      <c r="IE130" s="1154"/>
      <c r="IG130" s="1060"/>
    </row>
    <row r="131" spans="1:241" ht="14.25" customHeight="1">
      <c r="A131" s="1186">
        <f t="shared" si="330"/>
        <v>125</v>
      </c>
      <c r="B131" s="824"/>
      <c r="C131" s="855">
        <f>C130+1</f>
        <v>2</v>
      </c>
      <c r="D131" s="856" t="s">
        <v>515</v>
      </c>
      <c r="E131" s="857" t="str">
        <f t="shared" si="216"/>
        <v>9th Floor</v>
      </c>
      <c r="F131" s="1185"/>
      <c r="G131" s="764" t="s">
        <v>290</v>
      </c>
      <c r="H131" s="764" t="s">
        <v>489</v>
      </c>
      <c r="I131" s="764" t="s">
        <v>476</v>
      </c>
      <c r="J131" s="1139">
        <v>22</v>
      </c>
      <c r="K131" s="1142"/>
      <c r="L131" s="764" t="s">
        <v>344</v>
      </c>
      <c r="M131" s="764" t="s">
        <v>93</v>
      </c>
      <c r="N131" s="856">
        <f t="shared" si="217"/>
        <v>100909.09090909091</v>
      </c>
      <c r="O131" s="1138">
        <f t="shared" si="324"/>
        <v>2220000</v>
      </c>
      <c r="P131" s="1138">
        <f t="shared" si="331"/>
        <v>22400</v>
      </c>
      <c r="Q131" s="1138">
        <f t="shared" si="203"/>
        <v>50000</v>
      </c>
      <c r="R131" s="1138"/>
      <c r="S131" s="1138"/>
      <c r="T131" s="1138"/>
      <c r="U131" s="1138"/>
      <c r="V131" s="1138"/>
      <c r="W131" s="858"/>
      <c r="X131" s="1138"/>
      <c r="Y131" s="1138">
        <f>$Y$130</f>
        <v>100000</v>
      </c>
      <c r="Z131" s="1138">
        <f t="shared" si="327"/>
        <v>75000</v>
      </c>
      <c r="AA131" s="1138">
        <f t="shared" si="328"/>
        <v>247400</v>
      </c>
      <c r="AB131" s="1138">
        <f t="shared" si="218"/>
        <v>2467400</v>
      </c>
      <c r="AC131" s="1138">
        <f t="shared" si="219"/>
        <v>61685</v>
      </c>
      <c r="AD131" s="1138">
        <f t="shared" si="220"/>
        <v>2529085</v>
      </c>
      <c r="AE131" s="1138">
        <f t="shared" si="221"/>
        <v>63227.125</v>
      </c>
      <c r="AF131" s="1138">
        <f t="shared" si="222"/>
        <v>2592312.125</v>
      </c>
      <c r="AG131" s="1138">
        <f t="shared" si="223"/>
        <v>64807.803125000006</v>
      </c>
      <c r="AH131" s="1138">
        <f t="shared" si="224"/>
        <v>2657119.9281250001</v>
      </c>
      <c r="AI131" s="1138">
        <f t="shared" si="225"/>
        <v>132855.99640625002</v>
      </c>
      <c r="AJ131" s="1138">
        <f t="shared" si="226"/>
        <v>2789975.9245312503</v>
      </c>
      <c r="AK131" s="1138">
        <f t="shared" si="227"/>
        <v>27899.759245312503</v>
      </c>
      <c r="AL131" s="1138">
        <f t="shared" si="228"/>
        <v>27537.409960060559</v>
      </c>
      <c r="AM131" s="1138"/>
      <c r="AN131" s="1138"/>
      <c r="AO131" s="1138">
        <f t="shared" si="229"/>
        <v>2845413.0937366229</v>
      </c>
      <c r="AP131" s="1138">
        <f t="shared" si="230"/>
        <v>384130.76765444415</v>
      </c>
      <c r="AQ131" s="1248">
        <f t="shared" si="231"/>
        <v>3229543.861391067</v>
      </c>
      <c r="AR131" s="1248">
        <f t="shared" si="347"/>
        <v>2899543.861391067</v>
      </c>
      <c r="AS131" s="1248">
        <v>15000</v>
      </c>
      <c r="AT131" s="1248">
        <f t="shared" si="348"/>
        <v>330000</v>
      </c>
      <c r="AU131" s="1248">
        <f t="shared" si="232"/>
        <v>39600</v>
      </c>
      <c r="AV131" s="1140">
        <f t="shared" si="233"/>
        <v>369600</v>
      </c>
      <c r="AW131" s="1140">
        <f t="shared" si="234"/>
        <v>3269143.861391067</v>
      </c>
      <c r="AX131" s="1139">
        <f t="shared" si="235"/>
        <v>40864.298267388338</v>
      </c>
      <c r="AY131" s="831" t="s">
        <v>478</v>
      </c>
      <c r="AZ131" s="831">
        <f t="shared" si="236"/>
        <v>3310008.1596584553</v>
      </c>
      <c r="BA131" s="831">
        <f t="shared" si="237"/>
        <v>124125.30598719207</v>
      </c>
      <c r="BB131" s="831"/>
      <c r="BC131" s="831">
        <f t="shared" si="346"/>
        <v>33600</v>
      </c>
      <c r="BD131" s="831"/>
      <c r="BE131" s="831">
        <f t="shared" si="238"/>
        <v>3467733.4656456471</v>
      </c>
      <c r="BF131" s="831"/>
      <c r="BG131" s="831">
        <f t="shared" si="239"/>
        <v>3467733.4656456471</v>
      </c>
      <c r="BH131" s="831"/>
      <c r="BI131" s="831">
        <f t="shared" si="240"/>
        <v>3467733.4656456471</v>
      </c>
      <c r="BJ131" s="831"/>
      <c r="BK131" s="831">
        <f t="shared" si="241"/>
        <v>3467733.4656456471</v>
      </c>
      <c r="BL131" s="831"/>
      <c r="BM131" s="831">
        <f t="shared" si="242"/>
        <v>3467733.4656456471</v>
      </c>
      <c r="BN131" s="831"/>
      <c r="BO131" s="831">
        <f t="shared" si="243"/>
        <v>3467733.4656456471</v>
      </c>
      <c r="BP131" s="831">
        <f t="shared" si="365"/>
        <v>5065.3710270270276</v>
      </c>
      <c r="BQ131" s="831">
        <f t="shared" si="244"/>
        <v>3472798.8366726744</v>
      </c>
      <c r="BR131" s="831">
        <f t="shared" si="366"/>
        <v>3544.6104</v>
      </c>
      <c r="BS131" s="831">
        <f t="shared" si="245"/>
        <v>3476343.4470726745</v>
      </c>
      <c r="BT131" s="831">
        <f t="shared" si="367"/>
        <v>1609.3168000000001</v>
      </c>
      <c r="BU131" s="831">
        <f t="shared" si="246"/>
        <v>3477952.7638726747</v>
      </c>
      <c r="BV131" s="831">
        <f t="shared" si="368"/>
        <v>1163.3400930232558</v>
      </c>
      <c r="BW131" s="831">
        <f t="shared" si="247"/>
        <v>56400</v>
      </c>
      <c r="BX131" s="831">
        <f t="shared" si="248"/>
        <v>3535516.1039656978</v>
      </c>
      <c r="BY131" s="831">
        <f t="shared" si="369"/>
        <v>30549.183723443901</v>
      </c>
      <c r="BZ131" s="831">
        <f t="shared" si="249"/>
        <v>3566065.2876891419</v>
      </c>
      <c r="CA131" s="1260">
        <f t="shared" si="250"/>
        <v>3566065.2876891419</v>
      </c>
      <c r="CB131" s="1260">
        <f t="shared" si="251"/>
        <v>3566065.2876891419</v>
      </c>
      <c r="CC131" s="1260"/>
      <c r="CD131" s="1260">
        <f t="shared" si="252"/>
        <v>0</v>
      </c>
      <c r="CE131" s="1260">
        <f t="shared" si="253"/>
        <v>0</v>
      </c>
      <c r="CF131" s="1260">
        <f t="shared" si="254"/>
        <v>0</v>
      </c>
      <c r="CG131" s="1266">
        <f t="shared" si="255"/>
        <v>3566065.2876891419</v>
      </c>
      <c r="CH131" s="1141">
        <f t="shared" si="256"/>
        <v>3566065.2876891419</v>
      </c>
      <c r="CI131" s="1142">
        <f t="shared" si="257"/>
        <v>0</v>
      </c>
      <c r="CJ131" s="1141">
        <f t="shared" si="258"/>
        <v>365521.69198813703</v>
      </c>
      <c r="CK131" s="1141">
        <f t="shared" si="259"/>
        <v>124812.28506911999</v>
      </c>
      <c r="CL131" s="1143">
        <f t="shared" si="329"/>
        <v>4056399.2647463991</v>
      </c>
      <c r="CM131" s="1144">
        <f t="shared" si="260"/>
        <v>0.125</v>
      </c>
      <c r="CN131" s="1141">
        <f t="shared" si="261"/>
        <v>507049.90809329989</v>
      </c>
      <c r="CO131" s="1141">
        <f t="shared" si="262"/>
        <v>30000</v>
      </c>
      <c r="CP131" s="1141">
        <f t="shared" si="263"/>
        <v>477049.90809329989</v>
      </c>
      <c r="CQ131" s="1145">
        <f t="shared" si="264"/>
        <v>13</v>
      </c>
      <c r="CR131" s="1141">
        <f t="shared" si="265"/>
        <v>36696.146776407681</v>
      </c>
      <c r="CS131" s="1144">
        <f t="shared" si="266"/>
        <v>0.875</v>
      </c>
      <c r="CT131" s="1141">
        <f t="shared" si="267"/>
        <v>3549349.3566530994</v>
      </c>
      <c r="CU131" s="1146">
        <f t="shared" si="204"/>
        <v>27518.067783526851</v>
      </c>
      <c r="CV131" s="1146">
        <f t="shared" si="205"/>
        <v>31902.555448916795</v>
      </c>
      <c r="CW131" s="1146">
        <f t="shared" si="206"/>
        <v>41210.955601659312</v>
      </c>
      <c r="CX131" s="1146">
        <f t="shared" si="207"/>
        <v>70281.371300149913</v>
      </c>
      <c r="CY131" s="1146">
        <f t="shared" si="268"/>
        <v>288324.92989856633</v>
      </c>
      <c r="CZ131" s="1146">
        <f t="shared" si="269"/>
        <v>114088.77024949191</v>
      </c>
      <c r="DA131" s="1146">
        <f t="shared" si="270"/>
        <v>82404.702889753084</v>
      </c>
      <c r="DB131" s="1146">
        <f t="shared" si="271"/>
        <v>62713.772615685812</v>
      </c>
      <c r="DC131" s="1146"/>
      <c r="DD131" s="1146"/>
      <c r="DE131" s="1146"/>
      <c r="DF131" s="1146"/>
      <c r="DG131" s="1146"/>
      <c r="DH131" s="1146"/>
      <c r="DI131" s="1146"/>
      <c r="DJ131" s="1146"/>
      <c r="DK131" s="1146"/>
      <c r="DL131" s="1146"/>
      <c r="DM131" s="1146"/>
      <c r="DN131" s="1146"/>
      <c r="DO131" s="1146"/>
      <c r="DP131" s="1146"/>
      <c r="DQ131" s="1146"/>
      <c r="DR131" s="1146"/>
      <c r="DS131" s="1146"/>
      <c r="DT131" s="1146"/>
      <c r="DU131" s="1146"/>
      <c r="DV131" s="1146"/>
      <c r="DW131" s="1146"/>
      <c r="DX131" s="1146"/>
      <c r="DY131" s="1146"/>
      <c r="DZ131" s="1146"/>
      <c r="EA131" s="1147">
        <f t="shared" si="208"/>
        <v>0.1138110046873653</v>
      </c>
      <c r="EB131" s="1148">
        <f t="shared" si="272"/>
        <v>0</v>
      </c>
      <c r="EC131" s="1190">
        <f t="shared" si="316"/>
        <v>45839</v>
      </c>
      <c r="ED131" s="1031">
        <f t="shared" si="209"/>
        <v>20</v>
      </c>
      <c r="EE131" s="1191"/>
      <c r="EF131" s="1032">
        <f t="shared" si="210"/>
        <v>45904</v>
      </c>
      <c r="EG131" s="1029">
        <f t="shared" si="273"/>
        <v>22</v>
      </c>
      <c r="EH131" s="859" t="s">
        <v>490</v>
      </c>
      <c r="EI131" s="859" t="s">
        <v>480</v>
      </c>
      <c r="EJ131" s="860">
        <f t="shared" si="211"/>
        <v>16800</v>
      </c>
      <c r="EK131" s="860">
        <f t="shared" si="212"/>
        <v>369600</v>
      </c>
      <c r="EL131" s="861">
        <f t="shared" si="213"/>
        <v>0.12746832524984913</v>
      </c>
      <c r="EM131" s="1197"/>
      <c r="EN131" s="860"/>
      <c r="EO131" s="860"/>
      <c r="EP131" s="860">
        <f t="shared" si="214"/>
        <v>0</v>
      </c>
      <c r="EQ131" s="1197"/>
      <c r="ER131" s="1200"/>
      <c r="ES131" s="1197"/>
      <c r="ET131" s="1194" t="s">
        <v>290</v>
      </c>
      <c r="EU131" s="1197" t="b">
        <f t="shared" si="215"/>
        <v>1</v>
      </c>
      <c r="EV131" s="1197"/>
      <c r="EW131" s="1197"/>
      <c r="EX131" s="1197"/>
      <c r="EY131" s="1128" t="s">
        <v>587</v>
      </c>
      <c r="EZ131" s="1128" t="s">
        <v>484</v>
      </c>
      <c r="FA131" s="1169">
        <f t="shared" si="274"/>
        <v>0</v>
      </c>
      <c r="FI131" s="1309" t="s">
        <v>96</v>
      </c>
      <c r="FJ131" s="1159" t="s">
        <v>96</v>
      </c>
      <c r="FK131" s="1160" t="b">
        <f t="shared" si="275"/>
        <v>1</v>
      </c>
      <c r="FL131" s="1131"/>
      <c r="FM131" s="1161"/>
      <c r="FO131" s="888"/>
      <c r="FP131" s="1166"/>
      <c r="FQ131" s="1203"/>
      <c r="FU131" s="1295"/>
      <c r="FV131" s="1295"/>
      <c r="FW131" s="1023">
        <v>0.125</v>
      </c>
      <c r="FX131" s="1162">
        <v>12131.013843828059</v>
      </c>
      <c r="FY131" s="1163">
        <v>12510.108026447686</v>
      </c>
      <c r="GA131" s="1164">
        <f t="shared" si="276"/>
        <v>4056399.2647463991</v>
      </c>
      <c r="GB131" s="1165">
        <f t="shared" si="370"/>
        <v>0.125</v>
      </c>
      <c r="GC131" s="1154">
        <f t="shared" si="278"/>
        <v>507049.90809329989</v>
      </c>
      <c r="GD131" s="1164">
        <f t="shared" si="279"/>
        <v>30000</v>
      </c>
      <c r="GE131" s="1154">
        <f t="shared" si="280"/>
        <v>477049.90809329989</v>
      </c>
      <c r="GF131" s="1060">
        <f t="shared" si="281"/>
        <v>35</v>
      </c>
      <c r="GG131" s="1166">
        <f t="shared" si="282"/>
        <v>13629.997374094282</v>
      </c>
      <c r="GI131" s="1164">
        <f t="shared" si="283"/>
        <v>4056399.2647463991</v>
      </c>
      <c r="GJ131" s="1154">
        <f t="shared" si="284"/>
        <v>405639.92647463991</v>
      </c>
      <c r="GK131" s="1154">
        <f t="shared" si="285"/>
        <v>101409.98161865998</v>
      </c>
      <c r="GL131" s="1166">
        <v>15000</v>
      </c>
      <c r="GM131" s="1154">
        <f t="shared" si="286"/>
        <v>390639.92647463991</v>
      </c>
      <c r="GN131" s="1060">
        <f t="shared" si="287"/>
        <v>35</v>
      </c>
      <c r="GO131" s="1154">
        <f t="shared" si="288"/>
        <v>11161.140756418283</v>
      </c>
      <c r="GS131" s="1010">
        <f t="shared" si="289"/>
        <v>4056399.2647463991</v>
      </c>
      <c r="GT131" s="1011">
        <f t="shared" si="290"/>
        <v>0.125</v>
      </c>
      <c r="GU131" s="1010">
        <f t="shared" si="291"/>
        <v>507049.90809329989</v>
      </c>
      <c r="GV131" s="1010">
        <f t="shared" si="292"/>
        <v>30000</v>
      </c>
      <c r="GW131" s="1010">
        <f t="shared" si="293"/>
        <v>477049.90809329989</v>
      </c>
      <c r="GX131" s="1010">
        <f t="shared" si="294"/>
        <v>13</v>
      </c>
      <c r="GY131" s="1010">
        <f t="shared" si="295"/>
        <v>36696.146776407681</v>
      </c>
      <c r="GZ131" s="1011">
        <f t="shared" si="296"/>
        <v>0.875</v>
      </c>
      <c r="HA131" s="1010">
        <f t="shared" si="297"/>
        <v>3549349.3566530994</v>
      </c>
      <c r="HB131" s="1010">
        <f t="shared" si="298"/>
        <v>27518.067783526851</v>
      </c>
      <c r="HC131" s="1010">
        <f t="shared" si="299"/>
        <v>31902.555448916795</v>
      </c>
      <c r="HD131" s="1010">
        <f t="shared" si="300"/>
        <v>41210.955601659312</v>
      </c>
      <c r="HE131" s="1010">
        <f t="shared" si="301"/>
        <v>70281.371300149913</v>
      </c>
      <c r="HG131" s="1010">
        <f t="shared" si="302"/>
        <v>4056399.2647463991</v>
      </c>
      <c r="HH131" s="1011">
        <f t="shared" si="303"/>
        <v>0.125</v>
      </c>
      <c r="HI131" s="1010">
        <f t="shared" si="304"/>
        <v>507049.90809329989</v>
      </c>
      <c r="HJ131" s="1010">
        <f t="shared" si="305"/>
        <v>30000</v>
      </c>
      <c r="HK131" s="1010">
        <f t="shared" si="306"/>
        <v>477049.90809329989</v>
      </c>
      <c r="HL131" s="1012">
        <f t="shared" si="307"/>
        <v>33</v>
      </c>
      <c r="HM131" s="1167">
        <f t="shared" si="308"/>
        <v>14456.057821009088</v>
      </c>
      <c r="HN131" s="1168">
        <f t="shared" si="309"/>
        <v>0.875</v>
      </c>
      <c r="HO131" s="1167">
        <f t="shared" si="310"/>
        <v>3549349.3566530994</v>
      </c>
      <c r="HP131" s="1146">
        <f t="shared" si="311"/>
        <v>27518.067783526851</v>
      </c>
      <c r="HQ131" s="1146">
        <f t="shared" si="312"/>
        <v>31902.555448916795</v>
      </c>
      <c r="HR131" s="1146">
        <f t="shared" si="313"/>
        <v>41210.955601659312</v>
      </c>
      <c r="HS131" s="1146">
        <f t="shared" si="314"/>
        <v>70281.371300149913</v>
      </c>
      <c r="HU131" s="1167">
        <f t="shared" si="315"/>
        <v>-22240.088955398591</v>
      </c>
      <c r="HX131" s="1154"/>
      <c r="HY131" s="1154"/>
      <c r="IB131" s="1154"/>
      <c r="IC131" s="1154"/>
      <c r="ID131" s="1154"/>
      <c r="IE131" s="1154"/>
      <c r="IG131" s="1060"/>
    </row>
    <row r="132" spans="1:241" ht="14.25" hidden="1" customHeight="1">
      <c r="A132" s="1186">
        <f t="shared" si="330"/>
        <v>126</v>
      </c>
      <c r="B132" s="824" t="s">
        <v>149</v>
      </c>
      <c r="C132" s="855">
        <f t="shared" ref="C132:C147" si="371">C131+1</f>
        <v>3</v>
      </c>
      <c r="D132" s="856" t="s">
        <v>515</v>
      </c>
      <c r="E132" s="857" t="str">
        <f t="shared" si="216"/>
        <v>9th Floor</v>
      </c>
      <c r="F132" s="1185"/>
      <c r="G132" s="764" t="s">
        <v>291</v>
      </c>
      <c r="H132" s="764" t="s">
        <v>493</v>
      </c>
      <c r="I132" s="764" t="s">
        <v>476</v>
      </c>
      <c r="J132" s="1139">
        <v>22</v>
      </c>
      <c r="K132" s="1142"/>
      <c r="L132" s="764" t="s">
        <v>344</v>
      </c>
      <c r="M132" s="764" t="s">
        <v>477</v>
      </c>
      <c r="N132" s="856">
        <f t="shared" si="217"/>
        <v>100909.09090909091</v>
      </c>
      <c r="O132" s="1138">
        <f t="shared" si="324"/>
        <v>2220000</v>
      </c>
      <c r="P132" s="1138">
        <f t="shared" si="331"/>
        <v>22400</v>
      </c>
      <c r="Q132" s="1138">
        <f t="shared" si="203"/>
        <v>50000</v>
      </c>
      <c r="R132" s="1138"/>
      <c r="S132" s="1138"/>
      <c r="T132" s="1138"/>
      <c r="U132" s="1138"/>
      <c r="V132" s="1138"/>
      <c r="W132" s="858">
        <f t="shared" ref="W132:W135" si="372">J132*$W$5</f>
        <v>22000</v>
      </c>
      <c r="X132" s="1138"/>
      <c r="Y132" s="1138">
        <f t="shared" ref="Y132:Y147" si="373">$Y$130</f>
        <v>100000</v>
      </c>
      <c r="Z132" s="1138">
        <f t="shared" si="327"/>
        <v>75000</v>
      </c>
      <c r="AA132" s="1138">
        <f t="shared" si="328"/>
        <v>269400</v>
      </c>
      <c r="AB132" s="1138">
        <f t="shared" si="218"/>
        <v>2489400</v>
      </c>
      <c r="AC132" s="1138">
        <f t="shared" si="219"/>
        <v>62235</v>
      </c>
      <c r="AD132" s="1138">
        <f t="shared" si="220"/>
        <v>2551635</v>
      </c>
      <c r="AE132" s="1138">
        <f t="shared" si="221"/>
        <v>63790.875</v>
      </c>
      <c r="AF132" s="1138">
        <f t="shared" si="222"/>
        <v>2615425.875</v>
      </c>
      <c r="AG132" s="1138">
        <f t="shared" si="223"/>
        <v>65385.646875000006</v>
      </c>
      <c r="AH132" s="1138">
        <f t="shared" si="224"/>
        <v>2680811.5218750001</v>
      </c>
      <c r="AI132" s="1138">
        <f t="shared" si="225"/>
        <v>134040.57609375002</v>
      </c>
      <c r="AJ132" s="1138">
        <f t="shared" si="226"/>
        <v>2814852.0979687502</v>
      </c>
      <c r="AK132" s="1138">
        <f t="shared" si="227"/>
        <v>28148.520979687502</v>
      </c>
      <c r="AL132" s="1138">
        <f t="shared" si="228"/>
        <v>27537.409960060559</v>
      </c>
      <c r="AM132" s="1138"/>
      <c r="AN132" s="1138"/>
      <c r="AO132" s="1138">
        <f t="shared" si="229"/>
        <v>2870538.0289084981</v>
      </c>
      <c r="AP132" s="1138">
        <f t="shared" si="230"/>
        <v>387522.6339026473</v>
      </c>
      <c r="AQ132" s="1248">
        <f t="shared" si="231"/>
        <v>3258060.6628111452</v>
      </c>
      <c r="AR132" s="1248">
        <f t="shared" si="347"/>
        <v>2928060.6628111452</v>
      </c>
      <c r="AS132" s="1248">
        <v>15000</v>
      </c>
      <c r="AT132" s="1248">
        <f t="shared" si="348"/>
        <v>330000</v>
      </c>
      <c r="AU132" s="1248">
        <f t="shared" si="232"/>
        <v>39600</v>
      </c>
      <c r="AV132" s="1140">
        <f t="shared" si="233"/>
        <v>369600</v>
      </c>
      <c r="AW132" s="1140">
        <f t="shared" si="234"/>
        <v>3297660.6628111452</v>
      </c>
      <c r="AX132" s="1139">
        <f t="shared" si="235"/>
        <v>41220.758285139316</v>
      </c>
      <c r="AY132" s="831" t="s">
        <v>478</v>
      </c>
      <c r="AZ132" s="831">
        <f t="shared" si="236"/>
        <v>3338881.4210962844</v>
      </c>
      <c r="BA132" s="831">
        <f t="shared" si="237"/>
        <v>125208.05329111066</v>
      </c>
      <c r="BB132" s="831"/>
      <c r="BC132" s="831">
        <f t="shared" si="346"/>
        <v>33600</v>
      </c>
      <c r="BD132" s="831"/>
      <c r="BE132" s="831">
        <f t="shared" si="238"/>
        <v>3497689.4743873952</v>
      </c>
      <c r="BF132" s="831"/>
      <c r="BG132" s="831">
        <f t="shared" si="239"/>
        <v>3497689.4743873952</v>
      </c>
      <c r="BH132" s="831"/>
      <c r="BI132" s="831">
        <f t="shared" si="240"/>
        <v>3497689.4743873952</v>
      </c>
      <c r="BJ132" s="831"/>
      <c r="BK132" s="831">
        <f t="shared" si="241"/>
        <v>3497689.4743873952</v>
      </c>
      <c r="BL132" s="831"/>
      <c r="BM132" s="831">
        <f t="shared" si="242"/>
        <v>3497689.4743873952</v>
      </c>
      <c r="BN132" s="831"/>
      <c r="BO132" s="831">
        <f t="shared" si="243"/>
        <v>3497689.4743873952</v>
      </c>
      <c r="BP132" s="831"/>
      <c r="BQ132" s="831">
        <f t="shared" si="244"/>
        <v>3497689.4743873952</v>
      </c>
      <c r="BR132" s="831"/>
      <c r="BS132" s="831">
        <f t="shared" si="245"/>
        <v>3497689.4743873952</v>
      </c>
      <c r="BT132" s="831"/>
      <c r="BU132" s="831">
        <f t="shared" si="246"/>
        <v>3497689.4743873952</v>
      </c>
      <c r="BV132" s="831"/>
      <c r="BW132" s="831">
        <f t="shared" si="247"/>
        <v>56400</v>
      </c>
      <c r="BX132" s="831">
        <f t="shared" si="248"/>
        <v>3554089.4743873952</v>
      </c>
      <c r="BY132" s="831"/>
      <c r="BZ132" s="831">
        <f t="shared" si="249"/>
        <v>3554089.4743873952</v>
      </c>
      <c r="CA132" s="1260">
        <f t="shared" si="250"/>
        <v>3554089.4743873952</v>
      </c>
      <c r="CB132" s="1260">
        <f t="shared" si="251"/>
        <v>3554089.4743873952</v>
      </c>
      <c r="CC132" s="1260"/>
      <c r="CD132" s="1260">
        <f t="shared" si="252"/>
        <v>0</v>
      </c>
      <c r="CE132" s="1260">
        <f t="shared" si="253"/>
        <v>0</v>
      </c>
      <c r="CF132" s="1260">
        <f t="shared" si="254"/>
        <v>0</v>
      </c>
      <c r="CG132" s="1266">
        <f t="shared" si="255"/>
        <v>3554089.4743873952</v>
      </c>
      <c r="CH132" s="1141">
        <f t="shared" si="256"/>
        <v>3554089.4743873952</v>
      </c>
      <c r="CI132" s="1142">
        <f t="shared" si="257"/>
        <v>0</v>
      </c>
      <c r="CJ132" s="1141">
        <f t="shared" si="258"/>
        <v>364294.17112470797</v>
      </c>
      <c r="CK132" s="1141">
        <f t="shared" si="259"/>
        <v>124393.13160355884</v>
      </c>
      <c r="CL132" s="1143">
        <f t="shared" si="329"/>
        <v>4042776.7771156621</v>
      </c>
      <c r="CM132" s="1144">
        <f t="shared" si="260"/>
        <v>0.125</v>
      </c>
      <c r="CN132" s="1141">
        <f t="shared" si="261"/>
        <v>505347.09713945776</v>
      </c>
      <c r="CO132" s="1141">
        <f t="shared" si="262"/>
        <v>30000</v>
      </c>
      <c r="CP132" s="1141">
        <f t="shared" si="263"/>
        <v>475347.09713945776</v>
      </c>
      <c r="CQ132" s="1145">
        <f t="shared" si="264"/>
        <v>13</v>
      </c>
      <c r="CR132" s="1141">
        <f t="shared" si="265"/>
        <v>36565.161318419829</v>
      </c>
      <c r="CS132" s="1144">
        <f t="shared" si="266"/>
        <v>0.875</v>
      </c>
      <c r="CT132" s="1141">
        <f t="shared" si="267"/>
        <v>3537429.6799762044</v>
      </c>
      <c r="CU132" s="1146">
        <f t="shared" si="204"/>
        <v>27425.654657121675</v>
      </c>
      <c r="CV132" s="1146">
        <f t="shared" si="205"/>
        <v>31795.418025150662</v>
      </c>
      <c r="CW132" s="1146">
        <f t="shared" si="206"/>
        <v>41072.558048486106</v>
      </c>
      <c r="CX132" s="1146">
        <f t="shared" si="207"/>
        <v>70045.347415733937</v>
      </c>
      <c r="CY132" s="1146">
        <f t="shared" si="268"/>
        <v>287356.65667523956</v>
      </c>
      <c r="CZ132" s="1146">
        <f t="shared" si="269"/>
        <v>113705.62925175118</v>
      </c>
      <c r="DA132" s="1146">
        <f t="shared" si="270"/>
        <v>82127.965573585461</v>
      </c>
      <c r="DB132" s="1146">
        <f t="shared" si="271"/>
        <v>62503.162777754231</v>
      </c>
      <c r="DC132" s="1146"/>
      <c r="DD132" s="1146"/>
      <c r="DE132" s="1146"/>
      <c r="DF132" s="1146"/>
      <c r="DG132" s="1146"/>
      <c r="DH132" s="1146"/>
      <c r="DI132" s="1146"/>
      <c r="DJ132" s="1146"/>
      <c r="DK132" s="1146"/>
      <c r="DL132" s="1146"/>
      <c r="DM132" s="1146"/>
      <c r="DN132" s="1146"/>
      <c r="DO132" s="1146"/>
      <c r="DP132" s="1146"/>
      <c r="DQ132" s="1146"/>
      <c r="DR132" s="1146"/>
      <c r="DS132" s="1146"/>
      <c r="DT132" s="1146"/>
      <c r="DU132" s="1146"/>
      <c r="DV132" s="1146"/>
      <c r="DW132" s="1146"/>
      <c r="DX132" s="1146"/>
      <c r="DY132" s="1146"/>
      <c r="DZ132" s="1146"/>
      <c r="EA132" s="1147">
        <f t="shared" si="208"/>
        <v>0.11270258304115074</v>
      </c>
      <c r="EB132" s="1148">
        <f t="shared" si="272"/>
        <v>0</v>
      </c>
      <c r="EC132" s="1190">
        <f t="shared" si="316"/>
        <v>45839</v>
      </c>
      <c r="ED132" s="1031">
        <f t="shared" si="209"/>
        <v>20</v>
      </c>
      <c r="EE132" s="1191"/>
      <c r="EF132" s="1032">
        <f t="shared" si="210"/>
        <v>45904</v>
      </c>
      <c r="EG132" s="1029">
        <f t="shared" si="273"/>
        <v>22</v>
      </c>
      <c r="EH132" s="859" t="s">
        <v>490</v>
      </c>
      <c r="EI132" s="859" t="s">
        <v>480</v>
      </c>
      <c r="EJ132" s="860">
        <f t="shared" si="211"/>
        <v>16800</v>
      </c>
      <c r="EK132" s="860">
        <f t="shared" si="212"/>
        <v>369600</v>
      </c>
      <c r="EL132" s="861">
        <f t="shared" si="213"/>
        <v>0.12622689300608883</v>
      </c>
      <c r="EM132" s="1197"/>
      <c r="EN132" s="860"/>
      <c r="EO132" s="860"/>
      <c r="EP132" s="860">
        <f t="shared" si="214"/>
        <v>0</v>
      </c>
      <c r="EQ132" s="1197"/>
      <c r="ER132" s="1200"/>
      <c r="ES132" s="1197"/>
      <c r="ET132" s="1194" t="s">
        <v>291</v>
      </c>
      <c r="EU132" s="1197" t="b">
        <f t="shared" si="215"/>
        <v>1</v>
      </c>
      <c r="EV132" s="1197" t="s">
        <v>625</v>
      </c>
      <c r="EW132" s="1197" t="s">
        <v>482</v>
      </c>
      <c r="EX132" s="1197"/>
      <c r="EY132" s="1128" t="s">
        <v>587</v>
      </c>
      <c r="EZ132" s="1128" t="s">
        <v>484</v>
      </c>
      <c r="FA132" s="1169">
        <f t="shared" si="274"/>
        <v>0</v>
      </c>
      <c r="FI132" s="1309" t="s">
        <v>149</v>
      </c>
      <c r="FJ132" s="1159" t="s">
        <v>149</v>
      </c>
      <c r="FK132" s="1160" t="b">
        <f t="shared" si="275"/>
        <v>1</v>
      </c>
      <c r="FL132" s="1131"/>
      <c r="FM132" s="1161"/>
      <c r="FP132" s="1166"/>
      <c r="FQ132" s="1203"/>
      <c r="FU132" s="1295"/>
      <c r="FV132" s="1295"/>
      <c r="FW132" s="1023">
        <v>0.15</v>
      </c>
      <c r="FX132" s="1162">
        <v>14792.342831389324</v>
      </c>
      <c r="FY132" s="1163">
        <v>15254.603544870241</v>
      </c>
      <c r="GA132" s="1164">
        <f t="shared" si="276"/>
        <v>4042776.7771156621</v>
      </c>
      <c r="GB132" s="1165">
        <f t="shared" si="277"/>
        <v>0.15</v>
      </c>
      <c r="GC132" s="1154">
        <f t="shared" si="278"/>
        <v>606416.51656734932</v>
      </c>
      <c r="GD132" s="1164">
        <f t="shared" si="279"/>
        <v>30000</v>
      </c>
      <c r="GE132" s="1154">
        <f t="shared" si="280"/>
        <v>576416.51656734932</v>
      </c>
      <c r="GF132" s="1060">
        <f t="shared" si="281"/>
        <v>35</v>
      </c>
      <c r="GG132" s="1166">
        <f t="shared" si="282"/>
        <v>16469.043330495693</v>
      </c>
      <c r="GI132" s="1164">
        <f t="shared" si="283"/>
        <v>4042776.7771156621</v>
      </c>
      <c r="GJ132" s="1154">
        <f t="shared" si="284"/>
        <v>404277.67771156621</v>
      </c>
      <c r="GK132" s="1154">
        <f t="shared" si="285"/>
        <v>101069.41942789155</v>
      </c>
      <c r="GL132" s="1166">
        <v>15000</v>
      </c>
      <c r="GM132" s="1154">
        <f t="shared" si="286"/>
        <v>389277.67771156621</v>
      </c>
      <c r="GN132" s="1060">
        <f t="shared" si="287"/>
        <v>35</v>
      </c>
      <c r="GO132" s="1154">
        <f t="shared" si="288"/>
        <v>11122.219363187605</v>
      </c>
      <c r="GS132" s="1010">
        <f t="shared" si="289"/>
        <v>4042776.7771156621</v>
      </c>
      <c r="GT132" s="1011">
        <f t="shared" si="290"/>
        <v>0.125</v>
      </c>
      <c r="GU132" s="1010">
        <f t="shared" si="291"/>
        <v>505347.09713945776</v>
      </c>
      <c r="GV132" s="1010">
        <f t="shared" si="292"/>
        <v>30000</v>
      </c>
      <c r="GW132" s="1010">
        <f t="shared" si="293"/>
        <v>475347.09713945776</v>
      </c>
      <c r="GX132" s="1010">
        <f t="shared" si="294"/>
        <v>13</v>
      </c>
      <c r="GY132" s="1010">
        <f t="shared" si="295"/>
        <v>36565.161318419829</v>
      </c>
      <c r="GZ132" s="1011">
        <f t="shared" si="296"/>
        <v>0.875</v>
      </c>
      <c r="HA132" s="1010">
        <f t="shared" si="297"/>
        <v>3537429.6799762044</v>
      </c>
      <c r="HB132" s="1010">
        <f t="shared" si="298"/>
        <v>27425.654657121675</v>
      </c>
      <c r="HC132" s="1010">
        <f t="shared" si="299"/>
        <v>31795.418025150662</v>
      </c>
      <c r="HD132" s="1010">
        <f t="shared" si="300"/>
        <v>41072.558048486106</v>
      </c>
      <c r="HE132" s="1010">
        <f t="shared" si="301"/>
        <v>70045.347415733937</v>
      </c>
      <c r="HG132" s="1010">
        <f t="shared" si="302"/>
        <v>4042776.7771156621</v>
      </c>
      <c r="HH132" s="1011">
        <f t="shared" si="303"/>
        <v>0.125</v>
      </c>
      <c r="HI132" s="1010">
        <f t="shared" si="304"/>
        <v>505347.09713945776</v>
      </c>
      <c r="HJ132" s="1010">
        <f t="shared" si="305"/>
        <v>30000</v>
      </c>
      <c r="HK132" s="1010">
        <f t="shared" si="306"/>
        <v>475347.09713945776</v>
      </c>
      <c r="HL132" s="1012">
        <f t="shared" si="307"/>
        <v>33</v>
      </c>
      <c r="HM132" s="1167">
        <f t="shared" si="308"/>
        <v>14404.457489074477</v>
      </c>
      <c r="HN132" s="1168">
        <f t="shared" si="309"/>
        <v>0.875</v>
      </c>
      <c r="HO132" s="1167">
        <f t="shared" si="310"/>
        <v>3537429.6799762044</v>
      </c>
      <c r="HP132" s="1146">
        <f t="shared" si="311"/>
        <v>27425.654657121675</v>
      </c>
      <c r="HQ132" s="1146">
        <f t="shared" si="312"/>
        <v>31795.418025150662</v>
      </c>
      <c r="HR132" s="1146">
        <f t="shared" si="313"/>
        <v>41072.558048486106</v>
      </c>
      <c r="HS132" s="1146">
        <f t="shared" si="314"/>
        <v>70045.347415733937</v>
      </c>
      <c r="HU132" s="1167">
        <f t="shared" si="315"/>
        <v>-22160.703829345352</v>
      </c>
      <c r="HX132" s="1154"/>
      <c r="HY132" s="1154"/>
      <c r="IB132" s="1154"/>
      <c r="IC132" s="1154"/>
      <c r="ID132" s="1154"/>
      <c r="IE132" s="1154"/>
      <c r="IG132" s="1060"/>
    </row>
    <row r="133" spans="1:241" ht="14.25" hidden="1" customHeight="1">
      <c r="A133" s="1186">
        <f t="shared" si="330"/>
        <v>127</v>
      </c>
      <c r="B133" s="824" t="s">
        <v>149</v>
      </c>
      <c r="C133" s="855">
        <f t="shared" si="371"/>
        <v>4</v>
      </c>
      <c r="D133" s="856" t="s">
        <v>515</v>
      </c>
      <c r="E133" s="857" t="str">
        <f t="shared" si="216"/>
        <v>9th Floor</v>
      </c>
      <c r="F133" s="1185"/>
      <c r="G133" s="764" t="s">
        <v>292</v>
      </c>
      <c r="H133" s="764" t="s">
        <v>496</v>
      </c>
      <c r="I133" s="764" t="s">
        <v>476</v>
      </c>
      <c r="J133" s="1139">
        <v>22</v>
      </c>
      <c r="K133" s="1142"/>
      <c r="L133" s="764" t="s">
        <v>344</v>
      </c>
      <c r="M133" s="764" t="s">
        <v>477</v>
      </c>
      <c r="N133" s="856">
        <f t="shared" si="217"/>
        <v>100909.09090909091</v>
      </c>
      <c r="O133" s="1138">
        <f t="shared" si="324"/>
        <v>2220000</v>
      </c>
      <c r="P133" s="1138">
        <f t="shared" si="331"/>
        <v>22400</v>
      </c>
      <c r="Q133" s="1138">
        <f t="shared" si="203"/>
        <v>50000</v>
      </c>
      <c r="R133" s="1138"/>
      <c r="S133" s="1138"/>
      <c r="T133" s="1138"/>
      <c r="U133" s="1138"/>
      <c r="V133" s="1138"/>
      <c r="W133" s="858">
        <f t="shared" si="372"/>
        <v>22000</v>
      </c>
      <c r="X133" s="1138"/>
      <c r="Y133" s="1138">
        <f t="shared" si="373"/>
        <v>100000</v>
      </c>
      <c r="Z133" s="1138">
        <f t="shared" si="327"/>
        <v>75000</v>
      </c>
      <c r="AA133" s="1138">
        <f t="shared" si="328"/>
        <v>269400</v>
      </c>
      <c r="AB133" s="1138">
        <f t="shared" si="218"/>
        <v>2489400</v>
      </c>
      <c r="AC133" s="1138">
        <f t="shared" si="219"/>
        <v>62235</v>
      </c>
      <c r="AD133" s="1138">
        <f t="shared" si="220"/>
        <v>2551635</v>
      </c>
      <c r="AE133" s="1138">
        <f t="shared" si="221"/>
        <v>63790.875</v>
      </c>
      <c r="AF133" s="1138">
        <f t="shared" si="222"/>
        <v>2615425.875</v>
      </c>
      <c r="AG133" s="1138">
        <f t="shared" si="223"/>
        <v>65385.646875000006</v>
      </c>
      <c r="AH133" s="1138">
        <f t="shared" si="224"/>
        <v>2680811.5218750001</v>
      </c>
      <c r="AI133" s="1138">
        <f t="shared" si="225"/>
        <v>134040.57609375002</v>
      </c>
      <c r="AJ133" s="1138">
        <f t="shared" si="226"/>
        <v>2814852.0979687502</v>
      </c>
      <c r="AK133" s="1138">
        <f t="shared" si="227"/>
        <v>28148.520979687502</v>
      </c>
      <c r="AL133" s="1138">
        <f t="shared" si="228"/>
        <v>27537.409960060559</v>
      </c>
      <c r="AM133" s="1138"/>
      <c r="AN133" s="1138"/>
      <c r="AO133" s="1138">
        <f t="shared" si="229"/>
        <v>2870538.0289084981</v>
      </c>
      <c r="AP133" s="1138">
        <f t="shared" si="230"/>
        <v>387522.6339026473</v>
      </c>
      <c r="AQ133" s="1248">
        <f t="shared" si="231"/>
        <v>3258060.6628111452</v>
      </c>
      <c r="AR133" s="1248">
        <f t="shared" si="347"/>
        <v>2928060.6628111452</v>
      </c>
      <c r="AS133" s="1248">
        <v>15000</v>
      </c>
      <c r="AT133" s="1248">
        <f t="shared" si="348"/>
        <v>330000</v>
      </c>
      <c r="AU133" s="1248">
        <f t="shared" si="232"/>
        <v>39600</v>
      </c>
      <c r="AV133" s="1140">
        <f t="shared" si="233"/>
        <v>369600</v>
      </c>
      <c r="AW133" s="1140">
        <f t="shared" si="234"/>
        <v>3297660.6628111452</v>
      </c>
      <c r="AX133" s="1139">
        <f t="shared" si="235"/>
        <v>41220.758285139316</v>
      </c>
      <c r="AY133" s="831" t="s">
        <v>478</v>
      </c>
      <c r="AZ133" s="831">
        <f t="shared" si="236"/>
        <v>3338881.4210962844</v>
      </c>
      <c r="BA133" s="831">
        <f t="shared" si="237"/>
        <v>125208.05329111066</v>
      </c>
      <c r="BB133" s="831"/>
      <c r="BC133" s="831">
        <f t="shared" si="346"/>
        <v>33600</v>
      </c>
      <c r="BD133" s="831"/>
      <c r="BE133" s="831">
        <f t="shared" si="238"/>
        <v>3497689.4743873952</v>
      </c>
      <c r="BF133" s="831"/>
      <c r="BG133" s="831">
        <f t="shared" si="239"/>
        <v>3497689.4743873952</v>
      </c>
      <c r="BH133" s="831"/>
      <c r="BI133" s="831">
        <f t="shared" si="240"/>
        <v>3497689.4743873952</v>
      </c>
      <c r="BJ133" s="831"/>
      <c r="BK133" s="831">
        <f t="shared" si="241"/>
        <v>3497689.4743873952</v>
      </c>
      <c r="BL133" s="831"/>
      <c r="BM133" s="831">
        <f t="shared" si="242"/>
        <v>3497689.4743873952</v>
      </c>
      <c r="BN133" s="831"/>
      <c r="BO133" s="831">
        <f t="shared" si="243"/>
        <v>3497689.4743873952</v>
      </c>
      <c r="BP133" s="831"/>
      <c r="BQ133" s="831">
        <f t="shared" si="244"/>
        <v>3497689.4743873952</v>
      </c>
      <c r="BR133" s="831"/>
      <c r="BS133" s="831">
        <f t="shared" si="245"/>
        <v>3497689.4743873952</v>
      </c>
      <c r="BT133" s="831"/>
      <c r="BU133" s="831">
        <f t="shared" si="246"/>
        <v>3497689.4743873952</v>
      </c>
      <c r="BV133" s="831"/>
      <c r="BW133" s="831">
        <f t="shared" si="247"/>
        <v>56400</v>
      </c>
      <c r="BX133" s="831">
        <f t="shared" si="248"/>
        <v>3554089.4743873952</v>
      </c>
      <c r="BY133" s="831"/>
      <c r="BZ133" s="831">
        <f t="shared" si="249"/>
        <v>3554089.4743873952</v>
      </c>
      <c r="CA133" s="1260">
        <f t="shared" si="250"/>
        <v>3554089.4743873952</v>
      </c>
      <c r="CB133" s="1260">
        <f t="shared" si="251"/>
        <v>3554089.4743873952</v>
      </c>
      <c r="CC133" s="1260"/>
      <c r="CD133" s="1260">
        <f t="shared" si="252"/>
        <v>0</v>
      </c>
      <c r="CE133" s="1260">
        <f t="shared" si="253"/>
        <v>0</v>
      </c>
      <c r="CF133" s="1260">
        <f t="shared" si="254"/>
        <v>0</v>
      </c>
      <c r="CG133" s="1266">
        <f t="shared" si="255"/>
        <v>3554089.4743873952</v>
      </c>
      <c r="CH133" s="1141">
        <f t="shared" si="256"/>
        <v>3554089.4743873952</v>
      </c>
      <c r="CI133" s="1142">
        <f t="shared" si="257"/>
        <v>0</v>
      </c>
      <c r="CJ133" s="1141">
        <f t="shared" si="258"/>
        <v>364294.17112470797</v>
      </c>
      <c r="CK133" s="1141">
        <f t="shared" si="259"/>
        <v>124393.13160355884</v>
      </c>
      <c r="CL133" s="1143">
        <f t="shared" si="329"/>
        <v>4042776.7771156621</v>
      </c>
      <c r="CM133" s="1144">
        <f t="shared" si="260"/>
        <v>0.125</v>
      </c>
      <c r="CN133" s="1141">
        <f t="shared" si="261"/>
        <v>505347.09713945776</v>
      </c>
      <c r="CO133" s="1141">
        <f t="shared" si="262"/>
        <v>30000</v>
      </c>
      <c r="CP133" s="1141">
        <f t="shared" si="263"/>
        <v>475347.09713945776</v>
      </c>
      <c r="CQ133" s="1145">
        <f t="shared" si="264"/>
        <v>13</v>
      </c>
      <c r="CR133" s="1141">
        <f t="shared" si="265"/>
        <v>36565.161318419829</v>
      </c>
      <c r="CS133" s="1144">
        <f t="shared" si="266"/>
        <v>0.875</v>
      </c>
      <c r="CT133" s="1141">
        <f t="shared" si="267"/>
        <v>3537429.6799762044</v>
      </c>
      <c r="CU133" s="1146">
        <f t="shared" si="204"/>
        <v>27425.654657121675</v>
      </c>
      <c r="CV133" s="1146">
        <f t="shared" si="205"/>
        <v>31795.418025150662</v>
      </c>
      <c r="CW133" s="1146">
        <f t="shared" si="206"/>
        <v>41072.558048486106</v>
      </c>
      <c r="CX133" s="1146">
        <f t="shared" si="207"/>
        <v>70045.347415733937</v>
      </c>
      <c r="CY133" s="1146">
        <f t="shared" si="268"/>
        <v>287356.65667523956</v>
      </c>
      <c r="CZ133" s="1146">
        <f t="shared" si="269"/>
        <v>113705.62925175118</v>
      </c>
      <c r="DA133" s="1146">
        <f t="shared" si="270"/>
        <v>82127.965573585461</v>
      </c>
      <c r="DB133" s="1146">
        <f t="shared" si="271"/>
        <v>62503.162777754231</v>
      </c>
      <c r="DC133" s="1146"/>
      <c r="DD133" s="1146"/>
      <c r="DE133" s="1146"/>
      <c r="DF133" s="1146"/>
      <c r="DG133" s="1146"/>
      <c r="DH133" s="1146"/>
      <c r="DI133" s="1146"/>
      <c r="DJ133" s="1146"/>
      <c r="DK133" s="1146"/>
      <c r="DL133" s="1146"/>
      <c r="DM133" s="1146"/>
      <c r="DN133" s="1146"/>
      <c r="DO133" s="1146"/>
      <c r="DP133" s="1146"/>
      <c r="DQ133" s="1146"/>
      <c r="DR133" s="1146"/>
      <c r="DS133" s="1146"/>
      <c r="DT133" s="1146"/>
      <c r="DU133" s="1146"/>
      <c r="DV133" s="1146"/>
      <c r="DW133" s="1146"/>
      <c r="DX133" s="1146"/>
      <c r="DY133" s="1146"/>
      <c r="DZ133" s="1146"/>
      <c r="EA133" s="1147">
        <f t="shared" si="208"/>
        <v>0.11270258304115074</v>
      </c>
      <c r="EB133" s="1148">
        <f t="shared" si="272"/>
        <v>0</v>
      </c>
      <c r="EC133" s="1190">
        <f t="shared" si="316"/>
        <v>45839</v>
      </c>
      <c r="ED133" s="1031">
        <f t="shared" si="209"/>
        <v>20</v>
      </c>
      <c r="EE133" s="1191"/>
      <c r="EF133" s="1032">
        <f t="shared" si="210"/>
        <v>45904</v>
      </c>
      <c r="EG133" s="1029">
        <f t="shared" si="273"/>
        <v>22</v>
      </c>
      <c r="EH133" s="859" t="s">
        <v>490</v>
      </c>
      <c r="EI133" s="859" t="s">
        <v>480</v>
      </c>
      <c r="EJ133" s="860">
        <f t="shared" si="211"/>
        <v>16800</v>
      </c>
      <c r="EK133" s="860">
        <f t="shared" si="212"/>
        <v>369600</v>
      </c>
      <c r="EL133" s="861">
        <f t="shared" si="213"/>
        <v>0.12622689300608883</v>
      </c>
      <c r="EM133" s="1197"/>
      <c r="EN133" s="860"/>
      <c r="EO133" s="860"/>
      <c r="EP133" s="860">
        <f t="shared" si="214"/>
        <v>0</v>
      </c>
      <c r="EQ133" s="1197"/>
      <c r="ER133" s="1200"/>
      <c r="ES133" s="1197"/>
      <c r="ET133" s="1194" t="s">
        <v>292</v>
      </c>
      <c r="EU133" s="1197" t="b">
        <f t="shared" si="215"/>
        <v>1</v>
      </c>
      <c r="EV133" s="1197" t="s">
        <v>626</v>
      </c>
      <c r="EW133" s="1197" t="s">
        <v>482</v>
      </c>
      <c r="EX133" s="1197"/>
      <c r="EY133" s="1128" t="s">
        <v>587</v>
      </c>
      <c r="EZ133" s="1128" t="s">
        <v>484</v>
      </c>
      <c r="FA133" s="1169">
        <f t="shared" si="274"/>
        <v>0</v>
      </c>
      <c r="FI133" s="1309" t="s">
        <v>149</v>
      </c>
      <c r="FJ133" s="1159" t="s">
        <v>149</v>
      </c>
      <c r="FK133" s="1160" t="b">
        <f t="shared" si="275"/>
        <v>1</v>
      </c>
      <c r="FL133" s="1131"/>
      <c r="FM133" s="1161"/>
      <c r="FP133" s="1166"/>
      <c r="FQ133" s="1203"/>
      <c r="FU133" s="1295"/>
      <c r="FV133" s="1295"/>
      <c r="FW133" s="1023">
        <v>0.15</v>
      </c>
      <c r="FX133" s="1162">
        <v>14792.342831389324</v>
      </c>
      <c r="FY133" s="1163">
        <v>15254.603544870241</v>
      </c>
      <c r="GA133" s="1164">
        <f t="shared" si="276"/>
        <v>4042776.7771156621</v>
      </c>
      <c r="GB133" s="1165">
        <f t="shared" si="277"/>
        <v>0.15</v>
      </c>
      <c r="GC133" s="1154">
        <f t="shared" si="278"/>
        <v>606416.51656734932</v>
      </c>
      <c r="GD133" s="1164">
        <f t="shared" si="279"/>
        <v>30000</v>
      </c>
      <c r="GE133" s="1154">
        <f t="shared" si="280"/>
        <v>576416.51656734932</v>
      </c>
      <c r="GF133" s="1060">
        <f t="shared" si="281"/>
        <v>35</v>
      </c>
      <c r="GG133" s="1166">
        <f t="shared" si="282"/>
        <v>16469.043330495693</v>
      </c>
      <c r="GI133" s="1164">
        <f t="shared" si="283"/>
        <v>4042776.7771156621</v>
      </c>
      <c r="GJ133" s="1154">
        <f t="shared" si="284"/>
        <v>404277.67771156621</v>
      </c>
      <c r="GK133" s="1154">
        <f t="shared" si="285"/>
        <v>101069.41942789155</v>
      </c>
      <c r="GL133" s="1166">
        <v>15000</v>
      </c>
      <c r="GM133" s="1154">
        <f t="shared" si="286"/>
        <v>389277.67771156621</v>
      </c>
      <c r="GN133" s="1060">
        <f t="shared" si="287"/>
        <v>35</v>
      </c>
      <c r="GO133" s="1154">
        <f t="shared" si="288"/>
        <v>11122.219363187605</v>
      </c>
      <c r="GS133" s="1010">
        <f t="shared" si="289"/>
        <v>4042776.7771156621</v>
      </c>
      <c r="GT133" s="1011">
        <f t="shared" si="290"/>
        <v>0.125</v>
      </c>
      <c r="GU133" s="1010">
        <f t="shared" si="291"/>
        <v>505347.09713945776</v>
      </c>
      <c r="GV133" s="1010">
        <f t="shared" si="292"/>
        <v>30000</v>
      </c>
      <c r="GW133" s="1010">
        <f t="shared" si="293"/>
        <v>475347.09713945776</v>
      </c>
      <c r="GX133" s="1010">
        <f t="shared" si="294"/>
        <v>13</v>
      </c>
      <c r="GY133" s="1010">
        <f t="shared" si="295"/>
        <v>36565.161318419829</v>
      </c>
      <c r="GZ133" s="1011">
        <f t="shared" si="296"/>
        <v>0.875</v>
      </c>
      <c r="HA133" s="1010">
        <f t="shared" si="297"/>
        <v>3537429.6799762044</v>
      </c>
      <c r="HB133" s="1010">
        <f t="shared" si="298"/>
        <v>27425.654657121675</v>
      </c>
      <c r="HC133" s="1010">
        <f t="shared" si="299"/>
        <v>31795.418025150662</v>
      </c>
      <c r="HD133" s="1010">
        <f t="shared" si="300"/>
        <v>41072.558048486106</v>
      </c>
      <c r="HE133" s="1010">
        <f t="shared" si="301"/>
        <v>70045.347415733937</v>
      </c>
      <c r="HG133" s="1010">
        <f t="shared" si="302"/>
        <v>4042776.7771156621</v>
      </c>
      <c r="HH133" s="1011">
        <f t="shared" si="303"/>
        <v>0.125</v>
      </c>
      <c r="HI133" s="1010">
        <f t="shared" si="304"/>
        <v>505347.09713945776</v>
      </c>
      <c r="HJ133" s="1010">
        <f t="shared" si="305"/>
        <v>30000</v>
      </c>
      <c r="HK133" s="1010">
        <f t="shared" si="306"/>
        <v>475347.09713945776</v>
      </c>
      <c r="HL133" s="1012">
        <f t="shared" si="307"/>
        <v>33</v>
      </c>
      <c r="HM133" s="1167">
        <f t="shared" si="308"/>
        <v>14404.457489074477</v>
      </c>
      <c r="HN133" s="1168">
        <f t="shared" si="309"/>
        <v>0.875</v>
      </c>
      <c r="HO133" s="1167">
        <f t="shared" si="310"/>
        <v>3537429.6799762044</v>
      </c>
      <c r="HP133" s="1146">
        <f t="shared" si="311"/>
        <v>27425.654657121675</v>
      </c>
      <c r="HQ133" s="1146">
        <f t="shared" si="312"/>
        <v>31795.418025150662</v>
      </c>
      <c r="HR133" s="1146">
        <f t="shared" si="313"/>
        <v>41072.558048486106</v>
      </c>
      <c r="HS133" s="1146">
        <f t="shared" si="314"/>
        <v>70045.347415733937</v>
      </c>
      <c r="HU133" s="1167">
        <f t="shared" si="315"/>
        <v>-22160.703829345352</v>
      </c>
      <c r="HX133" s="1154"/>
      <c r="HY133" s="1154"/>
      <c r="IB133" s="1154"/>
      <c r="IC133" s="1154"/>
      <c r="ID133" s="1154"/>
      <c r="IE133" s="1154"/>
      <c r="IG133" s="1060"/>
    </row>
    <row r="134" spans="1:241" ht="14.25" hidden="1" customHeight="1">
      <c r="A134" s="1186">
        <f t="shared" si="330"/>
        <v>128</v>
      </c>
      <c r="B134" s="824"/>
      <c r="C134" s="855">
        <f t="shared" si="371"/>
        <v>5</v>
      </c>
      <c r="D134" s="856" t="s">
        <v>515</v>
      </c>
      <c r="E134" s="857" t="str">
        <f t="shared" si="216"/>
        <v>9th Floor</v>
      </c>
      <c r="F134" s="1185"/>
      <c r="G134" s="764" t="s">
        <v>293</v>
      </c>
      <c r="H134" s="764" t="s">
        <v>499</v>
      </c>
      <c r="I134" s="764" t="s">
        <v>476</v>
      </c>
      <c r="J134" s="1139">
        <v>22</v>
      </c>
      <c r="K134" s="1142"/>
      <c r="L134" s="764" t="s">
        <v>344</v>
      </c>
      <c r="M134" s="764" t="s">
        <v>477</v>
      </c>
      <c r="N134" s="856">
        <f t="shared" si="217"/>
        <v>100909.09090909091</v>
      </c>
      <c r="O134" s="1138">
        <f t="shared" si="324"/>
        <v>2220000</v>
      </c>
      <c r="P134" s="1138">
        <f t="shared" si="331"/>
        <v>22400</v>
      </c>
      <c r="Q134" s="1138">
        <f t="shared" si="203"/>
        <v>50000</v>
      </c>
      <c r="R134" s="1138"/>
      <c r="S134" s="1138"/>
      <c r="T134" s="1138"/>
      <c r="U134" s="1138"/>
      <c r="V134" s="858"/>
      <c r="W134" s="858">
        <f t="shared" si="372"/>
        <v>22000</v>
      </c>
      <c r="X134" s="1138"/>
      <c r="Y134" s="1138">
        <f t="shared" si="373"/>
        <v>100000</v>
      </c>
      <c r="Z134" s="1138">
        <f t="shared" si="327"/>
        <v>75000</v>
      </c>
      <c r="AA134" s="1138">
        <f t="shared" si="328"/>
        <v>269400</v>
      </c>
      <c r="AB134" s="1138">
        <f t="shared" si="218"/>
        <v>2489400</v>
      </c>
      <c r="AC134" s="1138">
        <f t="shared" si="219"/>
        <v>62235</v>
      </c>
      <c r="AD134" s="1138">
        <f t="shared" si="220"/>
        <v>2551635</v>
      </c>
      <c r="AE134" s="1138">
        <f t="shared" si="221"/>
        <v>63790.875</v>
      </c>
      <c r="AF134" s="1138">
        <f t="shared" si="222"/>
        <v>2615425.875</v>
      </c>
      <c r="AG134" s="1138">
        <f t="shared" si="223"/>
        <v>65385.646875000006</v>
      </c>
      <c r="AH134" s="1138">
        <f t="shared" si="224"/>
        <v>2680811.5218750001</v>
      </c>
      <c r="AI134" s="1138">
        <f t="shared" si="225"/>
        <v>134040.57609375002</v>
      </c>
      <c r="AJ134" s="1138">
        <f t="shared" si="226"/>
        <v>2814852.0979687502</v>
      </c>
      <c r="AK134" s="1138">
        <f t="shared" si="227"/>
        <v>28148.520979687502</v>
      </c>
      <c r="AL134" s="1138">
        <f t="shared" si="228"/>
        <v>27537.409960060559</v>
      </c>
      <c r="AM134" s="1138"/>
      <c r="AN134" s="1138"/>
      <c r="AO134" s="1138">
        <f t="shared" si="229"/>
        <v>2870538.0289084981</v>
      </c>
      <c r="AP134" s="1138">
        <f t="shared" si="230"/>
        <v>387522.6339026473</v>
      </c>
      <c r="AQ134" s="1248">
        <f t="shared" si="231"/>
        <v>3258060.6628111452</v>
      </c>
      <c r="AR134" s="1248">
        <f t="shared" si="347"/>
        <v>2928060.6628111452</v>
      </c>
      <c r="AS134" s="1248">
        <v>15000</v>
      </c>
      <c r="AT134" s="1248">
        <f t="shared" si="348"/>
        <v>330000</v>
      </c>
      <c r="AU134" s="1248">
        <f t="shared" si="232"/>
        <v>39600</v>
      </c>
      <c r="AV134" s="1140">
        <f t="shared" si="233"/>
        <v>369600</v>
      </c>
      <c r="AW134" s="1140">
        <f t="shared" si="234"/>
        <v>3297660.6628111452</v>
      </c>
      <c r="AX134" s="1139">
        <f t="shared" si="235"/>
        <v>41220.758285139316</v>
      </c>
      <c r="AY134" s="831" t="s">
        <v>478</v>
      </c>
      <c r="AZ134" s="831">
        <f t="shared" si="236"/>
        <v>3338881.4210962844</v>
      </c>
      <c r="BA134" s="831">
        <f t="shared" si="237"/>
        <v>125208.05329111066</v>
      </c>
      <c r="BB134" s="831"/>
      <c r="BC134" s="831">
        <f t="shared" si="346"/>
        <v>33600</v>
      </c>
      <c r="BD134" s="831"/>
      <c r="BE134" s="831">
        <f t="shared" si="238"/>
        <v>3497689.4743873952</v>
      </c>
      <c r="BF134" s="831"/>
      <c r="BG134" s="831">
        <f t="shared" si="239"/>
        <v>3497689.4743873952</v>
      </c>
      <c r="BH134" s="831"/>
      <c r="BI134" s="831">
        <f t="shared" si="240"/>
        <v>3497689.4743873952</v>
      </c>
      <c r="BJ134" s="831"/>
      <c r="BK134" s="831">
        <f t="shared" si="241"/>
        <v>3497689.4743873952</v>
      </c>
      <c r="BL134" s="831"/>
      <c r="BM134" s="831">
        <f t="shared" si="242"/>
        <v>3497689.4743873952</v>
      </c>
      <c r="BN134" s="831"/>
      <c r="BO134" s="831">
        <f t="shared" si="243"/>
        <v>3497689.4743873952</v>
      </c>
      <c r="BP134" s="831"/>
      <c r="BQ134" s="831">
        <f t="shared" si="244"/>
        <v>3497689.4743873952</v>
      </c>
      <c r="BR134" s="831"/>
      <c r="BS134" s="831">
        <f t="shared" si="245"/>
        <v>3497689.4743873952</v>
      </c>
      <c r="BT134" s="831"/>
      <c r="BU134" s="831">
        <f t="shared" si="246"/>
        <v>3497689.4743873952</v>
      </c>
      <c r="BV134" s="831"/>
      <c r="BW134" s="831">
        <f t="shared" si="247"/>
        <v>56400</v>
      </c>
      <c r="BX134" s="831">
        <f t="shared" si="248"/>
        <v>3554089.4743873952</v>
      </c>
      <c r="BY134" s="831"/>
      <c r="BZ134" s="831">
        <f t="shared" si="249"/>
        <v>3554089.4743873952</v>
      </c>
      <c r="CA134" s="1260">
        <f t="shared" si="250"/>
        <v>3554089.4743873952</v>
      </c>
      <c r="CB134" s="1260">
        <f t="shared" si="251"/>
        <v>3554089.4743873952</v>
      </c>
      <c r="CC134" s="1260"/>
      <c r="CD134" s="1260">
        <f t="shared" si="252"/>
        <v>0</v>
      </c>
      <c r="CE134" s="1260">
        <f t="shared" si="253"/>
        <v>0</v>
      </c>
      <c r="CF134" s="1260">
        <f t="shared" si="254"/>
        <v>0</v>
      </c>
      <c r="CG134" s="1266">
        <f t="shared" si="255"/>
        <v>3554089.4743873952</v>
      </c>
      <c r="CH134" s="1141">
        <f t="shared" si="256"/>
        <v>3554089.4743873952</v>
      </c>
      <c r="CI134" s="1142">
        <f t="shared" si="257"/>
        <v>0</v>
      </c>
      <c r="CJ134" s="1141">
        <f t="shared" si="258"/>
        <v>364294.17112470797</v>
      </c>
      <c r="CK134" s="1141">
        <f t="shared" si="259"/>
        <v>124393.13160355884</v>
      </c>
      <c r="CL134" s="1143">
        <f t="shared" si="329"/>
        <v>4042776.7771156621</v>
      </c>
      <c r="CM134" s="1144">
        <f t="shared" si="260"/>
        <v>0.125</v>
      </c>
      <c r="CN134" s="1141">
        <f t="shared" si="261"/>
        <v>505347.09713945776</v>
      </c>
      <c r="CO134" s="1141">
        <f t="shared" si="262"/>
        <v>30000</v>
      </c>
      <c r="CP134" s="1141">
        <f t="shared" si="263"/>
        <v>475347.09713945776</v>
      </c>
      <c r="CQ134" s="1145">
        <f t="shared" si="264"/>
        <v>13</v>
      </c>
      <c r="CR134" s="1141">
        <f t="shared" si="265"/>
        <v>36565.161318419829</v>
      </c>
      <c r="CS134" s="1144">
        <f t="shared" si="266"/>
        <v>0.875</v>
      </c>
      <c r="CT134" s="1141">
        <f t="shared" si="267"/>
        <v>3537429.6799762044</v>
      </c>
      <c r="CU134" s="1146">
        <f t="shared" si="204"/>
        <v>27425.654657121675</v>
      </c>
      <c r="CV134" s="1146">
        <f t="shared" si="205"/>
        <v>31795.418025150662</v>
      </c>
      <c r="CW134" s="1146">
        <f t="shared" si="206"/>
        <v>41072.558048486106</v>
      </c>
      <c r="CX134" s="1146">
        <f t="shared" si="207"/>
        <v>70045.347415733937</v>
      </c>
      <c r="CY134" s="1146">
        <f t="shared" si="268"/>
        <v>287356.65667523956</v>
      </c>
      <c r="CZ134" s="1146">
        <f t="shared" si="269"/>
        <v>113705.62925175118</v>
      </c>
      <c r="DA134" s="1146">
        <f t="shared" si="270"/>
        <v>82127.965573585461</v>
      </c>
      <c r="DB134" s="1146">
        <f t="shared" si="271"/>
        <v>62503.162777754231</v>
      </c>
      <c r="DC134" s="1146"/>
      <c r="DD134" s="1146"/>
      <c r="DE134" s="1146"/>
      <c r="DF134" s="1146"/>
      <c r="DG134" s="1146"/>
      <c r="DH134" s="1146"/>
      <c r="DI134" s="1146"/>
      <c r="DJ134" s="1146"/>
      <c r="DK134" s="1146"/>
      <c r="DL134" s="1146"/>
      <c r="DM134" s="1146"/>
      <c r="DN134" s="1146"/>
      <c r="DO134" s="1146"/>
      <c r="DP134" s="1146"/>
      <c r="DQ134" s="1146"/>
      <c r="DR134" s="1146"/>
      <c r="DS134" s="1146"/>
      <c r="DT134" s="1146"/>
      <c r="DU134" s="1146"/>
      <c r="DV134" s="1146"/>
      <c r="DW134" s="1146"/>
      <c r="DX134" s="1146"/>
      <c r="DY134" s="1146"/>
      <c r="DZ134" s="1146"/>
      <c r="EA134" s="1147">
        <f t="shared" si="208"/>
        <v>0.11270258304115074</v>
      </c>
      <c r="EB134" s="1148">
        <f t="shared" si="272"/>
        <v>0</v>
      </c>
      <c r="EC134" s="1190">
        <f t="shared" si="316"/>
        <v>45839</v>
      </c>
      <c r="ED134" s="1031">
        <f t="shared" si="209"/>
        <v>20</v>
      </c>
      <c r="EE134" s="1191"/>
      <c r="EF134" s="1032">
        <f t="shared" si="210"/>
        <v>45904</v>
      </c>
      <c r="EG134" s="1029">
        <f t="shared" si="273"/>
        <v>22</v>
      </c>
      <c r="EH134" s="859" t="s">
        <v>490</v>
      </c>
      <c r="EI134" s="859" t="s">
        <v>480</v>
      </c>
      <c r="EJ134" s="860">
        <f t="shared" si="211"/>
        <v>16800</v>
      </c>
      <c r="EK134" s="860">
        <f t="shared" si="212"/>
        <v>369600</v>
      </c>
      <c r="EL134" s="861">
        <f t="shared" si="213"/>
        <v>0.12622689300608883</v>
      </c>
      <c r="EM134" s="1197"/>
      <c r="EN134" s="860"/>
      <c r="EO134" s="860"/>
      <c r="EP134" s="860">
        <f t="shared" si="214"/>
        <v>0</v>
      </c>
      <c r="EQ134" s="1197"/>
      <c r="ER134" s="1200"/>
      <c r="ES134" s="1197"/>
      <c r="ET134" s="1194" t="s">
        <v>293</v>
      </c>
      <c r="EU134" s="1197" t="b">
        <f t="shared" si="215"/>
        <v>1</v>
      </c>
      <c r="EV134" s="1197"/>
      <c r="EW134" s="1197"/>
      <c r="EX134" s="1197"/>
      <c r="EY134" s="1128" t="s">
        <v>587</v>
      </c>
      <c r="EZ134" s="1128" t="s">
        <v>484</v>
      </c>
      <c r="FA134" s="1169">
        <f t="shared" si="274"/>
        <v>0</v>
      </c>
      <c r="FI134" s="1309" t="s">
        <v>149</v>
      </c>
      <c r="FJ134" s="1159" t="s">
        <v>149</v>
      </c>
      <c r="FK134" s="1160" t="b">
        <f t="shared" si="275"/>
        <v>1</v>
      </c>
      <c r="FL134" s="1131"/>
      <c r="FM134" s="1161"/>
      <c r="FO134" s="888"/>
      <c r="FP134" s="1166"/>
      <c r="FQ134" s="1203"/>
      <c r="FU134" s="1295"/>
      <c r="FV134" s="1295"/>
      <c r="FW134" s="1023">
        <v>0.125</v>
      </c>
      <c r="FX134" s="1162">
        <v>12251.194783733528</v>
      </c>
      <c r="FY134" s="1163">
        <v>12634.044620725201</v>
      </c>
      <c r="GA134" s="1164">
        <f t="shared" si="276"/>
        <v>4042776.7771156621</v>
      </c>
      <c r="GB134" s="1165">
        <f>FW134</f>
        <v>0.125</v>
      </c>
      <c r="GC134" s="1154">
        <f t="shared" si="278"/>
        <v>505347.09713945776</v>
      </c>
      <c r="GD134" s="1164">
        <f t="shared" si="279"/>
        <v>30000</v>
      </c>
      <c r="GE134" s="1154">
        <f t="shared" si="280"/>
        <v>475347.09713945776</v>
      </c>
      <c r="GF134" s="1060">
        <f t="shared" si="281"/>
        <v>35</v>
      </c>
      <c r="GG134" s="1166">
        <f t="shared" si="282"/>
        <v>13581.345632555936</v>
      </c>
      <c r="GI134" s="1164">
        <f t="shared" si="283"/>
        <v>4042776.7771156621</v>
      </c>
      <c r="GJ134" s="1154">
        <f t="shared" si="284"/>
        <v>404277.67771156621</v>
      </c>
      <c r="GK134" s="1154">
        <f t="shared" si="285"/>
        <v>101069.41942789155</v>
      </c>
      <c r="GL134" s="1166">
        <v>15000</v>
      </c>
      <c r="GM134" s="1154">
        <f t="shared" si="286"/>
        <v>389277.67771156621</v>
      </c>
      <c r="GN134" s="1060">
        <f t="shared" si="287"/>
        <v>35</v>
      </c>
      <c r="GO134" s="1154">
        <f t="shared" si="288"/>
        <v>11122.219363187605</v>
      </c>
      <c r="GS134" s="1010">
        <f t="shared" si="289"/>
        <v>4042776.7771156621</v>
      </c>
      <c r="GT134" s="1011">
        <f t="shared" si="290"/>
        <v>0.125</v>
      </c>
      <c r="GU134" s="1010">
        <f t="shared" si="291"/>
        <v>505347.09713945776</v>
      </c>
      <c r="GV134" s="1010">
        <f t="shared" si="292"/>
        <v>30000</v>
      </c>
      <c r="GW134" s="1010">
        <f t="shared" si="293"/>
        <v>475347.09713945776</v>
      </c>
      <c r="GX134" s="1010">
        <f t="shared" si="294"/>
        <v>13</v>
      </c>
      <c r="GY134" s="1010">
        <f t="shared" si="295"/>
        <v>36565.161318419829</v>
      </c>
      <c r="GZ134" s="1011">
        <f t="shared" si="296"/>
        <v>0.875</v>
      </c>
      <c r="HA134" s="1010">
        <f t="shared" si="297"/>
        <v>3537429.6799762044</v>
      </c>
      <c r="HB134" s="1010">
        <f t="shared" si="298"/>
        <v>27425.654657121675</v>
      </c>
      <c r="HC134" s="1010">
        <f t="shared" si="299"/>
        <v>31795.418025150662</v>
      </c>
      <c r="HD134" s="1010">
        <f t="shared" si="300"/>
        <v>41072.558048486106</v>
      </c>
      <c r="HE134" s="1010">
        <f t="shared" si="301"/>
        <v>70045.347415733937</v>
      </c>
      <c r="HG134" s="1010">
        <f t="shared" si="302"/>
        <v>4042776.7771156621</v>
      </c>
      <c r="HH134" s="1011">
        <f t="shared" si="303"/>
        <v>0.125</v>
      </c>
      <c r="HI134" s="1010">
        <f t="shared" si="304"/>
        <v>505347.09713945776</v>
      </c>
      <c r="HJ134" s="1010">
        <f t="shared" si="305"/>
        <v>30000</v>
      </c>
      <c r="HK134" s="1010">
        <f t="shared" si="306"/>
        <v>475347.09713945776</v>
      </c>
      <c r="HL134" s="1012">
        <f t="shared" si="307"/>
        <v>33</v>
      </c>
      <c r="HM134" s="1167">
        <f t="shared" si="308"/>
        <v>14404.457489074477</v>
      </c>
      <c r="HN134" s="1168">
        <f t="shared" si="309"/>
        <v>0.875</v>
      </c>
      <c r="HO134" s="1167">
        <f t="shared" si="310"/>
        <v>3537429.6799762044</v>
      </c>
      <c r="HP134" s="1146">
        <f t="shared" si="311"/>
        <v>27425.654657121675</v>
      </c>
      <c r="HQ134" s="1146">
        <f t="shared" si="312"/>
        <v>31795.418025150662</v>
      </c>
      <c r="HR134" s="1146">
        <f t="shared" si="313"/>
        <v>41072.558048486106</v>
      </c>
      <c r="HS134" s="1146">
        <f t="shared" si="314"/>
        <v>70045.347415733937</v>
      </c>
      <c r="HU134" s="1167">
        <f t="shared" si="315"/>
        <v>-22160.703829345352</v>
      </c>
      <c r="HX134" s="1154"/>
      <c r="HY134" s="1154"/>
      <c r="IB134" s="1154"/>
      <c r="IC134" s="1154"/>
      <c r="ID134" s="1154"/>
      <c r="IE134" s="1154"/>
      <c r="IG134" s="1060"/>
    </row>
    <row r="135" spans="1:241" ht="14.25" hidden="1" customHeight="1">
      <c r="A135" s="1186">
        <f t="shared" si="330"/>
        <v>129</v>
      </c>
      <c r="B135" s="824" t="s">
        <v>149</v>
      </c>
      <c r="C135" s="855">
        <f t="shared" si="371"/>
        <v>6</v>
      </c>
      <c r="D135" s="856" t="s">
        <v>515</v>
      </c>
      <c r="E135" s="857" t="str">
        <f t="shared" si="216"/>
        <v>9th Floor</v>
      </c>
      <c r="F135" s="1185"/>
      <c r="G135" s="764" t="s">
        <v>294</v>
      </c>
      <c r="H135" s="764" t="s">
        <v>503</v>
      </c>
      <c r="I135" s="764" t="s">
        <v>476</v>
      </c>
      <c r="J135" s="1139">
        <v>22</v>
      </c>
      <c r="K135" s="1142"/>
      <c r="L135" s="764" t="s">
        <v>344</v>
      </c>
      <c r="M135" s="764" t="s">
        <v>477</v>
      </c>
      <c r="N135" s="856">
        <f t="shared" si="217"/>
        <v>100909.09090909091</v>
      </c>
      <c r="O135" s="1138">
        <f t="shared" si="324"/>
        <v>2220000</v>
      </c>
      <c r="P135" s="1138">
        <f t="shared" si="331"/>
        <v>22400</v>
      </c>
      <c r="Q135" s="1138">
        <f t="shared" ref="Q135:Q198" si="374">$Q$5</f>
        <v>50000</v>
      </c>
      <c r="R135" s="1138"/>
      <c r="S135" s="1138"/>
      <c r="T135" s="1138"/>
      <c r="U135" s="1138"/>
      <c r="V135" s="1138"/>
      <c r="W135" s="858">
        <f t="shared" si="372"/>
        <v>22000</v>
      </c>
      <c r="X135" s="1138"/>
      <c r="Y135" s="1138">
        <f t="shared" si="373"/>
        <v>100000</v>
      </c>
      <c r="Z135" s="1138">
        <f t="shared" si="327"/>
        <v>75000</v>
      </c>
      <c r="AA135" s="1138">
        <f t="shared" si="328"/>
        <v>269400</v>
      </c>
      <c r="AB135" s="1138">
        <f t="shared" si="218"/>
        <v>2489400</v>
      </c>
      <c r="AC135" s="1138">
        <f t="shared" si="219"/>
        <v>62235</v>
      </c>
      <c r="AD135" s="1138">
        <f t="shared" si="220"/>
        <v>2551635</v>
      </c>
      <c r="AE135" s="1138">
        <f t="shared" si="221"/>
        <v>63790.875</v>
      </c>
      <c r="AF135" s="1138">
        <f t="shared" si="222"/>
        <v>2615425.875</v>
      </c>
      <c r="AG135" s="1138">
        <f t="shared" si="223"/>
        <v>65385.646875000006</v>
      </c>
      <c r="AH135" s="1138">
        <f t="shared" si="224"/>
        <v>2680811.5218750001</v>
      </c>
      <c r="AI135" s="1138">
        <f t="shared" si="225"/>
        <v>134040.57609375002</v>
      </c>
      <c r="AJ135" s="1138">
        <f t="shared" si="226"/>
        <v>2814852.0979687502</v>
      </c>
      <c r="AK135" s="1138">
        <f t="shared" si="227"/>
        <v>28148.520979687502</v>
      </c>
      <c r="AL135" s="1138">
        <f t="shared" si="228"/>
        <v>27537.409960060559</v>
      </c>
      <c r="AM135" s="1138"/>
      <c r="AN135" s="1138"/>
      <c r="AO135" s="1138">
        <f t="shared" si="229"/>
        <v>2870538.0289084981</v>
      </c>
      <c r="AP135" s="1138">
        <f t="shared" si="230"/>
        <v>387522.6339026473</v>
      </c>
      <c r="AQ135" s="1248">
        <f t="shared" si="231"/>
        <v>3258060.6628111452</v>
      </c>
      <c r="AR135" s="1248">
        <f t="shared" si="347"/>
        <v>2928060.6628111452</v>
      </c>
      <c r="AS135" s="1248">
        <v>15000</v>
      </c>
      <c r="AT135" s="1248">
        <f t="shared" si="348"/>
        <v>330000</v>
      </c>
      <c r="AU135" s="1248">
        <f t="shared" si="232"/>
        <v>39600</v>
      </c>
      <c r="AV135" s="1140">
        <f t="shared" si="233"/>
        <v>369600</v>
      </c>
      <c r="AW135" s="1140">
        <f t="shared" si="234"/>
        <v>3297660.6628111452</v>
      </c>
      <c r="AX135" s="1139">
        <f t="shared" si="235"/>
        <v>41220.758285139316</v>
      </c>
      <c r="AY135" s="831" t="s">
        <v>478</v>
      </c>
      <c r="AZ135" s="831">
        <f t="shared" si="236"/>
        <v>3338881.4210962844</v>
      </c>
      <c r="BA135" s="831">
        <f t="shared" si="237"/>
        <v>125208.05329111066</v>
      </c>
      <c r="BB135" s="831"/>
      <c r="BC135" s="831">
        <f t="shared" si="346"/>
        <v>33600</v>
      </c>
      <c r="BD135" s="831"/>
      <c r="BE135" s="831">
        <f t="shared" si="238"/>
        <v>3497689.4743873952</v>
      </c>
      <c r="BF135" s="831"/>
      <c r="BG135" s="831">
        <f t="shared" si="239"/>
        <v>3497689.4743873952</v>
      </c>
      <c r="BH135" s="831"/>
      <c r="BI135" s="831">
        <f t="shared" si="240"/>
        <v>3497689.4743873952</v>
      </c>
      <c r="BJ135" s="831"/>
      <c r="BK135" s="831">
        <f t="shared" si="241"/>
        <v>3497689.4743873952</v>
      </c>
      <c r="BL135" s="831"/>
      <c r="BM135" s="831">
        <f t="shared" si="242"/>
        <v>3497689.4743873952</v>
      </c>
      <c r="BN135" s="831"/>
      <c r="BO135" s="831">
        <f t="shared" si="243"/>
        <v>3497689.4743873952</v>
      </c>
      <c r="BP135" s="831"/>
      <c r="BQ135" s="831">
        <f t="shared" si="244"/>
        <v>3497689.4743873952</v>
      </c>
      <c r="BR135" s="831"/>
      <c r="BS135" s="831">
        <f t="shared" si="245"/>
        <v>3497689.4743873952</v>
      </c>
      <c r="BT135" s="831"/>
      <c r="BU135" s="831">
        <f t="shared" si="246"/>
        <v>3497689.4743873952</v>
      </c>
      <c r="BV135" s="831"/>
      <c r="BW135" s="831">
        <f t="shared" si="247"/>
        <v>56400</v>
      </c>
      <c r="BX135" s="831">
        <f t="shared" si="248"/>
        <v>3554089.4743873952</v>
      </c>
      <c r="BY135" s="831"/>
      <c r="BZ135" s="831">
        <f t="shared" si="249"/>
        <v>3554089.4743873952</v>
      </c>
      <c r="CA135" s="1260">
        <f t="shared" si="250"/>
        <v>3554089.4743873952</v>
      </c>
      <c r="CB135" s="1260">
        <f t="shared" si="251"/>
        <v>3554089.4743873952</v>
      </c>
      <c r="CC135" s="1260"/>
      <c r="CD135" s="1260">
        <f t="shared" si="252"/>
        <v>0</v>
      </c>
      <c r="CE135" s="1260">
        <f t="shared" si="253"/>
        <v>0</v>
      </c>
      <c r="CF135" s="1260">
        <f t="shared" si="254"/>
        <v>0</v>
      </c>
      <c r="CG135" s="1266">
        <f t="shared" si="255"/>
        <v>3554089.4743873952</v>
      </c>
      <c r="CH135" s="1141">
        <f t="shared" si="256"/>
        <v>3554089.4743873952</v>
      </c>
      <c r="CI135" s="1142">
        <f t="shared" si="257"/>
        <v>0</v>
      </c>
      <c r="CJ135" s="1141">
        <f t="shared" si="258"/>
        <v>364294.17112470797</v>
      </c>
      <c r="CK135" s="1141">
        <f t="shared" si="259"/>
        <v>124393.13160355884</v>
      </c>
      <c r="CL135" s="1143">
        <f t="shared" si="329"/>
        <v>4042776.7771156621</v>
      </c>
      <c r="CM135" s="1144">
        <f t="shared" si="260"/>
        <v>0.125</v>
      </c>
      <c r="CN135" s="1141">
        <f t="shared" si="261"/>
        <v>505347.09713945776</v>
      </c>
      <c r="CO135" s="1141">
        <f t="shared" si="262"/>
        <v>30000</v>
      </c>
      <c r="CP135" s="1141">
        <f t="shared" si="263"/>
        <v>475347.09713945776</v>
      </c>
      <c r="CQ135" s="1145">
        <f t="shared" si="264"/>
        <v>13</v>
      </c>
      <c r="CR135" s="1141">
        <f t="shared" si="265"/>
        <v>36565.161318419829</v>
      </c>
      <c r="CS135" s="1144">
        <f t="shared" si="266"/>
        <v>0.875</v>
      </c>
      <c r="CT135" s="1141">
        <f t="shared" si="267"/>
        <v>3537429.6799762044</v>
      </c>
      <c r="CU135" s="1146">
        <f t="shared" ref="CU135:CU198" si="375">-PMT($CU$5/12,240,CT135,0)</f>
        <v>27425.654657121675</v>
      </c>
      <c r="CV135" s="1146">
        <f t="shared" ref="CV135:CV198" si="376">-PMT($CU$5/12,180,CT135,0)</f>
        <v>31795.418025150662</v>
      </c>
      <c r="CW135" s="1146">
        <f t="shared" ref="CW135:CW198" si="377">-PMT($CU$5/12,120,CT135,0)</f>
        <v>41072.558048486106</v>
      </c>
      <c r="CX135" s="1146">
        <f t="shared" ref="CX135:CX198" si="378">-PMT($CU$5/12,60,CT135,0)</f>
        <v>70045.347415733937</v>
      </c>
      <c r="CY135" s="1146">
        <f t="shared" si="268"/>
        <v>287356.65667523956</v>
      </c>
      <c r="CZ135" s="1146">
        <f t="shared" si="269"/>
        <v>113705.62925175118</v>
      </c>
      <c r="DA135" s="1146">
        <f t="shared" si="270"/>
        <v>82127.965573585461</v>
      </c>
      <c r="DB135" s="1146">
        <f t="shared" si="271"/>
        <v>62503.162777754231</v>
      </c>
      <c r="DC135" s="1146"/>
      <c r="DD135" s="1146"/>
      <c r="DE135" s="1146"/>
      <c r="DF135" s="1146"/>
      <c r="DG135" s="1146"/>
      <c r="DH135" s="1146"/>
      <c r="DI135" s="1146"/>
      <c r="DJ135" s="1146"/>
      <c r="DK135" s="1146"/>
      <c r="DL135" s="1146"/>
      <c r="DM135" s="1146"/>
      <c r="DN135" s="1146"/>
      <c r="DO135" s="1146"/>
      <c r="DP135" s="1146"/>
      <c r="DQ135" s="1146"/>
      <c r="DR135" s="1146"/>
      <c r="DS135" s="1146"/>
      <c r="DT135" s="1146"/>
      <c r="DU135" s="1146"/>
      <c r="DV135" s="1146"/>
      <c r="DW135" s="1146"/>
      <c r="DX135" s="1146"/>
      <c r="DY135" s="1146"/>
      <c r="DZ135" s="1146"/>
      <c r="EA135" s="1147">
        <f t="shared" ref="EA135:EA198" si="379">AT135/AR135</f>
        <v>0.11270258304115074</v>
      </c>
      <c r="EB135" s="1148">
        <f t="shared" si="272"/>
        <v>0</v>
      </c>
      <c r="EC135" s="1190">
        <f t="shared" si="316"/>
        <v>45839</v>
      </c>
      <c r="ED135" s="1031">
        <f t="shared" ref="ED135:ED198" si="380">(YEAR(EC135)-YEAR($ED$5))*12+MONTH(EC135)-MONTH($ED$5)</f>
        <v>20</v>
      </c>
      <c r="EE135" s="1191"/>
      <c r="EF135" s="1032">
        <f t="shared" ref="EF135:EF198" si="381">EC135+65</f>
        <v>45904</v>
      </c>
      <c r="EG135" s="1029">
        <f t="shared" si="273"/>
        <v>22</v>
      </c>
      <c r="EH135" s="859" t="s">
        <v>490</v>
      </c>
      <c r="EI135" s="859" t="s">
        <v>480</v>
      </c>
      <c r="EJ135" s="860">
        <f t="shared" ref="EJ135:EJ198" si="382">EK135/J135</f>
        <v>16800</v>
      </c>
      <c r="EK135" s="860">
        <f t="shared" ref="EK135:EK198" si="383">AV135</f>
        <v>369600</v>
      </c>
      <c r="EL135" s="861">
        <f t="shared" ref="EL135:EL198" si="384">AV135/AR135</f>
        <v>0.12622689300608883</v>
      </c>
      <c r="EM135" s="1197"/>
      <c r="EN135" s="860"/>
      <c r="EO135" s="860"/>
      <c r="EP135" s="860">
        <f t="shared" ref="EP135:EP198" si="385">EN135-EO135</f>
        <v>0</v>
      </c>
      <c r="EQ135" s="1197"/>
      <c r="ER135" s="1200"/>
      <c r="ES135" s="1197"/>
      <c r="ET135" s="1194" t="s">
        <v>294</v>
      </c>
      <c r="EU135" s="1197" t="b">
        <f t="shared" ref="EU135:EU198" si="386">G135=ET135</f>
        <v>1</v>
      </c>
      <c r="EV135" s="1197" t="s">
        <v>627</v>
      </c>
      <c r="EW135" s="1197" t="s">
        <v>482</v>
      </c>
      <c r="EX135" s="1197"/>
      <c r="EY135" s="1128" t="s">
        <v>587</v>
      </c>
      <c r="EZ135" s="1128" t="s">
        <v>484</v>
      </c>
      <c r="FA135" s="1169">
        <f t="shared" si="274"/>
        <v>0</v>
      </c>
      <c r="FI135" s="1309" t="s">
        <v>149</v>
      </c>
      <c r="FJ135" s="1159" t="s">
        <v>149</v>
      </c>
      <c r="FK135" s="1160" t="b">
        <f t="shared" si="275"/>
        <v>1</v>
      </c>
      <c r="FL135" s="1131"/>
      <c r="FM135" s="1161"/>
      <c r="FP135" s="1166"/>
      <c r="FQ135" s="1203"/>
      <c r="FU135" s="1295"/>
      <c r="FV135" s="1295"/>
      <c r="FW135" s="1023">
        <v>0.15</v>
      </c>
      <c r="FX135" s="1162">
        <v>14792.342831389324</v>
      </c>
      <c r="FY135" s="1163">
        <v>15254.603544870241</v>
      </c>
      <c r="GA135" s="1164">
        <f t="shared" si="276"/>
        <v>4042776.7771156621</v>
      </c>
      <c r="GB135" s="1165">
        <f t="shared" si="277"/>
        <v>0.15</v>
      </c>
      <c r="GC135" s="1154">
        <f t="shared" si="278"/>
        <v>606416.51656734932</v>
      </c>
      <c r="GD135" s="1164">
        <f t="shared" si="279"/>
        <v>30000</v>
      </c>
      <c r="GE135" s="1154">
        <f t="shared" si="280"/>
        <v>576416.51656734932</v>
      </c>
      <c r="GF135" s="1060">
        <f t="shared" si="281"/>
        <v>35</v>
      </c>
      <c r="GG135" s="1166">
        <f t="shared" si="282"/>
        <v>16469.043330495693</v>
      </c>
      <c r="GI135" s="1164">
        <f t="shared" si="283"/>
        <v>4042776.7771156621</v>
      </c>
      <c r="GJ135" s="1154">
        <f t="shared" si="284"/>
        <v>404277.67771156621</v>
      </c>
      <c r="GK135" s="1154">
        <f t="shared" si="285"/>
        <v>101069.41942789155</v>
      </c>
      <c r="GL135" s="1166">
        <v>15000</v>
      </c>
      <c r="GM135" s="1154">
        <f t="shared" si="286"/>
        <v>389277.67771156621</v>
      </c>
      <c r="GN135" s="1060">
        <f t="shared" si="287"/>
        <v>35</v>
      </c>
      <c r="GO135" s="1154">
        <f t="shared" si="288"/>
        <v>11122.219363187605</v>
      </c>
      <c r="GS135" s="1010">
        <f t="shared" si="289"/>
        <v>4042776.7771156621</v>
      </c>
      <c r="GT135" s="1011">
        <f t="shared" si="290"/>
        <v>0.125</v>
      </c>
      <c r="GU135" s="1010">
        <f t="shared" si="291"/>
        <v>505347.09713945776</v>
      </c>
      <c r="GV135" s="1010">
        <f t="shared" si="292"/>
        <v>30000</v>
      </c>
      <c r="GW135" s="1010">
        <f t="shared" si="293"/>
        <v>475347.09713945776</v>
      </c>
      <c r="GX135" s="1010">
        <f t="shared" si="294"/>
        <v>13</v>
      </c>
      <c r="GY135" s="1010">
        <f t="shared" si="295"/>
        <v>36565.161318419829</v>
      </c>
      <c r="GZ135" s="1011">
        <f t="shared" si="296"/>
        <v>0.875</v>
      </c>
      <c r="HA135" s="1010">
        <f t="shared" si="297"/>
        <v>3537429.6799762044</v>
      </c>
      <c r="HB135" s="1010">
        <f t="shared" si="298"/>
        <v>27425.654657121675</v>
      </c>
      <c r="HC135" s="1010">
        <f t="shared" si="299"/>
        <v>31795.418025150662</v>
      </c>
      <c r="HD135" s="1010">
        <f t="shared" si="300"/>
        <v>41072.558048486106</v>
      </c>
      <c r="HE135" s="1010">
        <f t="shared" si="301"/>
        <v>70045.347415733937</v>
      </c>
      <c r="HG135" s="1010">
        <f t="shared" si="302"/>
        <v>4042776.7771156621</v>
      </c>
      <c r="HH135" s="1011">
        <f t="shared" si="303"/>
        <v>0.125</v>
      </c>
      <c r="HI135" s="1010">
        <f t="shared" si="304"/>
        <v>505347.09713945776</v>
      </c>
      <c r="HJ135" s="1010">
        <f t="shared" si="305"/>
        <v>30000</v>
      </c>
      <c r="HK135" s="1010">
        <f t="shared" si="306"/>
        <v>475347.09713945776</v>
      </c>
      <c r="HL135" s="1012">
        <f t="shared" si="307"/>
        <v>33</v>
      </c>
      <c r="HM135" s="1167">
        <f t="shared" si="308"/>
        <v>14404.457489074477</v>
      </c>
      <c r="HN135" s="1168">
        <f t="shared" si="309"/>
        <v>0.875</v>
      </c>
      <c r="HO135" s="1167">
        <f t="shared" si="310"/>
        <v>3537429.6799762044</v>
      </c>
      <c r="HP135" s="1146">
        <f t="shared" si="311"/>
        <v>27425.654657121675</v>
      </c>
      <c r="HQ135" s="1146">
        <f t="shared" si="312"/>
        <v>31795.418025150662</v>
      </c>
      <c r="HR135" s="1146">
        <f t="shared" si="313"/>
        <v>41072.558048486106</v>
      </c>
      <c r="HS135" s="1146">
        <f t="shared" si="314"/>
        <v>70045.347415733937</v>
      </c>
      <c r="HU135" s="1167">
        <f t="shared" si="315"/>
        <v>-22160.703829345352</v>
      </c>
      <c r="HX135" s="1154"/>
      <c r="HY135" s="1154"/>
      <c r="IB135" s="1154"/>
      <c r="IC135" s="1154"/>
      <c r="ID135" s="1154"/>
      <c r="IE135" s="1154"/>
      <c r="IG135" s="1060"/>
    </row>
    <row r="136" spans="1:241" ht="14.25" hidden="1" customHeight="1">
      <c r="A136" s="1186">
        <f t="shared" si="330"/>
        <v>130</v>
      </c>
      <c r="B136" s="824"/>
      <c r="C136" s="855">
        <f t="shared" si="371"/>
        <v>7</v>
      </c>
      <c r="D136" s="856" t="s">
        <v>515</v>
      </c>
      <c r="E136" s="857" t="str">
        <f t="shared" ref="E136:E199" si="387">D136</f>
        <v>9th Floor</v>
      </c>
      <c r="F136" s="1185"/>
      <c r="G136" s="764" t="s">
        <v>295</v>
      </c>
      <c r="H136" s="764" t="s">
        <v>506</v>
      </c>
      <c r="I136" s="764" t="s">
        <v>476</v>
      </c>
      <c r="J136" s="831">
        <v>22</v>
      </c>
      <c r="K136" s="1142"/>
      <c r="L136" s="764" t="s">
        <v>344</v>
      </c>
      <c r="M136" s="764" t="s">
        <v>117</v>
      </c>
      <c r="N136" s="856">
        <f t="shared" ref="N136:N199" si="388">$N$5</f>
        <v>100909.09090909091</v>
      </c>
      <c r="O136" s="1138">
        <f t="shared" si="324"/>
        <v>2220000</v>
      </c>
      <c r="P136" s="1138">
        <f t="shared" si="331"/>
        <v>22400</v>
      </c>
      <c r="Q136" s="1138">
        <f t="shared" si="374"/>
        <v>50000</v>
      </c>
      <c r="R136" s="1138"/>
      <c r="S136" s="1138"/>
      <c r="T136" s="1138"/>
      <c r="U136" s="1138"/>
      <c r="V136" s="858">
        <f t="shared" ref="V136:V137" si="389">J136*$V$5</f>
        <v>55000</v>
      </c>
      <c r="W136" s="1138"/>
      <c r="X136" s="1138"/>
      <c r="Y136" s="1138">
        <f t="shared" si="373"/>
        <v>100000</v>
      </c>
      <c r="Z136" s="1138">
        <f t="shared" si="327"/>
        <v>75000</v>
      </c>
      <c r="AA136" s="1138">
        <f t="shared" si="328"/>
        <v>302400</v>
      </c>
      <c r="AB136" s="1138">
        <f t="shared" ref="AB136:AB199" si="390">O136+AA136</f>
        <v>2522400</v>
      </c>
      <c r="AC136" s="1138">
        <f t="shared" ref="AC136:AC199" si="391">AB136*$AC$5</f>
        <v>63060</v>
      </c>
      <c r="AD136" s="1138">
        <f t="shared" ref="AD136:AD199" si="392">AB136+AC136</f>
        <v>2585460</v>
      </c>
      <c r="AE136" s="1138">
        <f t="shared" ref="AE136:AE199" si="393">AD136*$AE$5</f>
        <v>64636.5</v>
      </c>
      <c r="AF136" s="1138">
        <f t="shared" ref="AF136:AF199" si="394">AD136+AE136</f>
        <v>2650096.5</v>
      </c>
      <c r="AG136" s="1138">
        <f t="shared" ref="AG136:AG199" si="395">AF136*$AG$5</f>
        <v>66252.412500000006</v>
      </c>
      <c r="AH136" s="1138">
        <f t="shared" ref="AH136:AH199" si="396">AF136+AG136</f>
        <v>2716348.9125000001</v>
      </c>
      <c r="AI136" s="1138">
        <f t="shared" ref="AI136:AI199" si="397">AH136*$AI$5</f>
        <v>135817.44562500002</v>
      </c>
      <c r="AJ136" s="1138">
        <f t="shared" ref="AJ136:AJ199" si="398">AH136+AI136</f>
        <v>2852166.3581250003</v>
      </c>
      <c r="AK136" s="1138">
        <f t="shared" ref="AK136:AK199" si="399">AJ136*$AK$5</f>
        <v>28521.663581250003</v>
      </c>
      <c r="AL136" s="1138">
        <f t="shared" ref="AL136:AL199" si="400">$AL$5</f>
        <v>27537.409960060559</v>
      </c>
      <c r="AM136" s="1138"/>
      <c r="AN136" s="1138"/>
      <c r="AO136" s="1138">
        <f t="shared" ref="AO136:AO199" si="401">AJ136+AK136+AL136+AM136+AN136</f>
        <v>2908225.4316663109</v>
      </c>
      <c r="AP136" s="1138">
        <f t="shared" ref="AP136:AP199" si="402">AO136*$AP$5</f>
        <v>392610.433274952</v>
      </c>
      <c r="AQ136" s="1248">
        <f t="shared" ref="AQ136:AQ199" si="403">AO136+AP136</f>
        <v>3300835.8649412626</v>
      </c>
      <c r="AR136" s="1248">
        <f t="shared" si="347"/>
        <v>2970835.8649412626</v>
      </c>
      <c r="AS136" s="1248">
        <v>15000</v>
      </c>
      <c r="AT136" s="1248">
        <f t="shared" si="348"/>
        <v>330000</v>
      </c>
      <c r="AU136" s="1248">
        <f t="shared" ref="AU136:AU199" si="404">AT136*$AU$5</f>
        <v>39600</v>
      </c>
      <c r="AV136" s="1140">
        <f t="shared" ref="AV136:AV199" si="405">AT136+AU136</f>
        <v>369600</v>
      </c>
      <c r="AW136" s="1140">
        <f t="shared" ref="AW136:AW199" si="406">AQ136+AU136</f>
        <v>3340435.8649412626</v>
      </c>
      <c r="AX136" s="1139">
        <f t="shared" ref="AX136:AX199" si="407">AW136*$AX$5</f>
        <v>41755.448311765787</v>
      </c>
      <c r="AY136" s="831" t="s">
        <v>478</v>
      </c>
      <c r="AZ136" s="831">
        <f t="shared" ref="AZ136:AZ199" si="408">AW136+AX136+AY136</f>
        <v>3382191.3132530283</v>
      </c>
      <c r="BA136" s="831">
        <f t="shared" ref="BA136:BA199" si="409">AZ136*$BA$5</f>
        <v>126832.17424698855</v>
      </c>
      <c r="BB136" s="831"/>
      <c r="BC136" s="831">
        <f t="shared" si="346"/>
        <v>33600</v>
      </c>
      <c r="BD136" s="831"/>
      <c r="BE136" s="831">
        <f t="shared" ref="BE136:BE199" si="410">AZ136+BA136+BB136+BC136+BD136</f>
        <v>3542623.487500017</v>
      </c>
      <c r="BF136" s="831"/>
      <c r="BG136" s="831">
        <f t="shared" ref="BG136:BG199" si="411">BE136+BF136</f>
        <v>3542623.487500017</v>
      </c>
      <c r="BH136" s="831"/>
      <c r="BI136" s="831">
        <f t="shared" ref="BI136:BI199" si="412">BG136+BH136</f>
        <v>3542623.487500017</v>
      </c>
      <c r="BJ136" s="831"/>
      <c r="BK136" s="831">
        <f t="shared" ref="BK136:BK199" si="413">BI136+BJ136</f>
        <v>3542623.487500017</v>
      </c>
      <c r="BL136" s="831"/>
      <c r="BM136" s="831">
        <f t="shared" ref="BM136:BM199" si="414">BK136+BL136</f>
        <v>3542623.487500017</v>
      </c>
      <c r="BN136" s="831"/>
      <c r="BO136" s="831">
        <f t="shared" ref="BO136:BO199" si="415">BM136+BN136</f>
        <v>3542623.487500017</v>
      </c>
      <c r="BP136" s="831"/>
      <c r="BQ136" s="831">
        <f t="shared" ref="BQ136:BQ199" si="416">BO136+BP136</f>
        <v>3542623.487500017</v>
      </c>
      <c r="BR136" s="831"/>
      <c r="BS136" s="831">
        <f t="shared" ref="BS136:BS199" si="417">BQ136+BR136</f>
        <v>3542623.487500017</v>
      </c>
      <c r="BT136" s="831"/>
      <c r="BU136" s="831">
        <f t="shared" ref="BU136:BU199" si="418">BS136+BT136</f>
        <v>3542623.487500017</v>
      </c>
      <c r="BV136" s="831"/>
      <c r="BW136" s="831">
        <f t="shared" ref="BW136:BW199" si="419">$BW$2+$BW$3-BC136</f>
        <v>56400</v>
      </c>
      <c r="BX136" s="831">
        <f t="shared" ref="BX136:BX199" si="420">SUM(BU136:BW136)</f>
        <v>3599023.487500017</v>
      </c>
      <c r="BY136" s="831"/>
      <c r="BZ136" s="831">
        <f t="shared" ref="BZ136:BZ199" si="421">BX136+BY136</f>
        <v>3599023.487500017</v>
      </c>
      <c r="CA136" s="1260">
        <f t="shared" ref="CA136:CA199" si="422">BZ136</f>
        <v>3599023.487500017</v>
      </c>
      <c r="CB136" s="1260">
        <f t="shared" ref="CB136:CB199" si="423">CA136-CD136</f>
        <v>3599023.487500017</v>
      </c>
      <c r="CC136" s="1260"/>
      <c r="CD136" s="1260">
        <f t="shared" ref="CD136:CD199" si="424">CC136*J136</f>
        <v>0</v>
      </c>
      <c r="CE136" s="1260">
        <f t="shared" ref="CE136:CE199" si="425">CD136*$CE$5</f>
        <v>0</v>
      </c>
      <c r="CF136" s="1260">
        <f t="shared" ref="CF136:CF199" si="426">CD136+CE136</f>
        <v>0</v>
      </c>
      <c r="CG136" s="1266">
        <f t="shared" ref="CG136:CG199" si="427">CA136+CE136</f>
        <v>3599023.487500017</v>
      </c>
      <c r="CH136" s="1141">
        <f t="shared" ref="CH136:CH199" si="428">CG136</f>
        <v>3599023.487500017</v>
      </c>
      <c r="CI136" s="1142">
        <f t="shared" ref="CI136:CI199" si="429">IF(CB136&lt;=$CB$3,0,12%*CB136)</f>
        <v>0</v>
      </c>
      <c r="CJ136" s="1141">
        <f t="shared" ref="CJ136:CJ199" si="430">CH136*CJ$5</f>
        <v>368899.90746875171</v>
      </c>
      <c r="CK136" s="1141">
        <f t="shared" ref="CK136:CK199" si="431">CH136*CK$5</f>
        <v>125965.82206250061</v>
      </c>
      <c r="CL136" s="1143">
        <f t="shared" si="329"/>
        <v>4093889.2170312693</v>
      </c>
      <c r="CM136" s="1144">
        <f t="shared" ref="CM136:CM199" si="432">$CM$5</f>
        <v>0.125</v>
      </c>
      <c r="CN136" s="1141">
        <f t="shared" si="261"/>
        <v>511736.15212890867</v>
      </c>
      <c r="CO136" s="1141">
        <f t="shared" ref="CO136:CO199" si="433">$CO$5</f>
        <v>30000</v>
      </c>
      <c r="CP136" s="1141">
        <f t="shared" si="263"/>
        <v>481736.15212890867</v>
      </c>
      <c r="CQ136" s="1145">
        <f t="shared" ref="CQ136:CQ199" si="434">VLOOKUP(E136,$IF$6:$IH$19,3,FALSE)</f>
        <v>13</v>
      </c>
      <c r="CR136" s="1141">
        <f t="shared" si="265"/>
        <v>37056.627086839129</v>
      </c>
      <c r="CS136" s="1144">
        <f t="shared" ref="CS136:CS199" si="435">100%-CM136</f>
        <v>0.875</v>
      </c>
      <c r="CT136" s="1141">
        <f t="shared" ref="CT136:CT199" si="436">CL136*CS136</f>
        <v>3582153.0649023606</v>
      </c>
      <c r="CU136" s="1146">
        <f t="shared" si="375"/>
        <v>27772.394584426893</v>
      </c>
      <c r="CV136" s="1146">
        <f t="shared" si="376"/>
        <v>32197.404452549104</v>
      </c>
      <c r="CW136" s="1146">
        <f t="shared" si="377"/>
        <v>41591.834469414622</v>
      </c>
      <c r="CX136" s="1146">
        <f t="shared" si="378"/>
        <v>70930.924040053244</v>
      </c>
      <c r="CY136" s="1146">
        <f t="shared" ref="CY136:CY199" si="437">(CL136*80%)*$CY$5</f>
        <v>290989.67938670918</v>
      </c>
      <c r="CZ136" s="1146">
        <f t="shared" ref="CZ136:CZ199" si="438">(CL136*80%)*$CZ$5</f>
        <v>115143.19864121001</v>
      </c>
      <c r="DA136" s="1146">
        <f t="shared" ref="DA136:DA199" si="439">(CL136*80%)*$DA$5</f>
        <v>83166.301583016568</v>
      </c>
      <c r="DB136" s="1146">
        <f t="shared" ref="DB136:DB199" si="440">(CL136*80%)*$DB$5</f>
        <v>63293.384283452273</v>
      </c>
      <c r="DC136" s="1146"/>
      <c r="DD136" s="1146"/>
      <c r="DE136" s="1146"/>
      <c r="DF136" s="1146"/>
      <c r="DG136" s="1146"/>
      <c r="DH136" s="1146"/>
      <c r="DI136" s="1146"/>
      <c r="DJ136" s="1146"/>
      <c r="DK136" s="1146"/>
      <c r="DL136" s="1146"/>
      <c r="DM136" s="1146"/>
      <c r="DN136" s="1146"/>
      <c r="DO136" s="1146"/>
      <c r="DP136" s="1146"/>
      <c r="DQ136" s="1146"/>
      <c r="DR136" s="1146"/>
      <c r="DS136" s="1146"/>
      <c r="DT136" s="1146"/>
      <c r="DU136" s="1146"/>
      <c r="DV136" s="1146"/>
      <c r="DW136" s="1146"/>
      <c r="DX136" s="1146"/>
      <c r="DY136" s="1146"/>
      <c r="DZ136" s="1146"/>
      <c r="EA136" s="1147">
        <f t="shared" si="379"/>
        <v>0.11107984924186465</v>
      </c>
      <c r="EB136" s="1148">
        <f t="shared" ref="EB136:EB199" si="441">CF136/CB136</f>
        <v>0</v>
      </c>
      <c r="EC136" s="1190">
        <f t="shared" si="316"/>
        <v>45839</v>
      </c>
      <c r="ED136" s="1031">
        <f t="shared" si="380"/>
        <v>20</v>
      </c>
      <c r="EE136" s="1191"/>
      <c r="EF136" s="1032">
        <f t="shared" si="381"/>
        <v>45904</v>
      </c>
      <c r="EG136" s="1029">
        <f t="shared" ref="EG136:EG199" si="442">(YEAR(EF136)-YEAR($EG$5))*12+MONTH(EF136)-MONTH($EG$5)+$EG$4+$EG$3</f>
        <v>22</v>
      </c>
      <c r="EH136" s="859" t="s">
        <v>490</v>
      </c>
      <c r="EI136" s="859" t="s">
        <v>480</v>
      </c>
      <c r="EJ136" s="860">
        <f t="shared" si="382"/>
        <v>16800</v>
      </c>
      <c r="EK136" s="860">
        <f t="shared" si="383"/>
        <v>369600</v>
      </c>
      <c r="EL136" s="861">
        <f t="shared" si="384"/>
        <v>0.1244094311508884</v>
      </c>
      <c r="EM136" s="1197"/>
      <c r="EN136" s="860"/>
      <c r="EO136" s="860"/>
      <c r="EP136" s="860">
        <f t="shared" si="385"/>
        <v>0</v>
      </c>
      <c r="EQ136" s="1197"/>
      <c r="ER136" s="1200"/>
      <c r="ES136" s="1197"/>
      <c r="ET136" s="1194" t="s">
        <v>295</v>
      </c>
      <c r="EU136" s="1197" t="b">
        <f t="shared" si="386"/>
        <v>1</v>
      </c>
      <c r="EV136" s="1197"/>
      <c r="EW136" s="1197"/>
      <c r="EX136" s="1197"/>
      <c r="EY136" s="1128" t="s">
        <v>587</v>
      </c>
      <c r="EZ136" s="1128" t="s">
        <v>484</v>
      </c>
      <c r="FA136" s="1169">
        <f t="shared" ref="FA136:FA199" si="443">CA136-CH136</f>
        <v>0</v>
      </c>
      <c r="FI136" s="1309" t="s">
        <v>149</v>
      </c>
      <c r="FJ136" s="1159" t="s">
        <v>149</v>
      </c>
      <c r="FK136" s="1160" t="b">
        <f t="shared" ref="FK136:FK199" si="444">FI136=FJ136</f>
        <v>1</v>
      </c>
      <c r="FL136" s="1131"/>
      <c r="FM136" s="1161"/>
      <c r="FO136" s="888"/>
      <c r="FP136" s="1166"/>
      <c r="FQ136" s="1203"/>
      <c r="FU136" s="1295"/>
      <c r="FV136" s="1295"/>
      <c r="FW136" s="1023">
        <v>0.125</v>
      </c>
      <c r="FX136" s="1162">
        <v>12668.7242268142</v>
      </c>
      <c r="FY136" s="1163">
        <v>13064.621858902145</v>
      </c>
      <c r="GA136" s="1164">
        <f t="shared" ref="GA136:GA199" si="445">CL136</f>
        <v>4093889.2170312693</v>
      </c>
      <c r="GB136" s="1165">
        <f>FW136</f>
        <v>0.125</v>
      </c>
      <c r="GC136" s="1154">
        <f t="shared" ref="GC136:GC199" si="446">GA136*GB136</f>
        <v>511736.15212890867</v>
      </c>
      <c r="GD136" s="1164">
        <f t="shared" ref="GD136:GD199" si="447">CO136</f>
        <v>30000</v>
      </c>
      <c r="GE136" s="1154">
        <f t="shared" ref="GE136:GE199" si="448">GC136-GD136</f>
        <v>481736.15212890867</v>
      </c>
      <c r="GF136" s="1060">
        <f t="shared" ref="GF136:GF199" si="449">$GF$5</f>
        <v>35</v>
      </c>
      <c r="GG136" s="1166">
        <f t="shared" ref="GG136:GG199" si="450">GE136/GF136</f>
        <v>13763.890060825963</v>
      </c>
      <c r="GI136" s="1164">
        <f t="shared" ref="GI136:GI199" si="451">GA136</f>
        <v>4093889.2170312693</v>
      </c>
      <c r="GJ136" s="1154">
        <f t="shared" ref="GJ136:GJ199" si="452">GI136*$GJ$5</f>
        <v>409388.92170312698</v>
      </c>
      <c r="GK136" s="1154">
        <f t="shared" ref="GK136:GK199" si="453">GI136*$GK$5</f>
        <v>102347.23042578174</v>
      </c>
      <c r="GL136" s="1166">
        <v>15000</v>
      </c>
      <c r="GM136" s="1154">
        <f t="shared" ref="GM136:GM199" si="454">GJ136-GL136</f>
        <v>394388.92170312698</v>
      </c>
      <c r="GN136" s="1060">
        <f t="shared" ref="GN136:GN199" si="455">$GN$5</f>
        <v>35</v>
      </c>
      <c r="GO136" s="1154">
        <f t="shared" ref="GO136:GO199" si="456">GM136/GN136</f>
        <v>11268.254905803627</v>
      </c>
      <c r="GS136" s="1010">
        <f t="shared" ref="GS136:GS199" si="457">CL136</f>
        <v>4093889.2170312693</v>
      </c>
      <c r="GT136" s="1011">
        <f t="shared" ref="GT136:GT199" si="458">CM136</f>
        <v>0.125</v>
      </c>
      <c r="GU136" s="1010">
        <f t="shared" ref="GU136:GU199" si="459">CN136</f>
        <v>511736.15212890867</v>
      </c>
      <c r="GV136" s="1010">
        <f t="shared" ref="GV136:GV199" si="460">CO136</f>
        <v>30000</v>
      </c>
      <c r="GW136" s="1010">
        <f t="shared" ref="GW136:GW199" si="461">CP136</f>
        <v>481736.15212890867</v>
      </c>
      <c r="GX136" s="1010">
        <f t="shared" ref="GX136:GX199" si="462">CQ136</f>
        <v>13</v>
      </c>
      <c r="GY136" s="1010">
        <f t="shared" ref="GY136:GY199" si="463">CR136</f>
        <v>37056.627086839129</v>
      </c>
      <c r="GZ136" s="1011">
        <f t="shared" ref="GZ136:GZ199" si="464">CS136</f>
        <v>0.875</v>
      </c>
      <c r="HA136" s="1010">
        <f t="shared" ref="HA136:HA199" si="465">CT136</f>
        <v>3582153.0649023606</v>
      </c>
      <c r="HB136" s="1010">
        <f t="shared" ref="HB136:HB199" si="466">CU136</f>
        <v>27772.394584426893</v>
      </c>
      <c r="HC136" s="1010">
        <f t="shared" ref="HC136:HC199" si="467">CV136</f>
        <v>32197.404452549104</v>
      </c>
      <c r="HD136" s="1010">
        <f t="shared" ref="HD136:HD199" si="468">CW136</f>
        <v>41591.834469414622</v>
      </c>
      <c r="HE136" s="1010">
        <f t="shared" ref="HE136:HE199" si="469">CX136</f>
        <v>70930.924040053244</v>
      </c>
      <c r="HG136" s="1010">
        <f t="shared" ref="HG136:HG199" si="470">GS136</f>
        <v>4093889.2170312693</v>
      </c>
      <c r="HH136" s="1011">
        <f t="shared" ref="HH136:HH199" si="471">GT136</f>
        <v>0.125</v>
      </c>
      <c r="HI136" s="1010">
        <f t="shared" ref="HI136:HI199" si="472">GU136</f>
        <v>511736.15212890867</v>
      </c>
      <c r="HJ136" s="1010">
        <f t="shared" ref="HJ136:HJ199" si="473">GV136</f>
        <v>30000</v>
      </c>
      <c r="HK136" s="1010">
        <f t="shared" ref="HK136:HK199" si="474">GW136</f>
        <v>481736.15212890867</v>
      </c>
      <c r="HL136" s="1012">
        <f t="shared" ref="HL136:HL199" si="475">$HL$5</f>
        <v>33</v>
      </c>
      <c r="HM136" s="1167">
        <f t="shared" ref="HM136:HM199" si="476">HK136/HL136</f>
        <v>14598.065216027535</v>
      </c>
      <c r="HN136" s="1168">
        <f t="shared" ref="HN136:HN199" si="477">100%-HH136</f>
        <v>0.875</v>
      </c>
      <c r="HO136" s="1167">
        <f t="shared" ref="HO136:HO199" si="478">HG136*HN136</f>
        <v>3582153.0649023606</v>
      </c>
      <c r="HP136" s="1146">
        <f t="shared" ref="HP136:HP199" si="479">-PMT(7%/12,240,HO136,0)</f>
        <v>27772.394584426893</v>
      </c>
      <c r="HQ136" s="1146">
        <f t="shared" ref="HQ136:HQ199" si="480">-PMT(7%/12,180,HO136,0)</f>
        <v>32197.404452549104</v>
      </c>
      <c r="HR136" s="1146">
        <f t="shared" ref="HR136:HR199" si="481">-PMT(7%/12,120,HO136,0)</f>
        <v>41591.834469414622</v>
      </c>
      <c r="HS136" s="1146">
        <f t="shared" ref="HS136:HS199" si="482">-PMT(7%/12,60,HO136,0)</f>
        <v>70930.924040053244</v>
      </c>
      <c r="HU136" s="1167">
        <f t="shared" ref="HU136:HU199" si="483">HM136-GY136</f>
        <v>-22458.561870811594</v>
      </c>
      <c r="HX136" s="1154"/>
      <c r="HY136" s="1154"/>
      <c r="IB136" s="1154"/>
      <c r="IC136" s="1154"/>
      <c r="ID136" s="1154"/>
      <c r="IE136" s="1154"/>
      <c r="IG136" s="1060"/>
    </row>
    <row r="137" spans="1:241" ht="14.25" hidden="1" customHeight="1">
      <c r="A137" s="1186">
        <f t="shared" si="330"/>
        <v>131</v>
      </c>
      <c r="B137" s="824" t="s">
        <v>149</v>
      </c>
      <c r="C137" s="855">
        <f t="shared" si="371"/>
        <v>8</v>
      </c>
      <c r="D137" s="856" t="s">
        <v>515</v>
      </c>
      <c r="E137" s="857" t="str">
        <f t="shared" si="387"/>
        <v>9th Floor</v>
      </c>
      <c r="F137" s="1185"/>
      <c r="G137" s="764" t="s">
        <v>296</v>
      </c>
      <c r="H137" s="764" t="s">
        <v>508</v>
      </c>
      <c r="I137" s="764" t="s">
        <v>476</v>
      </c>
      <c r="J137" s="831">
        <v>22</v>
      </c>
      <c r="K137" s="1142"/>
      <c r="L137" s="764" t="s">
        <v>500</v>
      </c>
      <c r="M137" s="764" t="s">
        <v>117</v>
      </c>
      <c r="N137" s="856">
        <f t="shared" si="388"/>
        <v>100909.09090909091</v>
      </c>
      <c r="O137" s="1138">
        <f t="shared" si="324"/>
        <v>2220000</v>
      </c>
      <c r="P137" s="1138">
        <f t="shared" si="331"/>
        <v>22400</v>
      </c>
      <c r="Q137" s="1138">
        <f t="shared" si="374"/>
        <v>50000</v>
      </c>
      <c r="R137" s="1138"/>
      <c r="S137" s="1138"/>
      <c r="T137" s="1138"/>
      <c r="U137" s="1138"/>
      <c r="V137" s="858">
        <f t="shared" si="389"/>
        <v>55000</v>
      </c>
      <c r="W137" s="1138"/>
      <c r="X137" s="1138"/>
      <c r="Y137" s="1138">
        <f t="shared" si="373"/>
        <v>100000</v>
      </c>
      <c r="Z137" s="1138">
        <f t="shared" si="327"/>
        <v>75000</v>
      </c>
      <c r="AA137" s="1138">
        <f t="shared" si="328"/>
        <v>302400</v>
      </c>
      <c r="AB137" s="1138">
        <f t="shared" si="390"/>
        <v>2522400</v>
      </c>
      <c r="AC137" s="1138">
        <f t="shared" si="391"/>
        <v>63060</v>
      </c>
      <c r="AD137" s="1138">
        <f t="shared" si="392"/>
        <v>2585460</v>
      </c>
      <c r="AE137" s="1138">
        <f t="shared" si="393"/>
        <v>64636.5</v>
      </c>
      <c r="AF137" s="1138">
        <f t="shared" si="394"/>
        <v>2650096.5</v>
      </c>
      <c r="AG137" s="1138">
        <f t="shared" si="395"/>
        <v>66252.412500000006</v>
      </c>
      <c r="AH137" s="1138">
        <f t="shared" si="396"/>
        <v>2716348.9125000001</v>
      </c>
      <c r="AI137" s="1138">
        <f t="shared" si="397"/>
        <v>135817.44562500002</v>
      </c>
      <c r="AJ137" s="1138">
        <f t="shared" si="398"/>
        <v>2852166.3581250003</v>
      </c>
      <c r="AK137" s="1138">
        <f t="shared" si="399"/>
        <v>28521.663581250003</v>
      </c>
      <c r="AL137" s="1138">
        <f t="shared" si="400"/>
        <v>27537.409960060559</v>
      </c>
      <c r="AM137" s="1138"/>
      <c r="AN137" s="1138"/>
      <c r="AO137" s="1138">
        <f t="shared" si="401"/>
        <v>2908225.4316663109</v>
      </c>
      <c r="AP137" s="1138">
        <f t="shared" si="402"/>
        <v>392610.433274952</v>
      </c>
      <c r="AQ137" s="1248">
        <f t="shared" si="403"/>
        <v>3300835.8649412626</v>
      </c>
      <c r="AR137" s="1248">
        <f t="shared" si="347"/>
        <v>2970835.8649412626</v>
      </c>
      <c r="AS137" s="1248">
        <v>15000</v>
      </c>
      <c r="AT137" s="1248">
        <f t="shared" si="348"/>
        <v>330000</v>
      </c>
      <c r="AU137" s="1248">
        <f t="shared" si="404"/>
        <v>39600</v>
      </c>
      <c r="AV137" s="1140">
        <f t="shared" si="405"/>
        <v>369600</v>
      </c>
      <c r="AW137" s="1140">
        <f t="shared" si="406"/>
        <v>3340435.8649412626</v>
      </c>
      <c r="AX137" s="1139">
        <f t="shared" si="407"/>
        <v>41755.448311765787</v>
      </c>
      <c r="AY137" s="831" t="s">
        <v>478</v>
      </c>
      <c r="AZ137" s="831">
        <f t="shared" si="408"/>
        <v>3382191.3132530283</v>
      </c>
      <c r="BA137" s="831">
        <f t="shared" si="409"/>
        <v>126832.17424698855</v>
      </c>
      <c r="BB137" s="831"/>
      <c r="BC137" s="831">
        <f t="shared" si="346"/>
        <v>33600</v>
      </c>
      <c r="BD137" s="831"/>
      <c r="BE137" s="831">
        <f t="shared" si="410"/>
        <v>3542623.487500017</v>
      </c>
      <c r="BF137" s="831"/>
      <c r="BG137" s="831">
        <f t="shared" si="411"/>
        <v>3542623.487500017</v>
      </c>
      <c r="BH137" s="831"/>
      <c r="BI137" s="831">
        <f t="shared" si="412"/>
        <v>3542623.487500017</v>
      </c>
      <c r="BJ137" s="831"/>
      <c r="BK137" s="831">
        <f t="shared" si="413"/>
        <v>3542623.487500017</v>
      </c>
      <c r="BL137" s="831"/>
      <c r="BM137" s="831">
        <f t="shared" si="414"/>
        <v>3542623.487500017</v>
      </c>
      <c r="BN137" s="831"/>
      <c r="BO137" s="831">
        <f t="shared" si="415"/>
        <v>3542623.487500017</v>
      </c>
      <c r="BP137" s="831"/>
      <c r="BQ137" s="831">
        <f t="shared" si="416"/>
        <v>3542623.487500017</v>
      </c>
      <c r="BR137" s="831"/>
      <c r="BS137" s="831">
        <f t="shared" si="417"/>
        <v>3542623.487500017</v>
      </c>
      <c r="BT137" s="831"/>
      <c r="BU137" s="831">
        <f t="shared" si="418"/>
        <v>3542623.487500017</v>
      </c>
      <c r="BV137" s="831"/>
      <c r="BW137" s="831">
        <f t="shared" si="419"/>
        <v>56400</v>
      </c>
      <c r="BX137" s="831">
        <f t="shared" si="420"/>
        <v>3599023.487500017</v>
      </c>
      <c r="BY137" s="831"/>
      <c r="BZ137" s="831">
        <f t="shared" si="421"/>
        <v>3599023.487500017</v>
      </c>
      <c r="CA137" s="1260">
        <f t="shared" si="422"/>
        <v>3599023.487500017</v>
      </c>
      <c r="CB137" s="1260">
        <f t="shared" si="423"/>
        <v>3599023.487500017</v>
      </c>
      <c r="CC137" s="1260"/>
      <c r="CD137" s="1260">
        <f t="shared" si="424"/>
        <v>0</v>
      </c>
      <c r="CE137" s="1260">
        <f t="shared" si="425"/>
        <v>0</v>
      </c>
      <c r="CF137" s="1260">
        <f t="shared" si="426"/>
        <v>0</v>
      </c>
      <c r="CG137" s="1266">
        <f t="shared" si="427"/>
        <v>3599023.487500017</v>
      </c>
      <c r="CH137" s="1141">
        <f t="shared" si="428"/>
        <v>3599023.487500017</v>
      </c>
      <c r="CI137" s="1142">
        <f t="shared" si="429"/>
        <v>0</v>
      </c>
      <c r="CJ137" s="1141">
        <f t="shared" si="430"/>
        <v>368899.90746875171</v>
      </c>
      <c r="CK137" s="1141">
        <f t="shared" si="431"/>
        <v>125965.82206250061</v>
      </c>
      <c r="CL137" s="1143">
        <f t="shared" si="329"/>
        <v>4093889.2170312693</v>
      </c>
      <c r="CM137" s="1144">
        <f t="shared" si="432"/>
        <v>0.125</v>
      </c>
      <c r="CN137" s="1141">
        <f t="shared" si="261"/>
        <v>511736.15212890867</v>
      </c>
      <c r="CO137" s="1141">
        <f t="shared" si="433"/>
        <v>30000</v>
      </c>
      <c r="CP137" s="1141">
        <f t="shared" si="263"/>
        <v>481736.15212890867</v>
      </c>
      <c r="CQ137" s="1145">
        <f t="shared" si="434"/>
        <v>13</v>
      </c>
      <c r="CR137" s="1141">
        <f t="shared" si="265"/>
        <v>37056.627086839129</v>
      </c>
      <c r="CS137" s="1144">
        <f t="shared" si="435"/>
        <v>0.875</v>
      </c>
      <c r="CT137" s="1141">
        <f t="shared" si="436"/>
        <v>3582153.0649023606</v>
      </c>
      <c r="CU137" s="1146">
        <f t="shared" si="375"/>
        <v>27772.394584426893</v>
      </c>
      <c r="CV137" s="1146">
        <f t="shared" si="376"/>
        <v>32197.404452549104</v>
      </c>
      <c r="CW137" s="1146">
        <f t="shared" si="377"/>
        <v>41591.834469414622</v>
      </c>
      <c r="CX137" s="1146">
        <f t="shared" si="378"/>
        <v>70930.924040053244</v>
      </c>
      <c r="CY137" s="1146">
        <f t="shared" si="437"/>
        <v>290989.67938670918</v>
      </c>
      <c r="CZ137" s="1146">
        <f t="shared" si="438"/>
        <v>115143.19864121001</v>
      </c>
      <c r="DA137" s="1146">
        <f t="shared" si="439"/>
        <v>83166.301583016568</v>
      </c>
      <c r="DB137" s="1146">
        <f t="shared" si="440"/>
        <v>63293.384283452273</v>
      </c>
      <c r="DC137" s="1146"/>
      <c r="DD137" s="1146"/>
      <c r="DE137" s="1146"/>
      <c r="DF137" s="1146"/>
      <c r="DG137" s="1146"/>
      <c r="DH137" s="1146"/>
      <c r="DI137" s="1146"/>
      <c r="DJ137" s="1146"/>
      <c r="DK137" s="1146"/>
      <c r="DL137" s="1146"/>
      <c r="DM137" s="1146"/>
      <c r="DN137" s="1146"/>
      <c r="DO137" s="1146"/>
      <c r="DP137" s="1146"/>
      <c r="DQ137" s="1146"/>
      <c r="DR137" s="1146"/>
      <c r="DS137" s="1146"/>
      <c r="DT137" s="1146"/>
      <c r="DU137" s="1146"/>
      <c r="DV137" s="1146"/>
      <c r="DW137" s="1146"/>
      <c r="DX137" s="1146"/>
      <c r="DY137" s="1146"/>
      <c r="DZ137" s="1146"/>
      <c r="EA137" s="1147">
        <f t="shared" si="379"/>
        <v>0.11107984924186465</v>
      </c>
      <c r="EB137" s="1148">
        <f t="shared" si="441"/>
        <v>0</v>
      </c>
      <c r="EC137" s="1190">
        <f t="shared" ref="EC137:EC200" si="484">$EC$7</f>
        <v>45839</v>
      </c>
      <c r="ED137" s="1031">
        <f t="shared" si="380"/>
        <v>20</v>
      </c>
      <c r="EE137" s="1191"/>
      <c r="EF137" s="1032">
        <f t="shared" si="381"/>
        <v>45904</v>
      </c>
      <c r="EG137" s="1029">
        <f t="shared" si="442"/>
        <v>22</v>
      </c>
      <c r="EH137" s="859" t="s">
        <v>490</v>
      </c>
      <c r="EI137" s="859" t="s">
        <v>480</v>
      </c>
      <c r="EJ137" s="860">
        <f t="shared" si="382"/>
        <v>16800</v>
      </c>
      <c r="EK137" s="860">
        <f t="shared" si="383"/>
        <v>369600</v>
      </c>
      <c r="EL137" s="861">
        <f t="shared" si="384"/>
        <v>0.1244094311508884</v>
      </c>
      <c r="EM137" s="1197"/>
      <c r="EN137" s="860"/>
      <c r="EO137" s="860"/>
      <c r="EP137" s="860">
        <f t="shared" si="385"/>
        <v>0</v>
      </c>
      <c r="EQ137" s="1197"/>
      <c r="ER137" s="1200"/>
      <c r="ES137" s="1197"/>
      <c r="ET137" s="1194" t="s">
        <v>296</v>
      </c>
      <c r="EU137" s="1197" t="b">
        <f t="shared" si="386"/>
        <v>1</v>
      </c>
      <c r="EV137" s="1197" t="s">
        <v>582</v>
      </c>
      <c r="EW137" s="1197" t="s">
        <v>482</v>
      </c>
      <c r="EX137" s="1197"/>
      <c r="EY137" s="1128" t="s">
        <v>587</v>
      </c>
      <c r="EZ137" s="1128" t="s">
        <v>484</v>
      </c>
      <c r="FA137" s="1169">
        <f t="shared" si="443"/>
        <v>0</v>
      </c>
      <c r="FI137" s="1309" t="s">
        <v>149</v>
      </c>
      <c r="FJ137" s="1159" t="s">
        <v>149</v>
      </c>
      <c r="FK137" s="1160" t="b">
        <f t="shared" si="444"/>
        <v>1</v>
      </c>
      <c r="FL137" s="1131"/>
      <c r="FM137" s="1161"/>
      <c r="FP137" s="1166"/>
      <c r="FQ137" s="1203"/>
      <c r="FU137" s="1295"/>
      <c r="FV137" s="1295"/>
      <c r="FW137" s="1023">
        <v>0.15</v>
      </c>
      <c r="FX137" s="1162">
        <v>15293.37816308613</v>
      </c>
      <c r="FY137" s="1163">
        <v>15771.296230682572</v>
      </c>
      <c r="GA137" s="1164">
        <f t="shared" si="445"/>
        <v>4093889.2170312693</v>
      </c>
      <c r="GB137" s="1165">
        <f t="shared" ref="GB137:GB192" si="485">$GB$5</f>
        <v>0.15</v>
      </c>
      <c r="GC137" s="1154">
        <f t="shared" si="446"/>
        <v>614083.38255469035</v>
      </c>
      <c r="GD137" s="1164">
        <f t="shared" si="447"/>
        <v>30000</v>
      </c>
      <c r="GE137" s="1154">
        <f t="shared" si="448"/>
        <v>584083.38255469035</v>
      </c>
      <c r="GF137" s="1060">
        <f t="shared" si="449"/>
        <v>35</v>
      </c>
      <c r="GG137" s="1166">
        <f t="shared" si="450"/>
        <v>16688.096644419726</v>
      </c>
      <c r="GI137" s="1164">
        <f t="shared" si="451"/>
        <v>4093889.2170312693</v>
      </c>
      <c r="GJ137" s="1154">
        <f t="shared" si="452"/>
        <v>409388.92170312698</v>
      </c>
      <c r="GK137" s="1154">
        <f t="shared" si="453"/>
        <v>102347.23042578174</v>
      </c>
      <c r="GL137" s="1166">
        <v>15000</v>
      </c>
      <c r="GM137" s="1154">
        <f t="shared" si="454"/>
        <v>394388.92170312698</v>
      </c>
      <c r="GN137" s="1060">
        <f t="shared" si="455"/>
        <v>35</v>
      </c>
      <c r="GO137" s="1154">
        <f t="shared" si="456"/>
        <v>11268.254905803627</v>
      </c>
      <c r="GS137" s="1010">
        <f t="shared" si="457"/>
        <v>4093889.2170312693</v>
      </c>
      <c r="GT137" s="1011">
        <f t="shared" si="458"/>
        <v>0.125</v>
      </c>
      <c r="GU137" s="1010">
        <f t="shared" si="459"/>
        <v>511736.15212890867</v>
      </c>
      <c r="GV137" s="1010">
        <f t="shared" si="460"/>
        <v>30000</v>
      </c>
      <c r="GW137" s="1010">
        <f t="shared" si="461"/>
        <v>481736.15212890867</v>
      </c>
      <c r="GX137" s="1010">
        <f t="shared" si="462"/>
        <v>13</v>
      </c>
      <c r="GY137" s="1010">
        <f t="shared" si="463"/>
        <v>37056.627086839129</v>
      </c>
      <c r="GZ137" s="1011">
        <f t="shared" si="464"/>
        <v>0.875</v>
      </c>
      <c r="HA137" s="1010">
        <f t="shared" si="465"/>
        <v>3582153.0649023606</v>
      </c>
      <c r="HB137" s="1010">
        <f t="shared" si="466"/>
        <v>27772.394584426893</v>
      </c>
      <c r="HC137" s="1010">
        <f t="shared" si="467"/>
        <v>32197.404452549104</v>
      </c>
      <c r="HD137" s="1010">
        <f t="shared" si="468"/>
        <v>41591.834469414622</v>
      </c>
      <c r="HE137" s="1010">
        <f t="shared" si="469"/>
        <v>70930.924040053244</v>
      </c>
      <c r="HG137" s="1010">
        <f t="shared" si="470"/>
        <v>4093889.2170312693</v>
      </c>
      <c r="HH137" s="1011">
        <f t="shared" si="471"/>
        <v>0.125</v>
      </c>
      <c r="HI137" s="1010">
        <f t="shared" si="472"/>
        <v>511736.15212890867</v>
      </c>
      <c r="HJ137" s="1010">
        <f t="shared" si="473"/>
        <v>30000</v>
      </c>
      <c r="HK137" s="1010">
        <f t="shared" si="474"/>
        <v>481736.15212890867</v>
      </c>
      <c r="HL137" s="1012">
        <f t="shared" si="475"/>
        <v>33</v>
      </c>
      <c r="HM137" s="1167">
        <f t="shared" si="476"/>
        <v>14598.065216027535</v>
      </c>
      <c r="HN137" s="1168">
        <f t="shared" si="477"/>
        <v>0.875</v>
      </c>
      <c r="HO137" s="1167">
        <f t="shared" si="478"/>
        <v>3582153.0649023606</v>
      </c>
      <c r="HP137" s="1146">
        <f t="shared" si="479"/>
        <v>27772.394584426893</v>
      </c>
      <c r="HQ137" s="1146">
        <f t="shared" si="480"/>
        <v>32197.404452549104</v>
      </c>
      <c r="HR137" s="1146">
        <f t="shared" si="481"/>
        <v>41591.834469414622</v>
      </c>
      <c r="HS137" s="1146">
        <f t="shared" si="482"/>
        <v>70930.924040053244</v>
      </c>
      <c r="HU137" s="1167">
        <f t="shared" si="483"/>
        <v>-22458.561870811594</v>
      </c>
      <c r="HX137" s="1154"/>
      <c r="HY137" s="1154"/>
      <c r="IB137" s="1154"/>
      <c r="IC137" s="1154"/>
      <c r="ID137" s="1154"/>
      <c r="IE137" s="1154"/>
      <c r="IG137" s="1060"/>
    </row>
    <row r="138" spans="1:241" ht="14.25" hidden="1" customHeight="1">
      <c r="A138" s="1186">
        <f t="shared" si="330"/>
        <v>132</v>
      </c>
      <c r="B138" s="824" t="s">
        <v>149</v>
      </c>
      <c r="C138" s="855">
        <f t="shared" si="371"/>
        <v>9</v>
      </c>
      <c r="D138" s="856" t="s">
        <v>515</v>
      </c>
      <c r="E138" s="857" t="str">
        <f t="shared" si="387"/>
        <v>9th Floor</v>
      </c>
      <c r="F138" s="1185"/>
      <c r="G138" s="764" t="s">
        <v>297</v>
      </c>
      <c r="H138" s="764" t="s">
        <v>512</v>
      </c>
      <c r="I138" s="764" t="s">
        <v>476</v>
      </c>
      <c r="J138" s="1139">
        <v>22</v>
      </c>
      <c r="K138" s="1142"/>
      <c r="L138" s="764" t="s">
        <v>500</v>
      </c>
      <c r="M138" s="764" t="s">
        <v>93</v>
      </c>
      <c r="N138" s="856">
        <f t="shared" si="388"/>
        <v>100909.09090909091</v>
      </c>
      <c r="O138" s="1138">
        <f t="shared" si="324"/>
        <v>2220000</v>
      </c>
      <c r="P138" s="1138">
        <f t="shared" si="331"/>
        <v>22400</v>
      </c>
      <c r="Q138" s="1138">
        <f t="shared" si="374"/>
        <v>50000</v>
      </c>
      <c r="R138" s="1138"/>
      <c r="S138" s="1138"/>
      <c r="T138" s="1138"/>
      <c r="U138" s="1138"/>
      <c r="V138" s="858"/>
      <c r="W138" s="1138"/>
      <c r="X138" s="1138"/>
      <c r="Y138" s="1138">
        <f t="shared" si="373"/>
        <v>100000</v>
      </c>
      <c r="Z138" s="1138">
        <f t="shared" si="327"/>
        <v>75000</v>
      </c>
      <c r="AA138" s="1138">
        <f t="shared" si="328"/>
        <v>247400</v>
      </c>
      <c r="AB138" s="1138">
        <f t="shared" si="390"/>
        <v>2467400</v>
      </c>
      <c r="AC138" s="1138">
        <f t="shared" si="391"/>
        <v>61685</v>
      </c>
      <c r="AD138" s="1138">
        <f t="shared" si="392"/>
        <v>2529085</v>
      </c>
      <c r="AE138" s="1138">
        <f t="shared" si="393"/>
        <v>63227.125</v>
      </c>
      <c r="AF138" s="1138">
        <f t="shared" si="394"/>
        <v>2592312.125</v>
      </c>
      <c r="AG138" s="1138">
        <f t="shared" si="395"/>
        <v>64807.803125000006</v>
      </c>
      <c r="AH138" s="1138">
        <f t="shared" si="396"/>
        <v>2657119.9281250001</v>
      </c>
      <c r="AI138" s="1138">
        <f t="shared" si="397"/>
        <v>132855.99640625002</v>
      </c>
      <c r="AJ138" s="1138">
        <f t="shared" si="398"/>
        <v>2789975.9245312503</v>
      </c>
      <c r="AK138" s="1138">
        <f t="shared" si="399"/>
        <v>27899.759245312503</v>
      </c>
      <c r="AL138" s="1138">
        <f t="shared" si="400"/>
        <v>27537.409960060559</v>
      </c>
      <c r="AM138" s="1138"/>
      <c r="AN138" s="1138"/>
      <c r="AO138" s="1138">
        <f t="shared" si="401"/>
        <v>2845413.0937366229</v>
      </c>
      <c r="AP138" s="1138">
        <f t="shared" si="402"/>
        <v>384130.76765444415</v>
      </c>
      <c r="AQ138" s="1248">
        <f t="shared" si="403"/>
        <v>3229543.861391067</v>
      </c>
      <c r="AR138" s="1248">
        <f t="shared" si="347"/>
        <v>2899543.861391067</v>
      </c>
      <c r="AS138" s="1248">
        <v>15000</v>
      </c>
      <c r="AT138" s="1248">
        <f t="shared" si="348"/>
        <v>330000</v>
      </c>
      <c r="AU138" s="1248">
        <f t="shared" si="404"/>
        <v>39600</v>
      </c>
      <c r="AV138" s="1140">
        <f t="shared" si="405"/>
        <v>369600</v>
      </c>
      <c r="AW138" s="1140">
        <f t="shared" si="406"/>
        <v>3269143.861391067</v>
      </c>
      <c r="AX138" s="1139">
        <f t="shared" si="407"/>
        <v>40864.298267388338</v>
      </c>
      <c r="AY138" s="831" t="s">
        <v>478</v>
      </c>
      <c r="AZ138" s="831">
        <f t="shared" si="408"/>
        <v>3310008.1596584553</v>
      </c>
      <c r="BA138" s="831">
        <f t="shared" si="409"/>
        <v>124125.30598719207</v>
      </c>
      <c r="BB138" s="831"/>
      <c r="BC138" s="831">
        <f t="shared" si="346"/>
        <v>33600</v>
      </c>
      <c r="BD138" s="831"/>
      <c r="BE138" s="831">
        <f t="shared" si="410"/>
        <v>3467733.4656456471</v>
      </c>
      <c r="BF138" s="831"/>
      <c r="BG138" s="831">
        <f t="shared" si="411"/>
        <v>3467733.4656456471</v>
      </c>
      <c r="BH138" s="831"/>
      <c r="BI138" s="831">
        <f t="shared" si="412"/>
        <v>3467733.4656456471</v>
      </c>
      <c r="BJ138" s="831"/>
      <c r="BK138" s="831">
        <f t="shared" si="413"/>
        <v>3467733.4656456471</v>
      </c>
      <c r="BL138" s="831"/>
      <c r="BM138" s="831">
        <f t="shared" si="414"/>
        <v>3467733.4656456471</v>
      </c>
      <c r="BN138" s="831"/>
      <c r="BO138" s="831">
        <f t="shared" si="415"/>
        <v>3467733.4656456471</v>
      </c>
      <c r="BP138" s="831"/>
      <c r="BQ138" s="831">
        <f t="shared" si="416"/>
        <v>3467733.4656456471</v>
      </c>
      <c r="BR138" s="831"/>
      <c r="BS138" s="831">
        <f t="shared" si="417"/>
        <v>3467733.4656456471</v>
      </c>
      <c r="BT138" s="831"/>
      <c r="BU138" s="831">
        <f t="shared" si="418"/>
        <v>3467733.4656456471</v>
      </c>
      <c r="BV138" s="831"/>
      <c r="BW138" s="831">
        <f t="shared" si="419"/>
        <v>56400</v>
      </c>
      <c r="BX138" s="831">
        <f t="shared" si="420"/>
        <v>3524133.4656456471</v>
      </c>
      <c r="BY138" s="831"/>
      <c r="BZ138" s="831">
        <f t="shared" si="421"/>
        <v>3524133.4656456471</v>
      </c>
      <c r="CA138" s="1260">
        <f t="shared" si="422"/>
        <v>3524133.4656456471</v>
      </c>
      <c r="CB138" s="1260">
        <f t="shared" si="423"/>
        <v>3524133.4656456471</v>
      </c>
      <c r="CC138" s="1260"/>
      <c r="CD138" s="1260">
        <f t="shared" si="424"/>
        <v>0</v>
      </c>
      <c r="CE138" s="1260">
        <f t="shared" si="425"/>
        <v>0</v>
      </c>
      <c r="CF138" s="1260">
        <f t="shared" si="426"/>
        <v>0</v>
      </c>
      <c r="CG138" s="1266">
        <f t="shared" si="427"/>
        <v>3524133.4656456471</v>
      </c>
      <c r="CH138" s="1141">
        <f t="shared" si="428"/>
        <v>3524133.4656456471</v>
      </c>
      <c r="CI138" s="1142">
        <f t="shared" si="429"/>
        <v>0</v>
      </c>
      <c r="CJ138" s="1141">
        <f t="shared" si="430"/>
        <v>361223.6802286788</v>
      </c>
      <c r="CK138" s="1141">
        <f t="shared" si="431"/>
        <v>123344.67129759766</v>
      </c>
      <c r="CL138" s="1143">
        <f t="shared" si="329"/>
        <v>4008701.8171719238</v>
      </c>
      <c r="CM138" s="1144">
        <f t="shared" si="432"/>
        <v>0.125</v>
      </c>
      <c r="CN138" s="1141">
        <f t="shared" si="261"/>
        <v>501087.72714649048</v>
      </c>
      <c r="CO138" s="1141">
        <f t="shared" si="433"/>
        <v>30000</v>
      </c>
      <c r="CP138" s="1141">
        <f t="shared" si="263"/>
        <v>471087.72714649048</v>
      </c>
      <c r="CQ138" s="1145">
        <f t="shared" si="434"/>
        <v>13</v>
      </c>
      <c r="CR138" s="1141">
        <f t="shared" si="265"/>
        <v>36237.517472806961</v>
      </c>
      <c r="CS138" s="1144">
        <f t="shared" si="435"/>
        <v>0.875</v>
      </c>
      <c r="CT138" s="1141">
        <f t="shared" si="436"/>
        <v>3507614.0900254333</v>
      </c>
      <c r="CU138" s="1146">
        <f t="shared" si="375"/>
        <v>27194.494705584857</v>
      </c>
      <c r="CV138" s="1146">
        <f t="shared" si="376"/>
        <v>31527.427073551698</v>
      </c>
      <c r="CW138" s="1146">
        <f t="shared" si="377"/>
        <v>40726.373767867095</v>
      </c>
      <c r="CX138" s="1146">
        <f t="shared" si="378"/>
        <v>69454.962999521085</v>
      </c>
      <c r="CY138" s="1146">
        <f t="shared" si="437"/>
        <v>284934.64153425989</v>
      </c>
      <c r="CZ138" s="1146">
        <f t="shared" si="438"/>
        <v>112747.24965877863</v>
      </c>
      <c r="DA138" s="1146">
        <f t="shared" si="439"/>
        <v>81435.741567298086</v>
      </c>
      <c r="DB138" s="1146">
        <f t="shared" si="440"/>
        <v>61976.348440622212</v>
      </c>
      <c r="DC138" s="1146"/>
      <c r="DD138" s="1146"/>
      <c r="DE138" s="1146"/>
      <c r="DF138" s="1146"/>
      <c r="DG138" s="1146"/>
      <c r="DH138" s="1146"/>
      <c r="DI138" s="1146"/>
      <c r="DJ138" s="1146"/>
      <c r="DK138" s="1146"/>
      <c r="DL138" s="1146"/>
      <c r="DM138" s="1146"/>
      <c r="DN138" s="1146"/>
      <c r="DO138" s="1146"/>
      <c r="DP138" s="1146"/>
      <c r="DQ138" s="1146"/>
      <c r="DR138" s="1146"/>
      <c r="DS138" s="1146"/>
      <c r="DT138" s="1146"/>
      <c r="DU138" s="1146"/>
      <c r="DV138" s="1146"/>
      <c r="DW138" s="1146"/>
      <c r="DX138" s="1146"/>
      <c r="DY138" s="1146"/>
      <c r="DZ138" s="1146"/>
      <c r="EA138" s="1147">
        <f t="shared" si="379"/>
        <v>0.1138110046873653</v>
      </c>
      <c r="EB138" s="1148">
        <f t="shared" si="441"/>
        <v>0</v>
      </c>
      <c r="EC138" s="1190">
        <f t="shared" si="484"/>
        <v>45839</v>
      </c>
      <c r="ED138" s="1031">
        <f t="shared" si="380"/>
        <v>20</v>
      </c>
      <c r="EE138" s="1191"/>
      <c r="EF138" s="1032">
        <f t="shared" si="381"/>
        <v>45904</v>
      </c>
      <c r="EG138" s="1029">
        <f t="shared" si="442"/>
        <v>22</v>
      </c>
      <c r="EH138" s="859" t="s">
        <v>490</v>
      </c>
      <c r="EI138" s="859" t="s">
        <v>480</v>
      </c>
      <c r="EJ138" s="860">
        <f t="shared" si="382"/>
        <v>16800</v>
      </c>
      <c r="EK138" s="860">
        <f t="shared" si="383"/>
        <v>369600</v>
      </c>
      <c r="EL138" s="861">
        <f t="shared" si="384"/>
        <v>0.12746832524984913</v>
      </c>
      <c r="EM138" s="1197"/>
      <c r="EN138" s="860"/>
      <c r="EO138" s="860"/>
      <c r="EP138" s="860">
        <f t="shared" si="385"/>
        <v>0</v>
      </c>
      <c r="EQ138" s="1197"/>
      <c r="ER138" s="1200"/>
      <c r="ES138" s="1197"/>
      <c r="ET138" s="1194" t="s">
        <v>297</v>
      </c>
      <c r="EU138" s="1197" t="b">
        <f t="shared" si="386"/>
        <v>1</v>
      </c>
      <c r="EV138" s="1197" t="s">
        <v>628</v>
      </c>
      <c r="EW138" s="1197" t="s">
        <v>482</v>
      </c>
      <c r="EX138" s="1197"/>
      <c r="EY138" s="1128" t="s">
        <v>587</v>
      </c>
      <c r="EZ138" s="1128" t="s">
        <v>484</v>
      </c>
      <c r="FA138" s="1169">
        <f t="shared" si="443"/>
        <v>0</v>
      </c>
      <c r="FI138" s="1309" t="s">
        <v>149</v>
      </c>
      <c r="FJ138" s="1159" t="s">
        <v>149</v>
      </c>
      <c r="FK138" s="1160" t="b">
        <f t="shared" si="444"/>
        <v>1</v>
      </c>
      <c r="FL138" s="1131"/>
      <c r="FM138" s="1161"/>
      <c r="FP138" s="1166"/>
      <c r="FQ138" s="1203"/>
      <c r="FU138" s="1295"/>
      <c r="FV138" s="1295"/>
      <c r="FW138" s="1023">
        <v>0.15</v>
      </c>
      <c r="FX138" s="1162">
        <v>14648.125703502761</v>
      </c>
      <c r="FY138" s="1163">
        <v>15105.879631737222</v>
      </c>
      <c r="GA138" s="1164">
        <f t="shared" si="445"/>
        <v>4008701.8171719238</v>
      </c>
      <c r="GB138" s="1165">
        <f t="shared" si="485"/>
        <v>0.15</v>
      </c>
      <c r="GC138" s="1154">
        <f t="shared" si="446"/>
        <v>601305.27257578855</v>
      </c>
      <c r="GD138" s="1164">
        <f t="shared" si="447"/>
        <v>30000</v>
      </c>
      <c r="GE138" s="1154">
        <f t="shared" si="448"/>
        <v>571305.27257578855</v>
      </c>
      <c r="GF138" s="1060">
        <f t="shared" si="449"/>
        <v>35</v>
      </c>
      <c r="GG138" s="1166">
        <f t="shared" si="450"/>
        <v>16323.007787879673</v>
      </c>
      <c r="GI138" s="1164">
        <f t="shared" si="451"/>
        <v>4008701.8171719238</v>
      </c>
      <c r="GJ138" s="1154">
        <f t="shared" si="452"/>
        <v>400870.1817171924</v>
      </c>
      <c r="GK138" s="1154">
        <f t="shared" si="453"/>
        <v>100217.5454292981</v>
      </c>
      <c r="GL138" s="1166">
        <v>15000</v>
      </c>
      <c r="GM138" s="1154">
        <f t="shared" si="454"/>
        <v>385870.1817171924</v>
      </c>
      <c r="GN138" s="1060">
        <f t="shared" si="455"/>
        <v>35</v>
      </c>
      <c r="GO138" s="1154">
        <f t="shared" si="456"/>
        <v>11024.862334776926</v>
      </c>
      <c r="GS138" s="1010">
        <f t="shared" si="457"/>
        <v>4008701.8171719238</v>
      </c>
      <c r="GT138" s="1011">
        <f t="shared" si="458"/>
        <v>0.125</v>
      </c>
      <c r="GU138" s="1010">
        <f t="shared" si="459"/>
        <v>501087.72714649048</v>
      </c>
      <c r="GV138" s="1010">
        <f t="shared" si="460"/>
        <v>30000</v>
      </c>
      <c r="GW138" s="1010">
        <f t="shared" si="461"/>
        <v>471087.72714649048</v>
      </c>
      <c r="GX138" s="1010">
        <f t="shared" si="462"/>
        <v>13</v>
      </c>
      <c r="GY138" s="1010">
        <f t="shared" si="463"/>
        <v>36237.517472806961</v>
      </c>
      <c r="GZ138" s="1011">
        <f t="shared" si="464"/>
        <v>0.875</v>
      </c>
      <c r="HA138" s="1010">
        <f t="shared" si="465"/>
        <v>3507614.0900254333</v>
      </c>
      <c r="HB138" s="1010">
        <f t="shared" si="466"/>
        <v>27194.494705584857</v>
      </c>
      <c r="HC138" s="1010">
        <f t="shared" si="467"/>
        <v>31527.427073551698</v>
      </c>
      <c r="HD138" s="1010">
        <f t="shared" si="468"/>
        <v>40726.373767867095</v>
      </c>
      <c r="HE138" s="1010">
        <f t="shared" si="469"/>
        <v>69454.962999521085</v>
      </c>
      <c r="HG138" s="1010">
        <f t="shared" si="470"/>
        <v>4008701.8171719238</v>
      </c>
      <c r="HH138" s="1011">
        <f t="shared" si="471"/>
        <v>0.125</v>
      </c>
      <c r="HI138" s="1010">
        <f t="shared" si="472"/>
        <v>501087.72714649048</v>
      </c>
      <c r="HJ138" s="1010">
        <f t="shared" si="473"/>
        <v>30000</v>
      </c>
      <c r="HK138" s="1010">
        <f t="shared" si="474"/>
        <v>471087.72714649048</v>
      </c>
      <c r="HL138" s="1012">
        <f t="shared" si="475"/>
        <v>33</v>
      </c>
      <c r="HM138" s="1167">
        <f t="shared" si="476"/>
        <v>14275.385671105772</v>
      </c>
      <c r="HN138" s="1168">
        <f t="shared" si="477"/>
        <v>0.875</v>
      </c>
      <c r="HO138" s="1167">
        <f t="shared" si="478"/>
        <v>3507614.0900254333</v>
      </c>
      <c r="HP138" s="1146">
        <f t="shared" si="479"/>
        <v>27194.494705584857</v>
      </c>
      <c r="HQ138" s="1146">
        <f t="shared" si="480"/>
        <v>31527.427073551698</v>
      </c>
      <c r="HR138" s="1146">
        <f t="shared" si="481"/>
        <v>40726.373767867095</v>
      </c>
      <c r="HS138" s="1146">
        <f t="shared" si="482"/>
        <v>69454.962999521085</v>
      </c>
      <c r="HU138" s="1167">
        <f t="shared" si="483"/>
        <v>-21962.131801701187</v>
      </c>
      <c r="HX138" s="1154"/>
      <c r="HY138" s="1154"/>
      <c r="IB138" s="1154"/>
      <c r="IC138" s="1154"/>
      <c r="ID138" s="1154"/>
      <c r="IE138" s="1154"/>
      <c r="IG138" s="1060"/>
    </row>
    <row r="139" spans="1:241" ht="14.25" hidden="1" customHeight="1">
      <c r="A139" s="1186">
        <f t="shared" si="330"/>
        <v>133</v>
      </c>
      <c r="B139" s="824"/>
      <c r="C139" s="855">
        <f t="shared" si="371"/>
        <v>10</v>
      </c>
      <c r="D139" s="856" t="s">
        <v>515</v>
      </c>
      <c r="E139" s="857" t="str">
        <f t="shared" si="387"/>
        <v>9th Floor</v>
      </c>
      <c r="F139" s="1185"/>
      <c r="G139" s="764" t="s">
        <v>298</v>
      </c>
      <c r="H139" s="764" t="s">
        <v>516</v>
      </c>
      <c r="I139" s="764" t="s">
        <v>476</v>
      </c>
      <c r="J139" s="1139">
        <v>22</v>
      </c>
      <c r="K139" s="1142"/>
      <c r="L139" s="764" t="s">
        <v>500</v>
      </c>
      <c r="M139" s="764" t="s">
        <v>93</v>
      </c>
      <c r="N139" s="856">
        <f t="shared" si="388"/>
        <v>100909.09090909091</v>
      </c>
      <c r="O139" s="1138">
        <f t="shared" si="324"/>
        <v>2220000</v>
      </c>
      <c r="P139" s="1138">
        <f t="shared" si="331"/>
        <v>22400</v>
      </c>
      <c r="Q139" s="1138">
        <f t="shared" si="374"/>
        <v>50000</v>
      </c>
      <c r="R139" s="1138"/>
      <c r="S139" s="1138"/>
      <c r="T139" s="1138"/>
      <c r="U139" s="1138"/>
      <c r="V139" s="1138"/>
      <c r="W139" s="858"/>
      <c r="X139" s="1138"/>
      <c r="Y139" s="1138">
        <f t="shared" si="373"/>
        <v>100000</v>
      </c>
      <c r="Z139" s="1138">
        <f t="shared" si="327"/>
        <v>75000</v>
      </c>
      <c r="AA139" s="1138">
        <f t="shared" si="328"/>
        <v>247400</v>
      </c>
      <c r="AB139" s="1138">
        <f t="shared" si="390"/>
        <v>2467400</v>
      </c>
      <c r="AC139" s="1138">
        <f t="shared" si="391"/>
        <v>61685</v>
      </c>
      <c r="AD139" s="1138">
        <f t="shared" si="392"/>
        <v>2529085</v>
      </c>
      <c r="AE139" s="1138">
        <f t="shared" si="393"/>
        <v>63227.125</v>
      </c>
      <c r="AF139" s="1138">
        <f t="shared" si="394"/>
        <v>2592312.125</v>
      </c>
      <c r="AG139" s="1138">
        <f t="shared" si="395"/>
        <v>64807.803125000006</v>
      </c>
      <c r="AH139" s="1138">
        <f t="shared" si="396"/>
        <v>2657119.9281250001</v>
      </c>
      <c r="AI139" s="1138">
        <f t="shared" si="397"/>
        <v>132855.99640625002</v>
      </c>
      <c r="AJ139" s="1138">
        <f t="shared" si="398"/>
        <v>2789975.9245312503</v>
      </c>
      <c r="AK139" s="1138">
        <f t="shared" si="399"/>
        <v>27899.759245312503</v>
      </c>
      <c r="AL139" s="1138">
        <f t="shared" si="400"/>
        <v>27537.409960060559</v>
      </c>
      <c r="AM139" s="1138"/>
      <c r="AN139" s="1138"/>
      <c r="AO139" s="1138">
        <f t="shared" si="401"/>
        <v>2845413.0937366229</v>
      </c>
      <c r="AP139" s="1138">
        <f t="shared" si="402"/>
        <v>384130.76765444415</v>
      </c>
      <c r="AQ139" s="1248">
        <f t="shared" si="403"/>
        <v>3229543.861391067</v>
      </c>
      <c r="AR139" s="1248">
        <f t="shared" si="347"/>
        <v>2899543.861391067</v>
      </c>
      <c r="AS139" s="1248">
        <v>15000</v>
      </c>
      <c r="AT139" s="1248">
        <f t="shared" si="348"/>
        <v>330000</v>
      </c>
      <c r="AU139" s="1248">
        <f t="shared" si="404"/>
        <v>39600</v>
      </c>
      <c r="AV139" s="1140">
        <f t="shared" si="405"/>
        <v>369600</v>
      </c>
      <c r="AW139" s="1140">
        <f t="shared" si="406"/>
        <v>3269143.861391067</v>
      </c>
      <c r="AX139" s="1139">
        <f t="shared" si="407"/>
        <v>40864.298267388338</v>
      </c>
      <c r="AY139" s="831" t="s">
        <v>478</v>
      </c>
      <c r="AZ139" s="831">
        <f t="shared" si="408"/>
        <v>3310008.1596584553</v>
      </c>
      <c r="BA139" s="831">
        <f t="shared" si="409"/>
        <v>124125.30598719207</v>
      </c>
      <c r="BB139" s="831"/>
      <c r="BC139" s="831">
        <f t="shared" si="346"/>
        <v>33600</v>
      </c>
      <c r="BD139" s="831"/>
      <c r="BE139" s="831">
        <f t="shared" si="410"/>
        <v>3467733.4656456471</v>
      </c>
      <c r="BF139" s="831"/>
      <c r="BG139" s="831">
        <f t="shared" si="411"/>
        <v>3467733.4656456471</v>
      </c>
      <c r="BH139" s="831"/>
      <c r="BI139" s="831">
        <f t="shared" si="412"/>
        <v>3467733.4656456471</v>
      </c>
      <c r="BJ139" s="831"/>
      <c r="BK139" s="831">
        <f t="shared" si="413"/>
        <v>3467733.4656456471</v>
      </c>
      <c r="BL139" s="831"/>
      <c r="BM139" s="831">
        <f t="shared" si="414"/>
        <v>3467733.4656456471</v>
      </c>
      <c r="BN139" s="831"/>
      <c r="BO139" s="831">
        <f t="shared" si="415"/>
        <v>3467733.4656456471</v>
      </c>
      <c r="BP139" s="831"/>
      <c r="BQ139" s="831">
        <f t="shared" si="416"/>
        <v>3467733.4656456471</v>
      </c>
      <c r="BR139" s="831"/>
      <c r="BS139" s="831">
        <f t="shared" si="417"/>
        <v>3467733.4656456471</v>
      </c>
      <c r="BT139" s="831"/>
      <c r="BU139" s="831">
        <f t="shared" si="418"/>
        <v>3467733.4656456471</v>
      </c>
      <c r="BV139" s="831"/>
      <c r="BW139" s="831">
        <f t="shared" si="419"/>
        <v>56400</v>
      </c>
      <c r="BX139" s="831">
        <f t="shared" si="420"/>
        <v>3524133.4656456471</v>
      </c>
      <c r="BY139" s="831"/>
      <c r="BZ139" s="831">
        <f t="shared" si="421"/>
        <v>3524133.4656456471</v>
      </c>
      <c r="CA139" s="1260">
        <f t="shared" si="422"/>
        <v>3524133.4656456471</v>
      </c>
      <c r="CB139" s="1260">
        <f t="shared" si="423"/>
        <v>3524133.4656456471</v>
      </c>
      <c r="CC139" s="1260"/>
      <c r="CD139" s="1260">
        <f t="shared" si="424"/>
        <v>0</v>
      </c>
      <c r="CE139" s="1260">
        <f t="shared" si="425"/>
        <v>0</v>
      </c>
      <c r="CF139" s="1260">
        <f t="shared" si="426"/>
        <v>0</v>
      </c>
      <c r="CG139" s="1266">
        <f t="shared" si="427"/>
        <v>3524133.4656456471</v>
      </c>
      <c r="CH139" s="1141">
        <f t="shared" si="428"/>
        <v>3524133.4656456471</v>
      </c>
      <c r="CI139" s="1142">
        <f t="shared" si="429"/>
        <v>0</v>
      </c>
      <c r="CJ139" s="1141">
        <f t="shared" si="430"/>
        <v>361223.6802286788</v>
      </c>
      <c r="CK139" s="1141">
        <f t="shared" si="431"/>
        <v>123344.67129759766</v>
      </c>
      <c r="CL139" s="1143">
        <f t="shared" si="329"/>
        <v>4008701.8171719238</v>
      </c>
      <c r="CM139" s="1144">
        <f t="shared" si="432"/>
        <v>0.125</v>
      </c>
      <c r="CN139" s="1141">
        <f t="shared" si="261"/>
        <v>501087.72714649048</v>
      </c>
      <c r="CO139" s="1141">
        <f t="shared" si="433"/>
        <v>30000</v>
      </c>
      <c r="CP139" s="1141">
        <f t="shared" si="263"/>
        <v>471087.72714649048</v>
      </c>
      <c r="CQ139" s="1145">
        <f t="shared" si="434"/>
        <v>13</v>
      </c>
      <c r="CR139" s="1141">
        <f t="shared" si="265"/>
        <v>36237.517472806961</v>
      </c>
      <c r="CS139" s="1144">
        <f t="shared" si="435"/>
        <v>0.875</v>
      </c>
      <c r="CT139" s="1141">
        <f t="shared" si="436"/>
        <v>3507614.0900254333</v>
      </c>
      <c r="CU139" s="1146">
        <f t="shared" si="375"/>
        <v>27194.494705584857</v>
      </c>
      <c r="CV139" s="1146">
        <f t="shared" si="376"/>
        <v>31527.427073551698</v>
      </c>
      <c r="CW139" s="1146">
        <f t="shared" si="377"/>
        <v>40726.373767867095</v>
      </c>
      <c r="CX139" s="1146">
        <f t="shared" si="378"/>
        <v>69454.962999521085</v>
      </c>
      <c r="CY139" s="1146">
        <f t="shared" si="437"/>
        <v>284934.64153425989</v>
      </c>
      <c r="CZ139" s="1146">
        <f t="shared" si="438"/>
        <v>112747.24965877863</v>
      </c>
      <c r="DA139" s="1146">
        <f t="shared" si="439"/>
        <v>81435.741567298086</v>
      </c>
      <c r="DB139" s="1146">
        <f t="shared" si="440"/>
        <v>61976.348440622212</v>
      </c>
      <c r="DC139" s="1146"/>
      <c r="DD139" s="1146"/>
      <c r="DE139" s="1146"/>
      <c r="DF139" s="1146"/>
      <c r="DG139" s="1146"/>
      <c r="DH139" s="1146"/>
      <c r="DI139" s="1146"/>
      <c r="DJ139" s="1146"/>
      <c r="DK139" s="1146"/>
      <c r="DL139" s="1146"/>
      <c r="DM139" s="1146"/>
      <c r="DN139" s="1146"/>
      <c r="DO139" s="1146"/>
      <c r="DP139" s="1146"/>
      <c r="DQ139" s="1146"/>
      <c r="DR139" s="1146"/>
      <c r="DS139" s="1146"/>
      <c r="DT139" s="1146"/>
      <c r="DU139" s="1146"/>
      <c r="DV139" s="1146"/>
      <c r="DW139" s="1146"/>
      <c r="DX139" s="1146"/>
      <c r="DY139" s="1146"/>
      <c r="DZ139" s="1146"/>
      <c r="EA139" s="1147">
        <f t="shared" si="379"/>
        <v>0.1138110046873653</v>
      </c>
      <c r="EB139" s="1148">
        <f t="shared" si="441"/>
        <v>0</v>
      </c>
      <c r="EC139" s="1190">
        <f t="shared" si="484"/>
        <v>45839</v>
      </c>
      <c r="ED139" s="1031">
        <f t="shared" si="380"/>
        <v>20</v>
      </c>
      <c r="EE139" s="1191"/>
      <c r="EF139" s="1032">
        <f t="shared" si="381"/>
        <v>45904</v>
      </c>
      <c r="EG139" s="1029">
        <f t="shared" si="442"/>
        <v>22</v>
      </c>
      <c r="EH139" s="859" t="s">
        <v>490</v>
      </c>
      <c r="EI139" s="859" t="s">
        <v>480</v>
      </c>
      <c r="EJ139" s="860">
        <f t="shared" si="382"/>
        <v>16800</v>
      </c>
      <c r="EK139" s="860">
        <f t="shared" si="383"/>
        <v>369600</v>
      </c>
      <c r="EL139" s="861">
        <f t="shared" si="384"/>
        <v>0.12746832524984913</v>
      </c>
      <c r="EM139" s="1197"/>
      <c r="EN139" s="860"/>
      <c r="EO139" s="860"/>
      <c r="EP139" s="860">
        <f t="shared" si="385"/>
        <v>0</v>
      </c>
      <c r="EQ139" s="1197"/>
      <c r="ER139" s="1200"/>
      <c r="ES139" s="1197"/>
      <c r="ET139" s="1194" t="s">
        <v>298</v>
      </c>
      <c r="EU139" s="1197" t="b">
        <f t="shared" si="386"/>
        <v>1</v>
      </c>
      <c r="EV139" s="1197"/>
      <c r="EW139" s="1197"/>
      <c r="EX139" s="1197"/>
      <c r="EY139" s="1128" t="s">
        <v>587</v>
      </c>
      <c r="EZ139" s="1128" t="s">
        <v>484</v>
      </c>
      <c r="FA139" s="1169">
        <f t="shared" si="443"/>
        <v>0</v>
      </c>
      <c r="FI139" s="1309" t="s">
        <v>149</v>
      </c>
      <c r="FJ139" s="1159" t="s">
        <v>149</v>
      </c>
      <c r="FK139" s="1160" t="b">
        <f t="shared" si="444"/>
        <v>1</v>
      </c>
      <c r="FL139" s="1131"/>
      <c r="FM139" s="1161"/>
      <c r="FP139" s="1166"/>
      <c r="FQ139" s="1203"/>
      <c r="FU139" s="1295"/>
      <c r="FV139" s="1295"/>
      <c r="FW139" s="1023">
        <v>0.15</v>
      </c>
      <c r="FX139" s="1162">
        <v>14648.125703502761</v>
      </c>
      <c r="FY139" s="1163">
        <v>15105.879631737222</v>
      </c>
      <c r="GA139" s="1164">
        <f t="shared" si="445"/>
        <v>4008701.8171719238</v>
      </c>
      <c r="GB139" s="1165">
        <f t="shared" si="485"/>
        <v>0.15</v>
      </c>
      <c r="GC139" s="1154">
        <f t="shared" si="446"/>
        <v>601305.27257578855</v>
      </c>
      <c r="GD139" s="1164">
        <f t="shared" si="447"/>
        <v>30000</v>
      </c>
      <c r="GE139" s="1154">
        <f t="shared" si="448"/>
        <v>571305.27257578855</v>
      </c>
      <c r="GF139" s="1060">
        <f t="shared" si="449"/>
        <v>35</v>
      </c>
      <c r="GG139" s="1166">
        <f t="shared" si="450"/>
        <v>16323.007787879673</v>
      </c>
      <c r="GI139" s="1164">
        <f t="shared" si="451"/>
        <v>4008701.8171719238</v>
      </c>
      <c r="GJ139" s="1154">
        <f t="shared" si="452"/>
        <v>400870.1817171924</v>
      </c>
      <c r="GK139" s="1154">
        <f t="shared" si="453"/>
        <v>100217.5454292981</v>
      </c>
      <c r="GL139" s="1166">
        <v>15000</v>
      </c>
      <c r="GM139" s="1154">
        <f t="shared" si="454"/>
        <v>385870.1817171924</v>
      </c>
      <c r="GN139" s="1060">
        <f t="shared" si="455"/>
        <v>35</v>
      </c>
      <c r="GO139" s="1154">
        <f t="shared" si="456"/>
        <v>11024.862334776926</v>
      </c>
      <c r="GS139" s="1010">
        <f t="shared" si="457"/>
        <v>4008701.8171719238</v>
      </c>
      <c r="GT139" s="1011">
        <f t="shared" si="458"/>
        <v>0.125</v>
      </c>
      <c r="GU139" s="1010">
        <f t="shared" si="459"/>
        <v>501087.72714649048</v>
      </c>
      <c r="GV139" s="1010">
        <f t="shared" si="460"/>
        <v>30000</v>
      </c>
      <c r="GW139" s="1010">
        <f t="shared" si="461"/>
        <v>471087.72714649048</v>
      </c>
      <c r="GX139" s="1010">
        <f t="shared" si="462"/>
        <v>13</v>
      </c>
      <c r="GY139" s="1010">
        <f t="shared" si="463"/>
        <v>36237.517472806961</v>
      </c>
      <c r="GZ139" s="1011">
        <f t="shared" si="464"/>
        <v>0.875</v>
      </c>
      <c r="HA139" s="1010">
        <f t="shared" si="465"/>
        <v>3507614.0900254333</v>
      </c>
      <c r="HB139" s="1010">
        <f t="shared" si="466"/>
        <v>27194.494705584857</v>
      </c>
      <c r="HC139" s="1010">
        <f t="shared" si="467"/>
        <v>31527.427073551698</v>
      </c>
      <c r="HD139" s="1010">
        <f t="shared" si="468"/>
        <v>40726.373767867095</v>
      </c>
      <c r="HE139" s="1010">
        <f t="shared" si="469"/>
        <v>69454.962999521085</v>
      </c>
      <c r="HG139" s="1010">
        <f t="shared" si="470"/>
        <v>4008701.8171719238</v>
      </c>
      <c r="HH139" s="1011">
        <f t="shared" si="471"/>
        <v>0.125</v>
      </c>
      <c r="HI139" s="1010">
        <f t="shared" si="472"/>
        <v>501087.72714649048</v>
      </c>
      <c r="HJ139" s="1010">
        <f t="shared" si="473"/>
        <v>30000</v>
      </c>
      <c r="HK139" s="1010">
        <f t="shared" si="474"/>
        <v>471087.72714649048</v>
      </c>
      <c r="HL139" s="1012">
        <f t="shared" si="475"/>
        <v>33</v>
      </c>
      <c r="HM139" s="1167">
        <f t="shared" si="476"/>
        <v>14275.385671105772</v>
      </c>
      <c r="HN139" s="1168">
        <f t="shared" si="477"/>
        <v>0.875</v>
      </c>
      <c r="HO139" s="1167">
        <f t="shared" si="478"/>
        <v>3507614.0900254333</v>
      </c>
      <c r="HP139" s="1146">
        <f t="shared" si="479"/>
        <v>27194.494705584857</v>
      </c>
      <c r="HQ139" s="1146">
        <f t="shared" si="480"/>
        <v>31527.427073551698</v>
      </c>
      <c r="HR139" s="1146">
        <f t="shared" si="481"/>
        <v>40726.373767867095</v>
      </c>
      <c r="HS139" s="1146">
        <f t="shared" si="482"/>
        <v>69454.962999521085</v>
      </c>
      <c r="HU139" s="1167">
        <f t="shared" si="483"/>
        <v>-21962.131801701187</v>
      </c>
      <c r="HX139" s="1154"/>
      <c r="HY139" s="1154"/>
      <c r="IB139" s="1154"/>
      <c r="IC139" s="1154"/>
      <c r="ID139" s="1154"/>
      <c r="IE139" s="1154"/>
      <c r="IG139" s="1060"/>
    </row>
    <row r="140" spans="1:241" ht="14.25" hidden="1" customHeight="1">
      <c r="A140" s="1186">
        <f t="shared" si="330"/>
        <v>134</v>
      </c>
      <c r="B140" s="824" t="s">
        <v>149</v>
      </c>
      <c r="C140" s="855">
        <f t="shared" si="371"/>
        <v>11</v>
      </c>
      <c r="D140" s="856" t="s">
        <v>515</v>
      </c>
      <c r="E140" s="857" t="str">
        <f t="shared" si="387"/>
        <v>9th Floor</v>
      </c>
      <c r="F140" s="1185"/>
      <c r="G140" s="764" t="s">
        <v>299</v>
      </c>
      <c r="H140" s="764" t="s">
        <v>517</v>
      </c>
      <c r="I140" s="764" t="s">
        <v>476</v>
      </c>
      <c r="J140" s="1139">
        <v>22</v>
      </c>
      <c r="K140" s="1142"/>
      <c r="L140" s="764" t="s">
        <v>500</v>
      </c>
      <c r="M140" s="764" t="s">
        <v>93</v>
      </c>
      <c r="N140" s="856">
        <f t="shared" si="388"/>
        <v>100909.09090909091</v>
      </c>
      <c r="O140" s="1138">
        <f t="shared" si="324"/>
        <v>2220000</v>
      </c>
      <c r="P140" s="1138">
        <f t="shared" si="331"/>
        <v>22400</v>
      </c>
      <c r="Q140" s="1138">
        <f t="shared" si="374"/>
        <v>50000</v>
      </c>
      <c r="R140" s="1138"/>
      <c r="S140" s="1138"/>
      <c r="T140" s="1138"/>
      <c r="U140" s="1138"/>
      <c r="V140" s="1138"/>
      <c r="W140" s="858"/>
      <c r="X140" s="1138"/>
      <c r="Y140" s="1138">
        <f t="shared" si="373"/>
        <v>100000</v>
      </c>
      <c r="Z140" s="1138">
        <f t="shared" si="327"/>
        <v>75000</v>
      </c>
      <c r="AA140" s="1138">
        <f t="shared" si="328"/>
        <v>247400</v>
      </c>
      <c r="AB140" s="1138">
        <f t="shared" si="390"/>
        <v>2467400</v>
      </c>
      <c r="AC140" s="1138">
        <f t="shared" si="391"/>
        <v>61685</v>
      </c>
      <c r="AD140" s="1138">
        <f t="shared" si="392"/>
        <v>2529085</v>
      </c>
      <c r="AE140" s="1138">
        <f t="shared" si="393"/>
        <v>63227.125</v>
      </c>
      <c r="AF140" s="1138">
        <f t="shared" si="394"/>
        <v>2592312.125</v>
      </c>
      <c r="AG140" s="1138">
        <f t="shared" si="395"/>
        <v>64807.803125000006</v>
      </c>
      <c r="AH140" s="1138">
        <f t="shared" si="396"/>
        <v>2657119.9281250001</v>
      </c>
      <c r="AI140" s="1138">
        <f t="shared" si="397"/>
        <v>132855.99640625002</v>
      </c>
      <c r="AJ140" s="1138">
        <f t="shared" si="398"/>
        <v>2789975.9245312503</v>
      </c>
      <c r="AK140" s="1138">
        <f t="shared" si="399"/>
        <v>27899.759245312503</v>
      </c>
      <c r="AL140" s="1138">
        <f t="shared" si="400"/>
        <v>27537.409960060559</v>
      </c>
      <c r="AM140" s="1138"/>
      <c r="AN140" s="1138"/>
      <c r="AO140" s="1138">
        <f t="shared" si="401"/>
        <v>2845413.0937366229</v>
      </c>
      <c r="AP140" s="1138">
        <f t="shared" si="402"/>
        <v>384130.76765444415</v>
      </c>
      <c r="AQ140" s="1248">
        <f t="shared" si="403"/>
        <v>3229543.861391067</v>
      </c>
      <c r="AR140" s="1248">
        <f t="shared" si="347"/>
        <v>2899543.861391067</v>
      </c>
      <c r="AS140" s="1248">
        <v>15000</v>
      </c>
      <c r="AT140" s="1248">
        <f t="shared" si="348"/>
        <v>330000</v>
      </c>
      <c r="AU140" s="1248">
        <f t="shared" si="404"/>
        <v>39600</v>
      </c>
      <c r="AV140" s="1140">
        <f t="shared" si="405"/>
        <v>369600</v>
      </c>
      <c r="AW140" s="1140">
        <f t="shared" si="406"/>
        <v>3269143.861391067</v>
      </c>
      <c r="AX140" s="1139">
        <f t="shared" si="407"/>
        <v>40864.298267388338</v>
      </c>
      <c r="AY140" s="831" t="s">
        <v>478</v>
      </c>
      <c r="AZ140" s="831">
        <f t="shared" si="408"/>
        <v>3310008.1596584553</v>
      </c>
      <c r="BA140" s="831">
        <f t="shared" si="409"/>
        <v>124125.30598719207</v>
      </c>
      <c r="BB140" s="831"/>
      <c r="BC140" s="831">
        <f t="shared" si="346"/>
        <v>33600</v>
      </c>
      <c r="BD140" s="831"/>
      <c r="BE140" s="831">
        <f t="shared" si="410"/>
        <v>3467733.4656456471</v>
      </c>
      <c r="BF140" s="831"/>
      <c r="BG140" s="831">
        <f t="shared" si="411"/>
        <v>3467733.4656456471</v>
      </c>
      <c r="BH140" s="831"/>
      <c r="BI140" s="831">
        <f t="shared" si="412"/>
        <v>3467733.4656456471</v>
      </c>
      <c r="BJ140" s="831"/>
      <c r="BK140" s="831">
        <f t="shared" si="413"/>
        <v>3467733.4656456471</v>
      </c>
      <c r="BL140" s="831"/>
      <c r="BM140" s="831">
        <f t="shared" si="414"/>
        <v>3467733.4656456471</v>
      </c>
      <c r="BN140" s="831"/>
      <c r="BO140" s="831">
        <f t="shared" si="415"/>
        <v>3467733.4656456471</v>
      </c>
      <c r="BP140" s="831"/>
      <c r="BQ140" s="831">
        <f t="shared" si="416"/>
        <v>3467733.4656456471</v>
      </c>
      <c r="BR140" s="831"/>
      <c r="BS140" s="831">
        <f t="shared" si="417"/>
        <v>3467733.4656456471</v>
      </c>
      <c r="BT140" s="831"/>
      <c r="BU140" s="831">
        <f t="shared" si="418"/>
        <v>3467733.4656456471</v>
      </c>
      <c r="BV140" s="831"/>
      <c r="BW140" s="831">
        <f t="shared" si="419"/>
        <v>56400</v>
      </c>
      <c r="BX140" s="831">
        <f t="shared" si="420"/>
        <v>3524133.4656456471</v>
      </c>
      <c r="BY140" s="831"/>
      <c r="BZ140" s="831">
        <f t="shared" si="421"/>
        <v>3524133.4656456471</v>
      </c>
      <c r="CA140" s="1260">
        <f t="shared" si="422"/>
        <v>3524133.4656456471</v>
      </c>
      <c r="CB140" s="1260">
        <f t="shared" si="423"/>
        <v>3524133.4656456471</v>
      </c>
      <c r="CC140" s="1260"/>
      <c r="CD140" s="1260">
        <f t="shared" si="424"/>
        <v>0</v>
      </c>
      <c r="CE140" s="1260">
        <f t="shared" si="425"/>
        <v>0</v>
      </c>
      <c r="CF140" s="1260">
        <f t="shared" si="426"/>
        <v>0</v>
      </c>
      <c r="CG140" s="1266">
        <f t="shared" si="427"/>
        <v>3524133.4656456471</v>
      </c>
      <c r="CH140" s="1141">
        <f t="shared" si="428"/>
        <v>3524133.4656456471</v>
      </c>
      <c r="CI140" s="1142">
        <f t="shared" si="429"/>
        <v>0</v>
      </c>
      <c r="CJ140" s="1141">
        <f t="shared" si="430"/>
        <v>361223.6802286788</v>
      </c>
      <c r="CK140" s="1141">
        <f t="shared" si="431"/>
        <v>123344.67129759766</v>
      </c>
      <c r="CL140" s="1143">
        <f t="shared" si="329"/>
        <v>4008701.8171719238</v>
      </c>
      <c r="CM140" s="1144">
        <f t="shared" si="432"/>
        <v>0.125</v>
      </c>
      <c r="CN140" s="1141">
        <f t="shared" si="261"/>
        <v>501087.72714649048</v>
      </c>
      <c r="CO140" s="1141">
        <f t="shared" si="433"/>
        <v>30000</v>
      </c>
      <c r="CP140" s="1141">
        <f t="shared" si="263"/>
        <v>471087.72714649048</v>
      </c>
      <c r="CQ140" s="1145">
        <f t="shared" si="434"/>
        <v>13</v>
      </c>
      <c r="CR140" s="1141">
        <f t="shared" si="265"/>
        <v>36237.517472806961</v>
      </c>
      <c r="CS140" s="1144">
        <f t="shared" si="435"/>
        <v>0.875</v>
      </c>
      <c r="CT140" s="1141">
        <f t="shared" si="436"/>
        <v>3507614.0900254333</v>
      </c>
      <c r="CU140" s="1146">
        <f t="shared" si="375"/>
        <v>27194.494705584857</v>
      </c>
      <c r="CV140" s="1146">
        <f t="shared" si="376"/>
        <v>31527.427073551698</v>
      </c>
      <c r="CW140" s="1146">
        <f t="shared" si="377"/>
        <v>40726.373767867095</v>
      </c>
      <c r="CX140" s="1146">
        <f t="shared" si="378"/>
        <v>69454.962999521085</v>
      </c>
      <c r="CY140" s="1146">
        <f t="shared" si="437"/>
        <v>284934.64153425989</v>
      </c>
      <c r="CZ140" s="1146">
        <f t="shared" si="438"/>
        <v>112747.24965877863</v>
      </c>
      <c r="DA140" s="1146">
        <f t="shared" si="439"/>
        <v>81435.741567298086</v>
      </c>
      <c r="DB140" s="1146">
        <f t="shared" si="440"/>
        <v>61976.348440622212</v>
      </c>
      <c r="DC140" s="1146"/>
      <c r="DD140" s="1146"/>
      <c r="DE140" s="1146"/>
      <c r="DF140" s="1146"/>
      <c r="DG140" s="1146"/>
      <c r="DH140" s="1146"/>
      <c r="DI140" s="1146"/>
      <c r="DJ140" s="1146"/>
      <c r="DK140" s="1146"/>
      <c r="DL140" s="1146"/>
      <c r="DM140" s="1146"/>
      <c r="DN140" s="1146"/>
      <c r="DO140" s="1146"/>
      <c r="DP140" s="1146"/>
      <c r="DQ140" s="1146"/>
      <c r="DR140" s="1146"/>
      <c r="DS140" s="1146"/>
      <c r="DT140" s="1146"/>
      <c r="DU140" s="1146"/>
      <c r="DV140" s="1146"/>
      <c r="DW140" s="1146"/>
      <c r="DX140" s="1146"/>
      <c r="DY140" s="1146"/>
      <c r="DZ140" s="1146"/>
      <c r="EA140" s="1147">
        <f t="shared" si="379"/>
        <v>0.1138110046873653</v>
      </c>
      <c r="EB140" s="1148">
        <f t="shared" si="441"/>
        <v>0</v>
      </c>
      <c r="EC140" s="1190">
        <f t="shared" si="484"/>
        <v>45839</v>
      </c>
      <c r="ED140" s="1031">
        <f t="shared" si="380"/>
        <v>20</v>
      </c>
      <c r="EE140" s="1191"/>
      <c r="EF140" s="1032">
        <f t="shared" si="381"/>
        <v>45904</v>
      </c>
      <c r="EG140" s="1029">
        <f t="shared" si="442"/>
        <v>22</v>
      </c>
      <c r="EH140" s="859" t="s">
        <v>490</v>
      </c>
      <c r="EI140" s="859" t="s">
        <v>480</v>
      </c>
      <c r="EJ140" s="860">
        <f t="shared" si="382"/>
        <v>16800</v>
      </c>
      <c r="EK140" s="860">
        <f t="shared" si="383"/>
        <v>369600</v>
      </c>
      <c r="EL140" s="861">
        <f t="shared" si="384"/>
        <v>0.12746832524984913</v>
      </c>
      <c r="EM140" s="1197"/>
      <c r="EN140" s="860"/>
      <c r="EO140" s="860"/>
      <c r="EP140" s="860">
        <f t="shared" si="385"/>
        <v>0</v>
      </c>
      <c r="EQ140" s="1197"/>
      <c r="ER140" s="1200"/>
      <c r="ES140" s="1197"/>
      <c r="ET140" s="1194" t="s">
        <v>299</v>
      </c>
      <c r="EU140" s="1197" t="b">
        <f t="shared" si="386"/>
        <v>1</v>
      </c>
      <c r="EV140" s="1197" t="s">
        <v>629</v>
      </c>
      <c r="EW140" s="1197" t="s">
        <v>482</v>
      </c>
      <c r="EX140" s="1197"/>
      <c r="EY140" s="1128" t="s">
        <v>587</v>
      </c>
      <c r="EZ140" s="1128" t="s">
        <v>484</v>
      </c>
      <c r="FA140" s="1169">
        <f t="shared" si="443"/>
        <v>0</v>
      </c>
      <c r="FI140" s="1309" t="s">
        <v>149</v>
      </c>
      <c r="FJ140" s="1159" t="s">
        <v>149</v>
      </c>
      <c r="FK140" s="1160" t="b">
        <f t="shared" si="444"/>
        <v>1</v>
      </c>
      <c r="FL140" s="1131"/>
      <c r="FM140" s="1161"/>
      <c r="FP140" s="1166"/>
      <c r="FQ140" s="1203"/>
      <c r="FU140" s="1295"/>
      <c r="FV140" s="1295"/>
      <c r="FW140" s="1023">
        <v>0.15</v>
      </c>
      <c r="FX140" s="1162">
        <v>14648.125703502761</v>
      </c>
      <c r="FY140" s="1163">
        <v>15105.879631737222</v>
      </c>
      <c r="GA140" s="1164">
        <f t="shared" si="445"/>
        <v>4008701.8171719238</v>
      </c>
      <c r="GB140" s="1165">
        <f t="shared" si="485"/>
        <v>0.15</v>
      </c>
      <c r="GC140" s="1154">
        <f t="shared" si="446"/>
        <v>601305.27257578855</v>
      </c>
      <c r="GD140" s="1164">
        <f t="shared" si="447"/>
        <v>30000</v>
      </c>
      <c r="GE140" s="1154">
        <f t="shared" si="448"/>
        <v>571305.27257578855</v>
      </c>
      <c r="GF140" s="1060">
        <f t="shared" si="449"/>
        <v>35</v>
      </c>
      <c r="GG140" s="1166">
        <f t="shared" si="450"/>
        <v>16323.007787879673</v>
      </c>
      <c r="GI140" s="1164">
        <f t="shared" si="451"/>
        <v>4008701.8171719238</v>
      </c>
      <c r="GJ140" s="1154">
        <f t="shared" si="452"/>
        <v>400870.1817171924</v>
      </c>
      <c r="GK140" s="1154">
        <f t="shared" si="453"/>
        <v>100217.5454292981</v>
      </c>
      <c r="GL140" s="1166">
        <v>15000</v>
      </c>
      <c r="GM140" s="1154">
        <f t="shared" si="454"/>
        <v>385870.1817171924</v>
      </c>
      <c r="GN140" s="1060">
        <f t="shared" si="455"/>
        <v>35</v>
      </c>
      <c r="GO140" s="1154">
        <f t="shared" si="456"/>
        <v>11024.862334776926</v>
      </c>
      <c r="GS140" s="1010">
        <f t="shared" si="457"/>
        <v>4008701.8171719238</v>
      </c>
      <c r="GT140" s="1011">
        <f t="shared" si="458"/>
        <v>0.125</v>
      </c>
      <c r="GU140" s="1010">
        <f t="shared" si="459"/>
        <v>501087.72714649048</v>
      </c>
      <c r="GV140" s="1010">
        <f t="shared" si="460"/>
        <v>30000</v>
      </c>
      <c r="GW140" s="1010">
        <f t="shared" si="461"/>
        <v>471087.72714649048</v>
      </c>
      <c r="GX140" s="1010">
        <f t="shared" si="462"/>
        <v>13</v>
      </c>
      <c r="GY140" s="1010">
        <f t="shared" si="463"/>
        <v>36237.517472806961</v>
      </c>
      <c r="GZ140" s="1011">
        <f t="shared" si="464"/>
        <v>0.875</v>
      </c>
      <c r="HA140" s="1010">
        <f t="shared" si="465"/>
        <v>3507614.0900254333</v>
      </c>
      <c r="HB140" s="1010">
        <f t="shared" si="466"/>
        <v>27194.494705584857</v>
      </c>
      <c r="HC140" s="1010">
        <f t="shared" si="467"/>
        <v>31527.427073551698</v>
      </c>
      <c r="HD140" s="1010">
        <f t="shared" si="468"/>
        <v>40726.373767867095</v>
      </c>
      <c r="HE140" s="1010">
        <f t="shared" si="469"/>
        <v>69454.962999521085</v>
      </c>
      <c r="HG140" s="1010">
        <f t="shared" si="470"/>
        <v>4008701.8171719238</v>
      </c>
      <c r="HH140" s="1011">
        <f t="shared" si="471"/>
        <v>0.125</v>
      </c>
      <c r="HI140" s="1010">
        <f t="shared" si="472"/>
        <v>501087.72714649048</v>
      </c>
      <c r="HJ140" s="1010">
        <f t="shared" si="473"/>
        <v>30000</v>
      </c>
      <c r="HK140" s="1010">
        <f t="shared" si="474"/>
        <v>471087.72714649048</v>
      </c>
      <c r="HL140" s="1012">
        <f t="shared" si="475"/>
        <v>33</v>
      </c>
      <c r="HM140" s="1167">
        <f t="shared" si="476"/>
        <v>14275.385671105772</v>
      </c>
      <c r="HN140" s="1168">
        <f t="shared" si="477"/>
        <v>0.875</v>
      </c>
      <c r="HO140" s="1167">
        <f t="shared" si="478"/>
        <v>3507614.0900254333</v>
      </c>
      <c r="HP140" s="1146">
        <f t="shared" si="479"/>
        <v>27194.494705584857</v>
      </c>
      <c r="HQ140" s="1146">
        <f t="shared" si="480"/>
        <v>31527.427073551698</v>
      </c>
      <c r="HR140" s="1146">
        <f t="shared" si="481"/>
        <v>40726.373767867095</v>
      </c>
      <c r="HS140" s="1146">
        <f t="shared" si="482"/>
        <v>69454.962999521085</v>
      </c>
      <c r="HU140" s="1167">
        <f t="shared" si="483"/>
        <v>-21962.131801701187</v>
      </c>
      <c r="HX140" s="1154"/>
      <c r="HY140" s="1154"/>
      <c r="IB140" s="1154"/>
      <c r="IC140" s="1154"/>
      <c r="ID140" s="1154"/>
      <c r="IE140" s="1154"/>
      <c r="IG140" s="1060"/>
    </row>
    <row r="141" spans="1:241" ht="14.25" hidden="1" customHeight="1">
      <c r="A141" s="1186">
        <f t="shared" si="330"/>
        <v>135</v>
      </c>
      <c r="B141" s="824" t="s">
        <v>149</v>
      </c>
      <c r="C141" s="855">
        <f t="shared" si="371"/>
        <v>12</v>
      </c>
      <c r="D141" s="856" t="s">
        <v>515</v>
      </c>
      <c r="E141" s="857" t="str">
        <f t="shared" si="387"/>
        <v>9th Floor</v>
      </c>
      <c r="F141" s="1185"/>
      <c r="G141" s="764" t="s">
        <v>300</v>
      </c>
      <c r="H141" s="764" t="s">
        <v>520</v>
      </c>
      <c r="I141" s="764" t="s">
        <v>476</v>
      </c>
      <c r="J141" s="1139">
        <v>22</v>
      </c>
      <c r="K141" s="1142"/>
      <c r="L141" s="764" t="s">
        <v>500</v>
      </c>
      <c r="M141" s="764" t="s">
        <v>93</v>
      </c>
      <c r="N141" s="856">
        <f t="shared" si="388"/>
        <v>100909.09090909091</v>
      </c>
      <c r="O141" s="1138">
        <f t="shared" si="324"/>
        <v>2220000</v>
      </c>
      <c r="P141" s="1138">
        <f t="shared" si="331"/>
        <v>22400</v>
      </c>
      <c r="Q141" s="1138">
        <f t="shared" si="374"/>
        <v>50000</v>
      </c>
      <c r="R141" s="1138"/>
      <c r="S141" s="1138"/>
      <c r="T141" s="1138"/>
      <c r="U141" s="1138"/>
      <c r="V141" s="1138"/>
      <c r="W141" s="858"/>
      <c r="X141" s="1138"/>
      <c r="Y141" s="1138">
        <f t="shared" si="373"/>
        <v>100000</v>
      </c>
      <c r="Z141" s="1138">
        <f t="shared" si="327"/>
        <v>75000</v>
      </c>
      <c r="AA141" s="1138">
        <f t="shared" si="328"/>
        <v>247400</v>
      </c>
      <c r="AB141" s="1138">
        <f t="shared" si="390"/>
        <v>2467400</v>
      </c>
      <c r="AC141" s="1138">
        <f t="shared" si="391"/>
        <v>61685</v>
      </c>
      <c r="AD141" s="1138">
        <f t="shared" si="392"/>
        <v>2529085</v>
      </c>
      <c r="AE141" s="1138">
        <f t="shared" si="393"/>
        <v>63227.125</v>
      </c>
      <c r="AF141" s="1138">
        <f t="shared" si="394"/>
        <v>2592312.125</v>
      </c>
      <c r="AG141" s="1138">
        <f t="shared" si="395"/>
        <v>64807.803125000006</v>
      </c>
      <c r="AH141" s="1138">
        <f t="shared" si="396"/>
        <v>2657119.9281250001</v>
      </c>
      <c r="AI141" s="1138">
        <f t="shared" si="397"/>
        <v>132855.99640625002</v>
      </c>
      <c r="AJ141" s="1138">
        <f t="shared" si="398"/>
        <v>2789975.9245312503</v>
      </c>
      <c r="AK141" s="1138">
        <f t="shared" si="399"/>
        <v>27899.759245312503</v>
      </c>
      <c r="AL141" s="1138">
        <f t="shared" si="400"/>
        <v>27537.409960060559</v>
      </c>
      <c r="AM141" s="1138"/>
      <c r="AN141" s="1138"/>
      <c r="AO141" s="1138">
        <f t="shared" si="401"/>
        <v>2845413.0937366229</v>
      </c>
      <c r="AP141" s="1138">
        <f t="shared" si="402"/>
        <v>384130.76765444415</v>
      </c>
      <c r="AQ141" s="1248">
        <f t="shared" si="403"/>
        <v>3229543.861391067</v>
      </c>
      <c r="AR141" s="1248">
        <f t="shared" si="347"/>
        <v>2899543.861391067</v>
      </c>
      <c r="AS141" s="1248">
        <v>15000</v>
      </c>
      <c r="AT141" s="1248">
        <f t="shared" si="348"/>
        <v>330000</v>
      </c>
      <c r="AU141" s="1248">
        <f t="shared" si="404"/>
        <v>39600</v>
      </c>
      <c r="AV141" s="1140">
        <f t="shared" si="405"/>
        <v>369600</v>
      </c>
      <c r="AW141" s="1140">
        <f t="shared" si="406"/>
        <v>3269143.861391067</v>
      </c>
      <c r="AX141" s="1139">
        <f t="shared" si="407"/>
        <v>40864.298267388338</v>
      </c>
      <c r="AY141" s="831" t="s">
        <v>478</v>
      </c>
      <c r="AZ141" s="831">
        <f t="shared" si="408"/>
        <v>3310008.1596584553</v>
      </c>
      <c r="BA141" s="831">
        <f t="shared" si="409"/>
        <v>124125.30598719207</v>
      </c>
      <c r="BB141" s="831"/>
      <c r="BC141" s="831">
        <f t="shared" si="346"/>
        <v>33600</v>
      </c>
      <c r="BD141" s="831"/>
      <c r="BE141" s="831">
        <f t="shared" si="410"/>
        <v>3467733.4656456471</v>
      </c>
      <c r="BF141" s="831"/>
      <c r="BG141" s="831">
        <f t="shared" si="411"/>
        <v>3467733.4656456471</v>
      </c>
      <c r="BH141" s="831"/>
      <c r="BI141" s="831">
        <f t="shared" si="412"/>
        <v>3467733.4656456471</v>
      </c>
      <c r="BJ141" s="831"/>
      <c r="BK141" s="831">
        <f t="shared" si="413"/>
        <v>3467733.4656456471</v>
      </c>
      <c r="BL141" s="831"/>
      <c r="BM141" s="831">
        <f t="shared" si="414"/>
        <v>3467733.4656456471</v>
      </c>
      <c r="BN141" s="831"/>
      <c r="BO141" s="831">
        <f t="shared" si="415"/>
        <v>3467733.4656456471</v>
      </c>
      <c r="BP141" s="831"/>
      <c r="BQ141" s="831">
        <f t="shared" si="416"/>
        <v>3467733.4656456471</v>
      </c>
      <c r="BR141" s="831"/>
      <c r="BS141" s="831">
        <f t="shared" si="417"/>
        <v>3467733.4656456471</v>
      </c>
      <c r="BT141" s="831"/>
      <c r="BU141" s="831">
        <f t="shared" si="418"/>
        <v>3467733.4656456471</v>
      </c>
      <c r="BV141" s="831"/>
      <c r="BW141" s="831">
        <f t="shared" si="419"/>
        <v>56400</v>
      </c>
      <c r="BX141" s="831">
        <f t="shared" si="420"/>
        <v>3524133.4656456471</v>
      </c>
      <c r="BY141" s="831"/>
      <c r="BZ141" s="831">
        <f t="shared" si="421"/>
        <v>3524133.4656456471</v>
      </c>
      <c r="CA141" s="1260">
        <f t="shared" si="422"/>
        <v>3524133.4656456471</v>
      </c>
      <c r="CB141" s="1260">
        <f t="shared" si="423"/>
        <v>3524133.4656456471</v>
      </c>
      <c r="CC141" s="1260"/>
      <c r="CD141" s="1260">
        <f t="shared" si="424"/>
        <v>0</v>
      </c>
      <c r="CE141" s="1260">
        <f t="shared" si="425"/>
        <v>0</v>
      </c>
      <c r="CF141" s="1260">
        <f t="shared" si="426"/>
        <v>0</v>
      </c>
      <c r="CG141" s="1266">
        <f t="shared" si="427"/>
        <v>3524133.4656456471</v>
      </c>
      <c r="CH141" s="1141">
        <f t="shared" si="428"/>
        <v>3524133.4656456471</v>
      </c>
      <c r="CI141" s="1142">
        <f t="shared" si="429"/>
        <v>0</v>
      </c>
      <c r="CJ141" s="1141">
        <f t="shared" si="430"/>
        <v>361223.6802286788</v>
      </c>
      <c r="CK141" s="1141">
        <f t="shared" si="431"/>
        <v>123344.67129759766</v>
      </c>
      <c r="CL141" s="1143">
        <f t="shared" si="329"/>
        <v>4008701.8171719238</v>
      </c>
      <c r="CM141" s="1144">
        <f t="shared" si="432"/>
        <v>0.125</v>
      </c>
      <c r="CN141" s="1141">
        <f t="shared" si="261"/>
        <v>501087.72714649048</v>
      </c>
      <c r="CO141" s="1141">
        <f t="shared" si="433"/>
        <v>30000</v>
      </c>
      <c r="CP141" s="1141">
        <f t="shared" si="263"/>
        <v>471087.72714649048</v>
      </c>
      <c r="CQ141" s="1145">
        <f t="shared" si="434"/>
        <v>13</v>
      </c>
      <c r="CR141" s="1141">
        <f t="shared" si="265"/>
        <v>36237.517472806961</v>
      </c>
      <c r="CS141" s="1144">
        <f t="shared" si="435"/>
        <v>0.875</v>
      </c>
      <c r="CT141" s="1141">
        <f t="shared" si="436"/>
        <v>3507614.0900254333</v>
      </c>
      <c r="CU141" s="1146">
        <f t="shared" si="375"/>
        <v>27194.494705584857</v>
      </c>
      <c r="CV141" s="1146">
        <f t="shared" si="376"/>
        <v>31527.427073551698</v>
      </c>
      <c r="CW141" s="1146">
        <f t="shared" si="377"/>
        <v>40726.373767867095</v>
      </c>
      <c r="CX141" s="1146">
        <f t="shared" si="378"/>
        <v>69454.962999521085</v>
      </c>
      <c r="CY141" s="1146">
        <f t="shared" si="437"/>
        <v>284934.64153425989</v>
      </c>
      <c r="CZ141" s="1146">
        <f t="shared" si="438"/>
        <v>112747.24965877863</v>
      </c>
      <c r="DA141" s="1146">
        <f t="shared" si="439"/>
        <v>81435.741567298086</v>
      </c>
      <c r="DB141" s="1146">
        <f t="shared" si="440"/>
        <v>61976.348440622212</v>
      </c>
      <c r="DC141" s="1146"/>
      <c r="DD141" s="1146"/>
      <c r="DE141" s="1146"/>
      <c r="DF141" s="1146"/>
      <c r="DG141" s="1146"/>
      <c r="DH141" s="1146"/>
      <c r="DI141" s="1146"/>
      <c r="DJ141" s="1146"/>
      <c r="DK141" s="1146"/>
      <c r="DL141" s="1146"/>
      <c r="DM141" s="1146"/>
      <c r="DN141" s="1146"/>
      <c r="DO141" s="1146"/>
      <c r="DP141" s="1146"/>
      <c r="DQ141" s="1146"/>
      <c r="DR141" s="1146"/>
      <c r="DS141" s="1146"/>
      <c r="DT141" s="1146"/>
      <c r="DU141" s="1146"/>
      <c r="DV141" s="1146"/>
      <c r="DW141" s="1146"/>
      <c r="DX141" s="1146"/>
      <c r="DY141" s="1146"/>
      <c r="DZ141" s="1146"/>
      <c r="EA141" s="1147">
        <f t="shared" si="379"/>
        <v>0.1138110046873653</v>
      </c>
      <c r="EB141" s="1148">
        <f t="shared" si="441"/>
        <v>0</v>
      </c>
      <c r="EC141" s="1190">
        <f t="shared" si="484"/>
        <v>45839</v>
      </c>
      <c r="ED141" s="1031">
        <f t="shared" si="380"/>
        <v>20</v>
      </c>
      <c r="EE141" s="1191"/>
      <c r="EF141" s="1032">
        <f t="shared" si="381"/>
        <v>45904</v>
      </c>
      <c r="EG141" s="1029">
        <f t="shared" si="442"/>
        <v>22</v>
      </c>
      <c r="EH141" s="859" t="s">
        <v>490</v>
      </c>
      <c r="EI141" s="859" t="s">
        <v>480</v>
      </c>
      <c r="EJ141" s="860">
        <f t="shared" si="382"/>
        <v>16800</v>
      </c>
      <c r="EK141" s="860">
        <f t="shared" si="383"/>
        <v>369600</v>
      </c>
      <c r="EL141" s="861">
        <f t="shared" si="384"/>
        <v>0.12746832524984913</v>
      </c>
      <c r="EM141" s="1197"/>
      <c r="EN141" s="860"/>
      <c r="EO141" s="860"/>
      <c r="EP141" s="860">
        <f t="shared" si="385"/>
        <v>0</v>
      </c>
      <c r="EQ141" s="1197"/>
      <c r="ER141" s="1200"/>
      <c r="ES141" s="1197"/>
      <c r="ET141" s="1194" t="s">
        <v>300</v>
      </c>
      <c r="EU141" s="1197" t="b">
        <f t="shared" si="386"/>
        <v>1</v>
      </c>
      <c r="EV141" s="1197" t="s">
        <v>630</v>
      </c>
      <c r="EW141" s="1197" t="s">
        <v>482</v>
      </c>
      <c r="EX141" s="1197"/>
      <c r="EY141" s="1128" t="s">
        <v>587</v>
      </c>
      <c r="EZ141" s="1128" t="s">
        <v>484</v>
      </c>
      <c r="FA141" s="1169">
        <f t="shared" si="443"/>
        <v>0</v>
      </c>
      <c r="FI141" s="1309" t="s">
        <v>149</v>
      </c>
      <c r="FJ141" s="1159" t="s">
        <v>149</v>
      </c>
      <c r="FK141" s="1160" t="b">
        <f t="shared" si="444"/>
        <v>1</v>
      </c>
      <c r="FL141" s="1131"/>
      <c r="FM141" s="1161"/>
      <c r="FO141" s="888"/>
      <c r="FP141" s="1166"/>
      <c r="FQ141" s="1203"/>
      <c r="FU141" s="1295"/>
      <c r="FV141" s="1295"/>
      <c r="FW141" s="1023">
        <v>0.125</v>
      </c>
      <c r="FX141" s="1162">
        <v>12131.013843828059</v>
      </c>
      <c r="FY141" s="1163">
        <v>12510.108026447686</v>
      </c>
      <c r="GA141" s="1164">
        <f t="shared" si="445"/>
        <v>4008701.8171719238</v>
      </c>
      <c r="GB141" s="1165">
        <f t="shared" si="485"/>
        <v>0.15</v>
      </c>
      <c r="GC141" s="1154">
        <f t="shared" si="446"/>
        <v>601305.27257578855</v>
      </c>
      <c r="GD141" s="1164">
        <f t="shared" si="447"/>
        <v>30000</v>
      </c>
      <c r="GE141" s="1154">
        <f t="shared" si="448"/>
        <v>571305.27257578855</v>
      </c>
      <c r="GF141" s="1060">
        <f t="shared" si="449"/>
        <v>35</v>
      </c>
      <c r="GG141" s="1166">
        <f t="shared" si="450"/>
        <v>16323.007787879673</v>
      </c>
      <c r="GI141" s="1164">
        <f t="shared" si="451"/>
        <v>4008701.8171719238</v>
      </c>
      <c r="GJ141" s="1154">
        <f t="shared" si="452"/>
        <v>400870.1817171924</v>
      </c>
      <c r="GK141" s="1154">
        <f t="shared" si="453"/>
        <v>100217.5454292981</v>
      </c>
      <c r="GL141" s="1166">
        <v>15000</v>
      </c>
      <c r="GM141" s="1154">
        <f t="shared" si="454"/>
        <v>385870.1817171924</v>
      </c>
      <c r="GN141" s="1060">
        <f t="shared" si="455"/>
        <v>35</v>
      </c>
      <c r="GO141" s="1154">
        <f t="shared" si="456"/>
        <v>11024.862334776926</v>
      </c>
      <c r="GS141" s="1010">
        <f t="shared" si="457"/>
        <v>4008701.8171719238</v>
      </c>
      <c r="GT141" s="1011">
        <f t="shared" si="458"/>
        <v>0.125</v>
      </c>
      <c r="GU141" s="1010">
        <f t="shared" si="459"/>
        <v>501087.72714649048</v>
      </c>
      <c r="GV141" s="1010">
        <f t="shared" si="460"/>
        <v>30000</v>
      </c>
      <c r="GW141" s="1010">
        <f t="shared" si="461"/>
        <v>471087.72714649048</v>
      </c>
      <c r="GX141" s="1010">
        <f t="shared" si="462"/>
        <v>13</v>
      </c>
      <c r="GY141" s="1010">
        <f t="shared" si="463"/>
        <v>36237.517472806961</v>
      </c>
      <c r="GZ141" s="1011">
        <f t="shared" si="464"/>
        <v>0.875</v>
      </c>
      <c r="HA141" s="1010">
        <f t="shared" si="465"/>
        <v>3507614.0900254333</v>
      </c>
      <c r="HB141" s="1010">
        <f t="shared" si="466"/>
        <v>27194.494705584857</v>
      </c>
      <c r="HC141" s="1010">
        <f t="shared" si="467"/>
        <v>31527.427073551698</v>
      </c>
      <c r="HD141" s="1010">
        <f t="shared" si="468"/>
        <v>40726.373767867095</v>
      </c>
      <c r="HE141" s="1010">
        <f t="shared" si="469"/>
        <v>69454.962999521085</v>
      </c>
      <c r="HG141" s="1010">
        <f t="shared" si="470"/>
        <v>4008701.8171719238</v>
      </c>
      <c r="HH141" s="1011">
        <f t="shared" si="471"/>
        <v>0.125</v>
      </c>
      <c r="HI141" s="1010">
        <f t="shared" si="472"/>
        <v>501087.72714649048</v>
      </c>
      <c r="HJ141" s="1010">
        <f t="shared" si="473"/>
        <v>30000</v>
      </c>
      <c r="HK141" s="1010">
        <f t="shared" si="474"/>
        <v>471087.72714649048</v>
      </c>
      <c r="HL141" s="1012">
        <f t="shared" si="475"/>
        <v>33</v>
      </c>
      <c r="HM141" s="1167">
        <f t="shared" si="476"/>
        <v>14275.385671105772</v>
      </c>
      <c r="HN141" s="1168">
        <f t="shared" si="477"/>
        <v>0.875</v>
      </c>
      <c r="HO141" s="1167">
        <f t="shared" si="478"/>
        <v>3507614.0900254333</v>
      </c>
      <c r="HP141" s="1146">
        <f t="shared" si="479"/>
        <v>27194.494705584857</v>
      </c>
      <c r="HQ141" s="1146">
        <f t="shared" si="480"/>
        <v>31527.427073551698</v>
      </c>
      <c r="HR141" s="1146">
        <f t="shared" si="481"/>
        <v>40726.373767867095</v>
      </c>
      <c r="HS141" s="1146">
        <f t="shared" si="482"/>
        <v>69454.962999521085</v>
      </c>
      <c r="HU141" s="1167">
        <f t="shared" si="483"/>
        <v>-21962.131801701187</v>
      </c>
      <c r="HX141" s="1154"/>
      <c r="HY141" s="1154"/>
      <c r="IB141" s="1154"/>
      <c r="IC141" s="1154"/>
      <c r="ID141" s="1154"/>
      <c r="IE141" s="1154"/>
      <c r="IG141" s="1060"/>
    </row>
    <row r="142" spans="1:241" ht="14.25" customHeight="1">
      <c r="A142" s="1186">
        <f t="shared" si="330"/>
        <v>136</v>
      </c>
      <c r="B142" s="824"/>
      <c r="C142" s="855">
        <f t="shared" si="371"/>
        <v>13</v>
      </c>
      <c r="D142" s="856" t="s">
        <v>515</v>
      </c>
      <c r="E142" s="857" t="str">
        <f t="shared" si="387"/>
        <v>9th Floor</v>
      </c>
      <c r="F142" s="1185"/>
      <c r="G142" s="764" t="s">
        <v>301</v>
      </c>
      <c r="H142" s="764" t="s">
        <v>525</v>
      </c>
      <c r="I142" s="764" t="s">
        <v>476</v>
      </c>
      <c r="J142" s="1139">
        <v>22</v>
      </c>
      <c r="K142" s="1142"/>
      <c r="L142" s="764" t="s">
        <v>500</v>
      </c>
      <c r="M142" s="764" t="s">
        <v>93</v>
      </c>
      <c r="N142" s="856">
        <f t="shared" si="388"/>
        <v>100909.09090909091</v>
      </c>
      <c r="O142" s="1138">
        <f t="shared" ref="O142:O205" si="486">J142*N142</f>
        <v>2220000</v>
      </c>
      <c r="P142" s="1138">
        <f t="shared" si="331"/>
        <v>22400</v>
      </c>
      <c r="Q142" s="1138">
        <f t="shared" si="374"/>
        <v>50000</v>
      </c>
      <c r="R142" s="1138"/>
      <c r="S142" s="1138"/>
      <c r="T142" s="1138"/>
      <c r="U142" s="1138"/>
      <c r="V142" s="1138"/>
      <c r="W142" s="858"/>
      <c r="X142" s="1138"/>
      <c r="Y142" s="1138">
        <f t="shared" si="373"/>
        <v>100000</v>
      </c>
      <c r="Z142" s="1138">
        <f t="shared" ref="Z142:Z205" si="487">$Z$5</f>
        <v>75000</v>
      </c>
      <c r="AA142" s="1138">
        <f t="shared" ref="AA142:AA205" si="488">SUM(P142:Z142)</f>
        <v>247400</v>
      </c>
      <c r="AB142" s="1138">
        <f t="shared" si="390"/>
        <v>2467400</v>
      </c>
      <c r="AC142" s="1138">
        <f t="shared" si="391"/>
        <v>61685</v>
      </c>
      <c r="AD142" s="1138">
        <f t="shared" si="392"/>
        <v>2529085</v>
      </c>
      <c r="AE142" s="1138">
        <f t="shared" si="393"/>
        <v>63227.125</v>
      </c>
      <c r="AF142" s="1138">
        <f t="shared" si="394"/>
        <v>2592312.125</v>
      </c>
      <c r="AG142" s="1138">
        <f t="shared" si="395"/>
        <v>64807.803125000006</v>
      </c>
      <c r="AH142" s="1138">
        <f t="shared" si="396"/>
        <v>2657119.9281250001</v>
      </c>
      <c r="AI142" s="1138">
        <f t="shared" si="397"/>
        <v>132855.99640625002</v>
      </c>
      <c r="AJ142" s="1138">
        <f t="shared" si="398"/>
        <v>2789975.9245312503</v>
      </c>
      <c r="AK142" s="1138">
        <f t="shared" si="399"/>
        <v>27899.759245312503</v>
      </c>
      <c r="AL142" s="1138">
        <f t="shared" si="400"/>
        <v>27537.409960060559</v>
      </c>
      <c r="AM142" s="1138"/>
      <c r="AN142" s="1138"/>
      <c r="AO142" s="1138">
        <f t="shared" si="401"/>
        <v>2845413.0937366229</v>
      </c>
      <c r="AP142" s="1138">
        <f t="shared" si="402"/>
        <v>384130.76765444415</v>
      </c>
      <c r="AQ142" s="1248">
        <f t="shared" si="403"/>
        <v>3229543.861391067</v>
      </c>
      <c r="AR142" s="1248">
        <f t="shared" si="347"/>
        <v>2899543.861391067</v>
      </c>
      <c r="AS142" s="1248">
        <v>15000</v>
      </c>
      <c r="AT142" s="1248">
        <f t="shared" si="348"/>
        <v>330000</v>
      </c>
      <c r="AU142" s="1248">
        <f t="shared" si="404"/>
        <v>39600</v>
      </c>
      <c r="AV142" s="1140">
        <f t="shared" si="405"/>
        <v>369600</v>
      </c>
      <c r="AW142" s="1140">
        <f t="shared" si="406"/>
        <v>3269143.861391067</v>
      </c>
      <c r="AX142" s="1139">
        <f t="shared" si="407"/>
        <v>40864.298267388338</v>
      </c>
      <c r="AY142" s="831" t="s">
        <v>478</v>
      </c>
      <c r="AZ142" s="831">
        <f t="shared" si="408"/>
        <v>3310008.1596584553</v>
      </c>
      <c r="BA142" s="831">
        <f t="shared" si="409"/>
        <v>124125.30598719207</v>
      </c>
      <c r="BB142" s="831"/>
      <c r="BC142" s="831">
        <f t="shared" si="346"/>
        <v>33600</v>
      </c>
      <c r="BD142" s="831"/>
      <c r="BE142" s="831">
        <f t="shared" si="410"/>
        <v>3467733.4656456471</v>
      </c>
      <c r="BF142" s="831"/>
      <c r="BG142" s="831">
        <f t="shared" si="411"/>
        <v>3467733.4656456471</v>
      </c>
      <c r="BH142" s="831"/>
      <c r="BI142" s="831">
        <f t="shared" si="412"/>
        <v>3467733.4656456471</v>
      </c>
      <c r="BJ142" s="831"/>
      <c r="BK142" s="831">
        <f t="shared" si="413"/>
        <v>3467733.4656456471</v>
      </c>
      <c r="BL142" s="831"/>
      <c r="BM142" s="831">
        <f t="shared" si="414"/>
        <v>3467733.4656456471</v>
      </c>
      <c r="BN142" s="831"/>
      <c r="BO142" s="831">
        <f t="shared" si="415"/>
        <v>3467733.4656456471</v>
      </c>
      <c r="BP142" s="831"/>
      <c r="BQ142" s="831">
        <f t="shared" si="416"/>
        <v>3467733.4656456471</v>
      </c>
      <c r="BR142" s="831"/>
      <c r="BS142" s="831">
        <f t="shared" si="417"/>
        <v>3467733.4656456471</v>
      </c>
      <c r="BT142" s="831"/>
      <c r="BU142" s="831">
        <f t="shared" si="418"/>
        <v>3467733.4656456471</v>
      </c>
      <c r="BV142" s="831"/>
      <c r="BW142" s="831">
        <f t="shared" si="419"/>
        <v>56400</v>
      </c>
      <c r="BX142" s="831">
        <f t="shared" si="420"/>
        <v>3524133.4656456471</v>
      </c>
      <c r="BY142" s="831">
        <f>$BY$5/44</f>
        <v>30549.183723443901</v>
      </c>
      <c r="BZ142" s="831">
        <f t="shared" si="421"/>
        <v>3554682.6493690913</v>
      </c>
      <c r="CA142" s="1260">
        <f t="shared" si="422"/>
        <v>3554682.6493690913</v>
      </c>
      <c r="CB142" s="1260">
        <f t="shared" si="423"/>
        <v>3554682.6493690913</v>
      </c>
      <c r="CC142" s="1260"/>
      <c r="CD142" s="1260">
        <f t="shared" si="424"/>
        <v>0</v>
      </c>
      <c r="CE142" s="1260">
        <f t="shared" si="425"/>
        <v>0</v>
      </c>
      <c r="CF142" s="1260">
        <f t="shared" si="426"/>
        <v>0</v>
      </c>
      <c r="CG142" s="1266">
        <f t="shared" si="427"/>
        <v>3554682.6493690913</v>
      </c>
      <c r="CH142" s="1141">
        <f t="shared" si="428"/>
        <v>3554682.6493690913</v>
      </c>
      <c r="CI142" s="1142">
        <f t="shared" si="429"/>
        <v>0</v>
      </c>
      <c r="CJ142" s="1141">
        <f t="shared" si="430"/>
        <v>364354.97156033182</v>
      </c>
      <c r="CK142" s="1141">
        <f t="shared" si="431"/>
        <v>124413.89272791821</v>
      </c>
      <c r="CL142" s="1143">
        <f t="shared" ref="CL142:CL205" si="489">SUM(CH142:CK142)</f>
        <v>4043451.5136573412</v>
      </c>
      <c r="CM142" s="1144">
        <f t="shared" si="432"/>
        <v>0.125</v>
      </c>
      <c r="CN142" s="1141">
        <f t="shared" si="261"/>
        <v>505431.43920716766</v>
      </c>
      <c r="CO142" s="1141">
        <f t="shared" si="433"/>
        <v>30000</v>
      </c>
      <c r="CP142" s="1141">
        <f t="shared" si="263"/>
        <v>475431.43920716766</v>
      </c>
      <c r="CQ142" s="1145">
        <f t="shared" si="434"/>
        <v>13</v>
      </c>
      <c r="CR142" s="1141">
        <f t="shared" si="265"/>
        <v>36571.649169782126</v>
      </c>
      <c r="CS142" s="1144">
        <f t="shared" si="435"/>
        <v>0.875</v>
      </c>
      <c r="CT142" s="1141">
        <f t="shared" si="436"/>
        <v>3538020.0744501734</v>
      </c>
      <c r="CU142" s="1146">
        <f t="shared" si="375"/>
        <v>27430.231979194312</v>
      </c>
      <c r="CV142" s="1146">
        <f t="shared" si="376"/>
        <v>31800.724657592247</v>
      </c>
      <c r="CW142" s="1146">
        <f t="shared" si="377"/>
        <v>41079.41302893727</v>
      </c>
      <c r="CX142" s="1146">
        <f t="shared" si="378"/>
        <v>70057.037933930129</v>
      </c>
      <c r="CY142" s="1146">
        <f t="shared" si="437"/>
        <v>287404.61629493738</v>
      </c>
      <c r="CZ142" s="1146">
        <f t="shared" si="438"/>
        <v>113724.60663964089</v>
      </c>
      <c r="DA142" s="1146">
        <f t="shared" si="439"/>
        <v>82141.672672077766</v>
      </c>
      <c r="DB142" s="1146">
        <f t="shared" si="440"/>
        <v>62513.594510749092</v>
      </c>
      <c r="DC142" s="1146"/>
      <c r="DD142" s="1146"/>
      <c r="DE142" s="1146"/>
      <c r="DF142" s="1146"/>
      <c r="DG142" s="1146"/>
      <c r="DH142" s="1146"/>
      <c r="DI142" s="1146"/>
      <c r="DJ142" s="1146"/>
      <c r="DK142" s="1146"/>
      <c r="DL142" s="1146"/>
      <c r="DM142" s="1146"/>
      <c r="DN142" s="1146"/>
      <c r="DO142" s="1146"/>
      <c r="DP142" s="1146"/>
      <c r="DQ142" s="1146"/>
      <c r="DR142" s="1146"/>
      <c r="DS142" s="1146"/>
      <c r="DT142" s="1146"/>
      <c r="DU142" s="1146"/>
      <c r="DV142" s="1146"/>
      <c r="DW142" s="1146"/>
      <c r="DX142" s="1146"/>
      <c r="DY142" s="1146"/>
      <c r="DZ142" s="1146"/>
      <c r="EA142" s="1147">
        <f t="shared" si="379"/>
        <v>0.1138110046873653</v>
      </c>
      <c r="EB142" s="1148">
        <f t="shared" si="441"/>
        <v>0</v>
      </c>
      <c r="EC142" s="1190">
        <f t="shared" si="484"/>
        <v>45839</v>
      </c>
      <c r="ED142" s="1031">
        <f t="shared" si="380"/>
        <v>20</v>
      </c>
      <c r="EE142" s="1191"/>
      <c r="EF142" s="1032">
        <f t="shared" si="381"/>
        <v>45904</v>
      </c>
      <c r="EG142" s="1029">
        <f t="shared" si="442"/>
        <v>22</v>
      </c>
      <c r="EH142" s="859" t="s">
        <v>490</v>
      </c>
      <c r="EI142" s="859" t="s">
        <v>480</v>
      </c>
      <c r="EJ142" s="860">
        <f t="shared" si="382"/>
        <v>16800</v>
      </c>
      <c r="EK142" s="860">
        <f t="shared" si="383"/>
        <v>369600</v>
      </c>
      <c r="EL142" s="861">
        <f t="shared" si="384"/>
        <v>0.12746832524984913</v>
      </c>
      <c r="EM142" s="1197"/>
      <c r="EN142" s="860"/>
      <c r="EO142" s="860"/>
      <c r="EP142" s="860">
        <f t="shared" si="385"/>
        <v>0</v>
      </c>
      <c r="EQ142" s="1197"/>
      <c r="ER142" s="1200"/>
      <c r="ES142" s="1197"/>
      <c r="ET142" s="1194" t="s">
        <v>301</v>
      </c>
      <c r="EU142" s="1197" t="b">
        <f t="shared" si="386"/>
        <v>1</v>
      </c>
      <c r="EV142" s="1197"/>
      <c r="EW142" s="1197"/>
      <c r="EX142" s="1197"/>
      <c r="EY142" s="1128" t="s">
        <v>587</v>
      </c>
      <c r="EZ142" s="1128" t="s">
        <v>484</v>
      </c>
      <c r="FA142" s="1169">
        <f t="shared" si="443"/>
        <v>0</v>
      </c>
      <c r="FI142" s="1309" t="s">
        <v>96</v>
      </c>
      <c r="FJ142" s="1159" t="s">
        <v>96</v>
      </c>
      <c r="FK142" s="1160" t="b">
        <f t="shared" si="444"/>
        <v>1</v>
      </c>
      <c r="FL142" s="1131"/>
      <c r="FM142" s="1161"/>
      <c r="FU142" s="1295"/>
      <c r="FV142" s="1295"/>
      <c r="FW142" s="1023">
        <v>0.15</v>
      </c>
      <c r="FX142" s="1162">
        <v>14648.125703502761</v>
      </c>
      <c r="FY142" s="1163">
        <v>15105.879631737222</v>
      </c>
      <c r="GA142" s="1164">
        <f t="shared" si="445"/>
        <v>4043451.5136573412</v>
      </c>
      <c r="GB142" s="1165">
        <f t="shared" si="485"/>
        <v>0.15</v>
      </c>
      <c r="GC142" s="1154">
        <f t="shared" si="446"/>
        <v>606517.72704860114</v>
      </c>
      <c r="GD142" s="1164">
        <f t="shared" si="447"/>
        <v>30000</v>
      </c>
      <c r="GE142" s="1154">
        <f t="shared" si="448"/>
        <v>576517.72704860114</v>
      </c>
      <c r="GF142" s="1060">
        <f t="shared" si="449"/>
        <v>35</v>
      </c>
      <c r="GG142" s="1166">
        <f t="shared" si="450"/>
        <v>16471.935058531461</v>
      </c>
      <c r="GI142" s="1164">
        <f t="shared" si="451"/>
        <v>4043451.5136573412</v>
      </c>
      <c r="GJ142" s="1154">
        <f t="shared" si="452"/>
        <v>404345.15136573417</v>
      </c>
      <c r="GK142" s="1154">
        <f t="shared" si="453"/>
        <v>101086.28784143354</v>
      </c>
      <c r="GL142" s="1166">
        <v>15000</v>
      </c>
      <c r="GM142" s="1154">
        <f t="shared" si="454"/>
        <v>389345.15136573417</v>
      </c>
      <c r="GN142" s="1060">
        <f t="shared" si="455"/>
        <v>35</v>
      </c>
      <c r="GO142" s="1154">
        <f t="shared" si="456"/>
        <v>11124.147181878119</v>
      </c>
      <c r="GS142" s="1010">
        <f t="shared" si="457"/>
        <v>4043451.5136573412</v>
      </c>
      <c r="GT142" s="1011">
        <f t="shared" si="458"/>
        <v>0.125</v>
      </c>
      <c r="GU142" s="1010">
        <f t="shared" si="459"/>
        <v>505431.43920716766</v>
      </c>
      <c r="GV142" s="1010">
        <f t="shared" si="460"/>
        <v>30000</v>
      </c>
      <c r="GW142" s="1010">
        <f t="shared" si="461"/>
        <v>475431.43920716766</v>
      </c>
      <c r="GX142" s="1010">
        <f t="shared" si="462"/>
        <v>13</v>
      </c>
      <c r="GY142" s="1010">
        <f t="shared" si="463"/>
        <v>36571.649169782126</v>
      </c>
      <c r="GZ142" s="1011">
        <f t="shared" si="464"/>
        <v>0.875</v>
      </c>
      <c r="HA142" s="1010">
        <f t="shared" si="465"/>
        <v>3538020.0744501734</v>
      </c>
      <c r="HB142" s="1010">
        <f t="shared" si="466"/>
        <v>27430.231979194312</v>
      </c>
      <c r="HC142" s="1010">
        <f t="shared" si="467"/>
        <v>31800.724657592247</v>
      </c>
      <c r="HD142" s="1010">
        <f t="shared" si="468"/>
        <v>41079.41302893727</v>
      </c>
      <c r="HE142" s="1010">
        <f t="shared" si="469"/>
        <v>70057.037933930129</v>
      </c>
      <c r="HG142" s="1010">
        <f t="shared" si="470"/>
        <v>4043451.5136573412</v>
      </c>
      <c r="HH142" s="1011">
        <f t="shared" si="471"/>
        <v>0.125</v>
      </c>
      <c r="HI142" s="1010">
        <f t="shared" si="472"/>
        <v>505431.43920716766</v>
      </c>
      <c r="HJ142" s="1010">
        <f t="shared" si="473"/>
        <v>30000</v>
      </c>
      <c r="HK142" s="1010">
        <f t="shared" si="474"/>
        <v>475431.43920716766</v>
      </c>
      <c r="HL142" s="1012">
        <f t="shared" si="475"/>
        <v>33</v>
      </c>
      <c r="HM142" s="1167">
        <f t="shared" si="476"/>
        <v>14407.013309308111</v>
      </c>
      <c r="HN142" s="1168">
        <f t="shared" si="477"/>
        <v>0.875</v>
      </c>
      <c r="HO142" s="1167">
        <f t="shared" si="478"/>
        <v>3538020.0744501734</v>
      </c>
      <c r="HP142" s="1146">
        <f t="shared" si="479"/>
        <v>27430.231979194312</v>
      </c>
      <c r="HQ142" s="1146">
        <f t="shared" si="480"/>
        <v>31800.724657592247</v>
      </c>
      <c r="HR142" s="1146">
        <f t="shared" si="481"/>
        <v>41079.41302893727</v>
      </c>
      <c r="HS142" s="1146">
        <f t="shared" si="482"/>
        <v>70057.037933930129</v>
      </c>
      <c r="HU142" s="1167">
        <f t="shared" si="483"/>
        <v>-22164.635860474016</v>
      </c>
      <c r="HX142" s="1154"/>
      <c r="HY142" s="1154"/>
      <c r="IB142" s="1154"/>
      <c r="IC142" s="1154"/>
      <c r="ID142" s="1154"/>
      <c r="IE142" s="1154"/>
      <c r="IG142" s="1060"/>
    </row>
    <row r="143" spans="1:241" ht="14.25" hidden="1" customHeight="1">
      <c r="A143" s="1186">
        <f t="shared" ref="A143:A206" si="490">A142+1</f>
        <v>137</v>
      </c>
      <c r="B143" s="824"/>
      <c r="C143" s="855">
        <f t="shared" si="371"/>
        <v>14</v>
      </c>
      <c r="D143" s="856" t="s">
        <v>515</v>
      </c>
      <c r="E143" s="857" t="str">
        <f t="shared" si="387"/>
        <v>9th Floor</v>
      </c>
      <c r="F143" s="1185"/>
      <c r="G143" s="764" t="s">
        <v>302</v>
      </c>
      <c r="H143" s="764" t="s">
        <v>529</v>
      </c>
      <c r="I143" s="764" t="s">
        <v>476</v>
      </c>
      <c r="J143" s="1139">
        <v>22</v>
      </c>
      <c r="K143" s="1142"/>
      <c r="L143" s="764" t="s">
        <v>500</v>
      </c>
      <c r="M143" s="764" t="s">
        <v>93</v>
      </c>
      <c r="N143" s="856">
        <f t="shared" si="388"/>
        <v>100909.09090909091</v>
      </c>
      <c r="O143" s="1138">
        <f t="shared" si="486"/>
        <v>2220000</v>
      </c>
      <c r="P143" s="1138">
        <f t="shared" ref="P143:P206" si="491">$P$13</f>
        <v>22400</v>
      </c>
      <c r="Q143" s="1138">
        <f t="shared" si="374"/>
        <v>50000</v>
      </c>
      <c r="R143" s="1138"/>
      <c r="S143" s="1138"/>
      <c r="T143" s="1138"/>
      <c r="U143" s="1138"/>
      <c r="V143" s="1138"/>
      <c r="W143" s="1138"/>
      <c r="X143" s="1138"/>
      <c r="Y143" s="1138">
        <f t="shared" si="373"/>
        <v>100000</v>
      </c>
      <c r="Z143" s="1138">
        <f t="shared" si="487"/>
        <v>75000</v>
      </c>
      <c r="AA143" s="1138">
        <f t="shared" si="488"/>
        <v>247400</v>
      </c>
      <c r="AB143" s="1138">
        <f t="shared" si="390"/>
        <v>2467400</v>
      </c>
      <c r="AC143" s="1138">
        <f t="shared" si="391"/>
        <v>61685</v>
      </c>
      <c r="AD143" s="1138">
        <f t="shared" si="392"/>
        <v>2529085</v>
      </c>
      <c r="AE143" s="1138">
        <f t="shared" si="393"/>
        <v>63227.125</v>
      </c>
      <c r="AF143" s="1138">
        <f t="shared" si="394"/>
        <v>2592312.125</v>
      </c>
      <c r="AG143" s="1138">
        <f t="shared" si="395"/>
        <v>64807.803125000006</v>
      </c>
      <c r="AH143" s="1138">
        <f t="shared" si="396"/>
        <v>2657119.9281250001</v>
      </c>
      <c r="AI143" s="1138">
        <f t="shared" si="397"/>
        <v>132855.99640625002</v>
      </c>
      <c r="AJ143" s="1138">
        <f t="shared" si="398"/>
        <v>2789975.9245312503</v>
      </c>
      <c r="AK143" s="1138">
        <f t="shared" si="399"/>
        <v>27899.759245312503</v>
      </c>
      <c r="AL143" s="1138">
        <f t="shared" si="400"/>
        <v>27537.409960060559</v>
      </c>
      <c r="AM143" s="1138"/>
      <c r="AN143" s="1138"/>
      <c r="AO143" s="1138">
        <f t="shared" si="401"/>
        <v>2845413.0937366229</v>
      </c>
      <c r="AP143" s="1138">
        <f t="shared" si="402"/>
        <v>384130.76765444415</v>
      </c>
      <c r="AQ143" s="1248">
        <f t="shared" si="403"/>
        <v>3229543.861391067</v>
      </c>
      <c r="AR143" s="1248">
        <f t="shared" si="347"/>
        <v>2899543.861391067</v>
      </c>
      <c r="AS143" s="1248">
        <v>15000</v>
      </c>
      <c r="AT143" s="1248">
        <f t="shared" si="348"/>
        <v>330000</v>
      </c>
      <c r="AU143" s="1248">
        <f t="shared" si="404"/>
        <v>39600</v>
      </c>
      <c r="AV143" s="1140">
        <f t="shared" si="405"/>
        <v>369600</v>
      </c>
      <c r="AW143" s="1140">
        <f t="shared" si="406"/>
        <v>3269143.861391067</v>
      </c>
      <c r="AX143" s="1139">
        <f t="shared" si="407"/>
        <v>40864.298267388338</v>
      </c>
      <c r="AY143" s="831" t="s">
        <v>478</v>
      </c>
      <c r="AZ143" s="831">
        <f t="shared" si="408"/>
        <v>3310008.1596584553</v>
      </c>
      <c r="BA143" s="831">
        <f t="shared" si="409"/>
        <v>124125.30598719207</v>
      </c>
      <c r="BB143" s="831"/>
      <c r="BC143" s="831">
        <f t="shared" si="346"/>
        <v>33600</v>
      </c>
      <c r="BD143" s="831"/>
      <c r="BE143" s="831">
        <f t="shared" si="410"/>
        <v>3467733.4656456471</v>
      </c>
      <c r="BF143" s="831"/>
      <c r="BG143" s="831">
        <f t="shared" si="411"/>
        <v>3467733.4656456471</v>
      </c>
      <c r="BH143" s="831"/>
      <c r="BI143" s="831">
        <f t="shared" si="412"/>
        <v>3467733.4656456471</v>
      </c>
      <c r="BJ143" s="831"/>
      <c r="BK143" s="831">
        <f t="shared" si="413"/>
        <v>3467733.4656456471</v>
      </c>
      <c r="BL143" s="831"/>
      <c r="BM143" s="831">
        <f t="shared" si="414"/>
        <v>3467733.4656456471</v>
      </c>
      <c r="BN143" s="831"/>
      <c r="BO143" s="831">
        <f t="shared" si="415"/>
        <v>3467733.4656456471</v>
      </c>
      <c r="BP143" s="831"/>
      <c r="BQ143" s="831">
        <f t="shared" si="416"/>
        <v>3467733.4656456471</v>
      </c>
      <c r="BR143" s="831"/>
      <c r="BS143" s="831">
        <f t="shared" si="417"/>
        <v>3467733.4656456471</v>
      </c>
      <c r="BT143" s="831"/>
      <c r="BU143" s="831">
        <f t="shared" si="418"/>
        <v>3467733.4656456471</v>
      </c>
      <c r="BV143" s="831"/>
      <c r="BW143" s="831">
        <f t="shared" si="419"/>
        <v>56400</v>
      </c>
      <c r="BX143" s="831">
        <f t="shared" si="420"/>
        <v>3524133.4656456471</v>
      </c>
      <c r="BY143" s="831"/>
      <c r="BZ143" s="831">
        <f t="shared" si="421"/>
        <v>3524133.4656456471</v>
      </c>
      <c r="CA143" s="1260">
        <f t="shared" si="422"/>
        <v>3524133.4656456471</v>
      </c>
      <c r="CB143" s="1260">
        <f t="shared" si="423"/>
        <v>3524133.4656456471</v>
      </c>
      <c r="CC143" s="1260"/>
      <c r="CD143" s="1260">
        <f t="shared" si="424"/>
        <v>0</v>
      </c>
      <c r="CE143" s="1260">
        <f t="shared" si="425"/>
        <v>0</v>
      </c>
      <c r="CF143" s="1260">
        <f t="shared" si="426"/>
        <v>0</v>
      </c>
      <c r="CG143" s="1266">
        <f t="shared" si="427"/>
        <v>3524133.4656456471</v>
      </c>
      <c r="CH143" s="1141">
        <f t="shared" si="428"/>
        <v>3524133.4656456471</v>
      </c>
      <c r="CI143" s="1142">
        <f t="shared" si="429"/>
        <v>0</v>
      </c>
      <c r="CJ143" s="1141">
        <f t="shared" si="430"/>
        <v>361223.6802286788</v>
      </c>
      <c r="CK143" s="1141">
        <f t="shared" si="431"/>
        <v>123344.67129759766</v>
      </c>
      <c r="CL143" s="1143">
        <f t="shared" si="489"/>
        <v>4008701.8171719238</v>
      </c>
      <c r="CM143" s="1144">
        <f t="shared" si="432"/>
        <v>0.125</v>
      </c>
      <c r="CN143" s="1141">
        <f t="shared" si="261"/>
        <v>501087.72714649048</v>
      </c>
      <c r="CO143" s="1141">
        <f t="shared" si="433"/>
        <v>30000</v>
      </c>
      <c r="CP143" s="1141">
        <f t="shared" si="263"/>
        <v>471087.72714649048</v>
      </c>
      <c r="CQ143" s="1145">
        <f t="shared" si="434"/>
        <v>13</v>
      </c>
      <c r="CR143" s="1141">
        <f t="shared" si="265"/>
        <v>36237.517472806961</v>
      </c>
      <c r="CS143" s="1144">
        <f t="shared" si="435"/>
        <v>0.875</v>
      </c>
      <c r="CT143" s="1141">
        <f t="shared" si="436"/>
        <v>3507614.0900254333</v>
      </c>
      <c r="CU143" s="1146">
        <f t="shared" si="375"/>
        <v>27194.494705584857</v>
      </c>
      <c r="CV143" s="1146">
        <f t="shared" si="376"/>
        <v>31527.427073551698</v>
      </c>
      <c r="CW143" s="1146">
        <f t="shared" si="377"/>
        <v>40726.373767867095</v>
      </c>
      <c r="CX143" s="1146">
        <f t="shared" si="378"/>
        <v>69454.962999521085</v>
      </c>
      <c r="CY143" s="1146">
        <f t="shared" si="437"/>
        <v>284934.64153425989</v>
      </c>
      <c r="CZ143" s="1146">
        <f t="shared" si="438"/>
        <v>112747.24965877863</v>
      </c>
      <c r="DA143" s="1146">
        <f t="shared" si="439"/>
        <v>81435.741567298086</v>
      </c>
      <c r="DB143" s="1146">
        <f t="shared" si="440"/>
        <v>61976.348440622212</v>
      </c>
      <c r="DC143" s="1146"/>
      <c r="DD143" s="1146"/>
      <c r="DE143" s="1146"/>
      <c r="DF143" s="1146"/>
      <c r="DG143" s="1146"/>
      <c r="DH143" s="1146"/>
      <c r="DI143" s="1146"/>
      <c r="DJ143" s="1146"/>
      <c r="DK143" s="1146"/>
      <c r="DL143" s="1146"/>
      <c r="DM143" s="1146"/>
      <c r="DN143" s="1146"/>
      <c r="DO143" s="1146"/>
      <c r="DP143" s="1146"/>
      <c r="DQ143" s="1146"/>
      <c r="DR143" s="1146"/>
      <c r="DS143" s="1146"/>
      <c r="DT143" s="1146"/>
      <c r="DU143" s="1146"/>
      <c r="DV143" s="1146"/>
      <c r="DW143" s="1146"/>
      <c r="DX143" s="1146"/>
      <c r="DY143" s="1146"/>
      <c r="DZ143" s="1146"/>
      <c r="EA143" s="1147">
        <f t="shared" si="379"/>
        <v>0.1138110046873653</v>
      </c>
      <c r="EB143" s="1148">
        <f t="shared" si="441"/>
        <v>0</v>
      </c>
      <c r="EC143" s="1190">
        <f t="shared" si="484"/>
        <v>45839</v>
      </c>
      <c r="ED143" s="1031">
        <f t="shared" si="380"/>
        <v>20</v>
      </c>
      <c r="EE143" s="1191"/>
      <c r="EF143" s="1032">
        <f t="shared" si="381"/>
        <v>45904</v>
      </c>
      <c r="EG143" s="1029">
        <f t="shared" si="442"/>
        <v>22</v>
      </c>
      <c r="EH143" s="859" t="s">
        <v>490</v>
      </c>
      <c r="EI143" s="859" t="s">
        <v>480</v>
      </c>
      <c r="EJ143" s="860">
        <f t="shared" si="382"/>
        <v>16800</v>
      </c>
      <c r="EK143" s="860">
        <f t="shared" si="383"/>
        <v>369600</v>
      </c>
      <c r="EL143" s="861">
        <f t="shared" si="384"/>
        <v>0.12746832524984913</v>
      </c>
      <c r="EM143" s="1197"/>
      <c r="EN143" s="860"/>
      <c r="EO143" s="860"/>
      <c r="EP143" s="860">
        <f t="shared" si="385"/>
        <v>0</v>
      </c>
      <c r="EQ143" s="1197"/>
      <c r="ER143" s="1200"/>
      <c r="ES143" s="1197"/>
      <c r="ET143" s="1194" t="s">
        <v>302</v>
      </c>
      <c r="EU143" s="1197" t="b">
        <f t="shared" si="386"/>
        <v>1</v>
      </c>
      <c r="EV143" s="1197"/>
      <c r="EW143" s="1197"/>
      <c r="EX143" s="1197"/>
      <c r="EY143" s="1128" t="s">
        <v>587</v>
      </c>
      <c r="EZ143" s="1128" t="s">
        <v>484</v>
      </c>
      <c r="FA143" s="1169">
        <f t="shared" si="443"/>
        <v>0</v>
      </c>
      <c r="FI143" s="1309" t="s">
        <v>149</v>
      </c>
      <c r="FJ143" s="1159" t="s">
        <v>149</v>
      </c>
      <c r="FK143" s="1160" t="b">
        <f t="shared" si="444"/>
        <v>1</v>
      </c>
      <c r="FL143" s="1131"/>
      <c r="FM143" s="1161"/>
      <c r="FO143" s="888"/>
      <c r="FU143" s="1295"/>
      <c r="FV143" s="1295"/>
      <c r="FW143" s="1023">
        <v>0.125</v>
      </c>
      <c r="FX143" s="1162">
        <v>12131.013843828059</v>
      </c>
      <c r="FY143" s="1163">
        <v>12510.108026447686</v>
      </c>
      <c r="GA143" s="1164">
        <f t="shared" si="445"/>
        <v>4008701.8171719238</v>
      </c>
      <c r="GB143" s="1165">
        <f t="shared" si="485"/>
        <v>0.15</v>
      </c>
      <c r="GC143" s="1154">
        <f t="shared" si="446"/>
        <v>601305.27257578855</v>
      </c>
      <c r="GD143" s="1164">
        <f t="shared" si="447"/>
        <v>30000</v>
      </c>
      <c r="GE143" s="1154">
        <f t="shared" si="448"/>
        <v>571305.27257578855</v>
      </c>
      <c r="GF143" s="1060">
        <f t="shared" si="449"/>
        <v>35</v>
      </c>
      <c r="GG143" s="1166">
        <f t="shared" si="450"/>
        <v>16323.007787879673</v>
      </c>
      <c r="GI143" s="1164">
        <f t="shared" si="451"/>
        <v>4008701.8171719238</v>
      </c>
      <c r="GJ143" s="1154">
        <f t="shared" si="452"/>
        <v>400870.1817171924</v>
      </c>
      <c r="GK143" s="1154">
        <f t="shared" si="453"/>
        <v>100217.5454292981</v>
      </c>
      <c r="GL143" s="1166">
        <v>15000</v>
      </c>
      <c r="GM143" s="1154">
        <f t="shared" si="454"/>
        <v>385870.1817171924</v>
      </c>
      <c r="GN143" s="1060">
        <f t="shared" si="455"/>
        <v>35</v>
      </c>
      <c r="GO143" s="1154">
        <f t="shared" si="456"/>
        <v>11024.862334776926</v>
      </c>
      <c r="GS143" s="1010">
        <f t="shared" si="457"/>
        <v>4008701.8171719238</v>
      </c>
      <c r="GT143" s="1011">
        <f t="shared" si="458"/>
        <v>0.125</v>
      </c>
      <c r="GU143" s="1010">
        <f t="shared" si="459"/>
        <v>501087.72714649048</v>
      </c>
      <c r="GV143" s="1010">
        <f t="shared" si="460"/>
        <v>30000</v>
      </c>
      <c r="GW143" s="1010">
        <f t="shared" si="461"/>
        <v>471087.72714649048</v>
      </c>
      <c r="GX143" s="1010">
        <f t="shared" si="462"/>
        <v>13</v>
      </c>
      <c r="GY143" s="1010">
        <f t="shared" si="463"/>
        <v>36237.517472806961</v>
      </c>
      <c r="GZ143" s="1011">
        <f t="shared" si="464"/>
        <v>0.875</v>
      </c>
      <c r="HA143" s="1010">
        <f t="shared" si="465"/>
        <v>3507614.0900254333</v>
      </c>
      <c r="HB143" s="1010">
        <f t="shared" si="466"/>
        <v>27194.494705584857</v>
      </c>
      <c r="HC143" s="1010">
        <f t="shared" si="467"/>
        <v>31527.427073551698</v>
      </c>
      <c r="HD143" s="1010">
        <f t="shared" si="468"/>
        <v>40726.373767867095</v>
      </c>
      <c r="HE143" s="1010">
        <f t="shared" si="469"/>
        <v>69454.962999521085</v>
      </c>
      <c r="HG143" s="1010">
        <f t="shared" si="470"/>
        <v>4008701.8171719238</v>
      </c>
      <c r="HH143" s="1011">
        <f t="shared" si="471"/>
        <v>0.125</v>
      </c>
      <c r="HI143" s="1010">
        <f t="shared" si="472"/>
        <v>501087.72714649048</v>
      </c>
      <c r="HJ143" s="1010">
        <f t="shared" si="473"/>
        <v>30000</v>
      </c>
      <c r="HK143" s="1010">
        <f t="shared" si="474"/>
        <v>471087.72714649048</v>
      </c>
      <c r="HL143" s="1012">
        <f t="shared" si="475"/>
        <v>33</v>
      </c>
      <c r="HM143" s="1167">
        <f t="shared" si="476"/>
        <v>14275.385671105772</v>
      </c>
      <c r="HN143" s="1168">
        <f t="shared" si="477"/>
        <v>0.875</v>
      </c>
      <c r="HO143" s="1167">
        <f t="shared" si="478"/>
        <v>3507614.0900254333</v>
      </c>
      <c r="HP143" s="1146">
        <f t="shared" si="479"/>
        <v>27194.494705584857</v>
      </c>
      <c r="HQ143" s="1146">
        <f t="shared" si="480"/>
        <v>31527.427073551698</v>
      </c>
      <c r="HR143" s="1146">
        <f t="shared" si="481"/>
        <v>40726.373767867095</v>
      </c>
      <c r="HS143" s="1146">
        <f t="shared" si="482"/>
        <v>69454.962999521085</v>
      </c>
      <c r="HU143" s="1167">
        <f t="shared" si="483"/>
        <v>-21962.131801701187</v>
      </c>
      <c r="HX143" s="1154"/>
      <c r="HY143" s="1154"/>
      <c r="IB143" s="1154"/>
      <c r="IC143" s="1154"/>
      <c r="ID143" s="1154"/>
      <c r="IE143" s="1154"/>
      <c r="IG143" s="1060"/>
    </row>
    <row r="144" spans="1:241" ht="14.25" hidden="1" customHeight="1">
      <c r="A144" s="1186">
        <f t="shared" si="490"/>
        <v>138</v>
      </c>
      <c r="B144" s="824" t="s">
        <v>149</v>
      </c>
      <c r="C144" s="855">
        <f t="shared" si="371"/>
        <v>15</v>
      </c>
      <c r="D144" s="856" t="s">
        <v>515</v>
      </c>
      <c r="E144" s="857" t="str">
        <f t="shared" si="387"/>
        <v>9th Floor</v>
      </c>
      <c r="F144" s="1185"/>
      <c r="G144" s="764" t="s">
        <v>303</v>
      </c>
      <c r="H144" s="764" t="s">
        <v>533</v>
      </c>
      <c r="I144" s="764" t="s">
        <v>476</v>
      </c>
      <c r="J144" s="1139">
        <v>22</v>
      </c>
      <c r="K144" s="1142"/>
      <c r="L144" s="764" t="s">
        <v>500</v>
      </c>
      <c r="M144" s="764" t="s">
        <v>93</v>
      </c>
      <c r="N144" s="856">
        <f t="shared" si="388"/>
        <v>100909.09090909091</v>
      </c>
      <c r="O144" s="1138">
        <f t="shared" si="486"/>
        <v>2220000</v>
      </c>
      <c r="P144" s="1138">
        <f t="shared" si="491"/>
        <v>22400</v>
      </c>
      <c r="Q144" s="1138">
        <f t="shared" si="374"/>
        <v>50000</v>
      </c>
      <c r="R144" s="1138"/>
      <c r="S144" s="1138"/>
      <c r="T144" s="1138"/>
      <c r="U144" s="1138"/>
      <c r="V144" s="858"/>
      <c r="W144" s="858"/>
      <c r="X144" s="1138"/>
      <c r="Y144" s="1138">
        <f t="shared" si="373"/>
        <v>100000</v>
      </c>
      <c r="Z144" s="1138">
        <f t="shared" si="487"/>
        <v>75000</v>
      </c>
      <c r="AA144" s="1138">
        <f t="shared" si="488"/>
        <v>247400</v>
      </c>
      <c r="AB144" s="1138">
        <f t="shared" si="390"/>
        <v>2467400</v>
      </c>
      <c r="AC144" s="1138">
        <f t="shared" si="391"/>
        <v>61685</v>
      </c>
      <c r="AD144" s="1138">
        <f t="shared" si="392"/>
        <v>2529085</v>
      </c>
      <c r="AE144" s="1138">
        <f t="shared" si="393"/>
        <v>63227.125</v>
      </c>
      <c r="AF144" s="1138">
        <f t="shared" si="394"/>
        <v>2592312.125</v>
      </c>
      <c r="AG144" s="1138">
        <f t="shared" si="395"/>
        <v>64807.803125000006</v>
      </c>
      <c r="AH144" s="1138">
        <f t="shared" si="396"/>
        <v>2657119.9281250001</v>
      </c>
      <c r="AI144" s="1138">
        <f t="shared" si="397"/>
        <v>132855.99640625002</v>
      </c>
      <c r="AJ144" s="1138">
        <f t="shared" si="398"/>
        <v>2789975.9245312503</v>
      </c>
      <c r="AK144" s="1138">
        <f t="shared" si="399"/>
        <v>27899.759245312503</v>
      </c>
      <c r="AL144" s="1138">
        <f t="shared" si="400"/>
        <v>27537.409960060559</v>
      </c>
      <c r="AM144" s="1138"/>
      <c r="AN144" s="1138"/>
      <c r="AO144" s="1138">
        <f t="shared" si="401"/>
        <v>2845413.0937366229</v>
      </c>
      <c r="AP144" s="1138">
        <f t="shared" si="402"/>
        <v>384130.76765444415</v>
      </c>
      <c r="AQ144" s="1248">
        <f t="shared" si="403"/>
        <v>3229543.861391067</v>
      </c>
      <c r="AR144" s="1248">
        <f t="shared" si="347"/>
        <v>2899543.861391067</v>
      </c>
      <c r="AS144" s="1248">
        <v>15000</v>
      </c>
      <c r="AT144" s="1248">
        <f t="shared" si="348"/>
        <v>330000</v>
      </c>
      <c r="AU144" s="1248">
        <f t="shared" si="404"/>
        <v>39600</v>
      </c>
      <c r="AV144" s="1140">
        <f t="shared" si="405"/>
        <v>369600</v>
      </c>
      <c r="AW144" s="1140">
        <f t="shared" si="406"/>
        <v>3269143.861391067</v>
      </c>
      <c r="AX144" s="1139">
        <f t="shared" si="407"/>
        <v>40864.298267388338</v>
      </c>
      <c r="AY144" s="831" t="s">
        <v>478</v>
      </c>
      <c r="AZ144" s="831">
        <f t="shared" si="408"/>
        <v>3310008.1596584553</v>
      </c>
      <c r="BA144" s="831">
        <f t="shared" si="409"/>
        <v>124125.30598719207</v>
      </c>
      <c r="BB144" s="831"/>
      <c r="BC144" s="831">
        <f t="shared" si="346"/>
        <v>33600</v>
      </c>
      <c r="BD144" s="831"/>
      <c r="BE144" s="831">
        <f t="shared" si="410"/>
        <v>3467733.4656456471</v>
      </c>
      <c r="BF144" s="831"/>
      <c r="BG144" s="831">
        <f t="shared" si="411"/>
        <v>3467733.4656456471</v>
      </c>
      <c r="BH144" s="831"/>
      <c r="BI144" s="831">
        <f t="shared" si="412"/>
        <v>3467733.4656456471</v>
      </c>
      <c r="BJ144" s="831"/>
      <c r="BK144" s="831">
        <f t="shared" si="413"/>
        <v>3467733.4656456471</v>
      </c>
      <c r="BL144" s="831"/>
      <c r="BM144" s="831">
        <f t="shared" si="414"/>
        <v>3467733.4656456471</v>
      </c>
      <c r="BN144" s="831"/>
      <c r="BO144" s="831">
        <f t="shared" si="415"/>
        <v>3467733.4656456471</v>
      </c>
      <c r="BP144" s="831"/>
      <c r="BQ144" s="831">
        <f t="shared" si="416"/>
        <v>3467733.4656456471</v>
      </c>
      <c r="BR144" s="831"/>
      <c r="BS144" s="831">
        <f t="shared" si="417"/>
        <v>3467733.4656456471</v>
      </c>
      <c r="BT144" s="831"/>
      <c r="BU144" s="831">
        <f t="shared" si="418"/>
        <v>3467733.4656456471</v>
      </c>
      <c r="BV144" s="831"/>
      <c r="BW144" s="831">
        <f t="shared" si="419"/>
        <v>56400</v>
      </c>
      <c r="BX144" s="831">
        <f t="shared" si="420"/>
        <v>3524133.4656456471</v>
      </c>
      <c r="BY144" s="831"/>
      <c r="BZ144" s="831">
        <f t="shared" si="421"/>
        <v>3524133.4656456471</v>
      </c>
      <c r="CA144" s="1260">
        <f t="shared" si="422"/>
        <v>3524133.4656456471</v>
      </c>
      <c r="CB144" s="1260">
        <f t="shared" si="423"/>
        <v>3524133.4656456471</v>
      </c>
      <c r="CC144" s="1260"/>
      <c r="CD144" s="1260">
        <f t="shared" si="424"/>
        <v>0</v>
      </c>
      <c r="CE144" s="1260">
        <f t="shared" si="425"/>
        <v>0</v>
      </c>
      <c r="CF144" s="1260">
        <f t="shared" si="426"/>
        <v>0</v>
      </c>
      <c r="CG144" s="1266">
        <f t="shared" si="427"/>
        <v>3524133.4656456471</v>
      </c>
      <c r="CH144" s="1141">
        <f t="shared" si="428"/>
        <v>3524133.4656456471</v>
      </c>
      <c r="CI144" s="1142">
        <f t="shared" si="429"/>
        <v>0</v>
      </c>
      <c r="CJ144" s="1141">
        <f t="shared" si="430"/>
        <v>361223.6802286788</v>
      </c>
      <c r="CK144" s="1141">
        <f t="shared" si="431"/>
        <v>123344.67129759766</v>
      </c>
      <c r="CL144" s="1143">
        <f t="shared" si="489"/>
        <v>4008701.8171719238</v>
      </c>
      <c r="CM144" s="1144">
        <f t="shared" si="432"/>
        <v>0.125</v>
      </c>
      <c r="CN144" s="1141">
        <f t="shared" si="261"/>
        <v>501087.72714649048</v>
      </c>
      <c r="CO144" s="1141">
        <f t="shared" si="433"/>
        <v>30000</v>
      </c>
      <c r="CP144" s="1141">
        <f t="shared" si="263"/>
        <v>471087.72714649048</v>
      </c>
      <c r="CQ144" s="1145">
        <f t="shared" si="434"/>
        <v>13</v>
      </c>
      <c r="CR144" s="1141">
        <f t="shared" si="265"/>
        <v>36237.517472806961</v>
      </c>
      <c r="CS144" s="1144">
        <f t="shared" si="435"/>
        <v>0.875</v>
      </c>
      <c r="CT144" s="1141">
        <f t="shared" si="436"/>
        <v>3507614.0900254333</v>
      </c>
      <c r="CU144" s="1146">
        <f t="shared" si="375"/>
        <v>27194.494705584857</v>
      </c>
      <c r="CV144" s="1146">
        <f t="shared" si="376"/>
        <v>31527.427073551698</v>
      </c>
      <c r="CW144" s="1146">
        <f t="shared" si="377"/>
        <v>40726.373767867095</v>
      </c>
      <c r="CX144" s="1146">
        <f t="shared" si="378"/>
        <v>69454.962999521085</v>
      </c>
      <c r="CY144" s="1146">
        <f t="shared" si="437"/>
        <v>284934.64153425989</v>
      </c>
      <c r="CZ144" s="1146">
        <f t="shared" si="438"/>
        <v>112747.24965877863</v>
      </c>
      <c r="DA144" s="1146">
        <f t="shared" si="439"/>
        <v>81435.741567298086</v>
      </c>
      <c r="DB144" s="1146">
        <f t="shared" si="440"/>
        <v>61976.348440622212</v>
      </c>
      <c r="DC144" s="1146"/>
      <c r="DD144" s="1146"/>
      <c r="DE144" s="1146"/>
      <c r="DF144" s="1146"/>
      <c r="DG144" s="1146"/>
      <c r="DH144" s="1146"/>
      <c r="DI144" s="1146"/>
      <c r="DJ144" s="1146"/>
      <c r="DK144" s="1146"/>
      <c r="DL144" s="1146"/>
      <c r="DM144" s="1146"/>
      <c r="DN144" s="1146"/>
      <c r="DO144" s="1146"/>
      <c r="DP144" s="1146"/>
      <c r="DQ144" s="1146"/>
      <c r="DR144" s="1146"/>
      <c r="DS144" s="1146"/>
      <c r="DT144" s="1146"/>
      <c r="DU144" s="1146"/>
      <c r="DV144" s="1146"/>
      <c r="DW144" s="1146"/>
      <c r="DX144" s="1146"/>
      <c r="DY144" s="1146"/>
      <c r="DZ144" s="1146"/>
      <c r="EA144" s="1147">
        <f t="shared" si="379"/>
        <v>0.1138110046873653</v>
      </c>
      <c r="EB144" s="1148">
        <f t="shared" si="441"/>
        <v>0</v>
      </c>
      <c r="EC144" s="1190">
        <f t="shared" si="484"/>
        <v>45839</v>
      </c>
      <c r="ED144" s="1031">
        <f t="shared" si="380"/>
        <v>20</v>
      </c>
      <c r="EE144" s="1191"/>
      <c r="EF144" s="1032">
        <f t="shared" si="381"/>
        <v>45904</v>
      </c>
      <c r="EG144" s="1029">
        <f t="shared" si="442"/>
        <v>22</v>
      </c>
      <c r="EH144" s="859" t="s">
        <v>490</v>
      </c>
      <c r="EI144" s="859" t="s">
        <v>480</v>
      </c>
      <c r="EJ144" s="860">
        <f t="shared" si="382"/>
        <v>16800</v>
      </c>
      <c r="EK144" s="860">
        <f t="shared" si="383"/>
        <v>369600</v>
      </c>
      <c r="EL144" s="861">
        <f t="shared" si="384"/>
        <v>0.12746832524984913</v>
      </c>
      <c r="EM144" s="1197"/>
      <c r="EN144" s="860"/>
      <c r="EO144" s="860"/>
      <c r="EP144" s="860">
        <f t="shared" si="385"/>
        <v>0</v>
      </c>
      <c r="EQ144" s="1197"/>
      <c r="ER144" s="1200"/>
      <c r="ES144" s="1197"/>
      <c r="ET144" s="1194" t="s">
        <v>303</v>
      </c>
      <c r="EU144" s="1197" t="b">
        <f t="shared" si="386"/>
        <v>1</v>
      </c>
      <c r="EV144" s="1197" t="s">
        <v>631</v>
      </c>
      <c r="EW144" s="1197" t="s">
        <v>482</v>
      </c>
      <c r="EX144" s="1197"/>
      <c r="EY144" s="1128" t="s">
        <v>587</v>
      </c>
      <c r="EZ144" s="1128" t="s">
        <v>484</v>
      </c>
      <c r="FA144" s="1169">
        <f t="shared" si="443"/>
        <v>0</v>
      </c>
      <c r="FI144" s="1309" t="s">
        <v>149</v>
      </c>
      <c r="FJ144" s="1159" t="s">
        <v>149</v>
      </c>
      <c r="FK144" s="1160" t="b">
        <f t="shared" si="444"/>
        <v>1</v>
      </c>
      <c r="FL144" s="1131"/>
      <c r="FM144" s="1161"/>
      <c r="FU144" s="1295"/>
      <c r="FV144" s="1295"/>
      <c r="FW144" s="1023">
        <v>0.15</v>
      </c>
      <c r="FX144" s="1162">
        <v>14648.125703502761</v>
      </c>
      <c r="FY144" s="1163">
        <v>15105.879631737222</v>
      </c>
      <c r="GA144" s="1164">
        <f t="shared" si="445"/>
        <v>4008701.8171719238</v>
      </c>
      <c r="GB144" s="1165">
        <f t="shared" si="485"/>
        <v>0.15</v>
      </c>
      <c r="GC144" s="1154">
        <f t="shared" si="446"/>
        <v>601305.27257578855</v>
      </c>
      <c r="GD144" s="1164">
        <f t="shared" si="447"/>
        <v>30000</v>
      </c>
      <c r="GE144" s="1154">
        <f t="shared" si="448"/>
        <v>571305.27257578855</v>
      </c>
      <c r="GF144" s="1060">
        <f t="shared" si="449"/>
        <v>35</v>
      </c>
      <c r="GG144" s="1166">
        <f t="shared" si="450"/>
        <v>16323.007787879673</v>
      </c>
      <c r="GI144" s="1164">
        <f t="shared" si="451"/>
        <v>4008701.8171719238</v>
      </c>
      <c r="GJ144" s="1154">
        <f t="shared" si="452"/>
        <v>400870.1817171924</v>
      </c>
      <c r="GK144" s="1154">
        <f t="shared" si="453"/>
        <v>100217.5454292981</v>
      </c>
      <c r="GL144" s="1166">
        <v>15000</v>
      </c>
      <c r="GM144" s="1154">
        <f t="shared" si="454"/>
        <v>385870.1817171924</v>
      </c>
      <c r="GN144" s="1060">
        <f t="shared" si="455"/>
        <v>35</v>
      </c>
      <c r="GO144" s="1154">
        <f t="shared" si="456"/>
        <v>11024.862334776926</v>
      </c>
      <c r="GS144" s="1010">
        <f t="shared" si="457"/>
        <v>4008701.8171719238</v>
      </c>
      <c r="GT144" s="1011">
        <f t="shared" si="458"/>
        <v>0.125</v>
      </c>
      <c r="GU144" s="1010">
        <f t="shared" si="459"/>
        <v>501087.72714649048</v>
      </c>
      <c r="GV144" s="1010">
        <f t="shared" si="460"/>
        <v>30000</v>
      </c>
      <c r="GW144" s="1010">
        <f t="shared" si="461"/>
        <v>471087.72714649048</v>
      </c>
      <c r="GX144" s="1010">
        <f t="shared" si="462"/>
        <v>13</v>
      </c>
      <c r="GY144" s="1010">
        <f t="shared" si="463"/>
        <v>36237.517472806961</v>
      </c>
      <c r="GZ144" s="1011">
        <f t="shared" si="464"/>
        <v>0.875</v>
      </c>
      <c r="HA144" s="1010">
        <f t="shared" si="465"/>
        <v>3507614.0900254333</v>
      </c>
      <c r="HB144" s="1010">
        <f t="shared" si="466"/>
        <v>27194.494705584857</v>
      </c>
      <c r="HC144" s="1010">
        <f t="shared" si="467"/>
        <v>31527.427073551698</v>
      </c>
      <c r="HD144" s="1010">
        <f t="shared" si="468"/>
        <v>40726.373767867095</v>
      </c>
      <c r="HE144" s="1010">
        <f t="shared" si="469"/>
        <v>69454.962999521085</v>
      </c>
      <c r="HG144" s="1010">
        <f t="shared" si="470"/>
        <v>4008701.8171719238</v>
      </c>
      <c r="HH144" s="1011">
        <f t="shared" si="471"/>
        <v>0.125</v>
      </c>
      <c r="HI144" s="1010">
        <f t="shared" si="472"/>
        <v>501087.72714649048</v>
      </c>
      <c r="HJ144" s="1010">
        <f t="shared" si="473"/>
        <v>30000</v>
      </c>
      <c r="HK144" s="1010">
        <f t="shared" si="474"/>
        <v>471087.72714649048</v>
      </c>
      <c r="HL144" s="1012">
        <f t="shared" si="475"/>
        <v>33</v>
      </c>
      <c r="HM144" s="1167">
        <f t="shared" si="476"/>
        <v>14275.385671105772</v>
      </c>
      <c r="HN144" s="1168">
        <f t="shared" si="477"/>
        <v>0.875</v>
      </c>
      <c r="HO144" s="1167">
        <f t="shared" si="478"/>
        <v>3507614.0900254333</v>
      </c>
      <c r="HP144" s="1146">
        <f t="shared" si="479"/>
        <v>27194.494705584857</v>
      </c>
      <c r="HQ144" s="1146">
        <f t="shared" si="480"/>
        <v>31527.427073551698</v>
      </c>
      <c r="HR144" s="1146">
        <f t="shared" si="481"/>
        <v>40726.373767867095</v>
      </c>
      <c r="HS144" s="1146">
        <f t="shared" si="482"/>
        <v>69454.962999521085</v>
      </c>
      <c r="HU144" s="1167">
        <f t="shared" si="483"/>
        <v>-21962.131801701187</v>
      </c>
      <c r="HX144" s="1154"/>
      <c r="HY144" s="1154"/>
      <c r="IB144" s="1154"/>
      <c r="IC144" s="1154"/>
      <c r="ID144" s="1154"/>
      <c r="IE144" s="1154"/>
      <c r="IG144" s="1060"/>
    </row>
    <row r="145" spans="1:241" ht="14.25" hidden="1" customHeight="1">
      <c r="A145" s="1186">
        <f t="shared" si="490"/>
        <v>139</v>
      </c>
      <c r="B145" s="824" t="s">
        <v>149</v>
      </c>
      <c r="C145" s="855">
        <f t="shared" si="371"/>
        <v>16</v>
      </c>
      <c r="D145" s="856" t="s">
        <v>515</v>
      </c>
      <c r="E145" s="857" t="str">
        <f t="shared" si="387"/>
        <v>9th Floor</v>
      </c>
      <c r="F145" s="1185"/>
      <c r="G145" s="764" t="s">
        <v>304</v>
      </c>
      <c r="H145" s="764" t="s">
        <v>550</v>
      </c>
      <c r="I145" s="764" t="s">
        <v>476</v>
      </c>
      <c r="J145" s="1139">
        <v>22</v>
      </c>
      <c r="K145" s="1142"/>
      <c r="L145" s="764" t="s">
        <v>500</v>
      </c>
      <c r="M145" s="764" t="s">
        <v>93</v>
      </c>
      <c r="N145" s="856">
        <f t="shared" si="388"/>
        <v>100909.09090909091</v>
      </c>
      <c r="O145" s="1138">
        <f t="shared" si="486"/>
        <v>2220000</v>
      </c>
      <c r="P145" s="1138">
        <f t="shared" si="491"/>
        <v>22400</v>
      </c>
      <c r="Q145" s="1138">
        <f t="shared" si="374"/>
        <v>50000</v>
      </c>
      <c r="R145" s="1138"/>
      <c r="S145" s="1138"/>
      <c r="T145" s="1138"/>
      <c r="U145" s="1138"/>
      <c r="V145" s="858"/>
      <c r="W145" s="858"/>
      <c r="X145" s="1138"/>
      <c r="Y145" s="1138">
        <f t="shared" si="373"/>
        <v>100000</v>
      </c>
      <c r="Z145" s="1138">
        <f t="shared" si="487"/>
        <v>75000</v>
      </c>
      <c r="AA145" s="1138">
        <f t="shared" si="488"/>
        <v>247400</v>
      </c>
      <c r="AB145" s="1138">
        <f t="shared" si="390"/>
        <v>2467400</v>
      </c>
      <c r="AC145" s="1138">
        <f t="shared" si="391"/>
        <v>61685</v>
      </c>
      <c r="AD145" s="1138">
        <f t="shared" si="392"/>
        <v>2529085</v>
      </c>
      <c r="AE145" s="1138">
        <f t="shared" si="393"/>
        <v>63227.125</v>
      </c>
      <c r="AF145" s="1138">
        <f t="shared" si="394"/>
        <v>2592312.125</v>
      </c>
      <c r="AG145" s="1138">
        <f t="shared" si="395"/>
        <v>64807.803125000006</v>
      </c>
      <c r="AH145" s="1138">
        <f t="shared" si="396"/>
        <v>2657119.9281250001</v>
      </c>
      <c r="AI145" s="1138">
        <f t="shared" si="397"/>
        <v>132855.99640625002</v>
      </c>
      <c r="AJ145" s="1138">
        <f t="shared" si="398"/>
        <v>2789975.9245312503</v>
      </c>
      <c r="AK145" s="1138">
        <f t="shared" si="399"/>
        <v>27899.759245312503</v>
      </c>
      <c r="AL145" s="1138">
        <f t="shared" si="400"/>
        <v>27537.409960060559</v>
      </c>
      <c r="AM145" s="1138"/>
      <c r="AN145" s="1138"/>
      <c r="AO145" s="1138">
        <f t="shared" si="401"/>
        <v>2845413.0937366229</v>
      </c>
      <c r="AP145" s="1138">
        <f t="shared" si="402"/>
        <v>384130.76765444415</v>
      </c>
      <c r="AQ145" s="1248">
        <f t="shared" si="403"/>
        <v>3229543.861391067</v>
      </c>
      <c r="AR145" s="1248">
        <f t="shared" si="347"/>
        <v>2899543.861391067</v>
      </c>
      <c r="AS145" s="1248">
        <v>15000</v>
      </c>
      <c r="AT145" s="1248">
        <f t="shared" si="348"/>
        <v>330000</v>
      </c>
      <c r="AU145" s="1248">
        <f t="shared" si="404"/>
        <v>39600</v>
      </c>
      <c r="AV145" s="1140">
        <f t="shared" si="405"/>
        <v>369600</v>
      </c>
      <c r="AW145" s="1140">
        <f t="shared" si="406"/>
        <v>3269143.861391067</v>
      </c>
      <c r="AX145" s="1139">
        <f t="shared" si="407"/>
        <v>40864.298267388338</v>
      </c>
      <c r="AY145" s="831" t="s">
        <v>478</v>
      </c>
      <c r="AZ145" s="831">
        <f t="shared" si="408"/>
        <v>3310008.1596584553</v>
      </c>
      <c r="BA145" s="831">
        <f t="shared" si="409"/>
        <v>124125.30598719207</v>
      </c>
      <c r="BB145" s="831"/>
      <c r="BC145" s="831">
        <f t="shared" si="346"/>
        <v>33600</v>
      </c>
      <c r="BD145" s="831"/>
      <c r="BE145" s="831">
        <f t="shared" si="410"/>
        <v>3467733.4656456471</v>
      </c>
      <c r="BF145" s="831"/>
      <c r="BG145" s="831">
        <f t="shared" si="411"/>
        <v>3467733.4656456471</v>
      </c>
      <c r="BH145" s="831"/>
      <c r="BI145" s="831">
        <f t="shared" si="412"/>
        <v>3467733.4656456471</v>
      </c>
      <c r="BJ145" s="831"/>
      <c r="BK145" s="831">
        <f t="shared" si="413"/>
        <v>3467733.4656456471</v>
      </c>
      <c r="BL145" s="831"/>
      <c r="BM145" s="831">
        <f t="shared" si="414"/>
        <v>3467733.4656456471</v>
      </c>
      <c r="BN145" s="831"/>
      <c r="BO145" s="831">
        <f t="shared" si="415"/>
        <v>3467733.4656456471</v>
      </c>
      <c r="BP145" s="831"/>
      <c r="BQ145" s="831">
        <f t="shared" si="416"/>
        <v>3467733.4656456471</v>
      </c>
      <c r="BR145" s="831"/>
      <c r="BS145" s="831">
        <f t="shared" si="417"/>
        <v>3467733.4656456471</v>
      </c>
      <c r="BT145" s="831"/>
      <c r="BU145" s="831">
        <f t="shared" si="418"/>
        <v>3467733.4656456471</v>
      </c>
      <c r="BV145" s="831"/>
      <c r="BW145" s="831">
        <f t="shared" si="419"/>
        <v>56400</v>
      </c>
      <c r="BX145" s="831">
        <f t="shared" si="420"/>
        <v>3524133.4656456471</v>
      </c>
      <c r="BY145" s="831"/>
      <c r="BZ145" s="831">
        <f t="shared" si="421"/>
        <v>3524133.4656456471</v>
      </c>
      <c r="CA145" s="1260">
        <f t="shared" si="422"/>
        <v>3524133.4656456471</v>
      </c>
      <c r="CB145" s="1260">
        <f t="shared" si="423"/>
        <v>3524133.4656456471</v>
      </c>
      <c r="CC145" s="1260"/>
      <c r="CD145" s="1260">
        <f t="shared" si="424"/>
        <v>0</v>
      </c>
      <c r="CE145" s="1260">
        <f t="shared" si="425"/>
        <v>0</v>
      </c>
      <c r="CF145" s="1260">
        <f t="shared" si="426"/>
        <v>0</v>
      </c>
      <c r="CG145" s="1266">
        <f t="shared" si="427"/>
        <v>3524133.4656456471</v>
      </c>
      <c r="CH145" s="1141">
        <f t="shared" si="428"/>
        <v>3524133.4656456471</v>
      </c>
      <c r="CI145" s="1142">
        <f t="shared" si="429"/>
        <v>0</v>
      </c>
      <c r="CJ145" s="1141">
        <f t="shared" si="430"/>
        <v>361223.6802286788</v>
      </c>
      <c r="CK145" s="1141">
        <f t="shared" si="431"/>
        <v>123344.67129759766</v>
      </c>
      <c r="CL145" s="1143">
        <f t="shared" si="489"/>
        <v>4008701.8171719238</v>
      </c>
      <c r="CM145" s="1144">
        <f t="shared" si="432"/>
        <v>0.125</v>
      </c>
      <c r="CN145" s="1141">
        <f>CL145*CM145</f>
        <v>501087.72714649048</v>
      </c>
      <c r="CO145" s="1141">
        <f t="shared" si="433"/>
        <v>30000</v>
      </c>
      <c r="CP145" s="1141">
        <f t="shared" si="263"/>
        <v>471087.72714649048</v>
      </c>
      <c r="CQ145" s="1145">
        <f t="shared" si="434"/>
        <v>13</v>
      </c>
      <c r="CR145" s="1141">
        <f t="shared" si="265"/>
        <v>36237.517472806961</v>
      </c>
      <c r="CS145" s="1144">
        <f t="shared" si="435"/>
        <v>0.875</v>
      </c>
      <c r="CT145" s="1141">
        <f t="shared" si="436"/>
        <v>3507614.0900254333</v>
      </c>
      <c r="CU145" s="1146">
        <f t="shared" si="375"/>
        <v>27194.494705584857</v>
      </c>
      <c r="CV145" s="1146">
        <f t="shared" si="376"/>
        <v>31527.427073551698</v>
      </c>
      <c r="CW145" s="1146">
        <f t="shared" si="377"/>
        <v>40726.373767867095</v>
      </c>
      <c r="CX145" s="1146">
        <f t="shared" si="378"/>
        <v>69454.962999521085</v>
      </c>
      <c r="CY145" s="1146">
        <f t="shared" si="437"/>
        <v>284934.64153425989</v>
      </c>
      <c r="CZ145" s="1146">
        <f t="shared" si="438"/>
        <v>112747.24965877863</v>
      </c>
      <c r="DA145" s="1146">
        <f t="shared" si="439"/>
        <v>81435.741567298086</v>
      </c>
      <c r="DB145" s="1146">
        <f t="shared" si="440"/>
        <v>61976.348440622212</v>
      </c>
      <c r="DC145" s="1146"/>
      <c r="DD145" s="1146"/>
      <c r="DE145" s="1146"/>
      <c r="DF145" s="1146"/>
      <c r="DG145" s="1146"/>
      <c r="DH145" s="1146"/>
      <c r="DI145" s="1146"/>
      <c r="DJ145" s="1146"/>
      <c r="DK145" s="1146"/>
      <c r="DL145" s="1146"/>
      <c r="DM145" s="1146"/>
      <c r="DN145" s="1146"/>
      <c r="DO145" s="1146"/>
      <c r="DP145" s="1146"/>
      <c r="DQ145" s="1146"/>
      <c r="DR145" s="1146"/>
      <c r="DS145" s="1146"/>
      <c r="DT145" s="1146"/>
      <c r="DU145" s="1146"/>
      <c r="DV145" s="1146"/>
      <c r="DW145" s="1146"/>
      <c r="DX145" s="1146"/>
      <c r="DY145" s="1146"/>
      <c r="DZ145" s="1146"/>
      <c r="EA145" s="1147">
        <f t="shared" si="379"/>
        <v>0.1138110046873653</v>
      </c>
      <c r="EB145" s="1148">
        <f t="shared" si="441"/>
        <v>0</v>
      </c>
      <c r="EC145" s="1190">
        <f t="shared" si="484"/>
        <v>45839</v>
      </c>
      <c r="ED145" s="1031">
        <f t="shared" si="380"/>
        <v>20</v>
      </c>
      <c r="EE145" s="1191"/>
      <c r="EF145" s="1032">
        <f t="shared" si="381"/>
        <v>45904</v>
      </c>
      <c r="EG145" s="1029">
        <f t="shared" si="442"/>
        <v>22</v>
      </c>
      <c r="EH145" s="859" t="s">
        <v>490</v>
      </c>
      <c r="EI145" s="859" t="s">
        <v>480</v>
      </c>
      <c r="EJ145" s="860">
        <f t="shared" si="382"/>
        <v>16800</v>
      </c>
      <c r="EK145" s="860">
        <f t="shared" si="383"/>
        <v>369600</v>
      </c>
      <c r="EL145" s="861">
        <f t="shared" si="384"/>
        <v>0.12746832524984913</v>
      </c>
      <c r="EM145" s="1197"/>
      <c r="EN145" s="860"/>
      <c r="EO145" s="860"/>
      <c r="EP145" s="860">
        <f t="shared" si="385"/>
        <v>0</v>
      </c>
      <c r="EQ145" s="1197"/>
      <c r="ER145" s="1200"/>
      <c r="ES145" s="1197"/>
      <c r="ET145" s="1194" t="s">
        <v>304</v>
      </c>
      <c r="EU145" s="1197" t="b">
        <f t="shared" si="386"/>
        <v>1</v>
      </c>
      <c r="EV145" s="1197" t="s">
        <v>631</v>
      </c>
      <c r="EW145" s="1197" t="s">
        <v>482</v>
      </c>
      <c r="EX145" s="1197"/>
      <c r="EY145" s="1128" t="s">
        <v>587</v>
      </c>
      <c r="EZ145" s="1128" t="s">
        <v>484</v>
      </c>
      <c r="FA145" s="1169">
        <f t="shared" si="443"/>
        <v>0</v>
      </c>
      <c r="FI145" s="1309" t="s">
        <v>149</v>
      </c>
      <c r="FJ145" s="1159" t="s">
        <v>149</v>
      </c>
      <c r="FK145" s="1160" t="b">
        <f t="shared" si="444"/>
        <v>1</v>
      </c>
      <c r="FL145" s="1131"/>
      <c r="FM145" s="1161"/>
      <c r="FU145" s="1295"/>
      <c r="FV145" s="1295"/>
      <c r="FW145" s="1023">
        <v>0.15</v>
      </c>
      <c r="FX145" s="1162">
        <v>14648.125703502761</v>
      </c>
      <c r="FY145" s="1163">
        <v>15105.879631737222</v>
      </c>
      <c r="GA145" s="1164">
        <f t="shared" si="445"/>
        <v>4008701.8171719238</v>
      </c>
      <c r="GB145" s="1165">
        <f t="shared" si="485"/>
        <v>0.15</v>
      </c>
      <c r="GC145" s="1154">
        <f t="shared" si="446"/>
        <v>601305.27257578855</v>
      </c>
      <c r="GD145" s="1164">
        <f t="shared" si="447"/>
        <v>30000</v>
      </c>
      <c r="GE145" s="1154">
        <f t="shared" si="448"/>
        <v>571305.27257578855</v>
      </c>
      <c r="GF145" s="1060">
        <f t="shared" si="449"/>
        <v>35</v>
      </c>
      <c r="GG145" s="1166">
        <f t="shared" si="450"/>
        <v>16323.007787879673</v>
      </c>
      <c r="GI145" s="1164">
        <f t="shared" si="451"/>
        <v>4008701.8171719238</v>
      </c>
      <c r="GJ145" s="1154">
        <f t="shared" si="452"/>
        <v>400870.1817171924</v>
      </c>
      <c r="GK145" s="1154">
        <f t="shared" si="453"/>
        <v>100217.5454292981</v>
      </c>
      <c r="GL145" s="1166">
        <v>15000</v>
      </c>
      <c r="GM145" s="1154">
        <f t="shared" si="454"/>
        <v>385870.1817171924</v>
      </c>
      <c r="GN145" s="1060">
        <f t="shared" si="455"/>
        <v>35</v>
      </c>
      <c r="GO145" s="1154">
        <f t="shared" si="456"/>
        <v>11024.862334776926</v>
      </c>
      <c r="GS145" s="1010">
        <f t="shared" si="457"/>
        <v>4008701.8171719238</v>
      </c>
      <c r="GT145" s="1011">
        <f t="shared" si="458"/>
        <v>0.125</v>
      </c>
      <c r="GU145" s="1010">
        <f t="shared" si="459"/>
        <v>501087.72714649048</v>
      </c>
      <c r="GV145" s="1010">
        <f t="shared" si="460"/>
        <v>30000</v>
      </c>
      <c r="GW145" s="1010">
        <f t="shared" si="461"/>
        <v>471087.72714649048</v>
      </c>
      <c r="GX145" s="1010">
        <f t="shared" si="462"/>
        <v>13</v>
      </c>
      <c r="GY145" s="1010">
        <f t="shared" si="463"/>
        <v>36237.517472806961</v>
      </c>
      <c r="GZ145" s="1011">
        <f t="shared" si="464"/>
        <v>0.875</v>
      </c>
      <c r="HA145" s="1010">
        <f t="shared" si="465"/>
        <v>3507614.0900254333</v>
      </c>
      <c r="HB145" s="1010">
        <f t="shared" si="466"/>
        <v>27194.494705584857</v>
      </c>
      <c r="HC145" s="1010">
        <f t="shared" si="467"/>
        <v>31527.427073551698</v>
      </c>
      <c r="HD145" s="1010">
        <f t="shared" si="468"/>
        <v>40726.373767867095</v>
      </c>
      <c r="HE145" s="1010">
        <f t="shared" si="469"/>
        <v>69454.962999521085</v>
      </c>
      <c r="HG145" s="1010">
        <f t="shared" si="470"/>
        <v>4008701.8171719238</v>
      </c>
      <c r="HH145" s="1011">
        <f t="shared" si="471"/>
        <v>0.125</v>
      </c>
      <c r="HI145" s="1010">
        <f t="shared" si="472"/>
        <v>501087.72714649048</v>
      </c>
      <c r="HJ145" s="1010">
        <f t="shared" si="473"/>
        <v>30000</v>
      </c>
      <c r="HK145" s="1010">
        <f t="shared" si="474"/>
        <v>471087.72714649048</v>
      </c>
      <c r="HL145" s="1012">
        <f t="shared" si="475"/>
        <v>33</v>
      </c>
      <c r="HM145" s="1167">
        <f t="shared" si="476"/>
        <v>14275.385671105772</v>
      </c>
      <c r="HN145" s="1168">
        <f t="shared" si="477"/>
        <v>0.875</v>
      </c>
      <c r="HO145" s="1167">
        <f t="shared" si="478"/>
        <v>3507614.0900254333</v>
      </c>
      <c r="HP145" s="1146">
        <f t="shared" si="479"/>
        <v>27194.494705584857</v>
      </c>
      <c r="HQ145" s="1146">
        <f t="shared" si="480"/>
        <v>31527.427073551698</v>
      </c>
      <c r="HR145" s="1146">
        <f t="shared" si="481"/>
        <v>40726.373767867095</v>
      </c>
      <c r="HS145" s="1146">
        <f t="shared" si="482"/>
        <v>69454.962999521085</v>
      </c>
      <c r="HU145" s="1167">
        <f t="shared" si="483"/>
        <v>-21962.131801701187</v>
      </c>
      <c r="HX145" s="1154"/>
      <c r="HY145" s="1154"/>
      <c r="IB145" s="1154"/>
      <c r="IC145" s="1154"/>
      <c r="ID145" s="1154"/>
      <c r="IE145" s="1154"/>
      <c r="IG145" s="1060"/>
    </row>
    <row r="146" spans="1:241" ht="14.25" hidden="1" customHeight="1">
      <c r="A146" s="1186">
        <f t="shared" si="490"/>
        <v>140</v>
      </c>
      <c r="B146" s="824" t="s">
        <v>149</v>
      </c>
      <c r="C146" s="855">
        <f t="shared" si="371"/>
        <v>17</v>
      </c>
      <c r="D146" s="856" t="s">
        <v>515</v>
      </c>
      <c r="E146" s="857" t="str">
        <f t="shared" si="387"/>
        <v>9th Floor</v>
      </c>
      <c r="F146" s="1185"/>
      <c r="G146" s="764" t="s">
        <v>305</v>
      </c>
      <c r="H146" s="764" t="s">
        <v>552</v>
      </c>
      <c r="I146" s="764" t="s">
        <v>476</v>
      </c>
      <c r="J146" s="1139">
        <v>22</v>
      </c>
      <c r="K146" s="1142"/>
      <c r="L146" s="764" t="s">
        <v>500</v>
      </c>
      <c r="M146" s="764" t="s">
        <v>93</v>
      </c>
      <c r="N146" s="856">
        <f t="shared" si="388"/>
        <v>100909.09090909091</v>
      </c>
      <c r="O146" s="1138">
        <f t="shared" si="486"/>
        <v>2220000</v>
      </c>
      <c r="P146" s="1138">
        <f t="shared" si="491"/>
        <v>22400</v>
      </c>
      <c r="Q146" s="1138">
        <f t="shared" si="374"/>
        <v>50000</v>
      </c>
      <c r="R146" s="1138"/>
      <c r="S146" s="1138"/>
      <c r="T146" s="1138"/>
      <c r="U146" s="1138"/>
      <c r="V146" s="1138"/>
      <c r="W146" s="858"/>
      <c r="X146" s="1138"/>
      <c r="Y146" s="1138">
        <f t="shared" si="373"/>
        <v>100000</v>
      </c>
      <c r="Z146" s="1138">
        <f t="shared" si="487"/>
        <v>75000</v>
      </c>
      <c r="AA146" s="1138">
        <f t="shared" si="488"/>
        <v>247400</v>
      </c>
      <c r="AB146" s="1138">
        <f t="shared" si="390"/>
        <v>2467400</v>
      </c>
      <c r="AC146" s="1138">
        <f t="shared" si="391"/>
        <v>61685</v>
      </c>
      <c r="AD146" s="1138">
        <f t="shared" si="392"/>
        <v>2529085</v>
      </c>
      <c r="AE146" s="1138">
        <f t="shared" si="393"/>
        <v>63227.125</v>
      </c>
      <c r="AF146" s="1138">
        <f t="shared" si="394"/>
        <v>2592312.125</v>
      </c>
      <c r="AG146" s="1138">
        <f t="shared" si="395"/>
        <v>64807.803125000006</v>
      </c>
      <c r="AH146" s="1138">
        <f t="shared" si="396"/>
        <v>2657119.9281250001</v>
      </c>
      <c r="AI146" s="1138">
        <f t="shared" si="397"/>
        <v>132855.99640625002</v>
      </c>
      <c r="AJ146" s="1138">
        <f t="shared" si="398"/>
        <v>2789975.9245312503</v>
      </c>
      <c r="AK146" s="1138">
        <f t="shared" si="399"/>
        <v>27899.759245312503</v>
      </c>
      <c r="AL146" s="1138">
        <f t="shared" si="400"/>
        <v>27537.409960060559</v>
      </c>
      <c r="AM146" s="1138"/>
      <c r="AN146" s="1138"/>
      <c r="AO146" s="1138">
        <f t="shared" si="401"/>
        <v>2845413.0937366229</v>
      </c>
      <c r="AP146" s="1138">
        <f t="shared" si="402"/>
        <v>384130.76765444415</v>
      </c>
      <c r="AQ146" s="1248">
        <f t="shared" si="403"/>
        <v>3229543.861391067</v>
      </c>
      <c r="AR146" s="1248">
        <f t="shared" si="347"/>
        <v>2899543.861391067</v>
      </c>
      <c r="AS146" s="1248">
        <v>15000</v>
      </c>
      <c r="AT146" s="1248">
        <f t="shared" si="348"/>
        <v>330000</v>
      </c>
      <c r="AU146" s="1248">
        <f t="shared" si="404"/>
        <v>39600</v>
      </c>
      <c r="AV146" s="1140">
        <f t="shared" si="405"/>
        <v>369600</v>
      </c>
      <c r="AW146" s="1140">
        <f t="shared" si="406"/>
        <v>3269143.861391067</v>
      </c>
      <c r="AX146" s="1139">
        <f t="shared" si="407"/>
        <v>40864.298267388338</v>
      </c>
      <c r="AY146" s="831" t="s">
        <v>478</v>
      </c>
      <c r="AZ146" s="831">
        <f t="shared" si="408"/>
        <v>3310008.1596584553</v>
      </c>
      <c r="BA146" s="831">
        <f t="shared" si="409"/>
        <v>124125.30598719207</v>
      </c>
      <c r="BB146" s="831"/>
      <c r="BC146" s="831">
        <f t="shared" si="346"/>
        <v>33600</v>
      </c>
      <c r="BD146" s="831"/>
      <c r="BE146" s="831">
        <f t="shared" si="410"/>
        <v>3467733.4656456471</v>
      </c>
      <c r="BF146" s="831"/>
      <c r="BG146" s="831">
        <f t="shared" si="411"/>
        <v>3467733.4656456471</v>
      </c>
      <c r="BH146" s="831"/>
      <c r="BI146" s="831">
        <f t="shared" si="412"/>
        <v>3467733.4656456471</v>
      </c>
      <c r="BJ146" s="831"/>
      <c r="BK146" s="831">
        <f t="shared" si="413"/>
        <v>3467733.4656456471</v>
      </c>
      <c r="BL146" s="831"/>
      <c r="BM146" s="831">
        <f t="shared" si="414"/>
        <v>3467733.4656456471</v>
      </c>
      <c r="BN146" s="831"/>
      <c r="BO146" s="831">
        <f t="shared" si="415"/>
        <v>3467733.4656456471</v>
      </c>
      <c r="BP146" s="831"/>
      <c r="BQ146" s="831">
        <f t="shared" si="416"/>
        <v>3467733.4656456471</v>
      </c>
      <c r="BR146" s="831"/>
      <c r="BS146" s="831">
        <f t="shared" si="417"/>
        <v>3467733.4656456471</v>
      </c>
      <c r="BT146" s="831"/>
      <c r="BU146" s="831">
        <f t="shared" si="418"/>
        <v>3467733.4656456471</v>
      </c>
      <c r="BV146" s="831"/>
      <c r="BW146" s="831">
        <f t="shared" si="419"/>
        <v>56400</v>
      </c>
      <c r="BX146" s="831">
        <f t="shared" si="420"/>
        <v>3524133.4656456471</v>
      </c>
      <c r="BY146" s="831"/>
      <c r="BZ146" s="831">
        <f t="shared" si="421"/>
        <v>3524133.4656456471</v>
      </c>
      <c r="CA146" s="1260">
        <f t="shared" si="422"/>
        <v>3524133.4656456471</v>
      </c>
      <c r="CB146" s="1260">
        <f t="shared" si="423"/>
        <v>3524133.4656456471</v>
      </c>
      <c r="CC146" s="1260"/>
      <c r="CD146" s="1260">
        <f t="shared" si="424"/>
        <v>0</v>
      </c>
      <c r="CE146" s="1260">
        <f t="shared" si="425"/>
        <v>0</v>
      </c>
      <c r="CF146" s="1260">
        <f t="shared" si="426"/>
        <v>0</v>
      </c>
      <c r="CG146" s="1266">
        <f t="shared" si="427"/>
        <v>3524133.4656456471</v>
      </c>
      <c r="CH146" s="1141">
        <f>CG146</f>
        <v>3524133.4656456471</v>
      </c>
      <c r="CI146" s="1142">
        <f t="shared" si="429"/>
        <v>0</v>
      </c>
      <c r="CJ146" s="1141">
        <f t="shared" si="430"/>
        <v>361223.6802286788</v>
      </c>
      <c r="CK146" s="1141">
        <f t="shared" si="431"/>
        <v>123344.67129759766</v>
      </c>
      <c r="CL146" s="1143">
        <f t="shared" si="489"/>
        <v>4008701.8171719238</v>
      </c>
      <c r="CM146" s="1144">
        <f t="shared" si="432"/>
        <v>0.125</v>
      </c>
      <c r="CN146" s="1141">
        <f t="shared" si="261"/>
        <v>501087.72714649048</v>
      </c>
      <c r="CO146" s="1141">
        <f t="shared" si="433"/>
        <v>30000</v>
      </c>
      <c r="CP146" s="1141">
        <f t="shared" si="263"/>
        <v>471087.72714649048</v>
      </c>
      <c r="CQ146" s="1145">
        <f t="shared" si="434"/>
        <v>13</v>
      </c>
      <c r="CR146" s="1141">
        <f t="shared" si="265"/>
        <v>36237.517472806961</v>
      </c>
      <c r="CS146" s="1144">
        <f t="shared" si="435"/>
        <v>0.875</v>
      </c>
      <c r="CT146" s="1141">
        <f t="shared" si="436"/>
        <v>3507614.0900254333</v>
      </c>
      <c r="CU146" s="1146">
        <f t="shared" si="375"/>
        <v>27194.494705584857</v>
      </c>
      <c r="CV146" s="1146">
        <f t="shared" si="376"/>
        <v>31527.427073551698</v>
      </c>
      <c r="CW146" s="1146">
        <f t="shared" si="377"/>
        <v>40726.373767867095</v>
      </c>
      <c r="CX146" s="1146">
        <f t="shared" si="378"/>
        <v>69454.962999521085</v>
      </c>
      <c r="CY146" s="1146">
        <f t="shared" si="437"/>
        <v>284934.64153425989</v>
      </c>
      <c r="CZ146" s="1146">
        <f t="shared" si="438"/>
        <v>112747.24965877863</v>
      </c>
      <c r="DA146" s="1146">
        <f t="shared" si="439"/>
        <v>81435.741567298086</v>
      </c>
      <c r="DB146" s="1146">
        <f t="shared" si="440"/>
        <v>61976.348440622212</v>
      </c>
      <c r="DC146" s="1146"/>
      <c r="DD146" s="1146"/>
      <c r="DE146" s="1146"/>
      <c r="DF146" s="1146"/>
      <c r="DG146" s="1146"/>
      <c r="DH146" s="1146"/>
      <c r="DI146" s="1146"/>
      <c r="DJ146" s="1146"/>
      <c r="DK146" s="1146"/>
      <c r="DL146" s="1146"/>
      <c r="DM146" s="1146"/>
      <c r="DN146" s="1146"/>
      <c r="DO146" s="1146"/>
      <c r="DP146" s="1146"/>
      <c r="DQ146" s="1146"/>
      <c r="DR146" s="1146"/>
      <c r="DS146" s="1146"/>
      <c r="DT146" s="1146"/>
      <c r="DU146" s="1146"/>
      <c r="DV146" s="1146"/>
      <c r="DW146" s="1146"/>
      <c r="DX146" s="1146"/>
      <c r="DY146" s="1146"/>
      <c r="DZ146" s="1146"/>
      <c r="EA146" s="1147">
        <f t="shared" si="379"/>
        <v>0.1138110046873653</v>
      </c>
      <c r="EB146" s="1148">
        <f t="shared" si="441"/>
        <v>0</v>
      </c>
      <c r="EC146" s="1190">
        <f t="shared" si="484"/>
        <v>45839</v>
      </c>
      <c r="ED146" s="1031">
        <f t="shared" si="380"/>
        <v>20</v>
      </c>
      <c r="EE146" s="1191"/>
      <c r="EF146" s="1032">
        <f t="shared" si="381"/>
        <v>45904</v>
      </c>
      <c r="EG146" s="1029">
        <f t="shared" si="442"/>
        <v>22</v>
      </c>
      <c r="EH146" s="859" t="s">
        <v>490</v>
      </c>
      <c r="EI146" s="859" t="s">
        <v>480</v>
      </c>
      <c r="EJ146" s="860">
        <f t="shared" si="382"/>
        <v>16800</v>
      </c>
      <c r="EK146" s="860">
        <f t="shared" si="383"/>
        <v>369600</v>
      </c>
      <c r="EL146" s="861">
        <f t="shared" si="384"/>
        <v>0.12746832524984913</v>
      </c>
      <c r="EM146" s="1197"/>
      <c r="EN146" s="860"/>
      <c r="EO146" s="860"/>
      <c r="EP146" s="860">
        <f t="shared" si="385"/>
        <v>0</v>
      </c>
      <c r="EQ146" s="1197"/>
      <c r="ER146" s="1200"/>
      <c r="ES146" s="1197"/>
      <c r="ET146" s="1194" t="s">
        <v>305</v>
      </c>
      <c r="EU146" s="1197" t="b">
        <f t="shared" si="386"/>
        <v>1</v>
      </c>
      <c r="EV146" s="1197" t="s">
        <v>631</v>
      </c>
      <c r="EW146" s="1197" t="s">
        <v>482</v>
      </c>
      <c r="EX146" s="1197"/>
      <c r="EY146" s="1128" t="s">
        <v>587</v>
      </c>
      <c r="EZ146" s="1128" t="s">
        <v>484</v>
      </c>
      <c r="FA146" s="1169">
        <f t="shared" si="443"/>
        <v>0</v>
      </c>
      <c r="FI146" s="1309" t="s">
        <v>149</v>
      </c>
      <c r="FJ146" s="1159" t="s">
        <v>149</v>
      </c>
      <c r="FK146" s="1160" t="b">
        <f t="shared" si="444"/>
        <v>1</v>
      </c>
      <c r="FL146" s="1131"/>
      <c r="FM146" s="1161"/>
      <c r="FU146" s="1295"/>
      <c r="FV146" s="1295"/>
      <c r="FW146" s="1023">
        <v>0.15</v>
      </c>
      <c r="FX146" s="1162">
        <v>14648.125703502761</v>
      </c>
      <c r="FY146" s="1163">
        <v>15105.879631737222</v>
      </c>
      <c r="GA146" s="1164">
        <f t="shared" si="445"/>
        <v>4008701.8171719238</v>
      </c>
      <c r="GB146" s="1165">
        <f t="shared" si="485"/>
        <v>0.15</v>
      </c>
      <c r="GC146" s="1154">
        <f t="shared" si="446"/>
        <v>601305.27257578855</v>
      </c>
      <c r="GD146" s="1164">
        <f t="shared" si="447"/>
        <v>30000</v>
      </c>
      <c r="GE146" s="1154">
        <f t="shared" si="448"/>
        <v>571305.27257578855</v>
      </c>
      <c r="GF146" s="1060">
        <f t="shared" si="449"/>
        <v>35</v>
      </c>
      <c r="GG146" s="1166">
        <f t="shared" si="450"/>
        <v>16323.007787879673</v>
      </c>
      <c r="GI146" s="1164">
        <f t="shared" si="451"/>
        <v>4008701.8171719238</v>
      </c>
      <c r="GJ146" s="1154">
        <f t="shared" si="452"/>
        <v>400870.1817171924</v>
      </c>
      <c r="GK146" s="1154">
        <f t="shared" si="453"/>
        <v>100217.5454292981</v>
      </c>
      <c r="GL146" s="1166">
        <v>15000</v>
      </c>
      <c r="GM146" s="1154">
        <f t="shared" si="454"/>
        <v>385870.1817171924</v>
      </c>
      <c r="GN146" s="1060">
        <f t="shared" si="455"/>
        <v>35</v>
      </c>
      <c r="GO146" s="1154">
        <f t="shared" si="456"/>
        <v>11024.862334776926</v>
      </c>
      <c r="GS146" s="1010">
        <f t="shared" si="457"/>
        <v>4008701.8171719238</v>
      </c>
      <c r="GT146" s="1011">
        <f t="shared" si="458"/>
        <v>0.125</v>
      </c>
      <c r="GU146" s="1010">
        <f t="shared" si="459"/>
        <v>501087.72714649048</v>
      </c>
      <c r="GV146" s="1010">
        <f t="shared" si="460"/>
        <v>30000</v>
      </c>
      <c r="GW146" s="1010">
        <f t="shared" si="461"/>
        <v>471087.72714649048</v>
      </c>
      <c r="GX146" s="1010">
        <f t="shared" si="462"/>
        <v>13</v>
      </c>
      <c r="GY146" s="1010">
        <f t="shared" si="463"/>
        <v>36237.517472806961</v>
      </c>
      <c r="GZ146" s="1011">
        <f t="shared" si="464"/>
        <v>0.875</v>
      </c>
      <c r="HA146" s="1010">
        <f t="shared" si="465"/>
        <v>3507614.0900254333</v>
      </c>
      <c r="HB146" s="1010">
        <f t="shared" si="466"/>
        <v>27194.494705584857</v>
      </c>
      <c r="HC146" s="1010">
        <f t="shared" si="467"/>
        <v>31527.427073551698</v>
      </c>
      <c r="HD146" s="1010">
        <f t="shared" si="468"/>
        <v>40726.373767867095</v>
      </c>
      <c r="HE146" s="1010">
        <f t="shared" si="469"/>
        <v>69454.962999521085</v>
      </c>
      <c r="HG146" s="1010">
        <f t="shared" si="470"/>
        <v>4008701.8171719238</v>
      </c>
      <c r="HH146" s="1011">
        <f t="shared" si="471"/>
        <v>0.125</v>
      </c>
      <c r="HI146" s="1010">
        <f t="shared" si="472"/>
        <v>501087.72714649048</v>
      </c>
      <c r="HJ146" s="1010">
        <f t="shared" si="473"/>
        <v>30000</v>
      </c>
      <c r="HK146" s="1010">
        <f t="shared" si="474"/>
        <v>471087.72714649048</v>
      </c>
      <c r="HL146" s="1012">
        <f t="shared" si="475"/>
        <v>33</v>
      </c>
      <c r="HM146" s="1167">
        <f t="shared" si="476"/>
        <v>14275.385671105772</v>
      </c>
      <c r="HN146" s="1168">
        <f t="shared" si="477"/>
        <v>0.875</v>
      </c>
      <c r="HO146" s="1167">
        <f t="shared" si="478"/>
        <v>3507614.0900254333</v>
      </c>
      <c r="HP146" s="1146">
        <f t="shared" si="479"/>
        <v>27194.494705584857</v>
      </c>
      <c r="HQ146" s="1146">
        <f t="shared" si="480"/>
        <v>31527.427073551698</v>
      </c>
      <c r="HR146" s="1146">
        <f t="shared" si="481"/>
        <v>40726.373767867095</v>
      </c>
      <c r="HS146" s="1146">
        <f t="shared" si="482"/>
        <v>69454.962999521085</v>
      </c>
      <c r="HU146" s="1167">
        <f t="shared" si="483"/>
        <v>-21962.131801701187</v>
      </c>
      <c r="HX146" s="1154"/>
      <c r="HY146" s="1154"/>
      <c r="IB146" s="1154"/>
      <c r="IC146" s="1154"/>
      <c r="ID146" s="1154"/>
      <c r="IE146" s="1154"/>
      <c r="IG146" s="1060"/>
    </row>
    <row r="147" spans="1:241" ht="14.25" hidden="1" customHeight="1">
      <c r="A147" s="1186">
        <f t="shared" si="490"/>
        <v>141</v>
      </c>
      <c r="B147" s="824" t="s">
        <v>149</v>
      </c>
      <c r="C147" s="855">
        <f t="shared" si="371"/>
        <v>18</v>
      </c>
      <c r="D147" s="856" t="s">
        <v>515</v>
      </c>
      <c r="E147" s="857" t="str">
        <f t="shared" si="387"/>
        <v>9th Floor</v>
      </c>
      <c r="F147" s="1185"/>
      <c r="G147" s="764" t="s">
        <v>307</v>
      </c>
      <c r="H147" s="764" t="s">
        <v>552</v>
      </c>
      <c r="I147" s="764" t="s">
        <v>476</v>
      </c>
      <c r="J147" s="831">
        <v>22</v>
      </c>
      <c r="K147" s="1142"/>
      <c r="L147" s="764" t="s">
        <v>500</v>
      </c>
      <c r="M147" s="764" t="s">
        <v>117</v>
      </c>
      <c r="N147" s="856">
        <f t="shared" si="388"/>
        <v>100909.09090909091</v>
      </c>
      <c r="O147" s="1138">
        <f t="shared" si="486"/>
        <v>2220000</v>
      </c>
      <c r="P147" s="1138">
        <f t="shared" si="491"/>
        <v>22400</v>
      </c>
      <c r="Q147" s="1138">
        <f t="shared" si="374"/>
        <v>50000</v>
      </c>
      <c r="R147" s="1138"/>
      <c r="S147" s="1138"/>
      <c r="T147" s="1138"/>
      <c r="U147" s="1138"/>
      <c r="V147" s="858">
        <f>J147*$V$5</f>
        <v>55000</v>
      </c>
      <c r="W147" s="858"/>
      <c r="X147" s="1138"/>
      <c r="Y147" s="1138">
        <f t="shared" si="373"/>
        <v>100000</v>
      </c>
      <c r="Z147" s="1138">
        <f t="shared" si="487"/>
        <v>75000</v>
      </c>
      <c r="AA147" s="1138">
        <f t="shared" si="488"/>
        <v>302400</v>
      </c>
      <c r="AB147" s="1138">
        <f t="shared" si="390"/>
        <v>2522400</v>
      </c>
      <c r="AC147" s="1138">
        <f t="shared" si="391"/>
        <v>63060</v>
      </c>
      <c r="AD147" s="1138">
        <f t="shared" si="392"/>
        <v>2585460</v>
      </c>
      <c r="AE147" s="1138">
        <f t="shared" si="393"/>
        <v>64636.5</v>
      </c>
      <c r="AF147" s="1138">
        <f t="shared" si="394"/>
        <v>2650096.5</v>
      </c>
      <c r="AG147" s="1138">
        <f t="shared" si="395"/>
        <v>66252.412500000006</v>
      </c>
      <c r="AH147" s="1138">
        <f t="shared" si="396"/>
        <v>2716348.9125000001</v>
      </c>
      <c r="AI147" s="1138">
        <f t="shared" si="397"/>
        <v>135817.44562500002</v>
      </c>
      <c r="AJ147" s="1138">
        <f t="shared" si="398"/>
        <v>2852166.3581250003</v>
      </c>
      <c r="AK147" s="1138">
        <f t="shared" si="399"/>
        <v>28521.663581250003</v>
      </c>
      <c r="AL147" s="1138">
        <f t="shared" si="400"/>
        <v>27537.409960060559</v>
      </c>
      <c r="AM147" s="1138"/>
      <c r="AN147" s="1138"/>
      <c r="AO147" s="1138">
        <f t="shared" si="401"/>
        <v>2908225.4316663109</v>
      </c>
      <c r="AP147" s="1138">
        <f t="shared" si="402"/>
        <v>392610.433274952</v>
      </c>
      <c r="AQ147" s="1248">
        <f t="shared" si="403"/>
        <v>3300835.8649412626</v>
      </c>
      <c r="AR147" s="1248">
        <f t="shared" si="347"/>
        <v>2970835.8649412626</v>
      </c>
      <c r="AS147" s="1248">
        <v>15000</v>
      </c>
      <c r="AT147" s="1248">
        <f t="shared" si="348"/>
        <v>330000</v>
      </c>
      <c r="AU147" s="1248">
        <f t="shared" si="404"/>
        <v>39600</v>
      </c>
      <c r="AV147" s="1140">
        <f t="shared" si="405"/>
        <v>369600</v>
      </c>
      <c r="AW147" s="1140">
        <f t="shared" si="406"/>
        <v>3340435.8649412626</v>
      </c>
      <c r="AX147" s="1139">
        <f t="shared" si="407"/>
        <v>41755.448311765787</v>
      </c>
      <c r="AY147" s="831" t="s">
        <v>478</v>
      </c>
      <c r="AZ147" s="831">
        <f t="shared" si="408"/>
        <v>3382191.3132530283</v>
      </c>
      <c r="BA147" s="831">
        <f t="shared" si="409"/>
        <v>126832.17424698855</v>
      </c>
      <c r="BB147" s="831"/>
      <c r="BC147" s="831">
        <f t="shared" si="346"/>
        <v>33600</v>
      </c>
      <c r="BD147" s="831"/>
      <c r="BE147" s="831">
        <f t="shared" si="410"/>
        <v>3542623.487500017</v>
      </c>
      <c r="BF147" s="831"/>
      <c r="BG147" s="831">
        <f t="shared" si="411"/>
        <v>3542623.487500017</v>
      </c>
      <c r="BH147" s="831"/>
      <c r="BI147" s="831">
        <f t="shared" si="412"/>
        <v>3542623.487500017</v>
      </c>
      <c r="BJ147" s="831"/>
      <c r="BK147" s="831">
        <f t="shared" si="413"/>
        <v>3542623.487500017</v>
      </c>
      <c r="BL147" s="831"/>
      <c r="BM147" s="831">
        <f t="shared" si="414"/>
        <v>3542623.487500017</v>
      </c>
      <c r="BN147" s="831"/>
      <c r="BO147" s="831">
        <f t="shared" si="415"/>
        <v>3542623.487500017</v>
      </c>
      <c r="BP147" s="831"/>
      <c r="BQ147" s="831">
        <f t="shared" si="416"/>
        <v>3542623.487500017</v>
      </c>
      <c r="BR147" s="831"/>
      <c r="BS147" s="831">
        <f t="shared" si="417"/>
        <v>3542623.487500017</v>
      </c>
      <c r="BT147" s="831"/>
      <c r="BU147" s="831">
        <f t="shared" si="418"/>
        <v>3542623.487500017</v>
      </c>
      <c r="BV147" s="831"/>
      <c r="BW147" s="831">
        <f t="shared" si="419"/>
        <v>56400</v>
      </c>
      <c r="BX147" s="831">
        <f t="shared" si="420"/>
        <v>3599023.487500017</v>
      </c>
      <c r="BY147" s="831"/>
      <c r="BZ147" s="831">
        <f t="shared" si="421"/>
        <v>3599023.487500017</v>
      </c>
      <c r="CA147" s="1260">
        <f t="shared" si="422"/>
        <v>3599023.487500017</v>
      </c>
      <c r="CB147" s="1260">
        <f t="shared" si="423"/>
        <v>3599023.487500017</v>
      </c>
      <c r="CC147" s="1260"/>
      <c r="CD147" s="1260">
        <f t="shared" si="424"/>
        <v>0</v>
      </c>
      <c r="CE147" s="1260">
        <f t="shared" si="425"/>
        <v>0</v>
      </c>
      <c r="CF147" s="1260">
        <f t="shared" si="426"/>
        <v>0</v>
      </c>
      <c r="CG147" s="1266">
        <f t="shared" si="427"/>
        <v>3599023.487500017</v>
      </c>
      <c r="CH147" s="1141">
        <f t="shared" si="428"/>
        <v>3599023.487500017</v>
      </c>
      <c r="CI147" s="1142">
        <f t="shared" si="429"/>
        <v>0</v>
      </c>
      <c r="CJ147" s="1141">
        <f t="shared" si="430"/>
        <v>368899.90746875171</v>
      </c>
      <c r="CK147" s="1141">
        <f t="shared" si="431"/>
        <v>125965.82206250061</v>
      </c>
      <c r="CL147" s="1143">
        <f t="shared" si="489"/>
        <v>4093889.2170312693</v>
      </c>
      <c r="CM147" s="1144">
        <f t="shared" si="432"/>
        <v>0.125</v>
      </c>
      <c r="CN147" s="1141">
        <f t="shared" si="261"/>
        <v>511736.15212890867</v>
      </c>
      <c r="CO147" s="1141">
        <f t="shared" si="433"/>
        <v>30000</v>
      </c>
      <c r="CP147" s="1141">
        <f t="shared" si="263"/>
        <v>481736.15212890867</v>
      </c>
      <c r="CQ147" s="1145">
        <f t="shared" si="434"/>
        <v>13</v>
      </c>
      <c r="CR147" s="1141">
        <f t="shared" si="265"/>
        <v>37056.627086839129</v>
      </c>
      <c r="CS147" s="1144">
        <f t="shared" si="435"/>
        <v>0.875</v>
      </c>
      <c r="CT147" s="1141">
        <f t="shared" si="436"/>
        <v>3582153.0649023606</v>
      </c>
      <c r="CU147" s="1146">
        <f t="shared" si="375"/>
        <v>27772.394584426893</v>
      </c>
      <c r="CV147" s="1146">
        <f t="shared" si="376"/>
        <v>32197.404452549104</v>
      </c>
      <c r="CW147" s="1146">
        <f t="shared" si="377"/>
        <v>41591.834469414622</v>
      </c>
      <c r="CX147" s="1146">
        <f t="shared" si="378"/>
        <v>70930.924040053244</v>
      </c>
      <c r="CY147" s="1146">
        <f t="shared" si="437"/>
        <v>290989.67938670918</v>
      </c>
      <c r="CZ147" s="1146">
        <f t="shared" si="438"/>
        <v>115143.19864121001</v>
      </c>
      <c r="DA147" s="1146">
        <f t="shared" si="439"/>
        <v>83166.301583016568</v>
      </c>
      <c r="DB147" s="1146">
        <f t="shared" si="440"/>
        <v>63293.384283452273</v>
      </c>
      <c r="DC147" s="1146"/>
      <c r="DD147" s="1146"/>
      <c r="DE147" s="1146"/>
      <c r="DF147" s="1146"/>
      <c r="DG147" s="1146"/>
      <c r="DH147" s="1146"/>
      <c r="DI147" s="1146"/>
      <c r="DJ147" s="1146"/>
      <c r="DK147" s="1146"/>
      <c r="DL147" s="1146"/>
      <c r="DM147" s="1146"/>
      <c r="DN147" s="1146"/>
      <c r="DO147" s="1146"/>
      <c r="DP147" s="1146"/>
      <c r="DQ147" s="1146"/>
      <c r="DR147" s="1146"/>
      <c r="DS147" s="1146"/>
      <c r="DT147" s="1146"/>
      <c r="DU147" s="1146"/>
      <c r="DV147" s="1146"/>
      <c r="DW147" s="1146"/>
      <c r="DX147" s="1146"/>
      <c r="DY147" s="1146"/>
      <c r="DZ147" s="1146"/>
      <c r="EA147" s="1147">
        <f t="shared" si="379"/>
        <v>0.11107984924186465</v>
      </c>
      <c r="EB147" s="1148">
        <f t="shared" si="441"/>
        <v>0</v>
      </c>
      <c r="EC147" s="1190">
        <f t="shared" si="484"/>
        <v>45839</v>
      </c>
      <c r="ED147" s="1031">
        <f t="shared" si="380"/>
        <v>20</v>
      </c>
      <c r="EE147" s="1191"/>
      <c r="EF147" s="1032">
        <f t="shared" si="381"/>
        <v>45904</v>
      </c>
      <c r="EG147" s="1029">
        <f t="shared" si="442"/>
        <v>22</v>
      </c>
      <c r="EH147" s="859" t="s">
        <v>490</v>
      </c>
      <c r="EI147" s="859" t="s">
        <v>480</v>
      </c>
      <c r="EJ147" s="860">
        <f t="shared" si="382"/>
        <v>16800</v>
      </c>
      <c r="EK147" s="860">
        <f t="shared" si="383"/>
        <v>369600</v>
      </c>
      <c r="EL147" s="861">
        <f t="shared" si="384"/>
        <v>0.1244094311508884</v>
      </c>
      <c r="EM147" s="1197"/>
      <c r="EN147" s="860"/>
      <c r="EO147" s="860"/>
      <c r="EP147" s="860">
        <f t="shared" si="385"/>
        <v>0</v>
      </c>
      <c r="EQ147" s="1197"/>
      <c r="ER147" s="1200"/>
      <c r="ES147" s="1197"/>
      <c r="ET147" s="1194" t="s">
        <v>307</v>
      </c>
      <c r="EU147" s="1197" t="b">
        <f t="shared" si="386"/>
        <v>1</v>
      </c>
      <c r="EV147" s="1197" t="s">
        <v>632</v>
      </c>
      <c r="EW147" s="1197" t="s">
        <v>482</v>
      </c>
      <c r="EX147" s="1197"/>
      <c r="EY147" s="1128" t="s">
        <v>587</v>
      </c>
      <c r="EZ147" s="1128" t="s">
        <v>484</v>
      </c>
      <c r="FA147" s="1169">
        <f t="shared" si="443"/>
        <v>0</v>
      </c>
      <c r="FI147" s="1309" t="s">
        <v>149</v>
      </c>
      <c r="FJ147" s="1159" t="s">
        <v>149</v>
      </c>
      <c r="FK147" s="1160" t="b">
        <f t="shared" si="444"/>
        <v>1</v>
      </c>
      <c r="FL147" s="1131"/>
      <c r="FM147" s="1161"/>
      <c r="FU147" s="1295"/>
      <c r="FV147" s="1295"/>
      <c r="FW147" s="1023">
        <v>0.15</v>
      </c>
      <c r="FX147" s="1162">
        <v>15293.37816308613</v>
      </c>
      <c r="FY147" s="1163">
        <v>15771.296230682572</v>
      </c>
      <c r="GA147" s="1164">
        <f t="shared" si="445"/>
        <v>4093889.2170312693</v>
      </c>
      <c r="GB147" s="1165">
        <f t="shared" si="485"/>
        <v>0.15</v>
      </c>
      <c r="GC147" s="1154">
        <f t="shared" si="446"/>
        <v>614083.38255469035</v>
      </c>
      <c r="GD147" s="1164">
        <f t="shared" si="447"/>
        <v>30000</v>
      </c>
      <c r="GE147" s="1154">
        <f t="shared" si="448"/>
        <v>584083.38255469035</v>
      </c>
      <c r="GF147" s="1060">
        <f t="shared" si="449"/>
        <v>35</v>
      </c>
      <c r="GG147" s="1166">
        <f t="shared" si="450"/>
        <v>16688.096644419726</v>
      </c>
      <c r="GI147" s="1164">
        <f t="shared" si="451"/>
        <v>4093889.2170312693</v>
      </c>
      <c r="GJ147" s="1154">
        <f t="shared" si="452"/>
        <v>409388.92170312698</v>
      </c>
      <c r="GK147" s="1154">
        <f t="shared" si="453"/>
        <v>102347.23042578174</v>
      </c>
      <c r="GL147" s="1166">
        <v>15000</v>
      </c>
      <c r="GM147" s="1154">
        <f t="shared" si="454"/>
        <v>394388.92170312698</v>
      </c>
      <c r="GN147" s="1060">
        <f t="shared" si="455"/>
        <v>35</v>
      </c>
      <c r="GO147" s="1154">
        <f t="shared" si="456"/>
        <v>11268.254905803627</v>
      </c>
      <c r="GS147" s="1010">
        <f t="shared" si="457"/>
        <v>4093889.2170312693</v>
      </c>
      <c r="GT147" s="1011">
        <f t="shared" si="458"/>
        <v>0.125</v>
      </c>
      <c r="GU147" s="1010">
        <f t="shared" si="459"/>
        <v>511736.15212890867</v>
      </c>
      <c r="GV147" s="1010">
        <f t="shared" si="460"/>
        <v>30000</v>
      </c>
      <c r="GW147" s="1010">
        <f t="shared" si="461"/>
        <v>481736.15212890867</v>
      </c>
      <c r="GX147" s="1010">
        <f t="shared" si="462"/>
        <v>13</v>
      </c>
      <c r="GY147" s="1010">
        <f t="shared" si="463"/>
        <v>37056.627086839129</v>
      </c>
      <c r="GZ147" s="1011">
        <f t="shared" si="464"/>
        <v>0.875</v>
      </c>
      <c r="HA147" s="1010">
        <f t="shared" si="465"/>
        <v>3582153.0649023606</v>
      </c>
      <c r="HB147" s="1010">
        <f t="shared" si="466"/>
        <v>27772.394584426893</v>
      </c>
      <c r="HC147" s="1010">
        <f t="shared" si="467"/>
        <v>32197.404452549104</v>
      </c>
      <c r="HD147" s="1010">
        <f t="shared" si="468"/>
        <v>41591.834469414622</v>
      </c>
      <c r="HE147" s="1010">
        <f t="shared" si="469"/>
        <v>70930.924040053244</v>
      </c>
      <c r="HG147" s="1010">
        <f t="shared" si="470"/>
        <v>4093889.2170312693</v>
      </c>
      <c r="HH147" s="1011">
        <f t="shared" si="471"/>
        <v>0.125</v>
      </c>
      <c r="HI147" s="1010">
        <f t="shared" si="472"/>
        <v>511736.15212890867</v>
      </c>
      <c r="HJ147" s="1010">
        <f t="shared" si="473"/>
        <v>30000</v>
      </c>
      <c r="HK147" s="1010">
        <f t="shared" si="474"/>
        <v>481736.15212890867</v>
      </c>
      <c r="HL147" s="1012">
        <f t="shared" si="475"/>
        <v>33</v>
      </c>
      <c r="HM147" s="1167">
        <f t="shared" si="476"/>
        <v>14598.065216027535</v>
      </c>
      <c r="HN147" s="1168">
        <f t="shared" si="477"/>
        <v>0.875</v>
      </c>
      <c r="HO147" s="1167">
        <f t="shared" si="478"/>
        <v>3582153.0649023606</v>
      </c>
      <c r="HP147" s="1146">
        <f t="shared" si="479"/>
        <v>27772.394584426893</v>
      </c>
      <c r="HQ147" s="1146">
        <f t="shared" si="480"/>
        <v>32197.404452549104</v>
      </c>
      <c r="HR147" s="1146">
        <f t="shared" si="481"/>
        <v>41591.834469414622</v>
      </c>
      <c r="HS147" s="1146">
        <f t="shared" si="482"/>
        <v>70930.924040053244</v>
      </c>
      <c r="HU147" s="1167">
        <f t="shared" si="483"/>
        <v>-22458.561870811594</v>
      </c>
      <c r="HX147" s="1154"/>
      <c r="HY147" s="1154"/>
      <c r="IB147" s="1154"/>
      <c r="IC147" s="1154"/>
      <c r="ID147" s="1154"/>
      <c r="IE147" s="1154"/>
      <c r="IG147" s="1060"/>
    </row>
    <row r="148" spans="1:241" ht="14.25" customHeight="1">
      <c r="A148" s="1186">
        <f t="shared" si="490"/>
        <v>142</v>
      </c>
      <c r="B148" s="824" t="s">
        <v>149</v>
      </c>
      <c r="C148" s="855">
        <v>1</v>
      </c>
      <c r="D148" s="856" t="s">
        <v>310</v>
      </c>
      <c r="E148" s="857" t="str">
        <f t="shared" si="387"/>
        <v>10th Floor</v>
      </c>
      <c r="F148" s="1185"/>
      <c r="G148" s="764" t="s">
        <v>309</v>
      </c>
      <c r="H148" s="764" t="s">
        <v>475</v>
      </c>
      <c r="I148" s="764" t="s">
        <v>476</v>
      </c>
      <c r="J148" s="1139">
        <v>22</v>
      </c>
      <c r="K148" s="1142"/>
      <c r="L148" s="764" t="s">
        <v>344</v>
      </c>
      <c r="M148" s="764" t="s">
        <v>477</v>
      </c>
      <c r="N148" s="856">
        <f t="shared" si="388"/>
        <v>100909.09090909091</v>
      </c>
      <c r="O148" s="1138">
        <f t="shared" si="486"/>
        <v>2220000</v>
      </c>
      <c r="P148" s="1138">
        <f t="shared" si="491"/>
        <v>22400</v>
      </c>
      <c r="Q148" s="1138">
        <f t="shared" si="374"/>
        <v>50000</v>
      </c>
      <c r="R148" s="1138"/>
      <c r="S148" s="1138"/>
      <c r="T148" s="1138"/>
      <c r="U148" s="1138"/>
      <c r="V148" s="1138"/>
      <c r="W148" s="858">
        <f>J148*$W$5</f>
        <v>22000</v>
      </c>
      <c r="X148" s="1138"/>
      <c r="Y148" s="1138">
        <f>Y147+Y5</f>
        <v>120000</v>
      </c>
      <c r="Z148" s="1138">
        <f t="shared" si="487"/>
        <v>75000</v>
      </c>
      <c r="AA148" s="1138">
        <f t="shared" si="488"/>
        <v>289400</v>
      </c>
      <c r="AB148" s="1138">
        <f t="shared" si="390"/>
        <v>2509400</v>
      </c>
      <c r="AC148" s="1138">
        <f t="shared" si="391"/>
        <v>62735</v>
      </c>
      <c r="AD148" s="1138">
        <f t="shared" si="392"/>
        <v>2572135</v>
      </c>
      <c r="AE148" s="1138">
        <f t="shared" si="393"/>
        <v>64303.375</v>
      </c>
      <c r="AF148" s="1138">
        <f t="shared" si="394"/>
        <v>2636438.375</v>
      </c>
      <c r="AG148" s="1138">
        <f t="shared" si="395"/>
        <v>65910.959375000006</v>
      </c>
      <c r="AH148" s="1138">
        <f t="shared" si="396"/>
        <v>2702349.3343750001</v>
      </c>
      <c r="AI148" s="1138">
        <f t="shared" si="397"/>
        <v>135117.46671875002</v>
      </c>
      <c r="AJ148" s="1138">
        <f t="shared" si="398"/>
        <v>2837466.8010937502</v>
      </c>
      <c r="AK148" s="1138">
        <f t="shared" si="399"/>
        <v>28374.668010937501</v>
      </c>
      <c r="AL148" s="1138">
        <f t="shared" si="400"/>
        <v>27537.409960060559</v>
      </c>
      <c r="AM148" s="1138"/>
      <c r="AN148" s="1138"/>
      <c r="AO148" s="1138">
        <f t="shared" si="401"/>
        <v>2893378.8790647481</v>
      </c>
      <c r="AP148" s="1138">
        <f t="shared" si="402"/>
        <v>390606.14867374103</v>
      </c>
      <c r="AQ148" s="1248">
        <f t="shared" si="403"/>
        <v>3283985.0277384892</v>
      </c>
      <c r="AR148" s="1248">
        <f t="shared" si="347"/>
        <v>2953985.0277384892</v>
      </c>
      <c r="AS148" s="1248">
        <v>15000</v>
      </c>
      <c r="AT148" s="1248">
        <f t="shared" si="348"/>
        <v>330000</v>
      </c>
      <c r="AU148" s="1248">
        <f t="shared" si="404"/>
        <v>39600</v>
      </c>
      <c r="AV148" s="1140">
        <f t="shared" si="405"/>
        <v>369600</v>
      </c>
      <c r="AW148" s="1140">
        <f t="shared" si="406"/>
        <v>3323585.0277384892</v>
      </c>
      <c r="AX148" s="1139">
        <f t="shared" si="407"/>
        <v>41544.812846731118</v>
      </c>
      <c r="AY148" s="831">
        <v>13444.671373913045</v>
      </c>
      <c r="AZ148" s="831">
        <f t="shared" si="408"/>
        <v>3378574.5119591332</v>
      </c>
      <c r="BA148" s="831">
        <f t="shared" si="409"/>
        <v>126696.54419846748</v>
      </c>
      <c r="BB148" s="831"/>
      <c r="BC148" s="831">
        <f t="shared" si="346"/>
        <v>33600</v>
      </c>
      <c r="BD148" s="831">
        <v>8990.8965517241377</v>
      </c>
      <c r="BE148" s="831">
        <f t="shared" si="410"/>
        <v>3547861.9527093247</v>
      </c>
      <c r="BF148" s="831">
        <v>42723.767172413798</v>
      </c>
      <c r="BG148" s="831">
        <f t="shared" si="411"/>
        <v>3590585.7198817385</v>
      </c>
      <c r="BH148" s="831"/>
      <c r="BI148" s="831">
        <f t="shared" si="412"/>
        <v>3590585.7198817385</v>
      </c>
      <c r="BJ148" s="831"/>
      <c r="BK148" s="831">
        <f t="shared" si="413"/>
        <v>3590585.7198817385</v>
      </c>
      <c r="BL148" s="831"/>
      <c r="BM148" s="831">
        <f t="shared" si="414"/>
        <v>3590585.7198817385</v>
      </c>
      <c r="BN148" s="831"/>
      <c r="BO148" s="831">
        <f t="shared" si="415"/>
        <v>3590585.7198817385</v>
      </c>
      <c r="BP148" s="831">
        <f>$BP$5/37</f>
        <v>5065.3710270270276</v>
      </c>
      <c r="BQ148" s="831">
        <f t="shared" si="416"/>
        <v>3595651.0909087658</v>
      </c>
      <c r="BR148" s="831">
        <f>$BR$5/42</f>
        <v>3544.6104</v>
      </c>
      <c r="BS148" s="831">
        <f t="shared" si="417"/>
        <v>3599195.7013087659</v>
      </c>
      <c r="BT148" s="831"/>
      <c r="BU148" s="831">
        <f t="shared" si="418"/>
        <v>3599195.7013087659</v>
      </c>
      <c r="BV148" s="831">
        <f>$BV$5/43</f>
        <v>1163.3400930232558</v>
      </c>
      <c r="BW148" s="831">
        <f t="shared" si="419"/>
        <v>56400</v>
      </c>
      <c r="BX148" s="831">
        <f t="shared" si="420"/>
        <v>3656759.0414017891</v>
      </c>
      <c r="BY148" s="831">
        <f>$BY$5/44</f>
        <v>30549.183723443901</v>
      </c>
      <c r="BZ148" s="831">
        <f t="shared" si="421"/>
        <v>3687308.2251252332</v>
      </c>
      <c r="CA148" s="1260">
        <f t="shared" si="422"/>
        <v>3687308.2251252332</v>
      </c>
      <c r="CB148" s="1260">
        <f t="shared" si="423"/>
        <v>3511308.2251252332</v>
      </c>
      <c r="CC148" s="1260">
        <v>8000</v>
      </c>
      <c r="CD148" s="1260">
        <f t="shared" si="424"/>
        <v>176000</v>
      </c>
      <c r="CE148" s="1260">
        <f t="shared" si="425"/>
        <v>21120</v>
      </c>
      <c r="CF148" s="1260">
        <f t="shared" si="426"/>
        <v>197120</v>
      </c>
      <c r="CG148" s="1266">
        <f t="shared" si="427"/>
        <v>3708428.2251252332</v>
      </c>
      <c r="CH148" s="1141">
        <f t="shared" si="428"/>
        <v>3708428.2251252332</v>
      </c>
      <c r="CI148" s="1142">
        <f t="shared" si="429"/>
        <v>0</v>
      </c>
      <c r="CJ148" s="1141">
        <f t="shared" si="430"/>
        <v>380113.89307533635</v>
      </c>
      <c r="CK148" s="1141">
        <f t="shared" si="431"/>
        <v>129794.98787938317</v>
      </c>
      <c r="CL148" s="1143">
        <f t="shared" si="489"/>
        <v>4218337.1060799528</v>
      </c>
      <c r="CM148" s="1144">
        <f t="shared" si="432"/>
        <v>0.125</v>
      </c>
      <c r="CN148" s="1141">
        <f t="shared" si="261"/>
        <v>527292.1382599941</v>
      </c>
      <c r="CO148" s="1141">
        <f t="shared" si="433"/>
        <v>30000</v>
      </c>
      <c r="CP148" s="1141">
        <f t="shared" si="263"/>
        <v>497292.1382599941</v>
      </c>
      <c r="CQ148" s="1145">
        <f t="shared" si="434"/>
        <v>14</v>
      </c>
      <c r="CR148" s="1141">
        <f t="shared" si="265"/>
        <v>35520.867018571007</v>
      </c>
      <c r="CS148" s="1144">
        <f t="shared" si="435"/>
        <v>0.875</v>
      </c>
      <c r="CT148" s="1141">
        <f t="shared" si="436"/>
        <v>3691044.9678199589</v>
      </c>
      <c r="CU148" s="1146">
        <f t="shared" si="375"/>
        <v>28616.632348722174</v>
      </c>
      <c r="CV148" s="1146">
        <f t="shared" si="376"/>
        <v>33176.155660641656</v>
      </c>
      <c r="CW148" s="1146">
        <f t="shared" si="377"/>
        <v>42856.161794113061</v>
      </c>
      <c r="CX148" s="1146">
        <f t="shared" si="378"/>
        <v>73087.114229161074</v>
      </c>
      <c r="CY148" s="1146">
        <f t="shared" si="437"/>
        <v>299835.31477517466</v>
      </c>
      <c r="CZ148" s="1146">
        <f t="shared" si="438"/>
        <v>118643.37347486192</v>
      </c>
      <c r="DA148" s="1146">
        <f t="shared" si="439"/>
        <v>85694.428291706034</v>
      </c>
      <c r="DB148" s="1146">
        <f t="shared" si="440"/>
        <v>65217.405097707386</v>
      </c>
      <c r="DC148" s="1146"/>
      <c r="DD148" s="1146"/>
      <c r="DE148" s="1146"/>
      <c r="DF148" s="1146"/>
      <c r="DG148" s="1146"/>
      <c r="DH148" s="1146"/>
      <c r="DI148" s="1146"/>
      <c r="DJ148" s="1146"/>
      <c r="DK148" s="1146"/>
      <c r="DL148" s="1146"/>
      <c r="DM148" s="1146"/>
      <c r="DN148" s="1146"/>
      <c r="DO148" s="1146"/>
      <c r="DP148" s="1146"/>
      <c r="DQ148" s="1146"/>
      <c r="DR148" s="1146"/>
      <c r="DS148" s="1146"/>
      <c r="DT148" s="1146"/>
      <c r="DU148" s="1146"/>
      <c r="DV148" s="1146"/>
      <c r="DW148" s="1146"/>
      <c r="DX148" s="1146"/>
      <c r="DY148" s="1146"/>
      <c r="DZ148" s="1146"/>
      <c r="EA148" s="1147">
        <f t="shared" si="379"/>
        <v>0.11171349783470003</v>
      </c>
      <c r="EB148" s="1148">
        <f t="shared" si="441"/>
        <v>5.6138620525963537E-2</v>
      </c>
      <c r="EC148" s="1190">
        <f t="shared" si="484"/>
        <v>45839</v>
      </c>
      <c r="ED148" s="1031">
        <f t="shared" si="380"/>
        <v>20</v>
      </c>
      <c r="EE148" s="1191"/>
      <c r="EF148" s="1032">
        <f t="shared" si="381"/>
        <v>45904</v>
      </c>
      <c r="EG148" s="1029">
        <f t="shared" si="442"/>
        <v>22</v>
      </c>
      <c r="EH148" s="859" t="s">
        <v>490</v>
      </c>
      <c r="EI148" s="859" t="s">
        <v>480</v>
      </c>
      <c r="EJ148" s="860">
        <f t="shared" si="382"/>
        <v>16800</v>
      </c>
      <c r="EK148" s="860">
        <f t="shared" si="383"/>
        <v>369600</v>
      </c>
      <c r="EL148" s="861">
        <f t="shared" si="384"/>
        <v>0.12511911757486402</v>
      </c>
      <c r="EM148" s="1197"/>
      <c r="EN148" s="860"/>
      <c r="EO148" s="860"/>
      <c r="EP148" s="860">
        <f t="shared" si="385"/>
        <v>0</v>
      </c>
      <c r="EQ148" s="1197"/>
      <c r="ER148" s="1200"/>
      <c r="ES148" s="1197"/>
      <c r="ET148" s="1194" t="s">
        <v>309</v>
      </c>
      <c r="EU148" s="1197" t="b">
        <f t="shared" si="386"/>
        <v>1</v>
      </c>
      <c r="EV148" s="1197" t="s">
        <v>633</v>
      </c>
      <c r="EW148" s="1197" t="s">
        <v>482</v>
      </c>
      <c r="EX148" s="1197"/>
      <c r="EY148" s="1128" t="s">
        <v>587</v>
      </c>
      <c r="EZ148" s="1128" t="s">
        <v>484</v>
      </c>
      <c r="FA148" s="1169">
        <f t="shared" si="443"/>
        <v>-21120</v>
      </c>
      <c r="FI148" s="1309" t="s">
        <v>96</v>
      </c>
      <c r="FJ148" s="1159" t="s">
        <v>96</v>
      </c>
      <c r="FK148" s="1160" t="b">
        <f t="shared" si="444"/>
        <v>1</v>
      </c>
      <c r="FL148" s="1131"/>
      <c r="FM148" s="1161"/>
      <c r="FO148" s="888"/>
      <c r="FU148" s="1295"/>
      <c r="FV148" s="1295"/>
      <c r="FW148" s="1023">
        <v>0.125</v>
      </c>
      <c r="FX148" s="1162">
        <v>12360.45018364759</v>
      </c>
      <c r="FY148" s="1163">
        <v>12746.714251886577</v>
      </c>
      <c r="GA148" s="1164">
        <f t="shared" si="445"/>
        <v>4218337.1060799528</v>
      </c>
      <c r="GB148" s="1165">
        <f>FW148</f>
        <v>0.125</v>
      </c>
      <c r="GC148" s="1154">
        <f t="shared" si="446"/>
        <v>527292.1382599941</v>
      </c>
      <c r="GD148" s="1164">
        <f t="shared" si="447"/>
        <v>30000</v>
      </c>
      <c r="GE148" s="1154">
        <f t="shared" si="448"/>
        <v>497292.1382599941</v>
      </c>
      <c r="GF148" s="1060">
        <f t="shared" si="449"/>
        <v>35</v>
      </c>
      <c r="GG148" s="1166">
        <f t="shared" si="450"/>
        <v>14208.346807428403</v>
      </c>
      <c r="GI148" s="1164">
        <f t="shared" si="451"/>
        <v>4218337.1060799528</v>
      </c>
      <c r="GJ148" s="1154">
        <f t="shared" si="452"/>
        <v>421833.71060799528</v>
      </c>
      <c r="GK148" s="1154">
        <f t="shared" si="453"/>
        <v>105458.42765199882</v>
      </c>
      <c r="GL148" s="1166">
        <v>15000</v>
      </c>
      <c r="GM148" s="1154">
        <f t="shared" si="454"/>
        <v>406833.71060799528</v>
      </c>
      <c r="GN148" s="1060">
        <f t="shared" si="455"/>
        <v>35</v>
      </c>
      <c r="GO148" s="1154">
        <f t="shared" si="456"/>
        <v>11623.82030308558</v>
      </c>
      <c r="GS148" s="1010">
        <f t="shared" si="457"/>
        <v>4218337.1060799528</v>
      </c>
      <c r="GT148" s="1011">
        <f t="shared" si="458"/>
        <v>0.125</v>
      </c>
      <c r="GU148" s="1010">
        <f t="shared" si="459"/>
        <v>527292.1382599941</v>
      </c>
      <c r="GV148" s="1010">
        <f t="shared" si="460"/>
        <v>30000</v>
      </c>
      <c r="GW148" s="1010">
        <f t="shared" si="461"/>
        <v>497292.1382599941</v>
      </c>
      <c r="GX148" s="1010">
        <f t="shared" si="462"/>
        <v>14</v>
      </c>
      <c r="GY148" s="1010">
        <f t="shared" si="463"/>
        <v>35520.867018571007</v>
      </c>
      <c r="GZ148" s="1011">
        <f t="shared" si="464"/>
        <v>0.875</v>
      </c>
      <c r="HA148" s="1010">
        <f t="shared" si="465"/>
        <v>3691044.9678199589</v>
      </c>
      <c r="HB148" s="1010">
        <f t="shared" si="466"/>
        <v>28616.632348722174</v>
      </c>
      <c r="HC148" s="1010">
        <f t="shared" si="467"/>
        <v>33176.155660641656</v>
      </c>
      <c r="HD148" s="1010">
        <f t="shared" si="468"/>
        <v>42856.161794113061</v>
      </c>
      <c r="HE148" s="1010">
        <f t="shared" si="469"/>
        <v>73087.114229161074</v>
      </c>
      <c r="HG148" s="1010">
        <f t="shared" si="470"/>
        <v>4218337.1060799528</v>
      </c>
      <c r="HH148" s="1011">
        <f t="shared" si="471"/>
        <v>0.125</v>
      </c>
      <c r="HI148" s="1010">
        <f t="shared" si="472"/>
        <v>527292.1382599941</v>
      </c>
      <c r="HJ148" s="1010">
        <f t="shared" si="473"/>
        <v>30000</v>
      </c>
      <c r="HK148" s="1010">
        <f t="shared" si="474"/>
        <v>497292.1382599941</v>
      </c>
      <c r="HL148" s="1012">
        <f t="shared" si="475"/>
        <v>33</v>
      </c>
      <c r="HM148" s="1167">
        <f t="shared" si="476"/>
        <v>15069.458735151336</v>
      </c>
      <c r="HN148" s="1168">
        <f t="shared" si="477"/>
        <v>0.875</v>
      </c>
      <c r="HO148" s="1167">
        <f t="shared" si="478"/>
        <v>3691044.9678199589</v>
      </c>
      <c r="HP148" s="1146">
        <f t="shared" si="479"/>
        <v>28616.632348722174</v>
      </c>
      <c r="HQ148" s="1146">
        <f t="shared" si="480"/>
        <v>33176.155660641656</v>
      </c>
      <c r="HR148" s="1146">
        <f t="shared" si="481"/>
        <v>42856.161794113061</v>
      </c>
      <c r="HS148" s="1146">
        <f t="shared" si="482"/>
        <v>73087.114229161074</v>
      </c>
      <c r="HU148" s="1167">
        <f t="shared" si="483"/>
        <v>-20451.408283419671</v>
      </c>
      <c r="HX148" s="1154"/>
      <c r="HY148" s="1154"/>
      <c r="IB148" s="1154"/>
      <c r="IC148" s="1154"/>
      <c r="ID148" s="1154"/>
      <c r="IE148" s="1154"/>
      <c r="IG148" s="1060"/>
    </row>
    <row r="149" spans="1:241" ht="14.25" hidden="1" customHeight="1">
      <c r="A149" s="1186">
        <f t="shared" si="490"/>
        <v>143</v>
      </c>
      <c r="B149" s="824" t="s">
        <v>149</v>
      </c>
      <c r="C149" s="855">
        <f>C148+1</f>
        <v>2</v>
      </c>
      <c r="D149" s="856" t="s">
        <v>310</v>
      </c>
      <c r="E149" s="857" t="str">
        <f t="shared" si="387"/>
        <v>10th Floor</v>
      </c>
      <c r="F149" s="1185"/>
      <c r="G149" s="764" t="s">
        <v>311</v>
      </c>
      <c r="H149" s="764" t="s">
        <v>489</v>
      </c>
      <c r="I149" s="764" t="s">
        <v>476</v>
      </c>
      <c r="J149" s="1139">
        <v>22</v>
      </c>
      <c r="K149" s="1142"/>
      <c r="L149" s="764" t="s">
        <v>344</v>
      </c>
      <c r="M149" s="764" t="s">
        <v>93</v>
      </c>
      <c r="N149" s="856">
        <f t="shared" si="388"/>
        <v>100909.09090909091</v>
      </c>
      <c r="O149" s="1138">
        <f t="shared" si="486"/>
        <v>2220000</v>
      </c>
      <c r="P149" s="1138">
        <f t="shared" si="491"/>
        <v>22400</v>
      </c>
      <c r="Q149" s="1138">
        <f t="shared" si="374"/>
        <v>50000</v>
      </c>
      <c r="R149" s="1138"/>
      <c r="S149" s="1138"/>
      <c r="T149" s="1138"/>
      <c r="U149" s="1138"/>
      <c r="V149" s="1138"/>
      <c r="W149" s="858"/>
      <c r="X149" s="1138"/>
      <c r="Y149" s="1138">
        <f>$Y$148</f>
        <v>120000</v>
      </c>
      <c r="Z149" s="1138">
        <f t="shared" si="487"/>
        <v>75000</v>
      </c>
      <c r="AA149" s="1138">
        <f t="shared" si="488"/>
        <v>267400</v>
      </c>
      <c r="AB149" s="1138">
        <f t="shared" si="390"/>
        <v>2487400</v>
      </c>
      <c r="AC149" s="1138">
        <f t="shared" si="391"/>
        <v>62185</v>
      </c>
      <c r="AD149" s="1138">
        <f t="shared" si="392"/>
        <v>2549585</v>
      </c>
      <c r="AE149" s="1138">
        <f t="shared" si="393"/>
        <v>63739.625</v>
      </c>
      <c r="AF149" s="1138">
        <f t="shared" si="394"/>
        <v>2613324.625</v>
      </c>
      <c r="AG149" s="1138">
        <f t="shared" si="395"/>
        <v>65333.115625000006</v>
      </c>
      <c r="AH149" s="1138">
        <f t="shared" si="396"/>
        <v>2678657.7406250001</v>
      </c>
      <c r="AI149" s="1138">
        <f t="shared" si="397"/>
        <v>133932.88703125002</v>
      </c>
      <c r="AJ149" s="1138">
        <f t="shared" si="398"/>
        <v>2812590.6276562503</v>
      </c>
      <c r="AK149" s="1138">
        <f t="shared" si="399"/>
        <v>28125.906276562502</v>
      </c>
      <c r="AL149" s="1138">
        <f t="shared" si="400"/>
        <v>27537.409960060559</v>
      </c>
      <c r="AM149" s="1138"/>
      <c r="AN149" s="1138"/>
      <c r="AO149" s="1138">
        <f t="shared" si="401"/>
        <v>2868253.9438928734</v>
      </c>
      <c r="AP149" s="1138">
        <f t="shared" si="402"/>
        <v>387214.28242553794</v>
      </c>
      <c r="AQ149" s="1248">
        <f t="shared" si="403"/>
        <v>3255468.2263184115</v>
      </c>
      <c r="AR149" s="1248">
        <f t="shared" si="347"/>
        <v>2925468.2263184115</v>
      </c>
      <c r="AS149" s="1248">
        <v>15000</v>
      </c>
      <c r="AT149" s="1248">
        <f t="shared" si="348"/>
        <v>330000</v>
      </c>
      <c r="AU149" s="1248">
        <f t="shared" si="404"/>
        <v>39600</v>
      </c>
      <c r="AV149" s="1140">
        <f t="shared" si="405"/>
        <v>369600</v>
      </c>
      <c r="AW149" s="1140">
        <f t="shared" si="406"/>
        <v>3295068.2263184115</v>
      </c>
      <c r="AX149" s="1139">
        <f t="shared" si="407"/>
        <v>41188.352828980147</v>
      </c>
      <c r="AY149" s="831" t="s">
        <v>478</v>
      </c>
      <c r="AZ149" s="831">
        <f t="shared" si="408"/>
        <v>3336256.5791473915</v>
      </c>
      <c r="BA149" s="831">
        <f t="shared" si="409"/>
        <v>125109.62171802718</v>
      </c>
      <c r="BB149" s="831"/>
      <c r="BC149" s="831">
        <f t="shared" si="346"/>
        <v>33600</v>
      </c>
      <c r="BD149" s="831"/>
      <c r="BE149" s="831">
        <f t="shared" si="410"/>
        <v>3494966.2008654187</v>
      </c>
      <c r="BF149" s="831"/>
      <c r="BG149" s="831">
        <f t="shared" si="411"/>
        <v>3494966.2008654187</v>
      </c>
      <c r="BH149" s="831"/>
      <c r="BI149" s="831">
        <f t="shared" si="412"/>
        <v>3494966.2008654187</v>
      </c>
      <c r="BJ149" s="831"/>
      <c r="BK149" s="831">
        <f t="shared" si="413"/>
        <v>3494966.2008654187</v>
      </c>
      <c r="BL149" s="831"/>
      <c r="BM149" s="831">
        <f t="shared" si="414"/>
        <v>3494966.2008654187</v>
      </c>
      <c r="BN149" s="831"/>
      <c r="BO149" s="831">
        <f t="shared" si="415"/>
        <v>3494966.2008654187</v>
      </c>
      <c r="BP149" s="831"/>
      <c r="BQ149" s="831">
        <f t="shared" si="416"/>
        <v>3494966.2008654187</v>
      </c>
      <c r="BR149" s="831"/>
      <c r="BS149" s="831">
        <f t="shared" si="417"/>
        <v>3494966.2008654187</v>
      </c>
      <c r="BT149" s="831"/>
      <c r="BU149" s="831">
        <f t="shared" si="418"/>
        <v>3494966.2008654187</v>
      </c>
      <c r="BV149" s="831"/>
      <c r="BW149" s="831">
        <f t="shared" si="419"/>
        <v>56400</v>
      </c>
      <c r="BX149" s="831">
        <f t="shared" si="420"/>
        <v>3551366.2008654187</v>
      </c>
      <c r="BY149" s="831"/>
      <c r="BZ149" s="831">
        <f t="shared" si="421"/>
        <v>3551366.2008654187</v>
      </c>
      <c r="CA149" s="1260">
        <f t="shared" si="422"/>
        <v>3551366.2008654187</v>
      </c>
      <c r="CB149" s="1260">
        <f t="shared" si="423"/>
        <v>3551366.2008654187</v>
      </c>
      <c r="CC149" s="1260"/>
      <c r="CD149" s="1260">
        <f t="shared" si="424"/>
        <v>0</v>
      </c>
      <c r="CE149" s="1260">
        <f t="shared" si="425"/>
        <v>0</v>
      </c>
      <c r="CF149" s="1260">
        <f t="shared" si="426"/>
        <v>0</v>
      </c>
      <c r="CG149" s="1266">
        <f t="shared" si="427"/>
        <v>3551366.2008654187</v>
      </c>
      <c r="CH149" s="1141">
        <f t="shared" si="428"/>
        <v>3551366.2008654187</v>
      </c>
      <c r="CI149" s="1142">
        <f t="shared" si="429"/>
        <v>0</v>
      </c>
      <c r="CJ149" s="1141">
        <f t="shared" si="430"/>
        <v>364015.03558870539</v>
      </c>
      <c r="CK149" s="1141">
        <f t="shared" si="431"/>
        <v>124297.81703028966</v>
      </c>
      <c r="CL149" s="1143">
        <f t="shared" si="489"/>
        <v>4039679.0534844138</v>
      </c>
      <c r="CM149" s="1144">
        <f t="shared" si="432"/>
        <v>0.125</v>
      </c>
      <c r="CN149" s="1141">
        <f t="shared" si="261"/>
        <v>504959.88168555172</v>
      </c>
      <c r="CO149" s="1141">
        <f t="shared" si="433"/>
        <v>30000</v>
      </c>
      <c r="CP149" s="1141">
        <f t="shared" si="263"/>
        <v>474959.88168555172</v>
      </c>
      <c r="CQ149" s="1145">
        <f t="shared" si="434"/>
        <v>14</v>
      </c>
      <c r="CR149" s="1141">
        <f t="shared" si="265"/>
        <v>33925.705834682267</v>
      </c>
      <c r="CS149" s="1144">
        <f t="shared" si="435"/>
        <v>0.875</v>
      </c>
      <c r="CT149" s="1141">
        <f t="shared" si="436"/>
        <v>3534719.1717988621</v>
      </c>
      <c r="CU149" s="1146">
        <f t="shared" si="375"/>
        <v>27404.640116072878</v>
      </c>
      <c r="CV149" s="1146">
        <f t="shared" si="376"/>
        <v>31771.055211368941</v>
      </c>
      <c r="CW149" s="1146">
        <f t="shared" si="377"/>
        <v>41041.086750248025</v>
      </c>
      <c r="CX149" s="1146">
        <f t="shared" si="378"/>
        <v>69991.676105169143</v>
      </c>
      <c r="CY149" s="1146">
        <f t="shared" si="437"/>
        <v>287136.47348060511</v>
      </c>
      <c r="CZ149" s="1146">
        <f t="shared" si="438"/>
        <v>113618.50383420824</v>
      </c>
      <c r="DA149" s="1146">
        <f t="shared" si="439"/>
        <v>82065.036118468444</v>
      </c>
      <c r="DB149" s="1146">
        <f t="shared" si="440"/>
        <v>62455.270565287698</v>
      </c>
      <c r="DC149" s="1146"/>
      <c r="DD149" s="1146"/>
      <c r="DE149" s="1146"/>
      <c r="DF149" s="1146"/>
      <c r="DG149" s="1146"/>
      <c r="DH149" s="1146"/>
      <c r="DI149" s="1146"/>
      <c r="DJ149" s="1146"/>
      <c r="DK149" s="1146"/>
      <c r="DL149" s="1146"/>
      <c r="DM149" s="1146"/>
      <c r="DN149" s="1146"/>
      <c r="DO149" s="1146"/>
      <c r="DP149" s="1146"/>
      <c r="DQ149" s="1146"/>
      <c r="DR149" s="1146"/>
      <c r="DS149" s="1146"/>
      <c r="DT149" s="1146"/>
      <c r="DU149" s="1146"/>
      <c r="DV149" s="1146"/>
      <c r="DW149" s="1146"/>
      <c r="DX149" s="1146"/>
      <c r="DY149" s="1146"/>
      <c r="DZ149" s="1146"/>
      <c r="EA149" s="1147">
        <f t="shared" si="379"/>
        <v>0.11280245569964444</v>
      </c>
      <c r="EB149" s="1148">
        <f t="shared" si="441"/>
        <v>0</v>
      </c>
      <c r="EC149" s="1190">
        <f t="shared" si="484"/>
        <v>45839</v>
      </c>
      <c r="ED149" s="1031">
        <f t="shared" si="380"/>
        <v>20</v>
      </c>
      <c r="EE149" s="1191"/>
      <c r="EF149" s="1032">
        <f t="shared" si="381"/>
        <v>45904</v>
      </c>
      <c r="EG149" s="1029">
        <f t="shared" si="442"/>
        <v>22</v>
      </c>
      <c r="EH149" s="859" t="s">
        <v>490</v>
      </c>
      <c r="EI149" s="859" t="s">
        <v>480</v>
      </c>
      <c r="EJ149" s="860">
        <f t="shared" si="382"/>
        <v>16800</v>
      </c>
      <c r="EK149" s="860">
        <f t="shared" si="383"/>
        <v>369600</v>
      </c>
      <c r="EL149" s="861">
        <f t="shared" si="384"/>
        <v>0.12633875038360176</v>
      </c>
      <c r="EM149" s="1197"/>
      <c r="EN149" s="860"/>
      <c r="EO149" s="860"/>
      <c r="EP149" s="860">
        <f t="shared" si="385"/>
        <v>0</v>
      </c>
      <c r="EQ149" s="1197"/>
      <c r="ER149" s="1200"/>
      <c r="ES149" s="1197"/>
      <c r="ET149" s="1194" t="s">
        <v>311</v>
      </c>
      <c r="EU149" s="1197" t="b">
        <f t="shared" si="386"/>
        <v>1</v>
      </c>
      <c r="EV149" s="1197" t="s">
        <v>634</v>
      </c>
      <c r="EW149" s="1197" t="s">
        <v>482</v>
      </c>
      <c r="EX149" s="1197"/>
      <c r="EY149" s="1128" t="s">
        <v>587</v>
      </c>
      <c r="EZ149" s="1128" t="s">
        <v>484</v>
      </c>
      <c r="FA149" s="1169">
        <f t="shared" si="443"/>
        <v>0</v>
      </c>
      <c r="FI149" s="1309" t="s">
        <v>149</v>
      </c>
      <c r="FJ149" s="1159" t="s">
        <v>149</v>
      </c>
      <c r="FK149" s="1160" t="b">
        <f t="shared" si="444"/>
        <v>1</v>
      </c>
      <c r="FL149" s="1131"/>
      <c r="FM149" s="1161"/>
      <c r="FU149" s="1295"/>
      <c r="FV149" s="1295"/>
      <c r="FW149" s="1023">
        <v>0.15</v>
      </c>
      <c r="FX149" s="1162">
        <v>14779.232183399639</v>
      </c>
      <c r="FY149" s="1163">
        <v>15241.083189130877</v>
      </c>
      <c r="GA149" s="1164">
        <f t="shared" si="445"/>
        <v>4039679.0534844138</v>
      </c>
      <c r="GB149" s="1165">
        <f t="shared" si="485"/>
        <v>0.15</v>
      </c>
      <c r="GC149" s="1154">
        <f t="shared" si="446"/>
        <v>605951.858022662</v>
      </c>
      <c r="GD149" s="1164">
        <f t="shared" si="447"/>
        <v>30000</v>
      </c>
      <c r="GE149" s="1154">
        <f t="shared" si="448"/>
        <v>575951.858022662</v>
      </c>
      <c r="GF149" s="1060">
        <f t="shared" si="449"/>
        <v>35</v>
      </c>
      <c r="GG149" s="1166">
        <f t="shared" si="450"/>
        <v>16455.767372076058</v>
      </c>
      <c r="GI149" s="1164">
        <f t="shared" si="451"/>
        <v>4039679.0534844138</v>
      </c>
      <c r="GJ149" s="1154">
        <f t="shared" si="452"/>
        <v>403967.90534844139</v>
      </c>
      <c r="GK149" s="1154">
        <f t="shared" si="453"/>
        <v>100991.97633711035</v>
      </c>
      <c r="GL149" s="1166">
        <v>15000</v>
      </c>
      <c r="GM149" s="1154">
        <f t="shared" si="454"/>
        <v>388967.90534844139</v>
      </c>
      <c r="GN149" s="1060">
        <f t="shared" si="455"/>
        <v>35</v>
      </c>
      <c r="GO149" s="1154">
        <f t="shared" si="456"/>
        <v>11113.368724241183</v>
      </c>
      <c r="GS149" s="1010">
        <f t="shared" si="457"/>
        <v>4039679.0534844138</v>
      </c>
      <c r="GT149" s="1011">
        <f t="shared" si="458"/>
        <v>0.125</v>
      </c>
      <c r="GU149" s="1010">
        <f t="shared" si="459"/>
        <v>504959.88168555172</v>
      </c>
      <c r="GV149" s="1010">
        <f t="shared" si="460"/>
        <v>30000</v>
      </c>
      <c r="GW149" s="1010">
        <f t="shared" si="461"/>
        <v>474959.88168555172</v>
      </c>
      <c r="GX149" s="1010">
        <f t="shared" si="462"/>
        <v>14</v>
      </c>
      <c r="GY149" s="1010">
        <f t="shared" si="463"/>
        <v>33925.705834682267</v>
      </c>
      <c r="GZ149" s="1011">
        <f t="shared" si="464"/>
        <v>0.875</v>
      </c>
      <c r="HA149" s="1010">
        <f t="shared" si="465"/>
        <v>3534719.1717988621</v>
      </c>
      <c r="HB149" s="1010">
        <f t="shared" si="466"/>
        <v>27404.640116072878</v>
      </c>
      <c r="HC149" s="1010">
        <f t="shared" si="467"/>
        <v>31771.055211368941</v>
      </c>
      <c r="HD149" s="1010">
        <f t="shared" si="468"/>
        <v>41041.086750248025</v>
      </c>
      <c r="HE149" s="1010">
        <f t="shared" si="469"/>
        <v>69991.676105169143</v>
      </c>
      <c r="HG149" s="1010">
        <f t="shared" si="470"/>
        <v>4039679.0534844138</v>
      </c>
      <c r="HH149" s="1011">
        <f t="shared" si="471"/>
        <v>0.125</v>
      </c>
      <c r="HI149" s="1010">
        <f t="shared" si="472"/>
        <v>504959.88168555172</v>
      </c>
      <c r="HJ149" s="1010">
        <f t="shared" si="473"/>
        <v>30000</v>
      </c>
      <c r="HK149" s="1010">
        <f t="shared" si="474"/>
        <v>474959.88168555172</v>
      </c>
      <c r="HL149" s="1012">
        <f t="shared" si="475"/>
        <v>33</v>
      </c>
      <c r="HM149" s="1167">
        <f t="shared" si="476"/>
        <v>14392.723687440961</v>
      </c>
      <c r="HN149" s="1168">
        <f t="shared" si="477"/>
        <v>0.875</v>
      </c>
      <c r="HO149" s="1167">
        <f t="shared" si="478"/>
        <v>3534719.1717988621</v>
      </c>
      <c r="HP149" s="1146">
        <f t="shared" si="479"/>
        <v>27404.640116072878</v>
      </c>
      <c r="HQ149" s="1146">
        <f t="shared" si="480"/>
        <v>31771.055211368941</v>
      </c>
      <c r="HR149" s="1146">
        <f t="shared" si="481"/>
        <v>41041.086750248025</v>
      </c>
      <c r="HS149" s="1146">
        <f t="shared" si="482"/>
        <v>69991.676105169143</v>
      </c>
      <c r="HU149" s="1167">
        <f t="shared" si="483"/>
        <v>-19532.982147241306</v>
      </c>
      <c r="HX149" s="1154"/>
      <c r="HY149" s="1154"/>
      <c r="IB149" s="1154"/>
      <c r="IC149" s="1154"/>
      <c r="ID149" s="1154"/>
      <c r="IE149" s="1154"/>
      <c r="IG149" s="1060"/>
    </row>
    <row r="150" spans="1:241" ht="14.25" customHeight="1">
      <c r="A150" s="1186">
        <f t="shared" si="490"/>
        <v>144</v>
      </c>
      <c r="B150" s="824"/>
      <c r="C150" s="855">
        <f t="shared" ref="C150:C165" si="492">C149+1</f>
        <v>3</v>
      </c>
      <c r="D150" s="856" t="s">
        <v>310</v>
      </c>
      <c r="E150" s="857" t="str">
        <f t="shared" si="387"/>
        <v>10th Floor</v>
      </c>
      <c r="F150" s="1185"/>
      <c r="G150" s="764" t="s">
        <v>312</v>
      </c>
      <c r="H150" s="764" t="s">
        <v>493</v>
      </c>
      <c r="I150" s="764" t="s">
        <v>476</v>
      </c>
      <c r="J150" s="1139">
        <v>22</v>
      </c>
      <c r="K150" s="1142"/>
      <c r="L150" s="764" t="s">
        <v>344</v>
      </c>
      <c r="M150" s="764" t="s">
        <v>477</v>
      </c>
      <c r="N150" s="856">
        <f t="shared" si="388"/>
        <v>100909.09090909091</v>
      </c>
      <c r="O150" s="1138">
        <f t="shared" si="486"/>
        <v>2220000</v>
      </c>
      <c r="P150" s="1138">
        <f t="shared" si="491"/>
        <v>22400</v>
      </c>
      <c r="Q150" s="1138">
        <f t="shared" si="374"/>
        <v>50000</v>
      </c>
      <c r="R150" s="1138"/>
      <c r="S150" s="1138"/>
      <c r="T150" s="1138"/>
      <c r="U150" s="1138"/>
      <c r="V150" s="1138"/>
      <c r="W150" s="858">
        <f t="shared" ref="W150:W153" si="493">J150*$W$5</f>
        <v>22000</v>
      </c>
      <c r="X150" s="1138"/>
      <c r="Y150" s="1138">
        <f t="shared" ref="Y150:Y165" si="494">$Y$148</f>
        <v>120000</v>
      </c>
      <c r="Z150" s="1138">
        <f t="shared" si="487"/>
        <v>75000</v>
      </c>
      <c r="AA150" s="1138">
        <f t="shared" si="488"/>
        <v>289400</v>
      </c>
      <c r="AB150" s="1138">
        <f t="shared" si="390"/>
        <v>2509400</v>
      </c>
      <c r="AC150" s="1138">
        <f t="shared" si="391"/>
        <v>62735</v>
      </c>
      <c r="AD150" s="1138">
        <f t="shared" si="392"/>
        <v>2572135</v>
      </c>
      <c r="AE150" s="1138">
        <f t="shared" si="393"/>
        <v>64303.375</v>
      </c>
      <c r="AF150" s="1138">
        <f t="shared" si="394"/>
        <v>2636438.375</v>
      </c>
      <c r="AG150" s="1138">
        <f t="shared" si="395"/>
        <v>65910.959375000006</v>
      </c>
      <c r="AH150" s="1138">
        <f t="shared" si="396"/>
        <v>2702349.3343750001</v>
      </c>
      <c r="AI150" s="1138">
        <f t="shared" si="397"/>
        <v>135117.46671875002</v>
      </c>
      <c r="AJ150" s="1138">
        <f t="shared" si="398"/>
        <v>2837466.8010937502</v>
      </c>
      <c r="AK150" s="1138">
        <f t="shared" si="399"/>
        <v>28374.668010937501</v>
      </c>
      <c r="AL150" s="1138">
        <f t="shared" si="400"/>
        <v>27537.409960060559</v>
      </c>
      <c r="AM150" s="1138"/>
      <c r="AN150" s="1138"/>
      <c r="AO150" s="1138">
        <f t="shared" si="401"/>
        <v>2893378.8790647481</v>
      </c>
      <c r="AP150" s="1138">
        <f t="shared" si="402"/>
        <v>390606.14867374103</v>
      </c>
      <c r="AQ150" s="1248">
        <f t="shared" si="403"/>
        <v>3283985.0277384892</v>
      </c>
      <c r="AR150" s="1248">
        <f t="shared" si="347"/>
        <v>2953985.0277384892</v>
      </c>
      <c r="AS150" s="1248">
        <v>15000</v>
      </c>
      <c r="AT150" s="1248">
        <f t="shared" si="348"/>
        <v>330000</v>
      </c>
      <c r="AU150" s="1248">
        <f t="shared" si="404"/>
        <v>39600</v>
      </c>
      <c r="AV150" s="1140">
        <f t="shared" si="405"/>
        <v>369600</v>
      </c>
      <c r="AW150" s="1140">
        <f t="shared" si="406"/>
        <v>3323585.0277384892</v>
      </c>
      <c r="AX150" s="1139">
        <f t="shared" si="407"/>
        <v>41544.812846731118</v>
      </c>
      <c r="AY150" s="831">
        <v>13444.671373913045</v>
      </c>
      <c r="AZ150" s="831">
        <f t="shared" si="408"/>
        <v>3378574.5119591332</v>
      </c>
      <c r="BA150" s="831">
        <f t="shared" si="409"/>
        <v>126696.54419846748</v>
      </c>
      <c r="BB150" s="831"/>
      <c r="BC150" s="831">
        <f t="shared" si="346"/>
        <v>33600</v>
      </c>
      <c r="BD150" s="831">
        <v>8990.8965517241377</v>
      </c>
      <c r="BE150" s="831">
        <f t="shared" si="410"/>
        <v>3547861.9527093247</v>
      </c>
      <c r="BF150" s="831">
        <v>42723.767172413798</v>
      </c>
      <c r="BG150" s="831">
        <f t="shared" si="411"/>
        <v>3590585.7198817385</v>
      </c>
      <c r="BH150" s="831"/>
      <c r="BI150" s="831">
        <f t="shared" si="412"/>
        <v>3590585.7198817385</v>
      </c>
      <c r="BJ150" s="831"/>
      <c r="BK150" s="831">
        <f t="shared" si="413"/>
        <v>3590585.7198817385</v>
      </c>
      <c r="BL150" s="831"/>
      <c r="BM150" s="831">
        <f t="shared" si="414"/>
        <v>3590585.7198817385</v>
      </c>
      <c r="BN150" s="831"/>
      <c r="BO150" s="831">
        <f t="shared" si="415"/>
        <v>3590585.7198817385</v>
      </c>
      <c r="BP150" s="831">
        <f>$BP$5/37</f>
        <v>5065.3710270270276</v>
      </c>
      <c r="BQ150" s="831">
        <f t="shared" si="416"/>
        <v>3595651.0909087658</v>
      </c>
      <c r="BR150" s="831">
        <f t="shared" ref="BR150:BR151" si="495">$BR$5/42</f>
        <v>3544.6104</v>
      </c>
      <c r="BS150" s="831">
        <f t="shared" si="417"/>
        <v>3599195.7013087659</v>
      </c>
      <c r="BT150" s="831"/>
      <c r="BU150" s="831">
        <f t="shared" si="418"/>
        <v>3599195.7013087659</v>
      </c>
      <c r="BV150" s="831">
        <f t="shared" ref="BV150:BV151" si="496">$BV$5/43</f>
        <v>1163.3400930232558</v>
      </c>
      <c r="BW150" s="831">
        <f t="shared" si="419"/>
        <v>56400</v>
      </c>
      <c r="BX150" s="831">
        <f t="shared" si="420"/>
        <v>3656759.0414017891</v>
      </c>
      <c r="BY150" s="831">
        <f t="shared" ref="BY150:BY151" si="497">$BY$5/44</f>
        <v>30549.183723443901</v>
      </c>
      <c r="BZ150" s="831">
        <f t="shared" si="421"/>
        <v>3687308.2251252332</v>
      </c>
      <c r="CA150" s="1260">
        <f t="shared" si="422"/>
        <v>3687308.2251252332</v>
      </c>
      <c r="CB150" s="1260">
        <f t="shared" si="423"/>
        <v>3511308.2251252332</v>
      </c>
      <c r="CC150" s="1260">
        <v>8000</v>
      </c>
      <c r="CD150" s="1260">
        <f t="shared" si="424"/>
        <v>176000</v>
      </c>
      <c r="CE150" s="1260">
        <f t="shared" si="425"/>
        <v>21120</v>
      </c>
      <c r="CF150" s="1260">
        <f t="shared" si="426"/>
        <v>197120</v>
      </c>
      <c r="CG150" s="1266">
        <f t="shared" si="427"/>
        <v>3708428.2251252332</v>
      </c>
      <c r="CH150" s="1141">
        <f t="shared" si="428"/>
        <v>3708428.2251252332</v>
      </c>
      <c r="CI150" s="1142">
        <f t="shared" si="429"/>
        <v>0</v>
      </c>
      <c r="CJ150" s="1141">
        <f t="shared" si="430"/>
        <v>380113.89307533635</v>
      </c>
      <c r="CK150" s="1141">
        <f t="shared" si="431"/>
        <v>129794.98787938317</v>
      </c>
      <c r="CL150" s="1143">
        <f t="shared" si="489"/>
        <v>4218337.1060799528</v>
      </c>
      <c r="CM150" s="1144">
        <f t="shared" si="432"/>
        <v>0.125</v>
      </c>
      <c r="CN150" s="1141">
        <f t="shared" si="261"/>
        <v>527292.1382599941</v>
      </c>
      <c r="CO150" s="1141">
        <f t="shared" si="433"/>
        <v>30000</v>
      </c>
      <c r="CP150" s="1141">
        <f t="shared" si="263"/>
        <v>497292.1382599941</v>
      </c>
      <c r="CQ150" s="1145">
        <f t="shared" si="434"/>
        <v>14</v>
      </c>
      <c r="CR150" s="1141">
        <f t="shared" si="265"/>
        <v>35520.867018571007</v>
      </c>
      <c r="CS150" s="1144">
        <f t="shared" si="435"/>
        <v>0.875</v>
      </c>
      <c r="CT150" s="1141">
        <f t="shared" si="436"/>
        <v>3691044.9678199589</v>
      </c>
      <c r="CU150" s="1146">
        <f t="shared" si="375"/>
        <v>28616.632348722174</v>
      </c>
      <c r="CV150" s="1146">
        <f t="shared" si="376"/>
        <v>33176.155660641656</v>
      </c>
      <c r="CW150" s="1146">
        <f t="shared" si="377"/>
        <v>42856.161794113061</v>
      </c>
      <c r="CX150" s="1146">
        <f t="shared" si="378"/>
        <v>73087.114229161074</v>
      </c>
      <c r="CY150" s="1146">
        <f t="shared" si="437"/>
        <v>299835.31477517466</v>
      </c>
      <c r="CZ150" s="1146">
        <f t="shared" si="438"/>
        <v>118643.37347486192</v>
      </c>
      <c r="DA150" s="1146">
        <f t="shared" si="439"/>
        <v>85694.428291706034</v>
      </c>
      <c r="DB150" s="1146">
        <f t="shared" si="440"/>
        <v>65217.405097707386</v>
      </c>
      <c r="DC150" s="1146"/>
      <c r="DD150" s="1146"/>
      <c r="DE150" s="1146"/>
      <c r="DF150" s="1146"/>
      <c r="DG150" s="1146"/>
      <c r="DH150" s="1146"/>
      <c r="DI150" s="1146"/>
      <c r="DJ150" s="1146"/>
      <c r="DK150" s="1146"/>
      <c r="DL150" s="1146"/>
      <c r="DM150" s="1146"/>
      <c r="DN150" s="1146"/>
      <c r="DO150" s="1146"/>
      <c r="DP150" s="1146"/>
      <c r="DQ150" s="1146"/>
      <c r="DR150" s="1146"/>
      <c r="DS150" s="1146"/>
      <c r="DT150" s="1146"/>
      <c r="DU150" s="1146"/>
      <c r="DV150" s="1146"/>
      <c r="DW150" s="1146"/>
      <c r="DX150" s="1146"/>
      <c r="DY150" s="1146"/>
      <c r="DZ150" s="1146"/>
      <c r="EA150" s="1147">
        <f t="shared" si="379"/>
        <v>0.11171349783470003</v>
      </c>
      <c r="EB150" s="1148">
        <f t="shared" si="441"/>
        <v>5.6138620525963537E-2</v>
      </c>
      <c r="EC150" s="1190">
        <f t="shared" si="484"/>
        <v>45839</v>
      </c>
      <c r="ED150" s="1031">
        <f t="shared" si="380"/>
        <v>20</v>
      </c>
      <c r="EE150" s="1191"/>
      <c r="EF150" s="1032">
        <f t="shared" si="381"/>
        <v>45904</v>
      </c>
      <c r="EG150" s="1029">
        <f t="shared" si="442"/>
        <v>22</v>
      </c>
      <c r="EH150" s="859" t="s">
        <v>490</v>
      </c>
      <c r="EI150" s="859" t="s">
        <v>480</v>
      </c>
      <c r="EJ150" s="860">
        <f t="shared" si="382"/>
        <v>16800</v>
      </c>
      <c r="EK150" s="860">
        <f t="shared" si="383"/>
        <v>369600</v>
      </c>
      <c r="EL150" s="861">
        <f t="shared" si="384"/>
        <v>0.12511911757486402</v>
      </c>
      <c r="EM150" s="1197"/>
      <c r="EN150" s="860"/>
      <c r="EO150" s="860"/>
      <c r="EP150" s="860">
        <f t="shared" si="385"/>
        <v>0</v>
      </c>
      <c r="EQ150" s="1197"/>
      <c r="ER150" s="1200"/>
      <c r="ES150" s="1197"/>
      <c r="ET150" s="1194" t="s">
        <v>312</v>
      </c>
      <c r="EU150" s="1197" t="b">
        <f t="shared" si="386"/>
        <v>1</v>
      </c>
      <c r="EV150" s="1197"/>
      <c r="EW150" s="1197"/>
      <c r="EX150" s="1197"/>
      <c r="EY150" s="1128" t="s">
        <v>587</v>
      </c>
      <c r="EZ150" s="1128" t="s">
        <v>484</v>
      </c>
      <c r="FA150" s="1169">
        <f t="shared" si="443"/>
        <v>-21120</v>
      </c>
      <c r="FI150" s="1309" t="s">
        <v>96</v>
      </c>
      <c r="FJ150" s="1159" t="s">
        <v>96</v>
      </c>
      <c r="FK150" s="1160" t="b">
        <f t="shared" si="444"/>
        <v>1</v>
      </c>
      <c r="FL150" s="1131"/>
      <c r="FM150" s="1161"/>
      <c r="FO150" s="888"/>
      <c r="FU150" s="1295"/>
      <c r="FV150" s="1295"/>
      <c r="FW150" s="1023">
        <v>0.125</v>
      </c>
      <c r="FX150" s="1162">
        <v>12360.45018364759</v>
      </c>
      <c r="FY150" s="1163">
        <v>12746.714251886577</v>
      </c>
      <c r="GA150" s="1164">
        <f t="shared" si="445"/>
        <v>4218337.1060799528</v>
      </c>
      <c r="GB150" s="1165">
        <f t="shared" ref="GB150:GB151" si="498">FW150</f>
        <v>0.125</v>
      </c>
      <c r="GC150" s="1154">
        <f t="shared" si="446"/>
        <v>527292.1382599941</v>
      </c>
      <c r="GD150" s="1164">
        <f t="shared" si="447"/>
        <v>30000</v>
      </c>
      <c r="GE150" s="1154">
        <f t="shared" si="448"/>
        <v>497292.1382599941</v>
      </c>
      <c r="GF150" s="1060">
        <f t="shared" si="449"/>
        <v>35</v>
      </c>
      <c r="GG150" s="1166">
        <f t="shared" si="450"/>
        <v>14208.346807428403</v>
      </c>
      <c r="GI150" s="1164">
        <f t="shared" si="451"/>
        <v>4218337.1060799528</v>
      </c>
      <c r="GJ150" s="1154">
        <f t="shared" si="452"/>
        <v>421833.71060799528</v>
      </c>
      <c r="GK150" s="1154">
        <f t="shared" si="453"/>
        <v>105458.42765199882</v>
      </c>
      <c r="GL150" s="1166">
        <v>15000</v>
      </c>
      <c r="GM150" s="1154">
        <f t="shared" si="454"/>
        <v>406833.71060799528</v>
      </c>
      <c r="GN150" s="1060">
        <f t="shared" si="455"/>
        <v>35</v>
      </c>
      <c r="GO150" s="1154">
        <f t="shared" si="456"/>
        <v>11623.82030308558</v>
      </c>
      <c r="GS150" s="1010">
        <f t="shared" si="457"/>
        <v>4218337.1060799528</v>
      </c>
      <c r="GT150" s="1011">
        <f t="shared" si="458"/>
        <v>0.125</v>
      </c>
      <c r="GU150" s="1010">
        <f t="shared" si="459"/>
        <v>527292.1382599941</v>
      </c>
      <c r="GV150" s="1010">
        <f t="shared" si="460"/>
        <v>30000</v>
      </c>
      <c r="GW150" s="1010">
        <f t="shared" si="461"/>
        <v>497292.1382599941</v>
      </c>
      <c r="GX150" s="1010">
        <f t="shared" si="462"/>
        <v>14</v>
      </c>
      <c r="GY150" s="1010">
        <f t="shared" si="463"/>
        <v>35520.867018571007</v>
      </c>
      <c r="GZ150" s="1011">
        <f t="shared" si="464"/>
        <v>0.875</v>
      </c>
      <c r="HA150" s="1010">
        <f t="shared" si="465"/>
        <v>3691044.9678199589</v>
      </c>
      <c r="HB150" s="1010">
        <f t="shared" si="466"/>
        <v>28616.632348722174</v>
      </c>
      <c r="HC150" s="1010">
        <f t="shared" si="467"/>
        <v>33176.155660641656</v>
      </c>
      <c r="HD150" s="1010">
        <f t="shared" si="468"/>
        <v>42856.161794113061</v>
      </c>
      <c r="HE150" s="1010">
        <f t="shared" si="469"/>
        <v>73087.114229161074</v>
      </c>
      <c r="HG150" s="1010">
        <f t="shared" si="470"/>
        <v>4218337.1060799528</v>
      </c>
      <c r="HH150" s="1011">
        <f t="shared" si="471"/>
        <v>0.125</v>
      </c>
      <c r="HI150" s="1010">
        <f t="shared" si="472"/>
        <v>527292.1382599941</v>
      </c>
      <c r="HJ150" s="1010">
        <f t="shared" si="473"/>
        <v>30000</v>
      </c>
      <c r="HK150" s="1010">
        <f t="shared" si="474"/>
        <v>497292.1382599941</v>
      </c>
      <c r="HL150" s="1012">
        <f t="shared" si="475"/>
        <v>33</v>
      </c>
      <c r="HM150" s="1167">
        <f t="shared" si="476"/>
        <v>15069.458735151336</v>
      </c>
      <c r="HN150" s="1168">
        <f t="shared" si="477"/>
        <v>0.875</v>
      </c>
      <c r="HO150" s="1167">
        <f t="shared" si="478"/>
        <v>3691044.9678199589</v>
      </c>
      <c r="HP150" s="1146">
        <f t="shared" si="479"/>
        <v>28616.632348722174</v>
      </c>
      <c r="HQ150" s="1146">
        <f t="shared" si="480"/>
        <v>33176.155660641656</v>
      </c>
      <c r="HR150" s="1146">
        <f t="shared" si="481"/>
        <v>42856.161794113061</v>
      </c>
      <c r="HS150" s="1146">
        <f t="shared" si="482"/>
        <v>73087.114229161074</v>
      </c>
      <c r="HU150" s="1167">
        <f t="shared" si="483"/>
        <v>-20451.408283419671</v>
      </c>
      <c r="HX150" s="1154"/>
      <c r="HY150" s="1154"/>
      <c r="IB150" s="1154"/>
      <c r="IC150" s="1154"/>
      <c r="ID150" s="1154"/>
      <c r="IE150" s="1154"/>
      <c r="IG150" s="1060"/>
    </row>
    <row r="151" spans="1:241" ht="14.25" customHeight="1">
      <c r="A151" s="1186">
        <f t="shared" si="490"/>
        <v>145</v>
      </c>
      <c r="B151" s="824"/>
      <c r="C151" s="855">
        <f t="shared" si="492"/>
        <v>4</v>
      </c>
      <c r="D151" s="856" t="s">
        <v>310</v>
      </c>
      <c r="E151" s="857" t="str">
        <f t="shared" si="387"/>
        <v>10th Floor</v>
      </c>
      <c r="F151" s="1185"/>
      <c r="G151" s="764" t="s">
        <v>313</v>
      </c>
      <c r="H151" s="764" t="s">
        <v>496</v>
      </c>
      <c r="I151" s="764" t="s">
        <v>476</v>
      </c>
      <c r="J151" s="1139">
        <v>22</v>
      </c>
      <c r="K151" s="1142"/>
      <c r="L151" s="764" t="s">
        <v>344</v>
      </c>
      <c r="M151" s="764" t="s">
        <v>477</v>
      </c>
      <c r="N151" s="856">
        <f t="shared" si="388"/>
        <v>100909.09090909091</v>
      </c>
      <c r="O151" s="1138">
        <f t="shared" si="486"/>
        <v>2220000</v>
      </c>
      <c r="P151" s="1138">
        <f t="shared" si="491"/>
        <v>22400</v>
      </c>
      <c r="Q151" s="1138">
        <f t="shared" si="374"/>
        <v>50000</v>
      </c>
      <c r="R151" s="1138"/>
      <c r="S151" s="1138"/>
      <c r="T151" s="1138"/>
      <c r="U151" s="1138"/>
      <c r="V151" s="1138"/>
      <c r="W151" s="858">
        <f t="shared" si="493"/>
        <v>22000</v>
      </c>
      <c r="X151" s="1138"/>
      <c r="Y151" s="1138">
        <f t="shared" si="494"/>
        <v>120000</v>
      </c>
      <c r="Z151" s="1138">
        <f t="shared" si="487"/>
        <v>75000</v>
      </c>
      <c r="AA151" s="1138">
        <f t="shared" si="488"/>
        <v>289400</v>
      </c>
      <c r="AB151" s="1138">
        <f t="shared" si="390"/>
        <v>2509400</v>
      </c>
      <c r="AC151" s="1138">
        <f t="shared" si="391"/>
        <v>62735</v>
      </c>
      <c r="AD151" s="1138">
        <f t="shared" si="392"/>
        <v>2572135</v>
      </c>
      <c r="AE151" s="1138">
        <f t="shared" si="393"/>
        <v>64303.375</v>
      </c>
      <c r="AF151" s="1138">
        <f t="shared" si="394"/>
        <v>2636438.375</v>
      </c>
      <c r="AG151" s="1138">
        <f t="shared" si="395"/>
        <v>65910.959375000006</v>
      </c>
      <c r="AH151" s="1138">
        <f t="shared" si="396"/>
        <v>2702349.3343750001</v>
      </c>
      <c r="AI151" s="1138">
        <f t="shared" si="397"/>
        <v>135117.46671875002</v>
      </c>
      <c r="AJ151" s="1138">
        <f t="shared" si="398"/>
        <v>2837466.8010937502</v>
      </c>
      <c r="AK151" s="1138">
        <f t="shared" si="399"/>
        <v>28374.668010937501</v>
      </c>
      <c r="AL151" s="1138">
        <f t="shared" si="400"/>
        <v>27537.409960060559</v>
      </c>
      <c r="AM151" s="1138"/>
      <c r="AN151" s="1138"/>
      <c r="AO151" s="1138">
        <f t="shared" si="401"/>
        <v>2893378.8790647481</v>
      </c>
      <c r="AP151" s="1138">
        <f t="shared" si="402"/>
        <v>390606.14867374103</v>
      </c>
      <c r="AQ151" s="1248">
        <f t="shared" si="403"/>
        <v>3283985.0277384892</v>
      </c>
      <c r="AR151" s="1248">
        <f t="shared" si="347"/>
        <v>2953985.0277384892</v>
      </c>
      <c r="AS151" s="1248">
        <v>15000</v>
      </c>
      <c r="AT151" s="1248">
        <f t="shared" si="348"/>
        <v>330000</v>
      </c>
      <c r="AU151" s="1248">
        <f t="shared" si="404"/>
        <v>39600</v>
      </c>
      <c r="AV151" s="1140">
        <f t="shared" si="405"/>
        <v>369600</v>
      </c>
      <c r="AW151" s="1140">
        <f t="shared" si="406"/>
        <v>3323585.0277384892</v>
      </c>
      <c r="AX151" s="1139">
        <f t="shared" si="407"/>
        <v>41544.812846731118</v>
      </c>
      <c r="AY151" s="831" t="s">
        <v>478</v>
      </c>
      <c r="AZ151" s="831">
        <f t="shared" si="408"/>
        <v>3365129.8405852201</v>
      </c>
      <c r="BA151" s="831">
        <f t="shared" si="409"/>
        <v>126192.36902194575</v>
      </c>
      <c r="BB151" s="831"/>
      <c r="BC151" s="831">
        <f t="shared" si="346"/>
        <v>33600</v>
      </c>
      <c r="BD151" s="831"/>
      <c r="BE151" s="831">
        <f t="shared" si="410"/>
        <v>3524922.2096071658</v>
      </c>
      <c r="BF151" s="831"/>
      <c r="BG151" s="831">
        <f t="shared" si="411"/>
        <v>3524922.2096071658</v>
      </c>
      <c r="BH151" s="831"/>
      <c r="BI151" s="831">
        <f t="shared" si="412"/>
        <v>3524922.2096071658</v>
      </c>
      <c r="BJ151" s="831"/>
      <c r="BK151" s="831">
        <f t="shared" si="413"/>
        <v>3524922.2096071658</v>
      </c>
      <c r="BL151" s="831"/>
      <c r="BM151" s="831">
        <f t="shared" si="414"/>
        <v>3524922.2096071658</v>
      </c>
      <c r="BN151" s="831"/>
      <c r="BO151" s="831">
        <f t="shared" si="415"/>
        <v>3524922.2096071658</v>
      </c>
      <c r="BP151" s="831"/>
      <c r="BQ151" s="831">
        <f t="shared" si="416"/>
        <v>3524922.2096071658</v>
      </c>
      <c r="BR151" s="831">
        <f t="shared" si="495"/>
        <v>3544.6104</v>
      </c>
      <c r="BS151" s="831">
        <f t="shared" si="417"/>
        <v>3528466.8200071659</v>
      </c>
      <c r="BT151" s="831">
        <f t="shared" ref="BT151" si="499">$BT$5/41</f>
        <v>1609.3168000000001</v>
      </c>
      <c r="BU151" s="831">
        <f t="shared" si="418"/>
        <v>3530076.136807166</v>
      </c>
      <c r="BV151" s="831">
        <f t="shared" si="496"/>
        <v>1163.3400930232558</v>
      </c>
      <c r="BW151" s="831">
        <f t="shared" si="419"/>
        <v>56400</v>
      </c>
      <c r="BX151" s="831">
        <f t="shared" si="420"/>
        <v>3587639.4769001892</v>
      </c>
      <c r="BY151" s="831">
        <f t="shared" si="497"/>
        <v>30549.183723443901</v>
      </c>
      <c r="BZ151" s="831">
        <f t="shared" si="421"/>
        <v>3618188.6606236333</v>
      </c>
      <c r="CA151" s="1260">
        <f t="shared" si="422"/>
        <v>3618188.6606236333</v>
      </c>
      <c r="CB151" s="1260">
        <f t="shared" si="423"/>
        <v>3442188.6606236333</v>
      </c>
      <c r="CC151" s="1260">
        <v>8000</v>
      </c>
      <c r="CD151" s="1260">
        <f t="shared" si="424"/>
        <v>176000</v>
      </c>
      <c r="CE151" s="1260">
        <f t="shared" si="425"/>
        <v>21120</v>
      </c>
      <c r="CF151" s="1260">
        <f t="shared" si="426"/>
        <v>197120</v>
      </c>
      <c r="CG151" s="1266">
        <f t="shared" si="427"/>
        <v>3639308.6606236333</v>
      </c>
      <c r="CH151" s="1141">
        <f t="shared" si="428"/>
        <v>3639308.6606236333</v>
      </c>
      <c r="CI151" s="1142">
        <f t="shared" si="429"/>
        <v>0</v>
      </c>
      <c r="CJ151" s="1141">
        <f t="shared" si="430"/>
        <v>373029.13771392236</v>
      </c>
      <c r="CK151" s="1141">
        <f t="shared" si="431"/>
        <v>127375.80312182718</v>
      </c>
      <c r="CL151" s="1143">
        <f t="shared" si="489"/>
        <v>4139713.6014593826</v>
      </c>
      <c r="CM151" s="1144">
        <f t="shared" si="432"/>
        <v>0.125</v>
      </c>
      <c r="CN151" s="1141">
        <f t="shared" si="261"/>
        <v>517464.20018242282</v>
      </c>
      <c r="CO151" s="1141">
        <f t="shared" si="433"/>
        <v>30000</v>
      </c>
      <c r="CP151" s="1141">
        <f t="shared" si="263"/>
        <v>487464.20018242282</v>
      </c>
      <c r="CQ151" s="1145">
        <f t="shared" si="434"/>
        <v>14</v>
      </c>
      <c r="CR151" s="1141">
        <f t="shared" si="265"/>
        <v>34818.87144160163</v>
      </c>
      <c r="CS151" s="1144">
        <f t="shared" si="435"/>
        <v>0.875</v>
      </c>
      <c r="CT151" s="1141">
        <f t="shared" si="436"/>
        <v>3622249.4012769596</v>
      </c>
      <c r="CU151" s="1146">
        <f t="shared" si="375"/>
        <v>28083.261053561328</v>
      </c>
      <c r="CV151" s="1146">
        <f t="shared" si="376"/>
        <v>32557.801659460089</v>
      </c>
      <c r="CW151" s="1146">
        <f t="shared" si="377"/>
        <v>42057.386933283931</v>
      </c>
      <c r="CX151" s="1146">
        <f t="shared" si="378"/>
        <v>71724.879557347303</v>
      </c>
      <c r="CY151" s="1146">
        <f t="shared" si="437"/>
        <v>294246.83223719586</v>
      </c>
      <c r="CZ151" s="1146">
        <f t="shared" si="438"/>
        <v>116432.03815764509</v>
      </c>
      <c r="DA151" s="1146">
        <f t="shared" si="439"/>
        <v>84097.212111652741</v>
      </c>
      <c r="DB151" s="1146">
        <f t="shared" si="440"/>
        <v>64001.85005265168</v>
      </c>
      <c r="DC151" s="1146"/>
      <c r="DD151" s="1146"/>
      <c r="DE151" s="1146"/>
      <c r="DF151" s="1146"/>
      <c r="DG151" s="1146"/>
      <c r="DH151" s="1146"/>
      <c r="DI151" s="1146"/>
      <c r="DJ151" s="1146"/>
      <c r="DK151" s="1146"/>
      <c r="DL151" s="1146"/>
      <c r="DM151" s="1146"/>
      <c r="DN151" s="1146"/>
      <c r="DO151" s="1146"/>
      <c r="DP151" s="1146"/>
      <c r="DQ151" s="1146"/>
      <c r="DR151" s="1146"/>
      <c r="DS151" s="1146"/>
      <c r="DT151" s="1146"/>
      <c r="DU151" s="1146"/>
      <c r="DV151" s="1146"/>
      <c r="DW151" s="1146"/>
      <c r="DX151" s="1146"/>
      <c r="DY151" s="1146"/>
      <c r="DZ151" s="1146"/>
      <c r="EA151" s="1147">
        <f t="shared" si="379"/>
        <v>0.11171349783470003</v>
      </c>
      <c r="EB151" s="1148">
        <f t="shared" si="441"/>
        <v>5.7265890813865815E-2</v>
      </c>
      <c r="EC151" s="1190">
        <f t="shared" si="484"/>
        <v>45839</v>
      </c>
      <c r="ED151" s="1031">
        <f t="shared" si="380"/>
        <v>20</v>
      </c>
      <c r="EE151" s="1191"/>
      <c r="EF151" s="1032">
        <f t="shared" si="381"/>
        <v>45904</v>
      </c>
      <c r="EG151" s="1029">
        <f t="shared" si="442"/>
        <v>22</v>
      </c>
      <c r="EH151" s="859" t="s">
        <v>490</v>
      </c>
      <c r="EI151" s="859" t="s">
        <v>480</v>
      </c>
      <c r="EJ151" s="860">
        <f t="shared" si="382"/>
        <v>16800</v>
      </c>
      <c r="EK151" s="860">
        <f t="shared" si="383"/>
        <v>369600</v>
      </c>
      <c r="EL151" s="861">
        <f t="shared" si="384"/>
        <v>0.12511911757486402</v>
      </c>
      <c r="EM151" s="1197"/>
      <c r="EN151" s="860"/>
      <c r="EO151" s="860"/>
      <c r="EP151" s="860">
        <f t="shared" si="385"/>
        <v>0</v>
      </c>
      <c r="EQ151" s="1197"/>
      <c r="ER151" s="1200"/>
      <c r="ES151" s="1197"/>
      <c r="ET151" s="1194" t="s">
        <v>313</v>
      </c>
      <c r="EU151" s="1197" t="b">
        <f t="shared" si="386"/>
        <v>1</v>
      </c>
      <c r="EV151" s="1197"/>
      <c r="EW151" s="1197"/>
      <c r="EX151" s="1197"/>
      <c r="EY151" s="1128" t="s">
        <v>587</v>
      </c>
      <c r="EZ151" s="1128" t="s">
        <v>484</v>
      </c>
      <c r="FA151" s="1169">
        <f t="shared" si="443"/>
        <v>-21120</v>
      </c>
      <c r="FI151" s="1309" t="s">
        <v>96</v>
      </c>
      <c r="FJ151" s="1159" t="s">
        <v>96</v>
      </c>
      <c r="FK151" s="1160" t="b">
        <f t="shared" si="444"/>
        <v>1</v>
      </c>
      <c r="FL151" s="1131"/>
      <c r="FM151" s="1161"/>
      <c r="FO151" s="888"/>
      <c r="FU151" s="1295"/>
      <c r="FV151" s="1295"/>
      <c r="FW151" s="1023">
        <v>0.125</v>
      </c>
      <c r="FX151" s="1162">
        <v>12360.45018364759</v>
      </c>
      <c r="FY151" s="1163">
        <v>12746.714251886577</v>
      </c>
      <c r="GA151" s="1164">
        <f t="shared" si="445"/>
        <v>4139713.6014593826</v>
      </c>
      <c r="GB151" s="1165">
        <f t="shared" si="498"/>
        <v>0.125</v>
      </c>
      <c r="GC151" s="1154">
        <f t="shared" si="446"/>
        <v>517464.20018242282</v>
      </c>
      <c r="GD151" s="1164">
        <f t="shared" si="447"/>
        <v>30000</v>
      </c>
      <c r="GE151" s="1154">
        <f t="shared" si="448"/>
        <v>487464.20018242282</v>
      </c>
      <c r="GF151" s="1060">
        <f t="shared" si="449"/>
        <v>35</v>
      </c>
      <c r="GG151" s="1166">
        <f t="shared" si="450"/>
        <v>13927.548576640653</v>
      </c>
      <c r="GI151" s="1164">
        <f t="shared" si="451"/>
        <v>4139713.6014593826</v>
      </c>
      <c r="GJ151" s="1154">
        <f t="shared" si="452"/>
        <v>413971.36014593829</v>
      </c>
      <c r="GK151" s="1154">
        <f t="shared" si="453"/>
        <v>103492.84003648457</v>
      </c>
      <c r="GL151" s="1166">
        <v>15000</v>
      </c>
      <c r="GM151" s="1154">
        <f t="shared" si="454"/>
        <v>398971.36014593829</v>
      </c>
      <c r="GN151" s="1060">
        <f t="shared" si="455"/>
        <v>35</v>
      </c>
      <c r="GO151" s="1154">
        <f t="shared" si="456"/>
        <v>11399.18171845538</v>
      </c>
      <c r="GS151" s="1010">
        <f t="shared" si="457"/>
        <v>4139713.6014593826</v>
      </c>
      <c r="GT151" s="1011">
        <f t="shared" si="458"/>
        <v>0.125</v>
      </c>
      <c r="GU151" s="1010">
        <f t="shared" si="459"/>
        <v>517464.20018242282</v>
      </c>
      <c r="GV151" s="1010">
        <f t="shared" si="460"/>
        <v>30000</v>
      </c>
      <c r="GW151" s="1010">
        <f t="shared" si="461"/>
        <v>487464.20018242282</v>
      </c>
      <c r="GX151" s="1010">
        <f t="shared" si="462"/>
        <v>14</v>
      </c>
      <c r="GY151" s="1010">
        <f t="shared" si="463"/>
        <v>34818.87144160163</v>
      </c>
      <c r="GZ151" s="1011">
        <f t="shared" si="464"/>
        <v>0.875</v>
      </c>
      <c r="HA151" s="1010">
        <f t="shared" si="465"/>
        <v>3622249.4012769596</v>
      </c>
      <c r="HB151" s="1010">
        <f t="shared" si="466"/>
        <v>28083.261053561328</v>
      </c>
      <c r="HC151" s="1010">
        <f t="shared" si="467"/>
        <v>32557.801659460089</v>
      </c>
      <c r="HD151" s="1010">
        <f t="shared" si="468"/>
        <v>42057.386933283931</v>
      </c>
      <c r="HE151" s="1010">
        <f t="shared" si="469"/>
        <v>71724.879557347303</v>
      </c>
      <c r="HG151" s="1010">
        <f t="shared" si="470"/>
        <v>4139713.6014593826</v>
      </c>
      <c r="HH151" s="1011">
        <f t="shared" si="471"/>
        <v>0.125</v>
      </c>
      <c r="HI151" s="1010">
        <f t="shared" si="472"/>
        <v>517464.20018242282</v>
      </c>
      <c r="HJ151" s="1010">
        <f t="shared" si="473"/>
        <v>30000</v>
      </c>
      <c r="HK151" s="1010">
        <f t="shared" si="474"/>
        <v>487464.20018242282</v>
      </c>
      <c r="HL151" s="1012">
        <f t="shared" si="475"/>
        <v>33</v>
      </c>
      <c r="HM151" s="1167">
        <f t="shared" si="476"/>
        <v>14771.642429770389</v>
      </c>
      <c r="HN151" s="1168">
        <f t="shared" si="477"/>
        <v>0.875</v>
      </c>
      <c r="HO151" s="1167">
        <f t="shared" si="478"/>
        <v>3622249.4012769596</v>
      </c>
      <c r="HP151" s="1146">
        <f t="shared" si="479"/>
        <v>28083.261053561328</v>
      </c>
      <c r="HQ151" s="1146">
        <f t="shared" si="480"/>
        <v>32557.801659460089</v>
      </c>
      <c r="HR151" s="1146">
        <f t="shared" si="481"/>
        <v>42057.386933283931</v>
      </c>
      <c r="HS151" s="1146">
        <f t="shared" si="482"/>
        <v>71724.879557347303</v>
      </c>
      <c r="HU151" s="1167">
        <f t="shared" si="483"/>
        <v>-20047.229011831241</v>
      </c>
      <c r="HX151" s="1154"/>
      <c r="HY151" s="1154"/>
      <c r="IB151" s="1154"/>
      <c r="IC151" s="1154"/>
      <c r="ID151" s="1154"/>
      <c r="IE151" s="1154"/>
      <c r="IG151" s="1060"/>
    </row>
    <row r="152" spans="1:241" ht="14.25" hidden="1" customHeight="1">
      <c r="A152" s="1186">
        <f t="shared" si="490"/>
        <v>146</v>
      </c>
      <c r="B152" s="824" t="s">
        <v>149</v>
      </c>
      <c r="C152" s="855">
        <f t="shared" si="492"/>
        <v>5</v>
      </c>
      <c r="D152" s="856" t="s">
        <v>310</v>
      </c>
      <c r="E152" s="857" t="str">
        <f t="shared" si="387"/>
        <v>10th Floor</v>
      </c>
      <c r="F152" s="1185"/>
      <c r="G152" s="764" t="s">
        <v>314</v>
      </c>
      <c r="H152" s="764" t="s">
        <v>499</v>
      </c>
      <c r="I152" s="764" t="s">
        <v>476</v>
      </c>
      <c r="J152" s="1139">
        <v>22</v>
      </c>
      <c r="K152" s="1142"/>
      <c r="L152" s="764" t="s">
        <v>344</v>
      </c>
      <c r="M152" s="764" t="s">
        <v>477</v>
      </c>
      <c r="N152" s="856">
        <f t="shared" si="388"/>
        <v>100909.09090909091</v>
      </c>
      <c r="O152" s="1138">
        <f t="shared" si="486"/>
        <v>2220000</v>
      </c>
      <c r="P152" s="1138">
        <f t="shared" si="491"/>
        <v>22400</v>
      </c>
      <c r="Q152" s="1138">
        <f t="shared" si="374"/>
        <v>50000</v>
      </c>
      <c r="R152" s="1138"/>
      <c r="S152" s="1138"/>
      <c r="T152" s="1138"/>
      <c r="U152" s="1138"/>
      <c r="V152" s="858"/>
      <c r="W152" s="858">
        <f t="shared" si="493"/>
        <v>22000</v>
      </c>
      <c r="X152" s="1138"/>
      <c r="Y152" s="1138">
        <f t="shared" si="494"/>
        <v>120000</v>
      </c>
      <c r="Z152" s="1138">
        <f t="shared" si="487"/>
        <v>75000</v>
      </c>
      <c r="AA152" s="1138">
        <f t="shared" si="488"/>
        <v>289400</v>
      </c>
      <c r="AB152" s="1138">
        <f t="shared" si="390"/>
        <v>2509400</v>
      </c>
      <c r="AC152" s="1138">
        <f t="shared" si="391"/>
        <v>62735</v>
      </c>
      <c r="AD152" s="1138">
        <f t="shared" si="392"/>
        <v>2572135</v>
      </c>
      <c r="AE152" s="1138">
        <f t="shared" si="393"/>
        <v>64303.375</v>
      </c>
      <c r="AF152" s="1138">
        <f t="shared" si="394"/>
        <v>2636438.375</v>
      </c>
      <c r="AG152" s="1138">
        <f t="shared" si="395"/>
        <v>65910.959375000006</v>
      </c>
      <c r="AH152" s="1138">
        <f t="shared" si="396"/>
        <v>2702349.3343750001</v>
      </c>
      <c r="AI152" s="1138">
        <f t="shared" si="397"/>
        <v>135117.46671875002</v>
      </c>
      <c r="AJ152" s="1138">
        <f t="shared" si="398"/>
        <v>2837466.8010937502</v>
      </c>
      <c r="AK152" s="1138">
        <f t="shared" si="399"/>
        <v>28374.668010937501</v>
      </c>
      <c r="AL152" s="1138">
        <f t="shared" si="400"/>
        <v>27537.409960060559</v>
      </c>
      <c r="AM152" s="1138"/>
      <c r="AN152" s="1138"/>
      <c r="AO152" s="1138">
        <f t="shared" si="401"/>
        <v>2893378.8790647481</v>
      </c>
      <c r="AP152" s="1138">
        <f t="shared" si="402"/>
        <v>390606.14867374103</v>
      </c>
      <c r="AQ152" s="1248">
        <f t="shared" si="403"/>
        <v>3283985.0277384892</v>
      </c>
      <c r="AR152" s="1248">
        <f t="shared" si="347"/>
        <v>2953985.0277384892</v>
      </c>
      <c r="AS152" s="1248">
        <v>15000</v>
      </c>
      <c r="AT152" s="1248">
        <f t="shared" si="348"/>
        <v>330000</v>
      </c>
      <c r="AU152" s="1248">
        <f t="shared" si="404"/>
        <v>39600</v>
      </c>
      <c r="AV152" s="1140">
        <f t="shared" si="405"/>
        <v>369600</v>
      </c>
      <c r="AW152" s="1140">
        <f t="shared" si="406"/>
        <v>3323585.0277384892</v>
      </c>
      <c r="AX152" s="1139">
        <f t="shared" si="407"/>
        <v>41544.812846731118</v>
      </c>
      <c r="AY152" s="831" t="s">
        <v>478</v>
      </c>
      <c r="AZ152" s="831">
        <f t="shared" si="408"/>
        <v>3365129.8405852201</v>
      </c>
      <c r="BA152" s="831">
        <f t="shared" si="409"/>
        <v>126192.36902194575</v>
      </c>
      <c r="BB152" s="831"/>
      <c r="BC152" s="831">
        <f t="shared" si="346"/>
        <v>33600</v>
      </c>
      <c r="BD152" s="831"/>
      <c r="BE152" s="831">
        <f t="shared" si="410"/>
        <v>3524922.2096071658</v>
      </c>
      <c r="BF152" s="831"/>
      <c r="BG152" s="831">
        <f t="shared" si="411"/>
        <v>3524922.2096071658</v>
      </c>
      <c r="BH152" s="831"/>
      <c r="BI152" s="831">
        <f t="shared" si="412"/>
        <v>3524922.2096071658</v>
      </c>
      <c r="BJ152" s="831"/>
      <c r="BK152" s="831">
        <f t="shared" si="413"/>
        <v>3524922.2096071658</v>
      </c>
      <c r="BL152" s="831"/>
      <c r="BM152" s="831">
        <f t="shared" si="414"/>
        <v>3524922.2096071658</v>
      </c>
      <c r="BN152" s="831"/>
      <c r="BO152" s="831">
        <f t="shared" si="415"/>
        <v>3524922.2096071658</v>
      </c>
      <c r="BP152" s="831"/>
      <c r="BQ152" s="831">
        <f t="shared" si="416"/>
        <v>3524922.2096071658</v>
      </c>
      <c r="BR152" s="831"/>
      <c r="BS152" s="831">
        <f t="shared" si="417"/>
        <v>3524922.2096071658</v>
      </c>
      <c r="BT152" s="831"/>
      <c r="BU152" s="831">
        <f t="shared" si="418"/>
        <v>3524922.2096071658</v>
      </c>
      <c r="BV152" s="831"/>
      <c r="BW152" s="831">
        <f t="shared" si="419"/>
        <v>56400</v>
      </c>
      <c r="BX152" s="831">
        <f t="shared" si="420"/>
        <v>3581322.2096071658</v>
      </c>
      <c r="BY152" s="831"/>
      <c r="BZ152" s="831">
        <f t="shared" si="421"/>
        <v>3581322.2096071658</v>
      </c>
      <c r="CA152" s="1260">
        <f t="shared" si="422"/>
        <v>3581322.2096071658</v>
      </c>
      <c r="CB152" s="1260">
        <f t="shared" si="423"/>
        <v>3581322.2096071658</v>
      </c>
      <c r="CC152" s="1260"/>
      <c r="CD152" s="1260">
        <f t="shared" si="424"/>
        <v>0</v>
      </c>
      <c r="CE152" s="1260">
        <f t="shared" si="425"/>
        <v>0</v>
      </c>
      <c r="CF152" s="1260">
        <f t="shared" si="426"/>
        <v>0</v>
      </c>
      <c r="CG152" s="1266">
        <f t="shared" si="427"/>
        <v>3581322.2096071658</v>
      </c>
      <c r="CH152" s="1141">
        <f t="shared" si="428"/>
        <v>3581322.2096071658</v>
      </c>
      <c r="CI152" s="1142">
        <f t="shared" si="429"/>
        <v>0</v>
      </c>
      <c r="CJ152" s="1141">
        <f t="shared" si="430"/>
        <v>367085.5264847345</v>
      </c>
      <c r="CK152" s="1141">
        <f t="shared" si="431"/>
        <v>125346.27733625082</v>
      </c>
      <c r="CL152" s="1143">
        <f t="shared" si="489"/>
        <v>4073754.0134281511</v>
      </c>
      <c r="CM152" s="1144">
        <f t="shared" si="432"/>
        <v>0.125</v>
      </c>
      <c r="CN152" s="1141">
        <f t="shared" si="261"/>
        <v>509219.25167851889</v>
      </c>
      <c r="CO152" s="1141">
        <f t="shared" si="433"/>
        <v>30000</v>
      </c>
      <c r="CP152" s="1141">
        <f t="shared" si="263"/>
        <v>479219.25167851889</v>
      </c>
      <c r="CQ152" s="1145">
        <f t="shared" si="434"/>
        <v>14</v>
      </c>
      <c r="CR152" s="1141">
        <f t="shared" si="265"/>
        <v>34229.946548465632</v>
      </c>
      <c r="CS152" s="1144">
        <f t="shared" si="435"/>
        <v>0.875</v>
      </c>
      <c r="CT152" s="1141">
        <f t="shared" si="436"/>
        <v>3564534.7617496322</v>
      </c>
      <c r="CU152" s="1146">
        <f t="shared" si="375"/>
        <v>27635.800067609685</v>
      </c>
      <c r="CV152" s="1146">
        <f t="shared" si="376"/>
        <v>32039.046162967898</v>
      </c>
      <c r="CW152" s="1146">
        <f t="shared" si="377"/>
        <v>41387.271030867021</v>
      </c>
      <c r="CX152" s="1146">
        <f t="shared" si="378"/>
        <v>70582.060521381994</v>
      </c>
      <c r="CY152" s="1146">
        <f t="shared" si="437"/>
        <v>289558.48862158478</v>
      </c>
      <c r="CZ152" s="1146">
        <f t="shared" si="438"/>
        <v>114576.88342718076</v>
      </c>
      <c r="DA152" s="1146">
        <f t="shared" si="439"/>
        <v>82757.26012475582</v>
      </c>
      <c r="DB152" s="1146">
        <f t="shared" si="440"/>
        <v>62982.084902419709</v>
      </c>
      <c r="DC152" s="1146"/>
      <c r="DD152" s="1146"/>
      <c r="DE152" s="1146"/>
      <c r="DF152" s="1146"/>
      <c r="DG152" s="1146"/>
      <c r="DH152" s="1146"/>
      <c r="DI152" s="1146"/>
      <c r="DJ152" s="1146"/>
      <c r="DK152" s="1146"/>
      <c r="DL152" s="1146"/>
      <c r="DM152" s="1146"/>
      <c r="DN152" s="1146"/>
      <c r="DO152" s="1146"/>
      <c r="DP152" s="1146"/>
      <c r="DQ152" s="1146"/>
      <c r="DR152" s="1146"/>
      <c r="DS152" s="1146"/>
      <c r="DT152" s="1146"/>
      <c r="DU152" s="1146"/>
      <c r="DV152" s="1146"/>
      <c r="DW152" s="1146"/>
      <c r="DX152" s="1146"/>
      <c r="DY152" s="1146"/>
      <c r="DZ152" s="1146"/>
      <c r="EA152" s="1147">
        <f t="shared" si="379"/>
        <v>0.11171349783470003</v>
      </c>
      <c r="EB152" s="1148">
        <f t="shared" si="441"/>
        <v>0</v>
      </c>
      <c r="EC152" s="1190">
        <f t="shared" si="484"/>
        <v>45839</v>
      </c>
      <c r="ED152" s="1031">
        <f t="shared" si="380"/>
        <v>20</v>
      </c>
      <c r="EE152" s="1191"/>
      <c r="EF152" s="1032">
        <f t="shared" si="381"/>
        <v>45904</v>
      </c>
      <c r="EG152" s="1029">
        <f t="shared" si="442"/>
        <v>22</v>
      </c>
      <c r="EH152" s="859" t="s">
        <v>490</v>
      </c>
      <c r="EI152" s="859" t="s">
        <v>480</v>
      </c>
      <c r="EJ152" s="860">
        <f t="shared" si="382"/>
        <v>16800</v>
      </c>
      <c r="EK152" s="860">
        <f t="shared" si="383"/>
        <v>369600</v>
      </c>
      <c r="EL152" s="861">
        <f t="shared" si="384"/>
        <v>0.12511911757486402</v>
      </c>
      <c r="EM152" s="1197"/>
      <c r="EN152" s="860"/>
      <c r="EO152" s="860"/>
      <c r="EP152" s="860">
        <f t="shared" si="385"/>
        <v>0</v>
      </c>
      <c r="EQ152" s="1197"/>
      <c r="ER152" s="1200"/>
      <c r="ES152" s="1197"/>
      <c r="ET152" s="1194" t="s">
        <v>314</v>
      </c>
      <c r="EU152" s="1197" t="b">
        <f t="shared" si="386"/>
        <v>1</v>
      </c>
      <c r="EV152" s="1197" t="s">
        <v>635</v>
      </c>
      <c r="EW152" s="1197" t="s">
        <v>482</v>
      </c>
      <c r="EX152" s="1197"/>
      <c r="EY152" s="1128" t="s">
        <v>587</v>
      </c>
      <c r="EZ152" s="1128" t="s">
        <v>484</v>
      </c>
      <c r="FA152" s="1169">
        <f t="shared" si="443"/>
        <v>0</v>
      </c>
      <c r="FI152" s="1309" t="s">
        <v>149</v>
      </c>
      <c r="FJ152" s="1159" t="s">
        <v>149</v>
      </c>
      <c r="FK152" s="1160" t="b">
        <f t="shared" si="444"/>
        <v>1</v>
      </c>
      <c r="FL152" s="1131"/>
      <c r="FM152" s="1161"/>
      <c r="FU152" s="1295"/>
      <c r="FV152" s="1295"/>
      <c r="FW152" s="1023">
        <v>0.15</v>
      </c>
      <c r="FX152" s="1162">
        <v>14923.449311286196</v>
      </c>
      <c r="FY152" s="1163">
        <v>15389.807102263891</v>
      </c>
      <c r="GA152" s="1164">
        <f t="shared" si="445"/>
        <v>4073754.0134281511</v>
      </c>
      <c r="GB152" s="1165">
        <f t="shared" si="485"/>
        <v>0.15</v>
      </c>
      <c r="GC152" s="1154">
        <f t="shared" si="446"/>
        <v>611063.10201422265</v>
      </c>
      <c r="GD152" s="1164">
        <f t="shared" si="447"/>
        <v>30000</v>
      </c>
      <c r="GE152" s="1154">
        <f t="shared" si="448"/>
        <v>581063.10201422265</v>
      </c>
      <c r="GF152" s="1060">
        <f t="shared" si="449"/>
        <v>35</v>
      </c>
      <c r="GG152" s="1166">
        <f t="shared" si="450"/>
        <v>16601.802914692074</v>
      </c>
      <c r="GI152" s="1164">
        <f t="shared" si="451"/>
        <v>4073754.0134281511</v>
      </c>
      <c r="GJ152" s="1154">
        <f t="shared" si="452"/>
        <v>407375.40134281514</v>
      </c>
      <c r="GK152" s="1154">
        <f t="shared" si="453"/>
        <v>101843.85033570378</v>
      </c>
      <c r="GL152" s="1166">
        <v>15000</v>
      </c>
      <c r="GM152" s="1154">
        <f t="shared" si="454"/>
        <v>392375.40134281514</v>
      </c>
      <c r="GN152" s="1060">
        <f t="shared" si="455"/>
        <v>35</v>
      </c>
      <c r="GO152" s="1154">
        <f t="shared" si="456"/>
        <v>11210.725752651861</v>
      </c>
      <c r="GS152" s="1010">
        <f t="shared" si="457"/>
        <v>4073754.0134281511</v>
      </c>
      <c r="GT152" s="1011">
        <f t="shared" si="458"/>
        <v>0.125</v>
      </c>
      <c r="GU152" s="1010">
        <f t="shared" si="459"/>
        <v>509219.25167851889</v>
      </c>
      <c r="GV152" s="1010">
        <f t="shared" si="460"/>
        <v>30000</v>
      </c>
      <c r="GW152" s="1010">
        <f t="shared" si="461"/>
        <v>479219.25167851889</v>
      </c>
      <c r="GX152" s="1010">
        <f t="shared" si="462"/>
        <v>14</v>
      </c>
      <c r="GY152" s="1010">
        <f t="shared" si="463"/>
        <v>34229.946548465632</v>
      </c>
      <c r="GZ152" s="1011">
        <f t="shared" si="464"/>
        <v>0.875</v>
      </c>
      <c r="HA152" s="1010">
        <f t="shared" si="465"/>
        <v>3564534.7617496322</v>
      </c>
      <c r="HB152" s="1010">
        <f t="shared" si="466"/>
        <v>27635.800067609685</v>
      </c>
      <c r="HC152" s="1010">
        <f t="shared" si="467"/>
        <v>32039.046162967898</v>
      </c>
      <c r="HD152" s="1010">
        <f t="shared" si="468"/>
        <v>41387.271030867021</v>
      </c>
      <c r="HE152" s="1010">
        <f t="shared" si="469"/>
        <v>70582.060521381994</v>
      </c>
      <c r="HG152" s="1010">
        <f t="shared" si="470"/>
        <v>4073754.0134281511</v>
      </c>
      <c r="HH152" s="1011">
        <f t="shared" si="471"/>
        <v>0.125</v>
      </c>
      <c r="HI152" s="1010">
        <f t="shared" si="472"/>
        <v>509219.25167851889</v>
      </c>
      <c r="HJ152" s="1010">
        <f t="shared" si="473"/>
        <v>30000</v>
      </c>
      <c r="HK152" s="1010">
        <f t="shared" si="474"/>
        <v>479219.25167851889</v>
      </c>
      <c r="HL152" s="1012">
        <f t="shared" si="475"/>
        <v>33</v>
      </c>
      <c r="HM152" s="1167">
        <f t="shared" si="476"/>
        <v>14521.795505409664</v>
      </c>
      <c r="HN152" s="1168">
        <f t="shared" si="477"/>
        <v>0.875</v>
      </c>
      <c r="HO152" s="1167">
        <f t="shared" si="478"/>
        <v>3564534.7617496322</v>
      </c>
      <c r="HP152" s="1146">
        <f t="shared" si="479"/>
        <v>27635.800067609685</v>
      </c>
      <c r="HQ152" s="1146">
        <f t="shared" si="480"/>
        <v>32039.046162967898</v>
      </c>
      <c r="HR152" s="1146">
        <f t="shared" si="481"/>
        <v>41387.271030867021</v>
      </c>
      <c r="HS152" s="1146">
        <f t="shared" si="482"/>
        <v>70582.060521381994</v>
      </c>
      <c r="HU152" s="1167">
        <f t="shared" si="483"/>
        <v>-19708.151043055968</v>
      </c>
      <c r="HX152" s="1154"/>
      <c r="HY152" s="1154"/>
      <c r="IB152" s="1154"/>
      <c r="IC152" s="1154"/>
      <c r="ID152" s="1154"/>
      <c r="IE152" s="1154"/>
      <c r="IG152" s="1060"/>
    </row>
    <row r="153" spans="1:241" ht="14.25" hidden="1" customHeight="1">
      <c r="A153" s="1186">
        <f t="shared" si="490"/>
        <v>147</v>
      </c>
      <c r="B153" s="824"/>
      <c r="C153" s="855">
        <f t="shared" si="492"/>
        <v>6</v>
      </c>
      <c r="D153" s="856" t="s">
        <v>310</v>
      </c>
      <c r="E153" s="857" t="str">
        <f t="shared" si="387"/>
        <v>10th Floor</v>
      </c>
      <c r="F153" s="1185"/>
      <c r="G153" s="764" t="s">
        <v>315</v>
      </c>
      <c r="H153" s="764" t="s">
        <v>503</v>
      </c>
      <c r="I153" s="764" t="s">
        <v>476</v>
      </c>
      <c r="J153" s="1139">
        <v>22</v>
      </c>
      <c r="K153" s="1142"/>
      <c r="L153" s="764" t="s">
        <v>344</v>
      </c>
      <c r="M153" s="764" t="s">
        <v>477</v>
      </c>
      <c r="N153" s="856">
        <f t="shared" si="388"/>
        <v>100909.09090909091</v>
      </c>
      <c r="O153" s="1138">
        <f t="shared" si="486"/>
        <v>2220000</v>
      </c>
      <c r="P153" s="1138">
        <f t="shared" si="491"/>
        <v>22400</v>
      </c>
      <c r="Q153" s="1138">
        <f t="shared" si="374"/>
        <v>50000</v>
      </c>
      <c r="R153" s="1138"/>
      <c r="S153" s="1138"/>
      <c r="T153" s="1138"/>
      <c r="U153" s="1138"/>
      <c r="V153" s="1138"/>
      <c r="W153" s="858">
        <f t="shared" si="493"/>
        <v>22000</v>
      </c>
      <c r="X153" s="1138"/>
      <c r="Y153" s="1138">
        <f t="shared" si="494"/>
        <v>120000</v>
      </c>
      <c r="Z153" s="1138">
        <f t="shared" si="487"/>
        <v>75000</v>
      </c>
      <c r="AA153" s="1138">
        <f t="shared" si="488"/>
        <v>289400</v>
      </c>
      <c r="AB153" s="1138">
        <f t="shared" si="390"/>
        <v>2509400</v>
      </c>
      <c r="AC153" s="1138">
        <f t="shared" si="391"/>
        <v>62735</v>
      </c>
      <c r="AD153" s="1138">
        <f t="shared" si="392"/>
        <v>2572135</v>
      </c>
      <c r="AE153" s="1138">
        <f t="shared" si="393"/>
        <v>64303.375</v>
      </c>
      <c r="AF153" s="1138">
        <f t="shared" si="394"/>
        <v>2636438.375</v>
      </c>
      <c r="AG153" s="1138">
        <f t="shared" si="395"/>
        <v>65910.959375000006</v>
      </c>
      <c r="AH153" s="1138">
        <f t="shared" si="396"/>
        <v>2702349.3343750001</v>
      </c>
      <c r="AI153" s="1138">
        <f t="shared" si="397"/>
        <v>135117.46671875002</v>
      </c>
      <c r="AJ153" s="1138">
        <f t="shared" si="398"/>
        <v>2837466.8010937502</v>
      </c>
      <c r="AK153" s="1138">
        <f t="shared" si="399"/>
        <v>28374.668010937501</v>
      </c>
      <c r="AL153" s="1138">
        <f t="shared" si="400"/>
        <v>27537.409960060559</v>
      </c>
      <c r="AM153" s="1138"/>
      <c r="AN153" s="1138"/>
      <c r="AO153" s="1138">
        <f t="shared" si="401"/>
        <v>2893378.8790647481</v>
      </c>
      <c r="AP153" s="1138">
        <f t="shared" si="402"/>
        <v>390606.14867374103</v>
      </c>
      <c r="AQ153" s="1248">
        <f t="shared" si="403"/>
        <v>3283985.0277384892</v>
      </c>
      <c r="AR153" s="1248">
        <f t="shared" si="347"/>
        <v>2953985.0277384892</v>
      </c>
      <c r="AS153" s="1248">
        <v>15000</v>
      </c>
      <c r="AT153" s="1248">
        <f t="shared" si="348"/>
        <v>330000</v>
      </c>
      <c r="AU153" s="1248">
        <f t="shared" si="404"/>
        <v>39600</v>
      </c>
      <c r="AV153" s="1140">
        <f t="shared" si="405"/>
        <v>369600</v>
      </c>
      <c r="AW153" s="1140">
        <f t="shared" si="406"/>
        <v>3323585.0277384892</v>
      </c>
      <c r="AX153" s="1139">
        <f t="shared" si="407"/>
        <v>41544.812846731118</v>
      </c>
      <c r="AY153" s="831" t="s">
        <v>478</v>
      </c>
      <c r="AZ153" s="831">
        <f t="shared" si="408"/>
        <v>3365129.8405852201</v>
      </c>
      <c r="BA153" s="831">
        <f t="shared" si="409"/>
        <v>126192.36902194575</v>
      </c>
      <c r="BB153" s="831"/>
      <c r="BC153" s="831">
        <f t="shared" si="346"/>
        <v>33600</v>
      </c>
      <c r="BD153" s="831"/>
      <c r="BE153" s="831">
        <f t="shared" si="410"/>
        <v>3524922.2096071658</v>
      </c>
      <c r="BF153" s="831"/>
      <c r="BG153" s="831">
        <f t="shared" si="411"/>
        <v>3524922.2096071658</v>
      </c>
      <c r="BH153" s="831"/>
      <c r="BI153" s="831">
        <f t="shared" si="412"/>
        <v>3524922.2096071658</v>
      </c>
      <c r="BJ153" s="831"/>
      <c r="BK153" s="831">
        <f t="shared" si="413"/>
        <v>3524922.2096071658</v>
      </c>
      <c r="BL153" s="831"/>
      <c r="BM153" s="831">
        <f t="shared" si="414"/>
        <v>3524922.2096071658</v>
      </c>
      <c r="BN153" s="831"/>
      <c r="BO153" s="831">
        <f t="shared" si="415"/>
        <v>3524922.2096071658</v>
      </c>
      <c r="BP153" s="831"/>
      <c r="BQ153" s="831">
        <f t="shared" si="416"/>
        <v>3524922.2096071658</v>
      </c>
      <c r="BR153" s="831"/>
      <c r="BS153" s="831">
        <f t="shared" si="417"/>
        <v>3524922.2096071658</v>
      </c>
      <c r="BT153" s="831"/>
      <c r="BU153" s="831">
        <f t="shared" si="418"/>
        <v>3524922.2096071658</v>
      </c>
      <c r="BV153" s="831"/>
      <c r="BW153" s="831">
        <f t="shared" si="419"/>
        <v>56400</v>
      </c>
      <c r="BX153" s="831">
        <f t="shared" si="420"/>
        <v>3581322.2096071658</v>
      </c>
      <c r="BY153" s="831"/>
      <c r="BZ153" s="831">
        <f t="shared" si="421"/>
        <v>3581322.2096071658</v>
      </c>
      <c r="CA153" s="1260">
        <f t="shared" si="422"/>
        <v>3581322.2096071658</v>
      </c>
      <c r="CB153" s="1260">
        <f t="shared" si="423"/>
        <v>3581322.2096071658</v>
      </c>
      <c r="CC153" s="1260"/>
      <c r="CD153" s="1260">
        <f t="shared" si="424"/>
        <v>0</v>
      </c>
      <c r="CE153" s="1260">
        <f t="shared" si="425"/>
        <v>0</v>
      </c>
      <c r="CF153" s="1260">
        <f t="shared" si="426"/>
        <v>0</v>
      </c>
      <c r="CG153" s="1266">
        <f t="shared" si="427"/>
        <v>3581322.2096071658</v>
      </c>
      <c r="CH153" s="1141">
        <f t="shared" si="428"/>
        <v>3581322.2096071658</v>
      </c>
      <c r="CI153" s="1142">
        <f t="shared" si="429"/>
        <v>0</v>
      </c>
      <c r="CJ153" s="1141">
        <f t="shared" si="430"/>
        <v>367085.5264847345</v>
      </c>
      <c r="CK153" s="1141">
        <f t="shared" si="431"/>
        <v>125346.27733625082</v>
      </c>
      <c r="CL153" s="1143">
        <f t="shared" si="489"/>
        <v>4073754.0134281511</v>
      </c>
      <c r="CM153" s="1144">
        <f t="shared" si="432"/>
        <v>0.125</v>
      </c>
      <c r="CN153" s="1141">
        <f t="shared" si="261"/>
        <v>509219.25167851889</v>
      </c>
      <c r="CO153" s="1141">
        <f t="shared" si="433"/>
        <v>30000</v>
      </c>
      <c r="CP153" s="1141">
        <f t="shared" si="263"/>
        <v>479219.25167851889</v>
      </c>
      <c r="CQ153" s="1145">
        <f t="shared" si="434"/>
        <v>14</v>
      </c>
      <c r="CR153" s="1141">
        <f t="shared" si="265"/>
        <v>34229.946548465632</v>
      </c>
      <c r="CS153" s="1144">
        <f t="shared" si="435"/>
        <v>0.875</v>
      </c>
      <c r="CT153" s="1141">
        <f t="shared" si="436"/>
        <v>3564534.7617496322</v>
      </c>
      <c r="CU153" s="1146">
        <f t="shared" si="375"/>
        <v>27635.800067609685</v>
      </c>
      <c r="CV153" s="1146">
        <f t="shared" si="376"/>
        <v>32039.046162967898</v>
      </c>
      <c r="CW153" s="1146">
        <f t="shared" si="377"/>
        <v>41387.271030867021</v>
      </c>
      <c r="CX153" s="1146">
        <f t="shared" si="378"/>
        <v>70582.060521381994</v>
      </c>
      <c r="CY153" s="1146">
        <f t="shared" si="437"/>
        <v>289558.48862158478</v>
      </c>
      <c r="CZ153" s="1146">
        <f t="shared" si="438"/>
        <v>114576.88342718076</v>
      </c>
      <c r="DA153" s="1146">
        <f t="shared" si="439"/>
        <v>82757.26012475582</v>
      </c>
      <c r="DB153" s="1146">
        <f t="shared" si="440"/>
        <v>62982.084902419709</v>
      </c>
      <c r="DC153" s="1146"/>
      <c r="DD153" s="1146"/>
      <c r="DE153" s="1146"/>
      <c r="DF153" s="1146"/>
      <c r="DG153" s="1146"/>
      <c r="DH153" s="1146"/>
      <c r="DI153" s="1146"/>
      <c r="DJ153" s="1146"/>
      <c r="DK153" s="1146"/>
      <c r="DL153" s="1146"/>
      <c r="DM153" s="1146"/>
      <c r="DN153" s="1146"/>
      <c r="DO153" s="1146"/>
      <c r="DP153" s="1146"/>
      <c r="DQ153" s="1146"/>
      <c r="DR153" s="1146"/>
      <c r="DS153" s="1146"/>
      <c r="DT153" s="1146"/>
      <c r="DU153" s="1146"/>
      <c r="DV153" s="1146"/>
      <c r="DW153" s="1146"/>
      <c r="DX153" s="1146"/>
      <c r="DY153" s="1146"/>
      <c r="DZ153" s="1146"/>
      <c r="EA153" s="1147">
        <f t="shared" si="379"/>
        <v>0.11171349783470003</v>
      </c>
      <c r="EB153" s="1148">
        <f t="shared" si="441"/>
        <v>0</v>
      </c>
      <c r="EC153" s="1190">
        <f t="shared" si="484"/>
        <v>45839</v>
      </c>
      <c r="ED153" s="1031">
        <f t="shared" si="380"/>
        <v>20</v>
      </c>
      <c r="EE153" s="1191"/>
      <c r="EF153" s="1032">
        <f t="shared" si="381"/>
        <v>45904</v>
      </c>
      <c r="EG153" s="1029">
        <f t="shared" si="442"/>
        <v>22</v>
      </c>
      <c r="EH153" s="859" t="s">
        <v>490</v>
      </c>
      <c r="EI153" s="859" t="s">
        <v>480</v>
      </c>
      <c r="EJ153" s="860">
        <f t="shared" si="382"/>
        <v>16800</v>
      </c>
      <c r="EK153" s="860">
        <f t="shared" si="383"/>
        <v>369600</v>
      </c>
      <c r="EL153" s="861">
        <f t="shared" si="384"/>
        <v>0.12511911757486402</v>
      </c>
      <c r="EM153" s="1197"/>
      <c r="EN153" s="860"/>
      <c r="EO153" s="860"/>
      <c r="EP153" s="860">
        <f t="shared" si="385"/>
        <v>0</v>
      </c>
      <c r="EQ153" s="1197"/>
      <c r="ER153" s="1200"/>
      <c r="ES153" s="1197"/>
      <c r="ET153" s="1194" t="s">
        <v>315</v>
      </c>
      <c r="EU153" s="1197" t="b">
        <f t="shared" si="386"/>
        <v>1</v>
      </c>
      <c r="EV153" s="1197"/>
      <c r="EW153" s="1197"/>
      <c r="EX153" s="1197"/>
      <c r="EY153" s="1128" t="s">
        <v>587</v>
      </c>
      <c r="EZ153" s="1128" t="s">
        <v>484</v>
      </c>
      <c r="FA153" s="1169">
        <f t="shared" si="443"/>
        <v>0</v>
      </c>
      <c r="FI153" s="1309" t="s">
        <v>149</v>
      </c>
      <c r="FJ153" s="1159" t="s">
        <v>149</v>
      </c>
      <c r="FK153" s="1160" t="b">
        <f t="shared" si="444"/>
        <v>1</v>
      </c>
      <c r="FL153" s="1131"/>
      <c r="FM153" s="1161"/>
      <c r="FO153" s="888"/>
      <c r="FU153" s="1295"/>
      <c r="FV153" s="1295"/>
      <c r="FW153" s="1023">
        <v>0.125</v>
      </c>
      <c r="FX153" s="1162">
        <v>12360.45018364759</v>
      </c>
      <c r="FY153" s="1163">
        <v>12746.714251886577</v>
      </c>
      <c r="GA153" s="1164">
        <f t="shared" si="445"/>
        <v>4073754.0134281511</v>
      </c>
      <c r="GB153" s="1165">
        <f t="shared" ref="GB153:GB154" si="500">FW153</f>
        <v>0.125</v>
      </c>
      <c r="GC153" s="1154">
        <f t="shared" si="446"/>
        <v>509219.25167851889</v>
      </c>
      <c r="GD153" s="1164">
        <f t="shared" si="447"/>
        <v>30000</v>
      </c>
      <c r="GE153" s="1154">
        <f t="shared" si="448"/>
        <v>479219.25167851889</v>
      </c>
      <c r="GF153" s="1060">
        <f t="shared" si="449"/>
        <v>35</v>
      </c>
      <c r="GG153" s="1166">
        <f t="shared" si="450"/>
        <v>13691.978619386255</v>
      </c>
      <c r="GI153" s="1164">
        <f t="shared" si="451"/>
        <v>4073754.0134281511</v>
      </c>
      <c r="GJ153" s="1154">
        <f t="shared" si="452"/>
        <v>407375.40134281514</v>
      </c>
      <c r="GK153" s="1154">
        <f t="shared" si="453"/>
        <v>101843.85033570378</v>
      </c>
      <c r="GL153" s="1166">
        <v>15000</v>
      </c>
      <c r="GM153" s="1154">
        <f t="shared" si="454"/>
        <v>392375.40134281514</v>
      </c>
      <c r="GN153" s="1060">
        <f t="shared" si="455"/>
        <v>35</v>
      </c>
      <c r="GO153" s="1154">
        <f t="shared" si="456"/>
        <v>11210.725752651861</v>
      </c>
      <c r="GS153" s="1010">
        <f t="shared" si="457"/>
        <v>4073754.0134281511</v>
      </c>
      <c r="GT153" s="1011">
        <f t="shared" si="458"/>
        <v>0.125</v>
      </c>
      <c r="GU153" s="1010">
        <f t="shared" si="459"/>
        <v>509219.25167851889</v>
      </c>
      <c r="GV153" s="1010">
        <f t="shared" si="460"/>
        <v>30000</v>
      </c>
      <c r="GW153" s="1010">
        <f t="shared" si="461"/>
        <v>479219.25167851889</v>
      </c>
      <c r="GX153" s="1010">
        <f t="shared" si="462"/>
        <v>14</v>
      </c>
      <c r="GY153" s="1010">
        <f t="shared" si="463"/>
        <v>34229.946548465632</v>
      </c>
      <c r="GZ153" s="1011">
        <f t="shared" si="464"/>
        <v>0.875</v>
      </c>
      <c r="HA153" s="1010">
        <f t="shared" si="465"/>
        <v>3564534.7617496322</v>
      </c>
      <c r="HB153" s="1010">
        <f t="shared" si="466"/>
        <v>27635.800067609685</v>
      </c>
      <c r="HC153" s="1010">
        <f t="shared" si="467"/>
        <v>32039.046162967898</v>
      </c>
      <c r="HD153" s="1010">
        <f t="shared" si="468"/>
        <v>41387.271030867021</v>
      </c>
      <c r="HE153" s="1010">
        <f t="shared" si="469"/>
        <v>70582.060521381994</v>
      </c>
      <c r="HG153" s="1010">
        <f t="shared" si="470"/>
        <v>4073754.0134281511</v>
      </c>
      <c r="HH153" s="1011">
        <f t="shared" si="471"/>
        <v>0.125</v>
      </c>
      <c r="HI153" s="1010">
        <f t="shared" si="472"/>
        <v>509219.25167851889</v>
      </c>
      <c r="HJ153" s="1010">
        <f t="shared" si="473"/>
        <v>30000</v>
      </c>
      <c r="HK153" s="1010">
        <f t="shared" si="474"/>
        <v>479219.25167851889</v>
      </c>
      <c r="HL153" s="1012">
        <f t="shared" si="475"/>
        <v>33</v>
      </c>
      <c r="HM153" s="1167">
        <f t="shared" si="476"/>
        <v>14521.795505409664</v>
      </c>
      <c r="HN153" s="1168">
        <f t="shared" si="477"/>
        <v>0.875</v>
      </c>
      <c r="HO153" s="1167">
        <f t="shared" si="478"/>
        <v>3564534.7617496322</v>
      </c>
      <c r="HP153" s="1146">
        <f t="shared" si="479"/>
        <v>27635.800067609685</v>
      </c>
      <c r="HQ153" s="1146">
        <f t="shared" si="480"/>
        <v>32039.046162967898</v>
      </c>
      <c r="HR153" s="1146">
        <f t="shared" si="481"/>
        <v>41387.271030867021</v>
      </c>
      <c r="HS153" s="1146">
        <f t="shared" si="482"/>
        <v>70582.060521381994</v>
      </c>
      <c r="HU153" s="1167">
        <f t="shared" si="483"/>
        <v>-19708.151043055968</v>
      </c>
      <c r="HX153" s="1154"/>
      <c r="HY153" s="1154"/>
      <c r="IB153" s="1154"/>
      <c r="IC153" s="1154"/>
      <c r="ID153" s="1154"/>
      <c r="IE153" s="1154"/>
      <c r="IG153" s="1060"/>
    </row>
    <row r="154" spans="1:241" ht="14.25" hidden="1" customHeight="1">
      <c r="A154" s="1186">
        <f t="shared" si="490"/>
        <v>148</v>
      </c>
      <c r="B154" s="824"/>
      <c r="C154" s="855">
        <f t="shared" si="492"/>
        <v>7</v>
      </c>
      <c r="D154" s="856" t="s">
        <v>310</v>
      </c>
      <c r="E154" s="857" t="str">
        <f t="shared" si="387"/>
        <v>10th Floor</v>
      </c>
      <c r="F154" s="1185"/>
      <c r="G154" s="764" t="s">
        <v>316</v>
      </c>
      <c r="H154" s="764" t="s">
        <v>506</v>
      </c>
      <c r="I154" s="764" t="s">
        <v>476</v>
      </c>
      <c r="J154" s="831">
        <v>22</v>
      </c>
      <c r="K154" s="1142"/>
      <c r="L154" s="764" t="s">
        <v>344</v>
      </c>
      <c r="M154" s="764" t="s">
        <v>117</v>
      </c>
      <c r="N154" s="856">
        <f t="shared" si="388"/>
        <v>100909.09090909091</v>
      </c>
      <c r="O154" s="1138">
        <f t="shared" si="486"/>
        <v>2220000</v>
      </c>
      <c r="P154" s="1138">
        <f t="shared" si="491"/>
        <v>22400</v>
      </c>
      <c r="Q154" s="1138">
        <f t="shared" si="374"/>
        <v>50000</v>
      </c>
      <c r="R154" s="1138"/>
      <c r="S154" s="1138"/>
      <c r="T154" s="1138"/>
      <c r="U154" s="1138"/>
      <c r="V154" s="858">
        <f t="shared" ref="V154:V155" si="501">J154*$V$5</f>
        <v>55000</v>
      </c>
      <c r="W154" s="1138"/>
      <c r="X154" s="1138"/>
      <c r="Y154" s="1138">
        <f t="shared" si="494"/>
        <v>120000</v>
      </c>
      <c r="Z154" s="1138">
        <f t="shared" si="487"/>
        <v>75000</v>
      </c>
      <c r="AA154" s="1138">
        <f t="shared" si="488"/>
        <v>322400</v>
      </c>
      <c r="AB154" s="1138">
        <f t="shared" si="390"/>
        <v>2542400</v>
      </c>
      <c r="AC154" s="1138">
        <f t="shared" si="391"/>
        <v>63560</v>
      </c>
      <c r="AD154" s="1138">
        <f t="shared" si="392"/>
        <v>2605960</v>
      </c>
      <c r="AE154" s="1138">
        <f t="shared" si="393"/>
        <v>65149</v>
      </c>
      <c r="AF154" s="1138">
        <f t="shared" si="394"/>
        <v>2671109</v>
      </c>
      <c r="AG154" s="1138">
        <f t="shared" si="395"/>
        <v>66777.725000000006</v>
      </c>
      <c r="AH154" s="1138">
        <f t="shared" si="396"/>
        <v>2737886.7250000001</v>
      </c>
      <c r="AI154" s="1138">
        <f t="shared" si="397"/>
        <v>136894.33625000002</v>
      </c>
      <c r="AJ154" s="1138">
        <f t="shared" si="398"/>
        <v>2874781.0612500003</v>
      </c>
      <c r="AK154" s="1138">
        <f t="shared" si="399"/>
        <v>28747.810612500005</v>
      </c>
      <c r="AL154" s="1138">
        <f t="shared" si="400"/>
        <v>27537.409960060559</v>
      </c>
      <c r="AM154" s="1138"/>
      <c r="AN154" s="1138"/>
      <c r="AO154" s="1138">
        <f t="shared" si="401"/>
        <v>2931066.2818225608</v>
      </c>
      <c r="AP154" s="1138">
        <f t="shared" si="402"/>
        <v>395693.94804604573</v>
      </c>
      <c r="AQ154" s="1248">
        <f t="shared" si="403"/>
        <v>3326760.2298686067</v>
      </c>
      <c r="AR154" s="1248">
        <f t="shared" si="347"/>
        <v>2996760.2298686067</v>
      </c>
      <c r="AS154" s="1248">
        <v>15000</v>
      </c>
      <c r="AT154" s="1248">
        <f t="shared" si="348"/>
        <v>330000</v>
      </c>
      <c r="AU154" s="1248">
        <f t="shared" si="404"/>
        <v>39600</v>
      </c>
      <c r="AV154" s="1140">
        <f t="shared" si="405"/>
        <v>369600</v>
      </c>
      <c r="AW154" s="1140">
        <f t="shared" si="406"/>
        <v>3366360.2298686067</v>
      </c>
      <c r="AX154" s="1139">
        <f t="shared" si="407"/>
        <v>42079.502873357589</v>
      </c>
      <c r="AY154" s="831" t="s">
        <v>478</v>
      </c>
      <c r="AZ154" s="831">
        <f t="shared" si="408"/>
        <v>3408439.732741964</v>
      </c>
      <c r="BA154" s="831">
        <f t="shared" si="409"/>
        <v>127816.48997782364</v>
      </c>
      <c r="BB154" s="831"/>
      <c r="BC154" s="831">
        <f t="shared" si="346"/>
        <v>33600</v>
      </c>
      <c r="BD154" s="831"/>
      <c r="BE154" s="831">
        <f t="shared" si="410"/>
        <v>3569856.2227197876</v>
      </c>
      <c r="BF154" s="831"/>
      <c r="BG154" s="831">
        <f t="shared" si="411"/>
        <v>3569856.2227197876</v>
      </c>
      <c r="BH154" s="831"/>
      <c r="BI154" s="831">
        <f t="shared" si="412"/>
        <v>3569856.2227197876</v>
      </c>
      <c r="BJ154" s="831"/>
      <c r="BK154" s="831">
        <f t="shared" si="413"/>
        <v>3569856.2227197876</v>
      </c>
      <c r="BL154" s="831"/>
      <c r="BM154" s="831">
        <f t="shared" si="414"/>
        <v>3569856.2227197876</v>
      </c>
      <c r="BN154" s="831"/>
      <c r="BO154" s="831">
        <f t="shared" si="415"/>
        <v>3569856.2227197876</v>
      </c>
      <c r="BP154" s="831"/>
      <c r="BQ154" s="831">
        <f t="shared" si="416"/>
        <v>3569856.2227197876</v>
      </c>
      <c r="BR154" s="831"/>
      <c r="BS154" s="831">
        <f t="shared" si="417"/>
        <v>3569856.2227197876</v>
      </c>
      <c r="BT154" s="831"/>
      <c r="BU154" s="831">
        <f t="shared" si="418"/>
        <v>3569856.2227197876</v>
      </c>
      <c r="BV154" s="831"/>
      <c r="BW154" s="831">
        <f t="shared" si="419"/>
        <v>56400</v>
      </c>
      <c r="BX154" s="831">
        <f t="shared" si="420"/>
        <v>3626256.2227197876</v>
      </c>
      <c r="BY154" s="831"/>
      <c r="BZ154" s="831">
        <f t="shared" si="421"/>
        <v>3626256.2227197876</v>
      </c>
      <c r="CA154" s="1260">
        <f t="shared" si="422"/>
        <v>3626256.2227197876</v>
      </c>
      <c r="CB154" s="1260">
        <f t="shared" si="423"/>
        <v>3626256.2227197876</v>
      </c>
      <c r="CC154" s="1260"/>
      <c r="CD154" s="1260">
        <f t="shared" si="424"/>
        <v>0</v>
      </c>
      <c r="CE154" s="1260">
        <f t="shared" si="425"/>
        <v>0</v>
      </c>
      <c r="CF154" s="1260">
        <f t="shared" si="426"/>
        <v>0</v>
      </c>
      <c r="CG154" s="1266">
        <f t="shared" si="427"/>
        <v>3626256.2227197876</v>
      </c>
      <c r="CH154" s="1141">
        <f t="shared" si="428"/>
        <v>3626256.2227197876</v>
      </c>
      <c r="CI154" s="1142">
        <f t="shared" si="429"/>
        <v>435150.74672637449</v>
      </c>
      <c r="CJ154" s="1141">
        <f t="shared" si="430"/>
        <v>371691.26282877818</v>
      </c>
      <c r="CK154" s="1141">
        <f t="shared" si="431"/>
        <v>126918.96779519258</v>
      </c>
      <c r="CL154" s="1143">
        <f t="shared" si="489"/>
        <v>4560017.2000701325</v>
      </c>
      <c r="CM154" s="1144">
        <f t="shared" si="432"/>
        <v>0.125</v>
      </c>
      <c r="CN154" s="1141">
        <f t="shared" si="261"/>
        <v>570002.15000876656</v>
      </c>
      <c r="CO154" s="1141">
        <f t="shared" si="433"/>
        <v>30000</v>
      </c>
      <c r="CP154" s="1141">
        <f t="shared" si="263"/>
        <v>540002.15000876656</v>
      </c>
      <c r="CQ154" s="1145">
        <f t="shared" si="434"/>
        <v>14</v>
      </c>
      <c r="CR154" s="1141">
        <f t="shared" si="265"/>
        <v>38571.582143483327</v>
      </c>
      <c r="CS154" s="1144">
        <f t="shared" si="435"/>
        <v>0.875</v>
      </c>
      <c r="CT154" s="1141">
        <f t="shared" si="436"/>
        <v>3990015.0500613661</v>
      </c>
      <c r="CU154" s="1146">
        <f t="shared" si="375"/>
        <v>30934.544214158675</v>
      </c>
      <c r="CV154" s="1146">
        <f t="shared" si="376"/>
        <v>35863.383281218179</v>
      </c>
      <c r="CW154" s="1146">
        <f t="shared" si="377"/>
        <v>46327.457952204735</v>
      </c>
      <c r="CX154" s="1146">
        <f t="shared" si="378"/>
        <v>79007.080185247803</v>
      </c>
      <c r="CY154" s="1146">
        <f t="shared" si="437"/>
        <v>324121.60483632161</v>
      </c>
      <c r="CZ154" s="1146">
        <f t="shared" si="438"/>
        <v>128253.3401467466</v>
      </c>
      <c r="DA154" s="1146">
        <f t="shared" si="439"/>
        <v>92635.571110980251</v>
      </c>
      <c r="DB154" s="1146">
        <f t="shared" si="440"/>
        <v>70499.934336886203</v>
      </c>
      <c r="DC154" s="1146"/>
      <c r="DD154" s="1146"/>
      <c r="DE154" s="1146"/>
      <c r="DF154" s="1146"/>
      <c r="DG154" s="1146"/>
      <c r="DH154" s="1146"/>
      <c r="DI154" s="1146"/>
      <c r="DJ154" s="1146"/>
      <c r="DK154" s="1146"/>
      <c r="DL154" s="1146"/>
      <c r="DM154" s="1146"/>
      <c r="DN154" s="1146"/>
      <c r="DO154" s="1146"/>
      <c r="DP154" s="1146"/>
      <c r="DQ154" s="1146"/>
      <c r="DR154" s="1146"/>
      <c r="DS154" s="1146"/>
      <c r="DT154" s="1146"/>
      <c r="DU154" s="1146"/>
      <c r="DV154" s="1146"/>
      <c r="DW154" s="1146"/>
      <c r="DX154" s="1146"/>
      <c r="DY154" s="1146"/>
      <c r="DZ154" s="1146"/>
      <c r="EA154" s="1147">
        <f t="shared" si="379"/>
        <v>0.11011891999596808</v>
      </c>
      <c r="EB154" s="1148">
        <f t="shared" si="441"/>
        <v>0</v>
      </c>
      <c r="EC154" s="1190">
        <f t="shared" si="484"/>
        <v>45839</v>
      </c>
      <c r="ED154" s="1031">
        <f t="shared" si="380"/>
        <v>20</v>
      </c>
      <c r="EE154" s="1191"/>
      <c r="EF154" s="1032">
        <f t="shared" si="381"/>
        <v>45904</v>
      </c>
      <c r="EG154" s="1029">
        <f t="shared" si="442"/>
        <v>22</v>
      </c>
      <c r="EH154" s="859" t="s">
        <v>490</v>
      </c>
      <c r="EI154" s="859" t="s">
        <v>480</v>
      </c>
      <c r="EJ154" s="860">
        <f t="shared" si="382"/>
        <v>16800</v>
      </c>
      <c r="EK154" s="860">
        <f t="shared" si="383"/>
        <v>369600</v>
      </c>
      <c r="EL154" s="861">
        <f t="shared" si="384"/>
        <v>0.12333319039548425</v>
      </c>
      <c r="EM154" s="1197"/>
      <c r="EN154" s="860"/>
      <c r="EO154" s="860"/>
      <c r="EP154" s="860">
        <f t="shared" si="385"/>
        <v>0</v>
      </c>
      <c r="EQ154" s="1197"/>
      <c r="ER154" s="1200"/>
      <c r="ES154" s="1197"/>
      <c r="ET154" s="1194" t="s">
        <v>316</v>
      </c>
      <c r="EU154" s="1197" t="b">
        <f t="shared" si="386"/>
        <v>1</v>
      </c>
      <c r="EV154" s="1197"/>
      <c r="EW154" s="1197"/>
      <c r="EX154" s="1197"/>
      <c r="EY154" s="1128" t="s">
        <v>587</v>
      </c>
      <c r="EZ154" s="1128" t="s">
        <v>484</v>
      </c>
      <c r="FA154" s="1169">
        <f t="shared" si="443"/>
        <v>0</v>
      </c>
      <c r="FI154" s="1309" t="s">
        <v>149</v>
      </c>
      <c r="FJ154" s="1159" t="s">
        <v>149</v>
      </c>
      <c r="FK154" s="1160" t="b">
        <f t="shared" si="444"/>
        <v>1</v>
      </c>
      <c r="FL154" s="1131"/>
      <c r="FM154" s="1161"/>
      <c r="FO154" s="888"/>
      <c r="FU154" s="1295"/>
      <c r="FV154" s="1295"/>
      <c r="FW154" s="1023">
        <v>0.125</v>
      </c>
      <c r="FX154" s="1162">
        <v>12777.979626728262</v>
      </c>
      <c r="FY154" s="1163">
        <v>13177.291490063521</v>
      </c>
      <c r="GA154" s="1164">
        <f t="shared" si="445"/>
        <v>4560017.2000701325</v>
      </c>
      <c r="GB154" s="1165">
        <f t="shared" si="500"/>
        <v>0.125</v>
      </c>
      <c r="GC154" s="1154">
        <f t="shared" si="446"/>
        <v>570002.15000876656</v>
      </c>
      <c r="GD154" s="1164">
        <f t="shared" si="447"/>
        <v>30000</v>
      </c>
      <c r="GE154" s="1154">
        <f t="shared" si="448"/>
        <v>540002.15000876656</v>
      </c>
      <c r="GF154" s="1060">
        <f t="shared" si="449"/>
        <v>35</v>
      </c>
      <c r="GG154" s="1166">
        <f t="shared" si="450"/>
        <v>15428.63285739333</v>
      </c>
      <c r="GI154" s="1164">
        <f t="shared" si="451"/>
        <v>4560017.2000701325</v>
      </c>
      <c r="GJ154" s="1154">
        <f t="shared" si="452"/>
        <v>456001.7200070133</v>
      </c>
      <c r="GK154" s="1154">
        <f t="shared" si="453"/>
        <v>114000.43000175332</v>
      </c>
      <c r="GL154" s="1166">
        <v>15000</v>
      </c>
      <c r="GM154" s="1154">
        <f t="shared" si="454"/>
        <v>441001.7200070133</v>
      </c>
      <c r="GN154" s="1060">
        <f t="shared" si="455"/>
        <v>35</v>
      </c>
      <c r="GO154" s="1154">
        <f t="shared" si="456"/>
        <v>12600.049143057522</v>
      </c>
      <c r="GS154" s="1010">
        <f t="shared" si="457"/>
        <v>4560017.2000701325</v>
      </c>
      <c r="GT154" s="1011">
        <f t="shared" si="458"/>
        <v>0.125</v>
      </c>
      <c r="GU154" s="1010">
        <f t="shared" si="459"/>
        <v>570002.15000876656</v>
      </c>
      <c r="GV154" s="1010">
        <f t="shared" si="460"/>
        <v>30000</v>
      </c>
      <c r="GW154" s="1010">
        <f t="shared" si="461"/>
        <v>540002.15000876656</v>
      </c>
      <c r="GX154" s="1010">
        <f t="shared" si="462"/>
        <v>14</v>
      </c>
      <c r="GY154" s="1010">
        <f t="shared" si="463"/>
        <v>38571.582143483327</v>
      </c>
      <c r="GZ154" s="1011">
        <f t="shared" si="464"/>
        <v>0.875</v>
      </c>
      <c r="HA154" s="1010">
        <f t="shared" si="465"/>
        <v>3990015.0500613661</v>
      </c>
      <c r="HB154" s="1010">
        <f t="shared" si="466"/>
        <v>30934.544214158675</v>
      </c>
      <c r="HC154" s="1010">
        <f t="shared" si="467"/>
        <v>35863.383281218179</v>
      </c>
      <c r="HD154" s="1010">
        <f t="shared" si="468"/>
        <v>46327.457952204735</v>
      </c>
      <c r="HE154" s="1010">
        <f t="shared" si="469"/>
        <v>79007.080185247803</v>
      </c>
      <c r="HG154" s="1010">
        <f t="shared" si="470"/>
        <v>4560017.2000701325</v>
      </c>
      <c r="HH154" s="1011">
        <f t="shared" si="471"/>
        <v>0.125</v>
      </c>
      <c r="HI154" s="1010">
        <f t="shared" si="472"/>
        <v>570002.15000876656</v>
      </c>
      <c r="HJ154" s="1010">
        <f t="shared" si="473"/>
        <v>30000</v>
      </c>
      <c r="HK154" s="1010">
        <f t="shared" si="474"/>
        <v>540002.15000876656</v>
      </c>
      <c r="HL154" s="1012">
        <f t="shared" si="475"/>
        <v>33</v>
      </c>
      <c r="HM154" s="1167">
        <f t="shared" si="476"/>
        <v>16363.701515417168</v>
      </c>
      <c r="HN154" s="1168">
        <f t="shared" si="477"/>
        <v>0.875</v>
      </c>
      <c r="HO154" s="1167">
        <f t="shared" si="478"/>
        <v>3990015.0500613661</v>
      </c>
      <c r="HP154" s="1146">
        <f t="shared" si="479"/>
        <v>30934.544214158675</v>
      </c>
      <c r="HQ154" s="1146">
        <f t="shared" si="480"/>
        <v>35863.383281218179</v>
      </c>
      <c r="HR154" s="1146">
        <f t="shared" si="481"/>
        <v>46327.457952204735</v>
      </c>
      <c r="HS154" s="1146">
        <f t="shared" si="482"/>
        <v>79007.080185247803</v>
      </c>
      <c r="HU154" s="1167">
        <f t="shared" si="483"/>
        <v>-22207.880628066159</v>
      </c>
      <c r="HX154" s="1154"/>
      <c r="HY154" s="1154"/>
      <c r="IB154" s="1154"/>
      <c r="IC154" s="1154"/>
      <c r="ID154" s="1154"/>
      <c r="IE154" s="1154"/>
      <c r="IG154" s="1060"/>
    </row>
    <row r="155" spans="1:241" ht="14.25" hidden="1" customHeight="1">
      <c r="A155" s="1186">
        <f t="shared" si="490"/>
        <v>149</v>
      </c>
      <c r="B155" s="824"/>
      <c r="C155" s="855">
        <f t="shared" si="492"/>
        <v>8</v>
      </c>
      <c r="D155" s="856" t="s">
        <v>310</v>
      </c>
      <c r="E155" s="857" t="str">
        <f t="shared" si="387"/>
        <v>10th Floor</v>
      </c>
      <c r="F155" s="1185"/>
      <c r="G155" s="764" t="s">
        <v>317</v>
      </c>
      <c r="H155" s="764" t="s">
        <v>508</v>
      </c>
      <c r="I155" s="764" t="s">
        <v>476</v>
      </c>
      <c r="J155" s="831">
        <v>22</v>
      </c>
      <c r="K155" s="1142"/>
      <c r="L155" s="764" t="s">
        <v>500</v>
      </c>
      <c r="M155" s="764" t="s">
        <v>117</v>
      </c>
      <c r="N155" s="856">
        <f t="shared" si="388"/>
        <v>100909.09090909091</v>
      </c>
      <c r="O155" s="1138">
        <f t="shared" si="486"/>
        <v>2220000</v>
      </c>
      <c r="P155" s="1138">
        <f t="shared" si="491"/>
        <v>22400</v>
      </c>
      <c r="Q155" s="1138">
        <f t="shared" si="374"/>
        <v>50000</v>
      </c>
      <c r="R155" s="1138"/>
      <c r="S155" s="1138"/>
      <c r="T155" s="1138"/>
      <c r="U155" s="1138"/>
      <c r="V155" s="858">
        <f t="shared" si="501"/>
        <v>55000</v>
      </c>
      <c r="W155" s="1138"/>
      <c r="X155" s="1138"/>
      <c r="Y155" s="1138">
        <f t="shared" si="494"/>
        <v>120000</v>
      </c>
      <c r="Z155" s="1138">
        <f t="shared" si="487"/>
        <v>75000</v>
      </c>
      <c r="AA155" s="1138">
        <f t="shared" si="488"/>
        <v>322400</v>
      </c>
      <c r="AB155" s="1138">
        <f t="shared" si="390"/>
        <v>2542400</v>
      </c>
      <c r="AC155" s="1138">
        <f t="shared" si="391"/>
        <v>63560</v>
      </c>
      <c r="AD155" s="1138">
        <f t="shared" si="392"/>
        <v>2605960</v>
      </c>
      <c r="AE155" s="1138">
        <f t="shared" si="393"/>
        <v>65149</v>
      </c>
      <c r="AF155" s="1138">
        <f t="shared" si="394"/>
        <v>2671109</v>
      </c>
      <c r="AG155" s="1138">
        <f t="shared" si="395"/>
        <v>66777.725000000006</v>
      </c>
      <c r="AH155" s="1138">
        <f t="shared" si="396"/>
        <v>2737886.7250000001</v>
      </c>
      <c r="AI155" s="1138">
        <f t="shared" si="397"/>
        <v>136894.33625000002</v>
      </c>
      <c r="AJ155" s="1138">
        <f t="shared" si="398"/>
        <v>2874781.0612500003</v>
      </c>
      <c r="AK155" s="1138">
        <f t="shared" si="399"/>
        <v>28747.810612500005</v>
      </c>
      <c r="AL155" s="1138">
        <f t="shared" si="400"/>
        <v>27537.409960060559</v>
      </c>
      <c r="AM155" s="1138"/>
      <c r="AN155" s="1138"/>
      <c r="AO155" s="1138">
        <f t="shared" si="401"/>
        <v>2931066.2818225608</v>
      </c>
      <c r="AP155" s="1138">
        <f t="shared" si="402"/>
        <v>395693.94804604573</v>
      </c>
      <c r="AQ155" s="1248">
        <f t="shared" si="403"/>
        <v>3326760.2298686067</v>
      </c>
      <c r="AR155" s="1248">
        <f t="shared" si="347"/>
        <v>2996760.2298686067</v>
      </c>
      <c r="AS155" s="1248">
        <v>15000</v>
      </c>
      <c r="AT155" s="1248">
        <f t="shared" si="348"/>
        <v>330000</v>
      </c>
      <c r="AU155" s="1248">
        <f t="shared" si="404"/>
        <v>39600</v>
      </c>
      <c r="AV155" s="1140">
        <f t="shared" si="405"/>
        <v>369600</v>
      </c>
      <c r="AW155" s="1140">
        <f t="shared" si="406"/>
        <v>3366360.2298686067</v>
      </c>
      <c r="AX155" s="1139">
        <f t="shared" si="407"/>
        <v>42079.502873357589</v>
      </c>
      <c r="AY155" s="831" t="s">
        <v>478</v>
      </c>
      <c r="AZ155" s="831">
        <f t="shared" si="408"/>
        <v>3408439.732741964</v>
      </c>
      <c r="BA155" s="831">
        <f t="shared" si="409"/>
        <v>127816.48997782364</v>
      </c>
      <c r="BB155" s="831"/>
      <c r="BC155" s="831">
        <f t="shared" si="346"/>
        <v>33600</v>
      </c>
      <c r="BD155" s="831"/>
      <c r="BE155" s="831">
        <f t="shared" si="410"/>
        <v>3569856.2227197876</v>
      </c>
      <c r="BF155" s="831"/>
      <c r="BG155" s="831">
        <f t="shared" si="411"/>
        <v>3569856.2227197876</v>
      </c>
      <c r="BH155" s="831"/>
      <c r="BI155" s="831">
        <f t="shared" si="412"/>
        <v>3569856.2227197876</v>
      </c>
      <c r="BJ155" s="831"/>
      <c r="BK155" s="831">
        <f t="shared" si="413"/>
        <v>3569856.2227197876</v>
      </c>
      <c r="BL155" s="831"/>
      <c r="BM155" s="831">
        <f t="shared" si="414"/>
        <v>3569856.2227197876</v>
      </c>
      <c r="BN155" s="831"/>
      <c r="BO155" s="831">
        <f t="shared" si="415"/>
        <v>3569856.2227197876</v>
      </c>
      <c r="BP155" s="831"/>
      <c r="BQ155" s="831">
        <f t="shared" si="416"/>
        <v>3569856.2227197876</v>
      </c>
      <c r="BR155" s="831"/>
      <c r="BS155" s="831">
        <f t="shared" si="417"/>
        <v>3569856.2227197876</v>
      </c>
      <c r="BT155" s="831"/>
      <c r="BU155" s="831">
        <f t="shared" si="418"/>
        <v>3569856.2227197876</v>
      </c>
      <c r="BV155" s="831"/>
      <c r="BW155" s="831">
        <f t="shared" si="419"/>
        <v>56400</v>
      </c>
      <c r="BX155" s="831">
        <f t="shared" si="420"/>
        <v>3626256.2227197876</v>
      </c>
      <c r="BY155" s="831"/>
      <c r="BZ155" s="831">
        <f t="shared" si="421"/>
        <v>3626256.2227197876</v>
      </c>
      <c r="CA155" s="1260">
        <f t="shared" si="422"/>
        <v>3626256.2227197876</v>
      </c>
      <c r="CB155" s="1260">
        <f t="shared" si="423"/>
        <v>3626256.2227197876</v>
      </c>
      <c r="CC155" s="1260"/>
      <c r="CD155" s="1260">
        <f t="shared" si="424"/>
        <v>0</v>
      </c>
      <c r="CE155" s="1260">
        <f t="shared" si="425"/>
        <v>0</v>
      </c>
      <c r="CF155" s="1260">
        <f t="shared" si="426"/>
        <v>0</v>
      </c>
      <c r="CG155" s="1266">
        <f t="shared" si="427"/>
        <v>3626256.2227197876</v>
      </c>
      <c r="CH155" s="1141">
        <f t="shared" si="428"/>
        <v>3626256.2227197876</v>
      </c>
      <c r="CI155" s="1142">
        <f t="shared" si="429"/>
        <v>435150.74672637449</v>
      </c>
      <c r="CJ155" s="1141">
        <f t="shared" si="430"/>
        <v>371691.26282877818</v>
      </c>
      <c r="CK155" s="1141">
        <f t="shared" si="431"/>
        <v>126918.96779519258</v>
      </c>
      <c r="CL155" s="1143">
        <f t="shared" si="489"/>
        <v>4560017.2000701325</v>
      </c>
      <c r="CM155" s="1144">
        <f t="shared" si="432"/>
        <v>0.125</v>
      </c>
      <c r="CN155" s="1141">
        <f t="shared" si="261"/>
        <v>570002.15000876656</v>
      </c>
      <c r="CO155" s="1141">
        <f t="shared" si="433"/>
        <v>30000</v>
      </c>
      <c r="CP155" s="1141">
        <f t="shared" si="263"/>
        <v>540002.15000876656</v>
      </c>
      <c r="CQ155" s="1145">
        <f t="shared" si="434"/>
        <v>14</v>
      </c>
      <c r="CR155" s="1141">
        <f t="shared" si="265"/>
        <v>38571.582143483327</v>
      </c>
      <c r="CS155" s="1144">
        <f t="shared" si="435"/>
        <v>0.875</v>
      </c>
      <c r="CT155" s="1141">
        <f t="shared" si="436"/>
        <v>3990015.0500613661</v>
      </c>
      <c r="CU155" s="1146">
        <f t="shared" si="375"/>
        <v>30934.544214158675</v>
      </c>
      <c r="CV155" s="1146">
        <f t="shared" si="376"/>
        <v>35863.383281218179</v>
      </c>
      <c r="CW155" s="1146">
        <f t="shared" si="377"/>
        <v>46327.457952204735</v>
      </c>
      <c r="CX155" s="1146">
        <f t="shared" si="378"/>
        <v>79007.080185247803</v>
      </c>
      <c r="CY155" s="1146">
        <f t="shared" si="437"/>
        <v>324121.60483632161</v>
      </c>
      <c r="CZ155" s="1146">
        <f t="shared" si="438"/>
        <v>128253.3401467466</v>
      </c>
      <c r="DA155" s="1146">
        <f t="shared" si="439"/>
        <v>92635.571110980251</v>
      </c>
      <c r="DB155" s="1146">
        <f t="shared" si="440"/>
        <v>70499.934336886203</v>
      </c>
      <c r="DC155" s="1146"/>
      <c r="DD155" s="1146"/>
      <c r="DE155" s="1146"/>
      <c r="DF155" s="1146"/>
      <c r="DG155" s="1146"/>
      <c r="DH155" s="1146"/>
      <c r="DI155" s="1146"/>
      <c r="DJ155" s="1146"/>
      <c r="DK155" s="1146"/>
      <c r="DL155" s="1146"/>
      <c r="DM155" s="1146"/>
      <c r="DN155" s="1146"/>
      <c r="DO155" s="1146"/>
      <c r="DP155" s="1146"/>
      <c r="DQ155" s="1146"/>
      <c r="DR155" s="1146"/>
      <c r="DS155" s="1146"/>
      <c r="DT155" s="1146"/>
      <c r="DU155" s="1146"/>
      <c r="DV155" s="1146"/>
      <c r="DW155" s="1146"/>
      <c r="DX155" s="1146"/>
      <c r="DY155" s="1146"/>
      <c r="DZ155" s="1146"/>
      <c r="EA155" s="1147">
        <f t="shared" si="379"/>
        <v>0.11011891999596808</v>
      </c>
      <c r="EB155" s="1148">
        <f t="shared" si="441"/>
        <v>0</v>
      </c>
      <c r="EC155" s="1190">
        <f t="shared" si="484"/>
        <v>45839</v>
      </c>
      <c r="ED155" s="1031">
        <f t="shared" si="380"/>
        <v>20</v>
      </c>
      <c r="EE155" s="1191"/>
      <c r="EF155" s="1032">
        <f t="shared" si="381"/>
        <v>45904</v>
      </c>
      <c r="EG155" s="1029">
        <f t="shared" si="442"/>
        <v>22</v>
      </c>
      <c r="EH155" s="859" t="s">
        <v>490</v>
      </c>
      <c r="EI155" s="859" t="s">
        <v>480</v>
      </c>
      <c r="EJ155" s="860">
        <f t="shared" si="382"/>
        <v>16800</v>
      </c>
      <c r="EK155" s="860">
        <f t="shared" si="383"/>
        <v>369600</v>
      </c>
      <c r="EL155" s="861">
        <f t="shared" si="384"/>
        <v>0.12333319039548425</v>
      </c>
      <c r="EM155" s="1197"/>
      <c r="EN155" s="860"/>
      <c r="EO155" s="860"/>
      <c r="EP155" s="860">
        <f t="shared" si="385"/>
        <v>0</v>
      </c>
      <c r="EQ155" s="1197"/>
      <c r="ER155" s="1200"/>
      <c r="ES155" s="1197"/>
      <c r="ET155" s="1194" t="s">
        <v>317</v>
      </c>
      <c r="EU155" s="1197" t="b">
        <f t="shared" si="386"/>
        <v>1</v>
      </c>
      <c r="EV155" s="1197"/>
      <c r="EW155" s="1197"/>
      <c r="EX155" s="1197"/>
      <c r="EY155" s="1128" t="s">
        <v>587</v>
      </c>
      <c r="EZ155" s="1128" t="s">
        <v>484</v>
      </c>
      <c r="FA155" s="1169">
        <f t="shared" si="443"/>
        <v>0</v>
      </c>
      <c r="FI155" s="1309" t="s">
        <v>149</v>
      </c>
      <c r="FJ155" s="1159" t="s">
        <v>149</v>
      </c>
      <c r="FK155" s="1160" t="b">
        <f t="shared" si="444"/>
        <v>1</v>
      </c>
      <c r="FL155" s="1131"/>
      <c r="FM155" s="1161"/>
      <c r="FU155" s="1295"/>
      <c r="FV155" s="1295"/>
      <c r="FW155" s="1023">
        <v>0.15</v>
      </c>
      <c r="FX155" s="1162">
        <v>15424.484642983005</v>
      </c>
      <c r="FY155" s="1163">
        <v>15906.499788076224</v>
      </c>
      <c r="GA155" s="1164">
        <f t="shared" si="445"/>
        <v>4560017.2000701325</v>
      </c>
      <c r="GB155" s="1165">
        <f t="shared" si="485"/>
        <v>0.15</v>
      </c>
      <c r="GC155" s="1154">
        <f t="shared" si="446"/>
        <v>684002.58001051983</v>
      </c>
      <c r="GD155" s="1164">
        <f t="shared" si="447"/>
        <v>30000</v>
      </c>
      <c r="GE155" s="1154">
        <f t="shared" si="448"/>
        <v>654002.58001051983</v>
      </c>
      <c r="GF155" s="1060">
        <f t="shared" si="449"/>
        <v>35</v>
      </c>
      <c r="GG155" s="1166">
        <f t="shared" si="450"/>
        <v>18685.788000300567</v>
      </c>
      <c r="GI155" s="1164">
        <f t="shared" si="451"/>
        <v>4560017.2000701325</v>
      </c>
      <c r="GJ155" s="1154">
        <f t="shared" si="452"/>
        <v>456001.7200070133</v>
      </c>
      <c r="GK155" s="1154">
        <f t="shared" si="453"/>
        <v>114000.43000175332</v>
      </c>
      <c r="GL155" s="1166">
        <v>15000</v>
      </c>
      <c r="GM155" s="1154">
        <f t="shared" si="454"/>
        <v>441001.7200070133</v>
      </c>
      <c r="GN155" s="1060">
        <f t="shared" si="455"/>
        <v>35</v>
      </c>
      <c r="GO155" s="1154">
        <f t="shared" si="456"/>
        <v>12600.049143057522</v>
      </c>
      <c r="GS155" s="1010">
        <f t="shared" si="457"/>
        <v>4560017.2000701325</v>
      </c>
      <c r="GT155" s="1011">
        <f t="shared" si="458"/>
        <v>0.125</v>
      </c>
      <c r="GU155" s="1010">
        <f t="shared" si="459"/>
        <v>570002.15000876656</v>
      </c>
      <c r="GV155" s="1010">
        <f t="shared" si="460"/>
        <v>30000</v>
      </c>
      <c r="GW155" s="1010">
        <f t="shared" si="461"/>
        <v>540002.15000876656</v>
      </c>
      <c r="GX155" s="1010">
        <f t="shared" si="462"/>
        <v>14</v>
      </c>
      <c r="GY155" s="1010">
        <f t="shared" si="463"/>
        <v>38571.582143483327</v>
      </c>
      <c r="GZ155" s="1011">
        <f t="shared" si="464"/>
        <v>0.875</v>
      </c>
      <c r="HA155" s="1010">
        <f t="shared" si="465"/>
        <v>3990015.0500613661</v>
      </c>
      <c r="HB155" s="1010">
        <f t="shared" si="466"/>
        <v>30934.544214158675</v>
      </c>
      <c r="HC155" s="1010">
        <f t="shared" si="467"/>
        <v>35863.383281218179</v>
      </c>
      <c r="HD155" s="1010">
        <f t="shared" si="468"/>
        <v>46327.457952204735</v>
      </c>
      <c r="HE155" s="1010">
        <f t="shared" si="469"/>
        <v>79007.080185247803</v>
      </c>
      <c r="HG155" s="1010">
        <f t="shared" si="470"/>
        <v>4560017.2000701325</v>
      </c>
      <c r="HH155" s="1011">
        <f t="shared" si="471"/>
        <v>0.125</v>
      </c>
      <c r="HI155" s="1010">
        <f t="shared" si="472"/>
        <v>570002.15000876656</v>
      </c>
      <c r="HJ155" s="1010">
        <f t="shared" si="473"/>
        <v>30000</v>
      </c>
      <c r="HK155" s="1010">
        <f t="shared" si="474"/>
        <v>540002.15000876656</v>
      </c>
      <c r="HL155" s="1012">
        <f t="shared" si="475"/>
        <v>33</v>
      </c>
      <c r="HM155" s="1167">
        <f t="shared" si="476"/>
        <v>16363.701515417168</v>
      </c>
      <c r="HN155" s="1168">
        <f t="shared" si="477"/>
        <v>0.875</v>
      </c>
      <c r="HO155" s="1167">
        <f t="shared" si="478"/>
        <v>3990015.0500613661</v>
      </c>
      <c r="HP155" s="1146">
        <f t="shared" si="479"/>
        <v>30934.544214158675</v>
      </c>
      <c r="HQ155" s="1146">
        <f t="shared" si="480"/>
        <v>35863.383281218179</v>
      </c>
      <c r="HR155" s="1146">
        <f t="shared" si="481"/>
        <v>46327.457952204735</v>
      </c>
      <c r="HS155" s="1146">
        <f t="shared" si="482"/>
        <v>79007.080185247803</v>
      </c>
      <c r="HU155" s="1167">
        <f t="shared" si="483"/>
        <v>-22207.880628066159</v>
      </c>
      <c r="HX155" s="1154"/>
      <c r="HY155" s="1154"/>
      <c r="IB155" s="1154"/>
      <c r="IC155" s="1154"/>
      <c r="ID155" s="1154"/>
      <c r="IE155" s="1154"/>
      <c r="IG155" s="1060"/>
    </row>
    <row r="156" spans="1:241" ht="14.25" hidden="1" customHeight="1">
      <c r="A156" s="1186">
        <f t="shared" si="490"/>
        <v>150</v>
      </c>
      <c r="B156" s="824" t="s">
        <v>149</v>
      </c>
      <c r="C156" s="855">
        <f t="shared" si="492"/>
        <v>9</v>
      </c>
      <c r="D156" s="856" t="s">
        <v>310</v>
      </c>
      <c r="E156" s="857" t="str">
        <f t="shared" si="387"/>
        <v>10th Floor</v>
      </c>
      <c r="F156" s="1185"/>
      <c r="G156" s="764" t="s">
        <v>318</v>
      </c>
      <c r="H156" s="764" t="s">
        <v>512</v>
      </c>
      <c r="I156" s="764" t="s">
        <v>476</v>
      </c>
      <c r="J156" s="1139">
        <v>22</v>
      </c>
      <c r="K156" s="1142"/>
      <c r="L156" s="764" t="s">
        <v>500</v>
      </c>
      <c r="M156" s="764" t="s">
        <v>93</v>
      </c>
      <c r="N156" s="856">
        <f t="shared" si="388"/>
        <v>100909.09090909091</v>
      </c>
      <c r="O156" s="1138">
        <f t="shared" si="486"/>
        <v>2220000</v>
      </c>
      <c r="P156" s="1138">
        <f t="shared" si="491"/>
        <v>22400</v>
      </c>
      <c r="Q156" s="1138">
        <f t="shared" si="374"/>
        <v>50000</v>
      </c>
      <c r="R156" s="1138"/>
      <c r="S156" s="1138"/>
      <c r="T156" s="1138"/>
      <c r="U156" s="1138"/>
      <c r="V156" s="858"/>
      <c r="W156" s="1138"/>
      <c r="X156" s="1138"/>
      <c r="Y156" s="1138">
        <f t="shared" si="494"/>
        <v>120000</v>
      </c>
      <c r="Z156" s="1138">
        <f t="shared" si="487"/>
        <v>75000</v>
      </c>
      <c r="AA156" s="1138">
        <f t="shared" si="488"/>
        <v>267400</v>
      </c>
      <c r="AB156" s="1138">
        <f t="shared" si="390"/>
        <v>2487400</v>
      </c>
      <c r="AC156" s="1138">
        <f t="shared" si="391"/>
        <v>62185</v>
      </c>
      <c r="AD156" s="1138">
        <f t="shared" si="392"/>
        <v>2549585</v>
      </c>
      <c r="AE156" s="1138">
        <f t="shared" si="393"/>
        <v>63739.625</v>
      </c>
      <c r="AF156" s="1138">
        <f t="shared" si="394"/>
        <v>2613324.625</v>
      </c>
      <c r="AG156" s="1138">
        <f t="shared" si="395"/>
        <v>65333.115625000006</v>
      </c>
      <c r="AH156" s="1138">
        <f t="shared" si="396"/>
        <v>2678657.7406250001</v>
      </c>
      <c r="AI156" s="1138">
        <f t="shared" si="397"/>
        <v>133932.88703125002</v>
      </c>
      <c r="AJ156" s="1138">
        <f t="shared" si="398"/>
        <v>2812590.6276562503</v>
      </c>
      <c r="AK156" s="1138">
        <f t="shared" si="399"/>
        <v>28125.906276562502</v>
      </c>
      <c r="AL156" s="1138">
        <f t="shared" si="400"/>
        <v>27537.409960060559</v>
      </c>
      <c r="AM156" s="1138"/>
      <c r="AN156" s="1138"/>
      <c r="AO156" s="1138">
        <f t="shared" si="401"/>
        <v>2868253.9438928734</v>
      </c>
      <c r="AP156" s="1138">
        <f t="shared" si="402"/>
        <v>387214.28242553794</v>
      </c>
      <c r="AQ156" s="1248">
        <f t="shared" si="403"/>
        <v>3255468.2263184115</v>
      </c>
      <c r="AR156" s="1248">
        <f t="shared" si="347"/>
        <v>2925468.2263184115</v>
      </c>
      <c r="AS156" s="1248">
        <v>15000</v>
      </c>
      <c r="AT156" s="1248">
        <f t="shared" si="348"/>
        <v>330000</v>
      </c>
      <c r="AU156" s="1248">
        <f t="shared" si="404"/>
        <v>39600</v>
      </c>
      <c r="AV156" s="1140">
        <f t="shared" si="405"/>
        <v>369600</v>
      </c>
      <c r="AW156" s="1140">
        <f t="shared" si="406"/>
        <v>3295068.2263184115</v>
      </c>
      <c r="AX156" s="1139">
        <f t="shared" si="407"/>
        <v>41188.352828980147</v>
      </c>
      <c r="AY156" s="831" t="s">
        <v>478</v>
      </c>
      <c r="AZ156" s="831">
        <f t="shared" si="408"/>
        <v>3336256.5791473915</v>
      </c>
      <c r="BA156" s="831">
        <f t="shared" si="409"/>
        <v>125109.62171802718</v>
      </c>
      <c r="BB156" s="831"/>
      <c r="BC156" s="831">
        <f t="shared" si="346"/>
        <v>33600</v>
      </c>
      <c r="BD156" s="831"/>
      <c r="BE156" s="831">
        <f t="shared" si="410"/>
        <v>3494966.2008654187</v>
      </c>
      <c r="BF156" s="831"/>
      <c r="BG156" s="831">
        <f t="shared" si="411"/>
        <v>3494966.2008654187</v>
      </c>
      <c r="BH156" s="831"/>
      <c r="BI156" s="831">
        <f t="shared" si="412"/>
        <v>3494966.2008654187</v>
      </c>
      <c r="BJ156" s="831"/>
      <c r="BK156" s="831">
        <f t="shared" si="413"/>
        <v>3494966.2008654187</v>
      </c>
      <c r="BL156" s="831"/>
      <c r="BM156" s="831">
        <f t="shared" si="414"/>
        <v>3494966.2008654187</v>
      </c>
      <c r="BN156" s="831"/>
      <c r="BO156" s="831">
        <f t="shared" si="415"/>
        <v>3494966.2008654187</v>
      </c>
      <c r="BP156" s="831"/>
      <c r="BQ156" s="831">
        <f t="shared" si="416"/>
        <v>3494966.2008654187</v>
      </c>
      <c r="BR156" s="831"/>
      <c r="BS156" s="831">
        <f t="shared" si="417"/>
        <v>3494966.2008654187</v>
      </c>
      <c r="BT156" s="831"/>
      <c r="BU156" s="831">
        <f t="shared" si="418"/>
        <v>3494966.2008654187</v>
      </c>
      <c r="BV156" s="831"/>
      <c r="BW156" s="831">
        <f t="shared" si="419"/>
        <v>56400</v>
      </c>
      <c r="BX156" s="831">
        <f t="shared" si="420"/>
        <v>3551366.2008654187</v>
      </c>
      <c r="BY156" s="831"/>
      <c r="BZ156" s="831">
        <f t="shared" si="421"/>
        <v>3551366.2008654187</v>
      </c>
      <c r="CA156" s="1260">
        <f t="shared" si="422"/>
        <v>3551366.2008654187</v>
      </c>
      <c r="CB156" s="1260">
        <f t="shared" si="423"/>
        <v>3551366.2008654187</v>
      </c>
      <c r="CC156" s="1260"/>
      <c r="CD156" s="1260">
        <f t="shared" si="424"/>
        <v>0</v>
      </c>
      <c r="CE156" s="1260">
        <f t="shared" si="425"/>
        <v>0</v>
      </c>
      <c r="CF156" s="1260">
        <f t="shared" si="426"/>
        <v>0</v>
      </c>
      <c r="CG156" s="1266">
        <f t="shared" si="427"/>
        <v>3551366.2008654187</v>
      </c>
      <c r="CH156" s="1141">
        <f t="shared" si="428"/>
        <v>3551366.2008654187</v>
      </c>
      <c r="CI156" s="1142">
        <f t="shared" si="429"/>
        <v>0</v>
      </c>
      <c r="CJ156" s="1141">
        <f t="shared" si="430"/>
        <v>364015.03558870539</v>
      </c>
      <c r="CK156" s="1141">
        <f t="shared" si="431"/>
        <v>124297.81703028966</v>
      </c>
      <c r="CL156" s="1143">
        <f t="shared" si="489"/>
        <v>4039679.0534844138</v>
      </c>
      <c r="CM156" s="1144">
        <f t="shared" si="432"/>
        <v>0.125</v>
      </c>
      <c r="CN156" s="1141">
        <f t="shared" si="261"/>
        <v>504959.88168555172</v>
      </c>
      <c r="CO156" s="1141">
        <f t="shared" si="433"/>
        <v>30000</v>
      </c>
      <c r="CP156" s="1141">
        <f t="shared" si="263"/>
        <v>474959.88168555172</v>
      </c>
      <c r="CQ156" s="1145">
        <f t="shared" si="434"/>
        <v>14</v>
      </c>
      <c r="CR156" s="1141">
        <f t="shared" si="265"/>
        <v>33925.705834682267</v>
      </c>
      <c r="CS156" s="1144">
        <f t="shared" si="435"/>
        <v>0.875</v>
      </c>
      <c r="CT156" s="1141">
        <f t="shared" si="436"/>
        <v>3534719.1717988621</v>
      </c>
      <c r="CU156" s="1146">
        <f t="shared" si="375"/>
        <v>27404.640116072878</v>
      </c>
      <c r="CV156" s="1146">
        <f t="shared" si="376"/>
        <v>31771.055211368941</v>
      </c>
      <c r="CW156" s="1146">
        <f t="shared" si="377"/>
        <v>41041.086750248025</v>
      </c>
      <c r="CX156" s="1146">
        <f t="shared" si="378"/>
        <v>69991.676105169143</v>
      </c>
      <c r="CY156" s="1146">
        <f t="shared" si="437"/>
        <v>287136.47348060511</v>
      </c>
      <c r="CZ156" s="1146">
        <f t="shared" si="438"/>
        <v>113618.50383420824</v>
      </c>
      <c r="DA156" s="1146">
        <f t="shared" si="439"/>
        <v>82065.036118468444</v>
      </c>
      <c r="DB156" s="1146">
        <f t="shared" si="440"/>
        <v>62455.270565287698</v>
      </c>
      <c r="DC156" s="1146"/>
      <c r="DD156" s="1146"/>
      <c r="DE156" s="1146"/>
      <c r="DF156" s="1146"/>
      <c r="DG156" s="1146"/>
      <c r="DH156" s="1146"/>
      <c r="DI156" s="1146"/>
      <c r="DJ156" s="1146"/>
      <c r="DK156" s="1146"/>
      <c r="DL156" s="1146"/>
      <c r="DM156" s="1146"/>
      <c r="DN156" s="1146"/>
      <c r="DO156" s="1146"/>
      <c r="DP156" s="1146"/>
      <c r="DQ156" s="1146"/>
      <c r="DR156" s="1146"/>
      <c r="DS156" s="1146"/>
      <c r="DT156" s="1146"/>
      <c r="DU156" s="1146"/>
      <c r="DV156" s="1146"/>
      <c r="DW156" s="1146"/>
      <c r="DX156" s="1146"/>
      <c r="DY156" s="1146"/>
      <c r="DZ156" s="1146"/>
      <c r="EA156" s="1147">
        <f t="shared" si="379"/>
        <v>0.11280245569964444</v>
      </c>
      <c r="EB156" s="1148">
        <f t="shared" si="441"/>
        <v>0</v>
      </c>
      <c r="EC156" s="1190">
        <f t="shared" si="484"/>
        <v>45839</v>
      </c>
      <c r="ED156" s="1031">
        <f t="shared" si="380"/>
        <v>20</v>
      </c>
      <c r="EE156" s="1191"/>
      <c r="EF156" s="1032">
        <f t="shared" si="381"/>
        <v>45904</v>
      </c>
      <c r="EG156" s="1029">
        <f t="shared" si="442"/>
        <v>22</v>
      </c>
      <c r="EH156" s="859" t="s">
        <v>490</v>
      </c>
      <c r="EI156" s="859" t="s">
        <v>480</v>
      </c>
      <c r="EJ156" s="860">
        <f t="shared" si="382"/>
        <v>16800</v>
      </c>
      <c r="EK156" s="860">
        <f t="shared" si="383"/>
        <v>369600</v>
      </c>
      <c r="EL156" s="861">
        <f t="shared" si="384"/>
        <v>0.12633875038360176</v>
      </c>
      <c r="EM156" s="1197"/>
      <c r="EN156" s="860"/>
      <c r="EO156" s="860"/>
      <c r="EP156" s="860">
        <f t="shared" si="385"/>
        <v>0</v>
      </c>
      <c r="EQ156" s="1197"/>
      <c r="ER156" s="1200"/>
      <c r="ES156" s="1197"/>
      <c r="ET156" s="1194" t="s">
        <v>318</v>
      </c>
      <c r="EU156" s="1197" t="b">
        <f t="shared" si="386"/>
        <v>1</v>
      </c>
      <c r="EV156" s="1197" t="s">
        <v>636</v>
      </c>
      <c r="EW156" s="1197" t="s">
        <v>482</v>
      </c>
      <c r="EX156" s="1197"/>
      <c r="EY156" s="1128" t="s">
        <v>587</v>
      </c>
      <c r="EZ156" s="1128" t="s">
        <v>484</v>
      </c>
      <c r="FA156" s="1169">
        <f t="shared" si="443"/>
        <v>0</v>
      </c>
      <c r="FI156" s="1309" t="s">
        <v>149</v>
      </c>
      <c r="FJ156" s="1159" t="s">
        <v>149</v>
      </c>
      <c r="FK156" s="1160" t="b">
        <f t="shared" si="444"/>
        <v>1</v>
      </c>
      <c r="FL156" s="1131"/>
      <c r="FM156" s="1161"/>
      <c r="FU156" s="1295"/>
      <c r="FV156" s="1295"/>
      <c r="FW156" s="1023">
        <v>0.15</v>
      </c>
      <c r="FX156" s="1162">
        <v>14779.232183399639</v>
      </c>
      <c r="FY156" s="1163">
        <v>15241.083189130877</v>
      </c>
      <c r="GA156" s="1164">
        <f t="shared" si="445"/>
        <v>4039679.0534844138</v>
      </c>
      <c r="GB156" s="1165">
        <f t="shared" si="485"/>
        <v>0.15</v>
      </c>
      <c r="GC156" s="1154">
        <f t="shared" si="446"/>
        <v>605951.858022662</v>
      </c>
      <c r="GD156" s="1164">
        <f t="shared" si="447"/>
        <v>30000</v>
      </c>
      <c r="GE156" s="1154">
        <f t="shared" si="448"/>
        <v>575951.858022662</v>
      </c>
      <c r="GF156" s="1060">
        <f t="shared" si="449"/>
        <v>35</v>
      </c>
      <c r="GG156" s="1166">
        <f t="shared" si="450"/>
        <v>16455.767372076058</v>
      </c>
      <c r="GI156" s="1164">
        <f t="shared" si="451"/>
        <v>4039679.0534844138</v>
      </c>
      <c r="GJ156" s="1154">
        <f t="shared" si="452"/>
        <v>403967.90534844139</v>
      </c>
      <c r="GK156" s="1154">
        <f t="shared" si="453"/>
        <v>100991.97633711035</v>
      </c>
      <c r="GL156" s="1166">
        <v>15000</v>
      </c>
      <c r="GM156" s="1154">
        <f t="shared" si="454"/>
        <v>388967.90534844139</v>
      </c>
      <c r="GN156" s="1060">
        <f t="shared" si="455"/>
        <v>35</v>
      </c>
      <c r="GO156" s="1154">
        <f t="shared" si="456"/>
        <v>11113.368724241183</v>
      </c>
      <c r="GS156" s="1010">
        <f t="shared" si="457"/>
        <v>4039679.0534844138</v>
      </c>
      <c r="GT156" s="1011">
        <f t="shared" si="458"/>
        <v>0.125</v>
      </c>
      <c r="GU156" s="1010">
        <f t="shared" si="459"/>
        <v>504959.88168555172</v>
      </c>
      <c r="GV156" s="1010">
        <f t="shared" si="460"/>
        <v>30000</v>
      </c>
      <c r="GW156" s="1010">
        <f t="shared" si="461"/>
        <v>474959.88168555172</v>
      </c>
      <c r="GX156" s="1010">
        <f t="shared" si="462"/>
        <v>14</v>
      </c>
      <c r="GY156" s="1010">
        <f t="shared" si="463"/>
        <v>33925.705834682267</v>
      </c>
      <c r="GZ156" s="1011">
        <f t="shared" si="464"/>
        <v>0.875</v>
      </c>
      <c r="HA156" s="1010">
        <f t="shared" si="465"/>
        <v>3534719.1717988621</v>
      </c>
      <c r="HB156" s="1010">
        <f t="shared" si="466"/>
        <v>27404.640116072878</v>
      </c>
      <c r="HC156" s="1010">
        <f t="shared" si="467"/>
        <v>31771.055211368941</v>
      </c>
      <c r="HD156" s="1010">
        <f t="shared" si="468"/>
        <v>41041.086750248025</v>
      </c>
      <c r="HE156" s="1010">
        <f t="shared" si="469"/>
        <v>69991.676105169143</v>
      </c>
      <c r="HG156" s="1010">
        <f t="shared" si="470"/>
        <v>4039679.0534844138</v>
      </c>
      <c r="HH156" s="1011">
        <f t="shared" si="471"/>
        <v>0.125</v>
      </c>
      <c r="HI156" s="1010">
        <f t="shared" si="472"/>
        <v>504959.88168555172</v>
      </c>
      <c r="HJ156" s="1010">
        <f t="shared" si="473"/>
        <v>30000</v>
      </c>
      <c r="HK156" s="1010">
        <f t="shared" si="474"/>
        <v>474959.88168555172</v>
      </c>
      <c r="HL156" s="1012">
        <f t="shared" si="475"/>
        <v>33</v>
      </c>
      <c r="HM156" s="1167">
        <f t="shared" si="476"/>
        <v>14392.723687440961</v>
      </c>
      <c r="HN156" s="1168">
        <f t="shared" si="477"/>
        <v>0.875</v>
      </c>
      <c r="HO156" s="1167">
        <f t="shared" si="478"/>
        <v>3534719.1717988621</v>
      </c>
      <c r="HP156" s="1146">
        <f t="shared" si="479"/>
        <v>27404.640116072878</v>
      </c>
      <c r="HQ156" s="1146">
        <f t="shared" si="480"/>
        <v>31771.055211368941</v>
      </c>
      <c r="HR156" s="1146">
        <f t="shared" si="481"/>
        <v>41041.086750248025</v>
      </c>
      <c r="HS156" s="1146">
        <f t="shared" si="482"/>
        <v>69991.676105169143</v>
      </c>
      <c r="HU156" s="1167">
        <f t="shared" si="483"/>
        <v>-19532.982147241306</v>
      </c>
      <c r="HX156" s="1154"/>
      <c r="HY156" s="1154"/>
      <c r="IB156" s="1154"/>
      <c r="IC156" s="1154"/>
      <c r="ID156" s="1154"/>
      <c r="IE156" s="1154"/>
      <c r="IG156" s="1060"/>
    </row>
    <row r="157" spans="1:241" ht="14.25" hidden="1" customHeight="1">
      <c r="A157" s="1186">
        <f t="shared" si="490"/>
        <v>151</v>
      </c>
      <c r="B157" s="824" t="s">
        <v>149</v>
      </c>
      <c r="C157" s="855">
        <f t="shared" si="492"/>
        <v>10</v>
      </c>
      <c r="D157" s="856" t="s">
        <v>310</v>
      </c>
      <c r="E157" s="857" t="str">
        <f t="shared" si="387"/>
        <v>10th Floor</v>
      </c>
      <c r="F157" s="1185"/>
      <c r="G157" s="764" t="s">
        <v>319</v>
      </c>
      <c r="H157" s="764" t="s">
        <v>516</v>
      </c>
      <c r="I157" s="764" t="s">
        <v>476</v>
      </c>
      <c r="J157" s="1139">
        <v>22</v>
      </c>
      <c r="K157" s="1142"/>
      <c r="L157" s="764" t="s">
        <v>500</v>
      </c>
      <c r="M157" s="764" t="s">
        <v>93</v>
      </c>
      <c r="N157" s="856">
        <f t="shared" si="388"/>
        <v>100909.09090909091</v>
      </c>
      <c r="O157" s="1138">
        <f t="shared" si="486"/>
        <v>2220000</v>
      </c>
      <c r="P157" s="1138">
        <f t="shared" si="491"/>
        <v>22400</v>
      </c>
      <c r="Q157" s="1138">
        <f t="shared" si="374"/>
        <v>50000</v>
      </c>
      <c r="R157" s="1138"/>
      <c r="S157" s="1138"/>
      <c r="T157" s="1138"/>
      <c r="U157" s="1138"/>
      <c r="V157" s="858"/>
      <c r="W157" s="1138"/>
      <c r="X157" s="1138"/>
      <c r="Y157" s="1138">
        <f t="shared" si="494"/>
        <v>120000</v>
      </c>
      <c r="Z157" s="1138">
        <f t="shared" si="487"/>
        <v>75000</v>
      </c>
      <c r="AA157" s="1138">
        <f t="shared" si="488"/>
        <v>267400</v>
      </c>
      <c r="AB157" s="1138">
        <f t="shared" si="390"/>
        <v>2487400</v>
      </c>
      <c r="AC157" s="1138">
        <f t="shared" si="391"/>
        <v>62185</v>
      </c>
      <c r="AD157" s="1138">
        <f t="shared" si="392"/>
        <v>2549585</v>
      </c>
      <c r="AE157" s="1138">
        <f t="shared" si="393"/>
        <v>63739.625</v>
      </c>
      <c r="AF157" s="1138">
        <f t="shared" si="394"/>
        <v>2613324.625</v>
      </c>
      <c r="AG157" s="1138">
        <f t="shared" si="395"/>
        <v>65333.115625000006</v>
      </c>
      <c r="AH157" s="1138">
        <f t="shared" si="396"/>
        <v>2678657.7406250001</v>
      </c>
      <c r="AI157" s="1138">
        <f t="shared" si="397"/>
        <v>133932.88703125002</v>
      </c>
      <c r="AJ157" s="1138">
        <f t="shared" si="398"/>
        <v>2812590.6276562503</v>
      </c>
      <c r="AK157" s="1138">
        <f t="shared" si="399"/>
        <v>28125.906276562502</v>
      </c>
      <c r="AL157" s="1138">
        <f t="shared" si="400"/>
        <v>27537.409960060559</v>
      </c>
      <c r="AM157" s="1138"/>
      <c r="AN157" s="1138"/>
      <c r="AO157" s="1138">
        <f t="shared" si="401"/>
        <v>2868253.9438928734</v>
      </c>
      <c r="AP157" s="1138">
        <f t="shared" si="402"/>
        <v>387214.28242553794</v>
      </c>
      <c r="AQ157" s="1248">
        <f t="shared" si="403"/>
        <v>3255468.2263184115</v>
      </c>
      <c r="AR157" s="1248">
        <f t="shared" si="347"/>
        <v>2925468.2263184115</v>
      </c>
      <c r="AS157" s="1248">
        <v>15000</v>
      </c>
      <c r="AT157" s="1248">
        <f t="shared" si="348"/>
        <v>330000</v>
      </c>
      <c r="AU157" s="1248">
        <f t="shared" si="404"/>
        <v>39600</v>
      </c>
      <c r="AV157" s="1140">
        <f t="shared" si="405"/>
        <v>369600</v>
      </c>
      <c r="AW157" s="1140">
        <f t="shared" si="406"/>
        <v>3295068.2263184115</v>
      </c>
      <c r="AX157" s="1139">
        <f t="shared" si="407"/>
        <v>41188.352828980147</v>
      </c>
      <c r="AY157" s="831" t="s">
        <v>478</v>
      </c>
      <c r="AZ157" s="831">
        <f t="shared" si="408"/>
        <v>3336256.5791473915</v>
      </c>
      <c r="BA157" s="831">
        <f t="shared" si="409"/>
        <v>125109.62171802718</v>
      </c>
      <c r="BB157" s="831"/>
      <c r="BC157" s="831">
        <f t="shared" si="346"/>
        <v>33600</v>
      </c>
      <c r="BD157" s="831"/>
      <c r="BE157" s="831">
        <f t="shared" si="410"/>
        <v>3494966.2008654187</v>
      </c>
      <c r="BF157" s="831"/>
      <c r="BG157" s="831">
        <f t="shared" si="411"/>
        <v>3494966.2008654187</v>
      </c>
      <c r="BH157" s="831"/>
      <c r="BI157" s="831">
        <f t="shared" si="412"/>
        <v>3494966.2008654187</v>
      </c>
      <c r="BJ157" s="831"/>
      <c r="BK157" s="831">
        <f t="shared" si="413"/>
        <v>3494966.2008654187</v>
      </c>
      <c r="BL157" s="831"/>
      <c r="BM157" s="831">
        <f t="shared" si="414"/>
        <v>3494966.2008654187</v>
      </c>
      <c r="BN157" s="831"/>
      <c r="BO157" s="831">
        <f t="shared" si="415"/>
        <v>3494966.2008654187</v>
      </c>
      <c r="BP157" s="831"/>
      <c r="BQ157" s="831">
        <f t="shared" si="416"/>
        <v>3494966.2008654187</v>
      </c>
      <c r="BR157" s="831"/>
      <c r="BS157" s="831">
        <f t="shared" si="417"/>
        <v>3494966.2008654187</v>
      </c>
      <c r="BT157" s="831"/>
      <c r="BU157" s="831">
        <f t="shared" si="418"/>
        <v>3494966.2008654187</v>
      </c>
      <c r="BV157" s="831"/>
      <c r="BW157" s="831">
        <f t="shared" si="419"/>
        <v>56400</v>
      </c>
      <c r="BX157" s="831">
        <f t="shared" si="420"/>
        <v>3551366.2008654187</v>
      </c>
      <c r="BY157" s="831"/>
      <c r="BZ157" s="831">
        <f t="shared" si="421"/>
        <v>3551366.2008654187</v>
      </c>
      <c r="CA157" s="1260">
        <f t="shared" si="422"/>
        <v>3551366.2008654187</v>
      </c>
      <c r="CB157" s="1260">
        <f t="shared" si="423"/>
        <v>3551366.2008654187</v>
      </c>
      <c r="CC157" s="1260"/>
      <c r="CD157" s="1260">
        <f t="shared" si="424"/>
        <v>0</v>
      </c>
      <c r="CE157" s="1260">
        <f t="shared" si="425"/>
        <v>0</v>
      </c>
      <c r="CF157" s="1260">
        <f t="shared" si="426"/>
        <v>0</v>
      </c>
      <c r="CG157" s="1266">
        <f t="shared" si="427"/>
        <v>3551366.2008654187</v>
      </c>
      <c r="CH157" s="1141">
        <f t="shared" si="428"/>
        <v>3551366.2008654187</v>
      </c>
      <c r="CI157" s="1142">
        <f t="shared" si="429"/>
        <v>0</v>
      </c>
      <c r="CJ157" s="1141">
        <f t="shared" si="430"/>
        <v>364015.03558870539</v>
      </c>
      <c r="CK157" s="1141">
        <f t="shared" si="431"/>
        <v>124297.81703028966</v>
      </c>
      <c r="CL157" s="1143">
        <f t="shared" si="489"/>
        <v>4039679.0534844138</v>
      </c>
      <c r="CM157" s="1144">
        <f t="shared" si="432"/>
        <v>0.125</v>
      </c>
      <c r="CN157" s="1141">
        <f t="shared" ref="CN157:CN219" si="502">CL157*CM157</f>
        <v>504959.88168555172</v>
      </c>
      <c r="CO157" s="1141">
        <f t="shared" si="433"/>
        <v>30000</v>
      </c>
      <c r="CP157" s="1141">
        <f t="shared" ref="CP157:CP219" si="503">CN157-CO157</f>
        <v>474959.88168555172</v>
      </c>
      <c r="CQ157" s="1145">
        <f t="shared" si="434"/>
        <v>14</v>
      </c>
      <c r="CR157" s="1141">
        <f t="shared" ref="CR157:CR219" si="504">CP157/CQ157</f>
        <v>33925.705834682267</v>
      </c>
      <c r="CS157" s="1144">
        <f t="shared" si="435"/>
        <v>0.875</v>
      </c>
      <c r="CT157" s="1141">
        <f t="shared" si="436"/>
        <v>3534719.1717988621</v>
      </c>
      <c r="CU157" s="1146">
        <f t="shared" si="375"/>
        <v>27404.640116072878</v>
      </c>
      <c r="CV157" s="1146">
        <f t="shared" si="376"/>
        <v>31771.055211368941</v>
      </c>
      <c r="CW157" s="1146">
        <f t="shared" si="377"/>
        <v>41041.086750248025</v>
      </c>
      <c r="CX157" s="1146">
        <f t="shared" si="378"/>
        <v>69991.676105169143</v>
      </c>
      <c r="CY157" s="1146">
        <f t="shared" si="437"/>
        <v>287136.47348060511</v>
      </c>
      <c r="CZ157" s="1146">
        <f t="shared" si="438"/>
        <v>113618.50383420824</v>
      </c>
      <c r="DA157" s="1146">
        <f t="shared" si="439"/>
        <v>82065.036118468444</v>
      </c>
      <c r="DB157" s="1146">
        <f t="shared" si="440"/>
        <v>62455.270565287698</v>
      </c>
      <c r="DC157" s="1146"/>
      <c r="DD157" s="1146"/>
      <c r="DE157" s="1146"/>
      <c r="DF157" s="1146"/>
      <c r="DG157" s="1146"/>
      <c r="DH157" s="1146"/>
      <c r="DI157" s="1146"/>
      <c r="DJ157" s="1146"/>
      <c r="DK157" s="1146"/>
      <c r="DL157" s="1146"/>
      <c r="DM157" s="1146"/>
      <c r="DN157" s="1146"/>
      <c r="DO157" s="1146"/>
      <c r="DP157" s="1146"/>
      <c r="DQ157" s="1146"/>
      <c r="DR157" s="1146"/>
      <c r="DS157" s="1146"/>
      <c r="DT157" s="1146"/>
      <c r="DU157" s="1146"/>
      <c r="DV157" s="1146"/>
      <c r="DW157" s="1146"/>
      <c r="DX157" s="1146"/>
      <c r="DY157" s="1146"/>
      <c r="DZ157" s="1146"/>
      <c r="EA157" s="1147">
        <f t="shared" si="379"/>
        <v>0.11280245569964444</v>
      </c>
      <c r="EB157" s="1148">
        <f t="shared" si="441"/>
        <v>0</v>
      </c>
      <c r="EC157" s="1190">
        <f t="shared" si="484"/>
        <v>45839</v>
      </c>
      <c r="ED157" s="1031">
        <f t="shared" si="380"/>
        <v>20</v>
      </c>
      <c r="EE157" s="1191"/>
      <c r="EF157" s="1032">
        <f t="shared" si="381"/>
        <v>45904</v>
      </c>
      <c r="EG157" s="1029">
        <f t="shared" si="442"/>
        <v>22</v>
      </c>
      <c r="EH157" s="859" t="s">
        <v>490</v>
      </c>
      <c r="EI157" s="859" t="s">
        <v>480</v>
      </c>
      <c r="EJ157" s="860">
        <f t="shared" si="382"/>
        <v>16800</v>
      </c>
      <c r="EK157" s="860">
        <f t="shared" si="383"/>
        <v>369600</v>
      </c>
      <c r="EL157" s="861">
        <f t="shared" si="384"/>
        <v>0.12633875038360176</v>
      </c>
      <c r="EM157" s="1197"/>
      <c r="EN157" s="860"/>
      <c r="EO157" s="860"/>
      <c r="EP157" s="860">
        <f t="shared" si="385"/>
        <v>0</v>
      </c>
      <c r="EQ157" s="1197"/>
      <c r="ER157" s="1200"/>
      <c r="ES157" s="1197"/>
      <c r="ET157" s="1194" t="s">
        <v>319</v>
      </c>
      <c r="EU157" s="1197" t="b">
        <f t="shared" si="386"/>
        <v>1</v>
      </c>
      <c r="EV157" s="1197" t="s">
        <v>637</v>
      </c>
      <c r="EW157" s="1197" t="s">
        <v>482</v>
      </c>
      <c r="EX157" s="1197"/>
      <c r="EY157" s="1128" t="s">
        <v>587</v>
      </c>
      <c r="EZ157" s="1128" t="s">
        <v>484</v>
      </c>
      <c r="FA157" s="1169">
        <f t="shared" si="443"/>
        <v>0</v>
      </c>
      <c r="FI157" s="1309" t="s">
        <v>149</v>
      </c>
      <c r="FJ157" s="1159" t="s">
        <v>149</v>
      </c>
      <c r="FK157" s="1160" t="b">
        <f t="shared" si="444"/>
        <v>1</v>
      </c>
      <c r="FL157" s="1131"/>
      <c r="FM157" s="1161"/>
      <c r="FO157" s="888"/>
      <c r="FU157" s="1295"/>
      <c r="FV157" s="1295"/>
      <c r="FW157" s="1023">
        <v>0.125</v>
      </c>
      <c r="FX157" s="1162">
        <v>12240.269243742125</v>
      </c>
      <c r="FY157" s="1163">
        <v>12622.777657609065</v>
      </c>
      <c r="GA157" s="1164">
        <f t="shared" si="445"/>
        <v>4039679.0534844138</v>
      </c>
      <c r="GB157" s="1165">
        <f>FW157</f>
        <v>0.125</v>
      </c>
      <c r="GC157" s="1154">
        <f t="shared" si="446"/>
        <v>504959.88168555172</v>
      </c>
      <c r="GD157" s="1164">
        <f t="shared" si="447"/>
        <v>30000</v>
      </c>
      <c r="GE157" s="1154">
        <f t="shared" si="448"/>
        <v>474959.88168555172</v>
      </c>
      <c r="GF157" s="1060">
        <f t="shared" si="449"/>
        <v>35</v>
      </c>
      <c r="GG157" s="1166">
        <f t="shared" si="450"/>
        <v>13570.282333872907</v>
      </c>
      <c r="GI157" s="1164">
        <f t="shared" si="451"/>
        <v>4039679.0534844138</v>
      </c>
      <c r="GJ157" s="1154">
        <f t="shared" si="452"/>
        <v>403967.90534844139</v>
      </c>
      <c r="GK157" s="1154">
        <f t="shared" si="453"/>
        <v>100991.97633711035</v>
      </c>
      <c r="GL157" s="1166">
        <v>15000</v>
      </c>
      <c r="GM157" s="1154">
        <f t="shared" si="454"/>
        <v>388967.90534844139</v>
      </c>
      <c r="GN157" s="1060">
        <f t="shared" si="455"/>
        <v>35</v>
      </c>
      <c r="GO157" s="1154">
        <f t="shared" si="456"/>
        <v>11113.368724241183</v>
      </c>
      <c r="GS157" s="1010">
        <f t="shared" si="457"/>
        <v>4039679.0534844138</v>
      </c>
      <c r="GT157" s="1011">
        <f t="shared" si="458"/>
        <v>0.125</v>
      </c>
      <c r="GU157" s="1010">
        <f t="shared" si="459"/>
        <v>504959.88168555172</v>
      </c>
      <c r="GV157" s="1010">
        <f t="shared" si="460"/>
        <v>30000</v>
      </c>
      <c r="GW157" s="1010">
        <f t="shared" si="461"/>
        <v>474959.88168555172</v>
      </c>
      <c r="GX157" s="1010">
        <f t="shared" si="462"/>
        <v>14</v>
      </c>
      <c r="GY157" s="1010">
        <f t="shared" si="463"/>
        <v>33925.705834682267</v>
      </c>
      <c r="GZ157" s="1011">
        <f t="shared" si="464"/>
        <v>0.875</v>
      </c>
      <c r="HA157" s="1010">
        <f t="shared" si="465"/>
        <v>3534719.1717988621</v>
      </c>
      <c r="HB157" s="1010">
        <f t="shared" si="466"/>
        <v>27404.640116072878</v>
      </c>
      <c r="HC157" s="1010">
        <f t="shared" si="467"/>
        <v>31771.055211368941</v>
      </c>
      <c r="HD157" s="1010">
        <f t="shared" si="468"/>
        <v>41041.086750248025</v>
      </c>
      <c r="HE157" s="1010">
        <f t="shared" si="469"/>
        <v>69991.676105169143</v>
      </c>
      <c r="HG157" s="1010">
        <f t="shared" si="470"/>
        <v>4039679.0534844138</v>
      </c>
      <c r="HH157" s="1011">
        <f t="shared" si="471"/>
        <v>0.125</v>
      </c>
      <c r="HI157" s="1010">
        <f t="shared" si="472"/>
        <v>504959.88168555172</v>
      </c>
      <c r="HJ157" s="1010">
        <f t="shared" si="473"/>
        <v>30000</v>
      </c>
      <c r="HK157" s="1010">
        <f t="shared" si="474"/>
        <v>474959.88168555172</v>
      </c>
      <c r="HL157" s="1012">
        <f t="shared" si="475"/>
        <v>33</v>
      </c>
      <c r="HM157" s="1167">
        <f t="shared" si="476"/>
        <v>14392.723687440961</v>
      </c>
      <c r="HN157" s="1168">
        <f t="shared" si="477"/>
        <v>0.875</v>
      </c>
      <c r="HO157" s="1167">
        <f t="shared" si="478"/>
        <v>3534719.1717988621</v>
      </c>
      <c r="HP157" s="1146">
        <f t="shared" si="479"/>
        <v>27404.640116072878</v>
      </c>
      <c r="HQ157" s="1146">
        <f t="shared" si="480"/>
        <v>31771.055211368941</v>
      </c>
      <c r="HR157" s="1146">
        <f t="shared" si="481"/>
        <v>41041.086750248025</v>
      </c>
      <c r="HS157" s="1146">
        <f t="shared" si="482"/>
        <v>69991.676105169143</v>
      </c>
      <c r="HU157" s="1167">
        <f t="shared" si="483"/>
        <v>-19532.982147241306</v>
      </c>
      <c r="HX157" s="1154"/>
      <c r="HY157" s="1154"/>
      <c r="IB157" s="1154"/>
      <c r="IC157" s="1154"/>
      <c r="ID157" s="1154"/>
      <c r="IE157" s="1154"/>
      <c r="IG157" s="1060"/>
    </row>
    <row r="158" spans="1:241" ht="14.25" hidden="1" customHeight="1">
      <c r="A158" s="1186">
        <f t="shared" si="490"/>
        <v>152</v>
      </c>
      <c r="B158" s="824" t="s">
        <v>149</v>
      </c>
      <c r="C158" s="855">
        <f t="shared" si="492"/>
        <v>11</v>
      </c>
      <c r="D158" s="856" t="s">
        <v>310</v>
      </c>
      <c r="E158" s="857" t="str">
        <f t="shared" si="387"/>
        <v>10th Floor</v>
      </c>
      <c r="F158" s="1185"/>
      <c r="G158" s="764" t="s">
        <v>320</v>
      </c>
      <c r="H158" s="764" t="s">
        <v>517</v>
      </c>
      <c r="I158" s="764" t="s">
        <v>476</v>
      </c>
      <c r="J158" s="1139">
        <v>22</v>
      </c>
      <c r="K158" s="1142"/>
      <c r="L158" s="764" t="s">
        <v>500</v>
      </c>
      <c r="M158" s="764" t="s">
        <v>93</v>
      </c>
      <c r="N158" s="856">
        <f t="shared" si="388"/>
        <v>100909.09090909091</v>
      </c>
      <c r="O158" s="1138">
        <f t="shared" si="486"/>
        <v>2220000</v>
      </c>
      <c r="P158" s="1138">
        <f t="shared" si="491"/>
        <v>22400</v>
      </c>
      <c r="Q158" s="1138">
        <f t="shared" si="374"/>
        <v>50000</v>
      </c>
      <c r="R158" s="1138"/>
      <c r="S158" s="1138"/>
      <c r="T158" s="1138"/>
      <c r="U158" s="1138"/>
      <c r="V158" s="858"/>
      <c r="W158" s="1138"/>
      <c r="X158" s="1138"/>
      <c r="Y158" s="1138">
        <f t="shared" si="494"/>
        <v>120000</v>
      </c>
      <c r="Z158" s="1138">
        <f t="shared" si="487"/>
        <v>75000</v>
      </c>
      <c r="AA158" s="1138">
        <f t="shared" si="488"/>
        <v>267400</v>
      </c>
      <c r="AB158" s="1138">
        <f t="shared" si="390"/>
        <v>2487400</v>
      </c>
      <c r="AC158" s="1138">
        <f t="shared" si="391"/>
        <v>62185</v>
      </c>
      <c r="AD158" s="1138">
        <f t="shared" si="392"/>
        <v>2549585</v>
      </c>
      <c r="AE158" s="1138">
        <f t="shared" si="393"/>
        <v>63739.625</v>
      </c>
      <c r="AF158" s="1138">
        <f t="shared" si="394"/>
        <v>2613324.625</v>
      </c>
      <c r="AG158" s="1138">
        <f t="shared" si="395"/>
        <v>65333.115625000006</v>
      </c>
      <c r="AH158" s="1138">
        <f t="shared" si="396"/>
        <v>2678657.7406250001</v>
      </c>
      <c r="AI158" s="1138">
        <f t="shared" si="397"/>
        <v>133932.88703125002</v>
      </c>
      <c r="AJ158" s="1138">
        <f t="shared" si="398"/>
        <v>2812590.6276562503</v>
      </c>
      <c r="AK158" s="1138">
        <f t="shared" si="399"/>
        <v>28125.906276562502</v>
      </c>
      <c r="AL158" s="1138">
        <f t="shared" si="400"/>
        <v>27537.409960060559</v>
      </c>
      <c r="AM158" s="1138"/>
      <c r="AN158" s="1138"/>
      <c r="AO158" s="1138">
        <f t="shared" si="401"/>
        <v>2868253.9438928734</v>
      </c>
      <c r="AP158" s="1138">
        <f t="shared" si="402"/>
        <v>387214.28242553794</v>
      </c>
      <c r="AQ158" s="1248">
        <f t="shared" si="403"/>
        <v>3255468.2263184115</v>
      </c>
      <c r="AR158" s="1248">
        <f t="shared" si="347"/>
        <v>2925468.2263184115</v>
      </c>
      <c r="AS158" s="1248">
        <v>15000</v>
      </c>
      <c r="AT158" s="1248">
        <f t="shared" si="348"/>
        <v>330000</v>
      </c>
      <c r="AU158" s="1248">
        <f t="shared" si="404"/>
        <v>39600</v>
      </c>
      <c r="AV158" s="1140">
        <f t="shared" si="405"/>
        <v>369600</v>
      </c>
      <c r="AW158" s="1140">
        <f t="shared" si="406"/>
        <v>3295068.2263184115</v>
      </c>
      <c r="AX158" s="1139">
        <f t="shared" si="407"/>
        <v>41188.352828980147</v>
      </c>
      <c r="AY158" s="831" t="s">
        <v>478</v>
      </c>
      <c r="AZ158" s="831">
        <f t="shared" si="408"/>
        <v>3336256.5791473915</v>
      </c>
      <c r="BA158" s="831">
        <f t="shared" si="409"/>
        <v>125109.62171802718</v>
      </c>
      <c r="BB158" s="831"/>
      <c r="BC158" s="831">
        <f t="shared" si="346"/>
        <v>33600</v>
      </c>
      <c r="BD158" s="831"/>
      <c r="BE158" s="831">
        <f t="shared" si="410"/>
        <v>3494966.2008654187</v>
      </c>
      <c r="BF158" s="831"/>
      <c r="BG158" s="831">
        <f t="shared" si="411"/>
        <v>3494966.2008654187</v>
      </c>
      <c r="BH158" s="831"/>
      <c r="BI158" s="831">
        <f t="shared" si="412"/>
        <v>3494966.2008654187</v>
      </c>
      <c r="BJ158" s="831"/>
      <c r="BK158" s="831">
        <f t="shared" si="413"/>
        <v>3494966.2008654187</v>
      </c>
      <c r="BL158" s="831"/>
      <c r="BM158" s="831">
        <f t="shared" si="414"/>
        <v>3494966.2008654187</v>
      </c>
      <c r="BN158" s="831"/>
      <c r="BO158" s="831">
        <f t="shared" si="415"/>
        <v>3494966.2008654187</v>
      </c>
      <c r="BP158" s="831"/>
      <c r="BQ158" s="831">
        <f t="shared" si="416"/>
        <v>3494966.2008654187</v>
      </c>
      <c r="BR158" s="831"/>
      <c r="BS158" s="831">
        <f t="shared" si="417"/>
        <v>3494966.2008654187</v>
      </c>
      <c r="BT158" s="831"/>
      <c r="BU158" s="831">
        <f t="shared" si="418"/>
        <v>3494966.2008654187</v>
      </c>
      <c r="BV158" s="831"/>
      <c r="BW158" s="831">
        <f t="shared" si="419"/>
        <v>56400</v>
      </c>
      <c r="BX158" s="831">
        <f t="shared" si="420"/>
        <v>3551366.2008654187</v>
      </c>
      <c r="BY158" s="831"/>
      <c r="BZ158" s="831">
        <f t="shared" si="421"/>
        <v>3551366.2008654187</v>
      </c>
      <c r="CA158" s="1260">
        <f t="shared" si="422"/>
        <v>3551366.2008654187</v>
      </c>
      <c r="CB158" s="1260">
        <f t="shared" si="423"/>
        <v>3551366.2008654187</v>
      </c>
      <c r="CC158" s="1260"/>
      <c r="CD158" s="1260">
        <f t="shared" si="424"/>
        <v>0</v>
      </c>
      <c r="CE158" s="1260">
        <f t="shared" si="425"/>
        <v>0</v>
      </c>
      <c r="CF158" s="1260">
        <f t="shared" si="426"/>
        <v>0</v>
      </c>
      <c r="CG158" s="1266">
        <f t="shared" si="427"/>
        <v>3551366.2008654187</v>
      </c>
      <c r="CH158" s="1141">
        <f t="shared" si="428"/>
        <v>3551366.2008654187</v>
      </c>
      <c r="CI158" s="1142">
        <f t="shared" si="429"/>
        <v>0</v>
      </c>
      <c r="CJ158" s="1141">
        <f t="shared" si="430"/>
        <v>364015.03558870539</v>
      </c>
      <c r="CK158" s="1141">
        <f t="shared" si="431"/>
        <v>124297.81703028966</v>
      </c>
      <c r="CL158" s="1143">
        <f t="shared" si="489"/>
        <v>4039679.0534844138</v>
      </c>
      <c r="CM158" s="1144">
        <f t="shared" si="432"/>
        <v>0.125</v>
      </c>
      <c r="CN158" s="1141">
        <f t="shared" si="502"/>
        <v>504959.88168555172</v>
      </c>
      <c r="CO158" s="1141">
        <f t="shared" si="433"/>
        <v>30000</v>
      </c>
      <c r="CP158" s="1141">
        <f t="shared" si="503"/>
        <v>474959.88168555172</v>
      </c>
      <c r="CQ158" s="1145">
        <f t="shared" si="434"/>
        <v>14</v>
      </c>
      <c r="CR158" s="1141">
        <f t="shared" si="504"/>
        <v>33925.705834682267</v>
      </c>
      <c r="CS158" s="1144">
        <f t="shared" si="435"/>
        <v>0.875</v>
      </c>
      <c r="CT158" s="1141">
        <f t="shared" si="436"/>
        <v>3534719.1717988621</v>
      </c>
      <c r="CU158" s="1146">
        <f t="shared" si="375"/>
        <v>27404.640116072878</v>
      </c>
      <c r="CV158" s="1146">
        <f t="shared" si="376"/>
        <v>31771.055211368941</v>
      </c>
      <c r="CW158" s="1146">
        <f t="shared" si="377"/>
        <v>41041.086750248025</v>
      </c>
      <c r="CX158" s="1146">
        <f t="shared" si="378"/>
        <v>69991.676105169143</v>
      </c>
      <c r="CY158" s="1146">
        <f t="shared" si="437"/>
        <v>287136.47348060511</v>
      </c>
      <c r="CZ158" s="1146">
        <f t="shared" si="438"/>
        <v>113618.50383420824</v>
      </c>
      <c r="DA158" s="1146">
        <f t="shared" si="439"/>
        <v>82065.036118468444</v>
      </c>
      <c r="DB158" s="1146">
        <f t="shared" si="440"/>
        <v>62455.270565287698</v>
      </c>
      <c r="DC158" s="1146"/>
      <c r="DD158" s="1146"/>
      <c r="DE158" s="1146"/>
      <c r="DF158" s="1146"/>
      <c r="DG158" s="1146"/>
      <c r="DH158" s="1146"/>
      <c r="DI158" s="1146"/>
      <c r="DJ158" s="1146"/>
      <c r="DK158" s="1146"/>
      <c r="DL158" s="1146"/>
      <c r="DM158" s="1146"/>
      <c r="DN158" s="1146"/>
      <c r="DO158" s="1146"/>
      <c r="DP158" s="1146"/>
      <c r="DQ158" s="1146"/>
      <c r="DR158" s="1146"/>
      <c r="DS158" s="1146"/>
      <c r="DT158" s="1146"/>
      <c r="DU158" s="1146"/>
      <c r="DV158" s="1146"/>
      <c r="DW158" s="1146"/>
      <c r="DX158" s="1146"/>
      <c r="DY158" s="1146"/>
      <c r="DZ158" s="1146"/>
      <c r="EA158" s="1147">
        <f t="shared" si="379"/>
        <v>0.11280245569964444</v>
      </c>
      <c r="EB158" s="1148">
        <f t="shared" si="441"/>
        <v>0</v>
      </c>
      <c r="EC158" s="1190">
        <f t="shared" si="484"/>
        <v>45839</v>
      </c>
      <c r="ED158" s="1031">
        <f t="shared" si="380"/>
        <v>20</v>
      </c>
      <c r="EE158" s="1191"/>
      <c r="EF158" s="1032">
        <f t="shared" si="381"/>
        <v>45904</v>
      </c>
      <c r="EG158" s="1029">
        <f t="shared" si="442"/>
        <v>22</v>
      </c>
      <c r="EH158" s="859" t="s">
        <v>490</v>
      </c>
      <c r="EI158" s="859" t="s">
        <v>480</v>
      </c>
      <c r="EJ158" s="860">
        <f t="shared" si="382"/>
        <v>16800</v>
      </c>
      <c r="EK158" s="860">
        <f t="shared" si="383"/>
        <v>369600</v>
      </c>
      <c r="EL158" s="861">
        <f t="shared" si="384"/>
        <v>0.12633875038360176</v>
      </c>
      <c r="EM158" s="1197"/>
      <c r="EN158" s="860"/>
      <c r="EO158" s="860"/>
      <c r="EP158" s="860">
        <f t="shared" si="385"/>
        <v>0</v>
      </c>
      <c r="EQ158" s="1197"/>
      <c r="ER158" s="1200"/>
      <c r="ES158" s="1197"/>
      <c r="ET158" s="1194" t="s">
        <v>320</v>
      </c>
      <c r="EU158" s="1197" t="b">
        <f t="shared" si="386"/>
        <v>1</v>
      </c>
      <c r="EV158" s="1197" t="s">
        <v>638</v>
      </c>
      <c r="EW158" s="1197" t="s">
        <v>482</v>
      </c>
      <c r="EX158" s="1197"/>
      <c r="EY158" s="1128" t="s">
        <v>587</v>
      </c>
      <c r="EZ158" s="1128" t="s">
        <v>484</v>
      </c>
      <c r="FA158" s="1169">
        <f t="shared" si="443"/>
        <v>0</v>
      </c>
      <c r="FI158" s="1309" t="s">
        <v>149</v>
      </c>
      <c r="FJ158" s="1159" t="s">
        <v>149</v>
      </c>
      <c r="FK158" s="1160" t="b">
        <f t="shared" si="444"/>
        <v>1</v>
      </c>
      <c r="FL158" s="1131"/>
      <c r="FM158" s="1161"/>
      <c r="FU158" s="1295"/>
      <c r="FV158" s="1295"/>
      <c r="FW158" s="1023">
        <v>0.15</v>
      </c>
      <c r="FX158" s="1162">
        <v>14779.232183399639</v>
      </c>
      <c r="FY158" s="1163">
        <v>15241.083189130877</v>
      </c>
      <c r="GA158" s="1164">
        <f t="shared" si="445"/>
        <v>4039679.0534844138</v>
      </c>
      <c r="GB158" s="1165">
        <f t="shared" si="485"/>
        <v>0.15</v>
      </c>
      <c r="GC158" s="1154">
        <f t="shared" si="446"/>
        <v>605951.858022662</v>
      </c>
      <c r="GD158" s="1164">
        <f t="shared" si="447"/>
        <v>30000</v>
      </c>
      <c r="GE158" s="1154">
        <f t="shared" si="448"/>
        <v>575951.858022662</v>
      </c>
      <c r="GF158" s="1060">
        <f t="shared" si="449"/>
        <v>35</v>
      </c>
      <c r="GG158" s="1166">
        <f t="shared" si="450"/>
        <v>16455.767372076058</v>
      </c>
      <c r="GI158" s="1164">
        <f t="shared" si="451"/>
        <v>4039679.0534844138</v>
      </c>
      <c r="GJ158" s="1154">
        <f t="shared" si="452"/>
        <v>403967.90534844139</v>
      </c>
      <c r="GK158" s="1154">
        <f t="shared" si="453"/>
        <v>100991.97633711035</v>
      </c>
      <c r="GL158" s="1166">
        <v>15000</v>
      </c>
      <c r="GM158" s="1154">
        <f t="shared" si="454"/>
        <v>388967.90534844139</v>
      </c>
      <c r="GN158" s="1060">
        <f t="shared" si="455"/>
        <v>35</v>
      </c>
      <c r="GO158" s="1154">
        <f t="shared" si="456"/>
        <v>11113.368724241183</v>
      </c>
      <c r="GS158" s="1010">
        <f t="shared" si="457"/>
        <v>4039679.0534844138</v>
      </c>
      <c r="GT158" s="1011">
        <f t="shared" si="458"/>
        <v>0.125</v>
      </c>
      <c r="GU158" s="1010">
        <f t="shared" si="459"/>
        <v>504959.88168555172</v>
      </c>
      <c r="GV158" s="1010">
        <f t="shared" si="460"/>
        <v>30000</v>
      </c>
      <c r="GW158" s="1010">
        <f t="shared" si="461"/>
        <v>474959.88168555172</v>
      </c>
      <c r="GX158" s="1010">
        <f t="shared" si="462"/>
        <v>14</v>
      </c>
      <c r="GY158" s="1010">
        <f t="shared" si="463"/>
        <v>33925.705834682267</v>
      </c>
      <c r="GZ158" s="1011">
        <f t="shared" si="464"/>
        <v>0.875</v>
      </c>
      <c r="HA158" s="1010">
        <f t="shared" si="465"/>
        <v>3534719.1717988621</v>
      </c>
      <c r="HB158" s="1010">
        <f t="shared" si="466"/>
        <v>27404.640116072878</v>
      </c>
      <c r="HC158" s="1010">
        <f t="shared" si="467"/>
        <v>31771.055211368941</v>
      </c>
      <c r="HD158" s="1010">
        <f t="shared" si="468"/>
        <v>41041.086750248025</v>
      </c>
      <c r="HE158" s="1010">
        <f t="shared" si="469"/>
        <v>69991.676105169143</v>
      </c>
      <c r="HG158" s="1010">
        <f t="shared" si="470"/>
        <v>4039679.0534844138</v>
      </c>
      <c r="HH158" s="1011">
        <f t="shared" si="471"/>
        <v>0.125</v>
      </c>
      <c r="HI158" s="1010">
        <f t="shared" si="472"/>
        <v>504959.88168555172</v>
      </c>
      <c r="HJ158" s="1010">
        <f t="shared" si="473"/>
        <v>30000</v>
      </c>
      <c r="HK158" s="1010">
        <f t="shared" si="474"/>
        <v>474959.88168555172</v>
      </c>
      <c r="HL158" s="1012">
        <f t="shared" si="475"/>
        <v>33</v>
      </c>
      <c r="HM158" s="1167">
        <f t="shared" si="476"/>
        <v>14392.723687440961</v>
      </c>
      <c r="HN158" s="1168">
        <f t="shared" si="477"/>
        <v>0.875</v>
      </c>
      <c r="HO158" s="1167">
        <f t="shared" si="478"/>
        <v>3534719.1717988621</v>
      </c>
      <c r="HP158" s="1146">
        <f t="shared" si="479"/>
        <v>27404.640116072878</v>
      </c>
      <c r="HQ158" s="1146">
        <f t="shared" si="480"/>
        <v>31771.055211368941</v>
      </c>
      <c r="HR158" s="1146">
        <f t="shared" si="481"/>
        <v>41041.086750248025</v>
      </c>
      <c r="HS158" s="1146">
        <f t="shared" si="482"/>
        <v>69991.676105169143</v>
      </c>
      <c r="HU158" s="1167">
        <f t="shared" si="483"/>
        <v>-19532.982147241306</v>
      </c>
      <c r="HX158" s="1154"/>
      <c r="HY158" s="1154"/>
      <c r="IB158" s="1154"/>
      <c r="IC158" s="1154"/>
      <c r="ID158" s="1154"/>
      <c r="IE158" s="1154"/>
      <c r="IG158" s="1060"/>
    </row>
    <row r="159" spans="1:241" ht="14.25" hidden="1" customHeight="1">
      <c r="A159" s="1186">
        <f t="shared" si="490"/>
        <v>153</v>
      </c>
      <c r="B159" s="824" t="s">
        <v>149</v>
      </c>
      <c r="C159" s="855">
        <f t="shared" si="492"/>
        <v>12</v>
      </c>
      <c r="D159" s="856" t="s">
        <v>310</v>
      </c>
      <c r="E159" s="857" t="str">
        <f t="shared" si="387"/>
        <v>10th Floor</v>
      </c>
      <c r="F159" s="1185"/>
      <c r="G159" s="764" t="s">
        <v>321</v>
      </c>
      <c r="H159" s="764" t="s">
        <v>520</v>
      </c>
      <c r="I159" s="764" t="s">
        <v>476</v>
      </c>
      <c r="J159" s="1139">
        <v>22</v>
      </c>
      <c r="K159" s="1142"/>
      <c r="L159" s="764" t="s">
        <v>500</v>
      </c>
      <c r="M159" s="764" t="s">
        <v>93</v>
      </c>
      <c r="N159" s="856">
        <f t="shared" si="388"/>
        <v>100909.09090909091</v>
      </c>
      <c r="O159" s="1138">
        <f t="shared" si="486"/>
        <v>2220000</v>
      </c>
      <c r="P159" s="1138">
        <f t="shared" si="491"/>
        <v>22400</v>
      </c>
      <c r="Q159" s="1138">
        <f t="shared" si="374"/>
        <v>50000</v>
      </c>
      <c r="R159" s="1138"/>
      <c r="S159" s="1138"/>
      <c r="T159" s="1138"/>
      <c r="U159" s="1138"/>
      <c r="V159" s="858"/>
      <c r="W159" s="1138"/>
      <c r="X159" s="1138"/>
      <c r="Y159" s="1138">
        <f t="shared" si="494"/>
        <v>120000</v>
      </c>
      <c r="Z159" s="1138">
        <f t="shared" si="487"/>
        <v>75000</v>
      </c>
      <c r="AA159" s="1138">
        <f t="shared" si="488"/>
        <v>267400</v>
      </c>
      <c r="AB159" s="1138">
        <f t="shared" si="390"/>
        <v>2487400</v>
      </c>
      <c r="AC159" s="1138">
        <f t="shared" si="391"/>
        <v>62185</v>
      </c>
      <c r="AD159" s="1138">
        <f t="shared" si="392"/>
        <v>2549585</v>
      </c>
      <c r="AE159" s="1138">
        <f t="shared" si="393"/>
        <v>63739.625</v>
      </c>
      <c r="AF159" s="1138">
        <f t="shared" si="394"/>
        <v>2613324.625</v>
      </c>
      <c r="AG159" s="1138">
        <f t="shared" si="395"/>
        <v>65333.115625000006</v>
      </c>
      <c r="AH159" s="1138">
        <f t="shared" si="396"/>
        <v>2678657.7406250001</v>
      </c>
      <c r="AI159" s="1138">
        <f t="shared" si="397"/>
        <v>133932.88703125002</v>
      </c>
      <c r="AJ159" s="1138">
        <f t="shared" si="398"/>
        <v>2812590.6276562503</v>
      </c>
      <c r="AK159" s="1138">
        <f t="shared" si="399"/>
        <v>28125.906276562502</v>
      </c>
      <c r="AL159" s="1138">
        <f t="shared" si="400"/>
        <v>27537.409960060559</v>
      </c>
      <c r="AM159" s="1138"/>
      <c r="AN159" s="1138"/>
      <c r="AO159" s="1138">
        <f t="shared" si="401"/>
        <v>2868253.9438928734</v>
      </c>
      <c r="AP159" s="1138">
        <f t="shared" si="402"/>
        <v>387214.28242553794</v>
      </c>
      <c r="AQ159" s="1248">
        <f t="shared" si="403"/>
        <v>3255468.2263184115</v>
      </c>
      <c r="AR159" s="1248">
        <f t="shared" si="347"/>
        <v>2925468.2263184115</v>
      </c>
      <c r="AS159" s="1248">
        <v>15000</v>
      </c>
      <c r="AT159" s="1248">
        <f t="shared" si="348"/>
        <v>330000</v>
      </c>
      <c r="AU159" s="1248">
        <f t="shared" si="404"/>
        <v>39600</v>
      </c>
      <c r="AV159" s="1140">
        <f t="shared" si="405"/>
        <v>369600</v>
      </c>
      <c r="AW159" s="1140">
        <f t="shared" si="406"/>
        <v>3295068.2263184115</v>
      </c>
      <c r="AX159" s="1139">
        <f t="shared" si="407"/>
        <v>41188.352828980147</v>
      </c>
      <c r="AY159" s="831" t="s">
        <v>478</v>
      </c>
      <c r="AZ159" s="831">
        <f t="shared" si="408"/>
        <v>3336256.5791473915</v>
      </c>
      <c r="BA159" s="831">
        <f t="shared" si="409"/>
        <v>125109.62171802718</v>
      </c>
      <c r="BB159" s="831"/>
      <c r="BC159" s="831">
        <f t="shared" si="346"/>
        <v>33600</v>
      </c>
      <c r="BD159" s="831"/>
      <c r="BE159" s="831">
        <f t="shared" si="410"/>
        <v>3494966.2008654187</v>
      </c>
      <c r="BF159" s="831"/>
      <c r="BG159" s="831">
        <f t="shared" si="411"/>
        <v>3494966.2008654187</v>
      </c>
      <c r="BH159" s="831"/>
      <c r="BI159" s="831">
        <f t="shared" si="412"/>
        <v>3494966.2008654187</v>
      </c>
      <c r="BJ159" s="831"/>
      <c r="BK159" s="831">
        <f t="shared" si="413"/>
        <v>3494966.2008654187</v>
      </c>
      <c r="BL159" s="831"/>
      <c r="BM159" s="831">
        <f t="shared" si="414"/>
        <v>3494966.2008654187</v>
      </c>
      <c r="BN159" s="831"/>
      <c r="BO159" s="831">
        <f t="shared" si="415"/>
        <v>3494966.2008654187</v>
      </c>
      <c r="BP159" s="831"/>
      <c r="BQ159" s="831">
        <f t="shared" si="416"/>
        <v>3494966.2008654187</v>
      </c>
      <c r="BR159" s="831"/>
      <c r="BS159" s="831">
        <f t="shared" si="417"/>
        <v>3494966.2008654187</v>
      </c>
      <c r="BT159" s="831"/>
      <c r="BU159" s="831">
        <f t="shared" si="418"/>
        <v>3494966.2008654187</v>
      </c>
      <c r="BV159" s="831"/>
      <c r="BW159" s="831">
        <f t="shared" si="419"/>
        <v>56400</v>
      </c>
      <c r="BX159" s="831">
        <f t="shared" si="420"/>
        <v>3551366.2008654187</v>
      </c>
      <c r="BY159" s="831"/>
      <c r="BZ159" s="831">
        <f t="shared" si="421"/>
        <v>3551366.2008654187</v>
      </c>
      <c r="CA159" s="1260">
        <f t="shared" si="422"/>
        <v>3551366.2008654187</v>
      </c>
      <c r="CB159" s="1260">
        <f t="shared" si="423"/>
        <v>3551366.2008654187</v>
      </c>
      <c r="CC159" s="1260"/>
      <c r="CD159" s="1260">
        <f t="shared" si="424"/>
        <v>0</v>
      </c>
      <c r="CE159" s="1260">
        <f t="shared" si="425"/>
        <v>0</v>
      </c>
      <c r="CF159" s="1260">
        <f t="shared" si="426"/>
        <v>0</v>
      </c>
      <c r="CG159" s="1266">
        <f t="shared" si="427"/>
        <v>3551366.2008654187</v>
      </c>
      <c r="CH159" s="1141">
        <f t="shared" si="428"/>
        <v>3551366.2008654187</v>
      </c>
      <c r="CI159" s="1142">
        <f t="shared" si="429"/>
        <v>0</v>
      </c>
      <c r="CJ159" s="1141">
        <f t="shared" si="430"/>
        <v>364015.03558870539</v>
      </c>
      <c r="CK159" s="1141">
        <f t="shared" si="431"/>
        <v>124297.81703028966</v>
      </c>
      <c r="CL159" s="1143">
        <f t="shared" si="489"/>
        <v>4039679.0534844138</v>
      </c>
      <c r="CM159" s="1144">
        <f t="shared" si="432"/>
        <v>0.125</v>
      </c>
      <c r="CN159" s="1141">
        <f t="shared" si="502"/>
        <v>504959.88168555172</v>
      </c>
      <c r="CO159" s="1141">
        <f t="shared" si="433"/>
        <v>30000</v>
      </c>
      <c r="CP159" s="1141">
        <f t="shared" si="503"/>
        <v>474959.88168555172</v>
      </c>
      <c r="CQ159" s="1145">
        <f t="shared" si="434"/>
        <v>14</v>
      </c>
      <c r="CR159" s="1141">
        <f t="shared" si="504"/>
        <v>33925.705834682267</v>
      </c>
      <c r="CS159" s="1144">
        <f t="shared" si="435"/>
        <v>0.875</v>
      </c>
      <c r="CT159" s="1141">
        <f t="shared" si="436"/>
        <v>3534719.1717988621</v>
      </c>
      <c r="CU159" s="1146">
        <f t="shared" si="375"/>
        <v>27404.640116072878</v>
      </c>
      <c r="CV159" s="1146">
        <f t="shared" si="376"/>
        <v>31771.055211368941</v>
      </c>
      <c r="CW159" s="1146">
        <f t="shared" si="377"/>
        <v>41041.086750248025</v>
      </c>
      <c r="CX159" s="1146">
        <f t="shared" si="378"/>
        <v>69991.676105169143</v>
      </c>
      <c r="CY159" s="1146">
        <f t="shared" si="437"/>
        <v>287136.47348060511</v>
      </c>
      <c r="CZ159" s="1146">
        <f t="shared" si="438"/>
        <v>113618.50383420824</v>
      </c>
      <c r="DA159" s="1146">
        <f t="shared" si="439"/>
        <v>82065.036118468444</v>
      </c>
      <c r="DB159" s="1146">
        <f t="shared" si="440"/>
        <v>62455.270565287698</v>
      </c>
      <c r="DC159" s="1146"/>
      <c r="DD159" s="1146"/>
      <c r="DE159" s="1146"/>
      <c r="DF159" s="1146"/>
      <c r="DG159" s="1146"/>
      <c r="DH159" s="1146"/>
      <c r="DI159" s="1146"/>
      <c r="DJ159" s="1146"/>
      <c r="DK159" s="1146"/>
      <c r="DL159" s="1146"/>
      <c r="DM159" s="1146"/>
      <c r="DN159" s="1146"/>
      <c r="DO159" s="1146"/>
      <c r="DP159" s="1146"/>
      <c r="DQ159" s="1146"/>
      <c r="DR159" s="1146"/>
      <c r="DS159" s="1146"/>
      <c r="DT159" s="1146"/>
      <c r="DU159" s="1146"/>
      <c r="DV159" s="1146"/>
      <c r="DW159" s="1146"/>
      <c r="DX159" s="1146"/>
      <c r="DY159" s="1146"/>
      <c r="DZ159" s="1146"/>
      <c r="EA159" s="1147">
        <f t="shared" si="379"/>
        <v>0.11280245569964444</v>
      </c>
      <c r="EB159" s="1148">
        <f t="shared" si="441"/>
        <v>0</v>
      </c>
      <c r="EC159" s="1190">
        <f t="shared" si="484"/>
        <v>45839</v>
      </c>
      <c r="ED159" s="1031">
        <f t="shared" si="380"/>
        <v>20</v>
      </c>
      <c r="EE159" s="1191"/>
      <c r="EF159" s="1032">
        <f t="shared" si="381"/>
        <v>45904</v>
      </c>
      <c r="EG159" s="1029">
        <f t="shared" si="442"/>
        <v>22</v>
      </c>
      <c r="EH159" s="859" t="s">
        <v>490</v>
      </c>
      <c r="EI159" s="859" t="s">
        <v>480</v>
      </c>
      <c r="EJ159" s="860">
        <f t="shared" si="382"/>
        <v>16800</v>
      </c>
      <c r="EK159" s="860">
        <f t="shared" si="383"/>
        <v>369600</v>
      </c>
      <c r="EL159" s="861">
        <f t="shared" si="384"/>
        <v>0.12633875038360176</v>
      </c>
      <c r="EM159" s="1197"/>
      <c r="EN159" s="860"/>
      <c r="EO159" s="860"/>
      <c r="EP159" s="860">
        <f t="shared" si="385"/>
        <v>0</v>
      </c>
      <c r="EQ159" s="1197"/>
      <c r="ER159" s="1200"/>
      <c r="ES159" s="1197"/>
      <c r="ET159" s="1194" t="s">
        <v>321</v>
      </c>
      <c r="EU159" s="1197" t="b">
        <f t="shared" si="386"/>
        <v>1</v>
      </c>
      <c r="EV159" s="1197" t="s">
        <v>639</v>
      </c>
      <c r="EW159" s="1197" t="s">
        <v>482</v>
      </c>
      <c r="EX159" s="1197"/>
      <c r="EY159" s="1128" t="s">
        <v>587</v>
      </c>
      <c r="EZ159" s="1128" t="s">
        <v>484</v>
      </c>
      <c r="FA159" s="1169">
        <f t="shared" si="443"/>
        <v>0</v>
      </c>
      <c r="FI159" s="1309" t="s">
        <v>149</v>
      </c>
      <c r="FJ159" s="1159" t="s">
        <v>149</v>
      </c>
      <c r="FK159" s="1160" t="b">
        <f t="shared" si="444"/>
        <v>1</v>
      </c>
      <c r="FL159" s="1131"/>
      <c r="FM159" s="1161"/>
      <c r="FU159" s="1295"/>
      <c r="FV159" s="1295"/>
      <c r="FW159" s="1023">
        <v>0.15</v>
      </c>
      <c r="FX159" s="1162">
        <v>14779.232183399639</v>
      </c>
      <c r="FY159" s="1163">
        <v>15241.083189130877</v>
      </c>
      <c r="GA159" s="1164">
        <f t="shared" si="445"/>
        <v>4039679.0534844138</v>
      </c>
      <c r="GB159" s="1165">
        <f t="shared" si="485"/>
        <v>0.15</v>
      </c>
      <c r="GC159" s="1154">
        <f t="shared" si="446"/>
        <v>605951.858022662</v>
      </c>
      <c r="GD159" s="1164">
        <f t="shared" si="447"/>
        <v>30000</v>
      </c>
      <c r="GE159" s="1154">
        <f t="shared" si="448"/>
        <v>575951.858022662</v>
      </c>
      <c r="GF159" s="1060">
        <f t="shared" si="449"/>
        <v>35</v>
      </c>
      <c r="GG159" s="1166">
        <f t="shared" si="450"/>
        <v>16455.767372076058</v>
      </c>
      <c r="GI159" s="1164">
        <f t="shared" si="451"/>
        <v>4039679.0534844138</v>
      </c>
      <c r="GJ159" s="1154">
        <f t="shared" si="452"/>
        <v>403967.90534844139</v>
      </c>
      <c r="GK159" s="1154">
        <f t="shared" si="453"/>
        <v>100991.97633711035</v>
      </c>
      <c r="GL159" s="1166">
        <v>15000</v>
      </c>
      <c r="GM159" s="1154">
        <f t="shared" si="454"/>
        <v>388967.90534844139</v>
      </c>
      <c r="GN159" s="1060">
        <f t="shared" si="455"/>
        <v>35</v>
      </c>
      <c r="GO159" s="1154">
        <f t="shared" si="456"/>
        <v>11113.368724241183</v>
      </c>
      <c r="GS159" s="1010">
        <f t="shared" si="457"/>
        <v>4039679.0534844138</v>
      </c>
      <c r="GT159" s="1011">
        <f t="shared" si="458"/>
        <v>0.125</v>
      </c>
      <c r="GU159" s="1010">
        <f t="shared" si="459"/>
        <v>504959.88168555172</v>
      </c>
      <c r="GV159" s="1010">
        <f t="shared" si="460"/>
        <v>30000</v>
      </c>
      <c r="GW159" s="1010">
        <f t="shared" si="461"/>
        <v>474959.88168555172</v>
      </c>
      <c r="GX159" s="1010">
        <f t="shared" si="462"/>
        <v>14</v>
      </c>
      <c r="GY159" s="1010">
        <f t="shared" si="463"/>
        <v>33925.705834682267</v>
      </c>
      <c r="GZ159" s="1011">
        <f t="shared" si="464"/>
        <v>0.875</v>
      </c>
      <c r="HA159" s="1010">
        <f t="shared" si="465"/>
        <v>3534719.1717988621</v>
      </c>
      <c r="HB159" s="1010">
        <f t="shared" si="466"/>
        <v>27404.640116072878</v>
      </c>
      <c r="HC159" s="1010">
        <f t="shared" si="467"/>
        <v>31771.055211368941</v>
      </c>
      <c r="HD159" s="1010">
        <f t="shared" si="468"/>
        <v>41041.086750248025</v>
      </c>
      <c r="HE159" s="1010">
        <f t="shared" si="469"/>
        <v>69991.676105169143</v>
      </c>
      <c r="HG159" s="1010">
        <f t="shared" si="470"/>
        <v>4039679.0534844138</v>
      </c>
      <c r="HH159" s="1011">
        <f t="shared" si="471"/>
        <v>0.125</v>
      </c>
      <c r="HI159" s="1010">
        <f t="shared" si="472"/>
        <v>504959.88168555172</v>
      </c>
      <c r="HJ159" s="1010">
        <f t="shared" si="473"/>
        <v>30000</v>
      </c>
      <c r="HK159" s="1010">
        <f t="shared" si="474"/>
        <v>474959.88168555172</v>
      </c>
      <c r="HL159" s="1012">
        <f t="shared" si="475"/>
        <v>33</v>
      </c>
      <c r="HM159" s="1167">
        <f t="shared" si="476"/>
        <v>14392.723687440961</v>
      </c>
      <c r="HN159" s="1168">
        <f t="shared" si="477"/>
        <v>0.875</v>
      </c>
      <c r="HO159" s="1167">
        <f t="shared" si="478"/>
        <v>3534719.1717988621</v>
      </c>
      <c r="HP159" s="1146">
        <f t="shared" si="479"/>
        <v>27404.640116072878</v>
      </c>
      <c r="HQ159" s="1146">
        <f t="shared" si="480"/>
        <v>31771.055211368941</v>
      </c>
      <c r="HR159" s="1146">
        <f t="shared" si="481"/>
        <v>41041.086750248025</v>
      </c>
      <c r="HS159" s="1146">
        <f t="shared" si="482"/>
        <v>69991.676105169143</v>
      </c>
      <c r="HU159" s="1167">
        <f t="shared" si="483"/>
        <v>-19532.982147241306</v>
      </c>
      <c r="HX159" s="1154"/>
      <c r="HY159" s="1154"/>
      <c r="IB159" s="1154"/>
      <c r="IC159" s="1154"/>
      <c r="ID159" s="1154"/>
      <c r="IE159" s="1154"/>
      <c r="IG159" s="1060"/>
    </row>
    <row r="160" spans="1:241" ht="14.25" hidden="1" customHeight="1">
      <c r="A160" s="1186">
        <f t="shared" si="490"/>
        <v>154</v>
      </c>
      <c r="B160" s="824" t="s">
        <v>149</v>
      </c>
      <c r="C160" s="855">
        <f t="shared" si="492"/>
        <v>13</v>
      </c>
      <c r="D160" s="856" t="s">
        <v>310</v>
      </c>
      <c r="E160" s="857" t="str">
        <f t="shared" si="387"/>
        <v>10th Floor</v>
      </c>
      <c r="F160" s="1185"/>
      <c r="G160" s="764" t="s">
        <v>322</v>
      </c>
      <c r="H160" s="764" t="s">
        <v>525</v>
      </c>
      <c r="I160" s="764" t="s">
        <v>476</v>
      </c>
      <c r="J160" s="1139">
        <v>22</v>
      </c>
      <c r="K160" s="1142"/>
      <c r="L160" s="764" t="s">
        <v>500</v>
      </c>
      <c r="M160" s="764" t="s">
        <v>93</v>
      </c>
      <c r="N160" s="856">
        <f t="shared" si="388"/>
        <v>100909.09090909091</v>
      </c>
      <c r="O160" s="1138">
        <f t="shared" si="486"/>
        <v>2220000</v>
      </c>
      <c r="P160" s="1138">
        <f t="shared" si="491"/>
        <v>22400</v>
      </c>
      <c r="Q160" s="1138">
        <f t="shared" si="374"/>
        <v>50000</v>
      </c>
      <c r="R160" s="1138"/>
      <c r="S160" s="1138"/>
      <c r="T160" s="1138"/>
      <c r="U160" s="1138"/>
      <c r="V160" s="858"/>
      <c r="W160" s="1138"/>
      <c r="X160" s="1138"/>
      <c r="Y160" s="1138">
        <f t="shared" si="494"/>
        <v>120000</v>
      </c>
      <c r="Z160" s="1138">
        <f t="shared" si="487"/>
        <v>75000</v>
      </c>
      <c r="AA160" s="1138">
        <f t="shared" si="488"/>
        <v>267400</v>
      </c>
      <c r="AB160" s="1138">
        <f t="shared" si="390"/>
        <v>2487400</v>
      </c>
      <c r="AC160" s="1138">
        <f t="shared" si="391"/>
        <v>62185</v>
      </c>
      <c r="AD160" s="1138">
        <f t="shared" si="392"/>
        <v>2549585</v>
      </c>
      <c r="AE160" s="1138">
        <f t="shared" si="393"/>
        <v>63739.625</v>
      </c>
      <c r="AF160" s="1138">
        <f t="shared" si="394"/>
        <v>2613324.625</v>
      </c>
      <c r="AG160" s="1138">
        <f t="shared" si="395"/>
        <v>65333.115625000006</v>
      </c>
      <c r="AH160" s="1138">
        <f t="shared" si="396"/>
        <v>2678657.7406250001</v>
      </c>
      <c r="AI160" s="1138">
        <f t="shared" si="397"/>
        <v>133932.88703125002</v>
      </c>
      <c r="AJ160" s="1138">
        <f t="shared" si="398"/>
        <v>2812590.6276562503</v>
      </c>
      <c r="AK160" s="1138">
        <f t="shared" si="399"/>
        <v>28125.906276562502</v>
      </c>
      <c r="AL160" s="1138">
        <f t="shared" si="400"/>
        <v>27537.409960060559</v>
      </c>
      <c r="AM160" s="1138"/>
      <c r="AN160" s="1138"/>
      <c r="AO160" s="1138">
        <f t="shared" si="401"/>
        <v>2868253.9438928734</v>
      </c>
      <c r="AP160" s="1138">
        <f t="shared" si="402"/>
        <v>387214.28242553794</v>
      </c>
      <c r="AQ160" s="1248">
        <f t="shared" si="403"/>
        <v>3255468.2263184115</v>
      </c>
      <c r="AR160" s="1248">
        <f t="shared" si="347"/>
        <v>2925468.2263184115</v>
      </c>
      <c r="AS160" s="1248">
        <v>15000</v>
      </c>
      <c r="AT160" s="1248">
        <f t="shared" si="348"/>
        <v>330000</v>
      </c>
      <c r="AU160" s="1248">
        <f t="shared" si="404"/>
        <v>39600</v>
      </c>
      <c r="AV160" s="1140">
        <f t="shared" si="405"/>
        <v>369600</v>
      </c>
      <c r="AW160" s="1140">
        <f t="shared" si="406"/>
        <v>3295068.2263184115</v>
      </c>
      <c r="AX160" s="1139">
        <f t="shared" si="407"/>
        <v>41188.352828980147</v>
      </c>
      <c r="AY160" s="831" t="s">
        <v>478</v>
      </c>
      <c r="AZ160" s="831">
        <f t="shared" si="408"/>
        <v>3336256.5791473915</v>
      </c>
      <c r="BA160" s="831">
        <f t="shared" si="409"/>
        <v>125109.62171802718</v>
      </c>
      <c r="BB160" s="831"/>
      <c r="BC160" s="831">
        <f t="shared" si="346"/>
        <v>33600</v>
      </c>
      <c r="BD160" s="831"/>
      <c r="BE160" s="831">
        <f t="shared" si="410"/>
        <v>3494966.2008654187</v>
      </c>
      <c r="BF160" s="831"/>
      <c r="BG160" s="831">
        <f t="shared" si="411"/>
        <v>3494966.2008654187</v>
      </c>
      <c r="BH160" s="831"/>
      <c r="BI160" s="831">
        <f t="shared" si="412"/>
        <v>3494966.2008654187</v>
      </c>
      <c r="BJ160" s="831"/>
      <c r="BK160" s="831">
        <f t="shared" si="413"/>
        <v>3494966.2008654187</v>
      </c>
      <c r="BL160" s="831"/>
      <c r="BM160" s="831">
        <f t="shared" si="414"/>
        <v>3494966.2008654187</v>
      </c>
      <c r="BN160" s="831"/>
      <c r="BO160" s="831">
        <f t="shared" si="415"/>
        <v>3494966.2008654187</v>
      </c>
      <c r="BP160" s="831"/>
      <c r="BQ160" s="831">
        <f t="shared" si="416"/>
        <v>3494966.2008654187</v>
      </c>
      <c r="BR160" s="831"/>
      <c r="BS160" s="831">
        <f t="shared" si="417"/>
        <v>3494966.2008654187</v>
      </c>
      <c r="BT160" s="831"/>
      <c r="BU160" s="831">
        <f t="shared" si="418"/>
        <v>3494966.2008654187</v>
      </c>
      <c r="BV160" s="831"/>
      <c r="BW160" s="831">
        <f t="shared" si="419"/>
        <v>56400</v>
      </c>
      <c r="BX160" s="831">
        <f t="shared" si="420"/>
        <v>3551366.2008654187</v>
      </c>
      <c r="BY160" s="831"/>
      <c r="BZ160" s="831">
        <f t="shared" si="421"/>
        <v>3551366.2008654187</v>
      </c>
      <c r="CA160" s="1260">
        <f t="shared" si="422"/>
        <v>3551366.2008654187</v>
      </c>
      <c r="CB160" s="1260">
        <f t="shared" si="423"/>
        <v>3551366.2008654187</v>
      </c>
      <c r="CC160" s="1260"/>
      <c r="CD160" s="1260">
        <f t="shared" si="424"/>
        <v>0</v>
      </c>
      <c r="CE160" s="1260">
        <f t="shared" si="425"/>
        <v>0</v>
      </c>
      <c r="CF160" s="1260">
        <f t="shared" si="426"/>
        <v>0</v>
      </c>
      <c r="CG160" s="1266">
        <f t="shared" si="427"/>
        <v>3551366.2008654187</v>
      </c>
      <c r="CH160" s="1141">
        <f t="shared" si="428"/>
        <v>3551366.2008654187</v>
      </c>
      <c r="CI160" s="1142">
        <f t="shared" si="429"/>
        <v>0</v>
      </c>
      <c r="CJ160" s="1141">
        <f t="shared" si="430"/>
        <v>364015.03558870539</v>
      </c>
      <c r="CK160" s="1141">
        <f t="shared" si="431"/>
        <v>124297.81703028966</v>
      </c>
      <c r="CL160" s="1143">
        <f t="shared" si="489"/>
        <v>4039679.0534844138</v>
      </c>
      <c r="CM160" s="1144">
        <f t="shared" si="432"/>
        <v>0.125</v>
      </c>
      <c r="CN160" s="1141">
        <f t="shared" si="502"/>
        <v>504959.88168555172</v>
      </c>
      <c r="CO160" s="1141">
        <f t="shared" si="433"/>
        <v>30000</v>
      </c>
      <c r="CP160" s="1141">
        <f t="shared" si="503"/>
        <v>474959.88168555172</v>
      </c>
      <c r="CQ160" s="1145">
        <f t="shared" si="434"/>
        <v>14</v>
      </c>
      <c r="CR160" s="1141">
        <f t="shared" si="504"/>
        <v>33925.705834682267</v>
      </c>
      <c r="CS160" s="1144">
        <f t="shared" si="435"/>
        <v>0.875</v>
      </c>
      <c r="CT160" s="1141">
        <f t="shared" si="436"/>
        <v>3534719.1717988621</v>
      </c>
      <c r="CU160" s="1146">
        <f t="shared" si="375"/>
        <v>27404.640116072878</v>
      </c>
      <c r="CV160" s="1146">
        <f t="shared" si="376"/>
        <v>31771.055211368941</v>
      </c>
      <c r="CW160" s="1146">
        <f t="shared" si="377"/>
        <v>41041.086750248025</v>
      </c>
      <c r="CX160" s="1146">
        <f t="shared" si="378"/>
        <v>69991.676105169143</v>
      </c>
      <c r="CY160" s="1146">
        <f t="shared" si="437"/>
        <v>287136.47348060511</v>
      </c>
      <c r="CZ160" s="1146">
        <f t="shared" si="438"/>
        <v>113618.50383420824</v>
      </c>
      <c r="DA160" s="1146">
        <f t="shared" si="439"/>
        <v>82065.036118468444</v>
      </c>
      <c r="DB160" s="1146">
        <f t="shared" si="440"/>
        <v>62455.270565287698</v>
      </c>
      <c r="DC160" s="1146"/>
      <c r="DD160" s="1146"/>
      <c r="DE160" s="1146"/>
      <c r="DF160" s="1146"/>
      <c r="DG160" s="1146"/>
      <c r="DH160" s="1146"/>
      <c r="DI160" s="1146"/>
      <c r="DJ160" s="1146"/>
      <c r="DK160" s="1146"/>
      <c r="DL160" s="1146"/>
      <c r="DM160" s="1146"/>
      <c r="DN160" s="1146"/>
      <c r="DO160" s="1146"/>
      <c r="DP160" s="1146"/>
      <c r="DQ160" s="1146"/>
      <c r="DR160" s="1146"/>
      <c r="DS160" s="1146"/>
      <c r="DT160" s="1146"/>
      <c r="DU160" s="1146"/>
      <c r="DV160" s="1146"/>
      <c r="DW160" s="1146"/>
      <c r="DX160" s="1146"/>
      <c r="DY160" s="1146"/>
      <c r="DZ160" s="1146"/>
      <c r="EA160" s="1147">
        <f t="shared" si="379"/>
        <v>0.11280245569964444</v>
      </c>
      <c r="EB160" s="1148">
        <f t="shared" si="441"/>
        <v>0</v>
      </c>
      <c r="EC160" s="1190">
        <f t="shared" si="484"/>
        <v>45839</v>
      </c>
      <c r="ED160" s="1031">
        <f t="shared" si="380"/>
        <v>20</v>
      </c>
      <c r="EE160" s="1191"/>
      <c r="EF160" s="1032">
        <f t="shared" si="381"/>
        <v>45904</v>
      </c>
      <c r="EG160" s="1029">
        <f t="shared" si="442"/>
        <v>22</v>
      </c>
      <c r="EH160" s="859" t="s">
        <v>490</v>
      </c>
      <c r="EI160" s="859" t="s">
        <v>480</v>
      </c>
      <c r="EJ160" s="860">
        <f t="shared" si="382"/>
        <v>16800</v>
      </c>
      <c r="EK160" s="860">
        <f t="shared" si="383"/>
        <v>369600</v>
      </c>
      <c r="EL160" s="861">
        <f t="shared" si="384"/>
        <v>0.12633875038360176</v>
      </c>
      <c r="EM160" s="1197"/>
      <c r="EN160" s="860"/>
      <c r="EO160" s="860"/>
      <c r="EP160" s="860">
        <f t="shared" si="385"/>
        <v>0</v>
      </c>
      <c r="EQ160" s="1197"/>
      <c r="ER160" s="1200"/>
      <c r="ES160" s="1197"/>
      <c r="ET160" s="1194" t="s">
        <v>322</v>
      </c>
      <c r="EU160" s="1197" t="b">
        <f t="shared" si="386"/>
        <v>1</v>
      </c>
      <c r="EV160" s="1197" t="s">
        <v>640</v>
      </c>
      <c r="EW160" s="1197" t="s">
        <v>482</v>
      </c>
      <c r="EX160" s="1197"/>
      <c r="EY160" s="1128" t="s">
        <v>587</v>
      </c>
      <c r="EZ160" s="1128" t="s">
        <v>484</v>
      </c>
      <c r="FA160" s="1169">
        <f t="shared" si="443"/>
        <v>0</v>
      </c>
      <c r="FI160" s="1309" t="s">
        <v>149</v>
      </c>
      <c r="FJ160" s="1159" t="s">
        <v>149</v>
      </c>
      <c r="FK160" s="1160" t="b">
        <f t="shared" si="444"/>
        <v>1</v>
      </c>
      <c r="FL160" s="1131"/>
      <c r="FM160" s="1161"/>
      <c r="FU160" s="1295"/>
      <c r="FV160" s="1295"/>
      <c r="FW160" s="1023">
        <v>0.15</v>
      </c>
      <c r="FX160" s="1162">
        <v>14779.232183399639</v>
      </c>
      <c r="FY160" s="1163">
        <v>15241.083189130877</v>
      </c>
      <c r="GA160" s="1164">
        <f t="shared" si="445"/>
        <v>4039679.0534844138</v>
      </c>
      <c r="GB160" s="1165">
        <f t="shared" si="485"/>
        <v>0.15</v>
      </c>
      <c r="GC160" s="1154">
        <f t="shared" si="446"/>
        <v>605951.858022662</v>
      </c>
      <c r="GD160" s="1164">
        <f t="shared" si="447"/>
        <v>30000</v>
      </c>
      <c r="GE160" s="1154">
        <f t="shared" si="448"/>
        <v>575951.858022662</v>
      </c>
      <c r="GF160" s="1060">
        <f t="shared" si="449"/>
        <v>35</v>
      </c>
      <c r="GG160" s="1166">
        <f t="shared" si="450"/>
        <v>16455.767372076058</v>
      </c>
      <c r="GI160" s="1164">
        <f t="shared" si="451"/>
        <v>4039679.0534844138</v>
      </c>
      <c r="GJ160" s="1154">
        <f t="shared" si="452"/>
        <v>403967.90534844139</v>
      </c>
      <c r="GK160" s="1154">
        <f t="shared" si="453"/>
        <v>100991.97633711035</v>
      </c>
      <c r="GL160" s="1166">
        <v>15000</v>
      </c>
      <c r="GM160" s="1154">
        <f t="shared" si="454"/>
        <v>388967.90534844139</v>
      </c>
      <c r="GN160" s="1060">
        <f t="shared" si="455"/>
        <v>35</v>
      </c>
      <c r="GO160" s="1154">
        <f t="shared" si="456"/>
        <v>11113.368724241183</v>
      </c>
      <c r="GS160" s="1010">
        <f t="shared" si="457"/>
        <v>4039679.0534844138</v>
      </c>
      <c r="GT160" s="1011">
        <f t="shared" si="458"/>
        <v>0.125</v>
      </c>
      <c r="GU160" s="1010">
        <f t="shared" si="459"/>
        <v>504959.88168555172</v>
      </c>
      <c r="GV160" s="1010">
        <f t="shared" si="460"/>
        <v>30000</v>
      </c>
      <c r="GW160" s="1010">
        <f t="shared" si="461"/>
        <v>474959.88168555172</v>
      </c>
      <c r="GX160" s="1010">
        <f t="shared" si="462"/>
        <v>14</v>
      </c>
      <c r="GY160" s="1010">
        <f t="shared" si="463"/>
        <v>33925.705834682267</v>
      </c>
      <c r="GZ160" s="1011">
        <f t="shared" si="464"/>
        <v>0.875</v>
      </c>
      <c r="HA160" s="1010">
        <f t="shared" si="465"/>
        <v>3534719.1717988621</v>
      </c>
      <c r="HB160" s="1010">
        <f t="shared" si="466"/>
        <v>27404.640116072878</v>
      </c>
      <c r="HC160" s="1010">
        <f t="shared" si="467"/>
        <v>31771.055211368941</v>
      </c>
      <c r="HD160" s="1010">
        <f t="shared" si="468"/>
        <v>41041.086750248025</v>
      </c>
      <c r="HE160" s="1010">
        <f t="shared" si="469"/>
        <v>69991.676105169143</v>
      </c>
      <c r="HG160" s="1010">
        <f t="shared" si="470"/>
        <v>4039679.0534844138</v>
      </c>
      <c r="HH160" s="1011">
        <f t="shared" si="471"/>
        <v>0.125</v>
      </c>
      <c r="HI160" s="1010">
        <f t="shared" si="472"/>
        <v>504959.88168555172</v>
      </c>
      <c r="HJ160" s="1010">
        <f t="shared" si="473"/>
        <v>30000</v>
      </c>
      <c r="HK160" s="1010">
        <f t="shared" si="474"/>
        <v>474959.88168555172</v>
      </c>
      <c r="HL160" s="1012">
        <f t="shared" si="475"/>
        <v>33</v>
      </c>
      <c r="HM160" s="1167">
        <f t="shared" si="476"/>
        <v>14392.723687440961</v>
      </c>
      <c r="HN160" s="1168">
        <f t="shared" si="477"/>
        <v>0.875</v>
      </c>
      <c r="HO160" s="1167">
        <f t="shared" si="478"/>
        <v>3534719.1717988621</v>
      </c>
      <c r="HP160" s="1146">
        <f t="shared" si="479"/>
        <v>27404.640116072878</v>
      </c>
      <c r="HQ160" s="1146">
        <f t="shared" si="480"/>
        <v>31771.055211368941</v>
      </c>
      <c r="HR160" s="1146">
        <f t="shared" si="481"/>
        <v>41041.086750248025</v>
      </c>
      <c r="HS160" s="1146">
        <f t="shared" si="482"/>
        <v>69991.676105169143</v>
      </c>
      <c r="HU160" s="1167">
        <f t="shared" si="483"/>
        <v>-19532.982147241306</v>
      </c>
      <c r="HX160" s="1154"/>
      <c r="HY160" s="1154"/>
      <c r="IB160" s="1154"/>
      <c r="IC160" s="1154"/>
      <c r="ID160" s="1154"/>
      <c r="IE160" s="1154"/>
      <c r="IG160" s="1060"/>
    </row>
    <row r="161" spans="1:241" ht="14.25" hidden="1" customHeight="1">
      <c r="A161" s="1186">
        <f t="shared" si="490"/>
        <v>155</v>
      </c>
      <c r="B161" s="824" t="s">
        <v>149</v>
      </c>
      <c r="C161" s="855">
        <f t="shared" si="492"/>
        <v>14</v>
      </c>
      <c r="D161" s="856" t="s">
        <v>310</v>
      </c>
      <c r="E161" s="857" t="str">
        <f t="shared" si="387"/>
        <v>10th Floor</v>
      </c>
      <c r="F161" s="1185"/>
      <c r="G161" s="764" t="s">
        <v>323</v>
      </c>
      <c r="H161" s="764" t="s">
        <v>529</v>
      </c>
      <c r="I161" s="764" t="s">
        <v>476</v>
      </c>
      <c r="J161" s="1139">
        <v>22</v>
      </c>
      <c r="K161" s="1142"/>
      <c r="L161" s="764" t="s">
        <v>500</v>
      </c>
      <c r="M161" s="764" t="s">
        <v>93</v>
      </c>
      <c r="N161" s="856">
        <f t="shared" si="388"/>
        <v>100909.09090909091</v>
      </c>
      <c r="O161" s="1138">
        <f t="shared" si="486"/>
        <v>2220000</v>
      </c>
      <c r="P161" s="1138">
        <f t="shared" si="491"/>
        <v>22400</v>
      </c>
      <c r="Q161" s="1138">
        <f t="shared" si="374"/>
        <v>50000</v>
      </c>
      <c r="R161" s="1138"/>
      <c r="S161" s="1138"/>
      <c r="T161" s="1138"/>
      <c r="U161" s="1138"/>
      <c r="V161" s="858"/>
      <c r="W161" s="1138"/>
      <c r="X161" s="1138"/>
      <c r="Y161" s="1138">
        <f t="shared" si="494"/>
        <v>120000</v>
      </c>
      <c r="Z161" s="1138">
        <f t="shared" si="487"/>
        <v>75000</v>
      </c>
      <c r="AA161" s="1138">
        <f t="shared" si="488"/>
        <v>267400</v>
      </c>
      <c r="AB161" s="1138">
        <f t="shared" si="390"/>
        <v>2487400</v>
      </c>
      <c r="AC161" s="1138">
        <f t="shared" si="391"/>
        <v>62185</v>
      </c>
      <c r="AD161" s="1138">
        <f t="shared" si="392"/>
        <v>2549585</v>
      </c>
      <c r="AE161" s="1138">
        <f t="shared" si="393"/>
        <v>63739.625</v>
      </c>
      <c r="AF161" s="1138">
        <f t="shared" si="394"/>
        <v>2613324.625</v>
      </c>
      <c r="AG161" s="1138">
        <f t="shared" si="395"/>
        <v>65333.115625000006</v>
      </c>
      <c r="AH161" s="1138">
        <f t="shared" si="396"/>
        <v>2678657.7406250001</v>
      </c>
      <c r="AI161" s="1138">
        <f t="shared" si="397"/>
        <v>133932.88703125002</v>
      </c>
      <c r="AJ161" s="1138">
        <f t="shared" si="398"/>
        <v>2812590.6276562503</v>
      </c>
      <c r="AK161" s="1138">
        <f t="shared" si="399"/>
        <v>28125.906276562502</v>
      </c>
      <c r="AL161" s="1138">
        <f t="shared" si="400"/>
        <v>27537.409960060559</v>
      </c>
      <c r="AM161" s="1138"/>
      <c r="AN161" s="1138"/>
      <c r="AO161" s="1138">
        <f t="shared" si="401"/>
        <v>2868253.9438928734</v>
      </c>
      <c r="AP161" s="1138">
        <f t="shared" si="402"/>
        <v>387214.28242553794</v>
      </c>
      <c r="AQ161" s="1248">
        <f t="shared" si="403"/>
        <v>3255468.2263184115</v>
      </c>
      <c r="AR161" s="1248">
        <f t="shared" si="347"/>
        <v>2925468.2263184115</v>
      </c>
      <c r="AS161" s="1248">
        <v>15000</v>
      </c>
      <c r="AT161" s="1248">
        <f t="shared" si="348"/>
        <v>330000</v>
      </c>
      <c r="AU161" s="1248">
        <f t="shared" si="404"/>
        <v>39600</v>
      </c>
      <c r="AV161" s="1140">
        <f t="shared" si="405"/>
        <v>369600</v>
      </c>
      <c r="AW161" s="1140">
        <f t="shared" si="406"/>
        <v>3295068.2263184115</v>
      </c>
      <c r="AX161" s="1139">
        <f t="shared" si="407"/>
        <v>41188.352828980147</v>
      </c>
      <c r="AY161" s="831" t="s">
        <v>478</v>
      </c>
      <c r="AZ161" s="831">
        <f t="shared" si="408"/>
        <v>3336256.5791473915</v>
      </c>
      <c r="BA161" s="831">
        <f t="shared" si="409"/>
        <v>125109.62171802718</v>
      </c>
      <c r="BB161" s="831"/>
      <c r="BC161" s="831">
        <f t="shared" si="346"/>
        <v>33600</v>
      </c>
      <c r="BD161" s="831"/>
      <c r="BE161" s="831">
        <f t="shared" si="410"/>
        <v>3494966.2008654187</v>
      </c>
      <c r="BF161" s="831"/>
      <c r="BG161" s="831">
        <f t="shared" si="411"/>
        <v>3494966.2008654187</v>
      </c>
      <c r="BH161" s="831"/>
      <c r="BI161" s="831">
        <f t="shared" si="412"/>
        <v>3494966.2008654187</v>
      </c>
      <c r="BJ161" s="831"/>
      <c r="BK161" s="831">
        <f t="shared" si="413"/>
        <v>3494966.2008654187</v>
      </c>
      <c r="BL161" s="831"/>
      <c r="BM161" s="831">
        <f t="shared" si="414"/>
        <v>3494966.2008654187</v>
      </c>
      <c r="BN161" s="831"/>
      <c r="BO161" s="831">
        <f t="shared" si="415"/>
        <v>3494966.2008654187</v>
      </c>
      <c r="BP161" s="831"/>
      <c r="BQ161" s="831">
        <f t="shared" si="416"/>
        <v>3494966.2008654187</v>
      </c>
      <c r="BR161" s="831"/>
      <c r="BS161" s="831">
        <f t="shared" si="417"/>
        <v>3494966.2008654187</v>
      </c>
      <c r="BT161" s="831"/>
      <c r="BU161" s="831">
        <f t="shared" si="418"/>
        <v>3494966.2008654187</v>
      </c>
      <c r="BV161" s="831"/>
      <c r="BW161" s="831">
        <f t="shared" si="419"/>
        <v>56400</v>
      </c>
      <c r="BX161" s="831">
        <f t="shared" si="420"/>
        <v>3551366.2008654187</v>
      </c>
      <c r="BY161" s="831"/>
      <c r="BZ161" s="831">
        <f t="shared" si="421"/>
        <v>3551366.2008654187</v>
      </c>
      <c r="CA161" s="1260">
        <f t="shared" si="422"/>
        <v>3551366.2008654187</v>
      </c>
      <c r="CB161" s="1260">
        <f t="shared" si="423"/>
        <v>3551366.2008654187</v>
      </c>
      <c r="CC161" s="1260"/>
      <c r="CD161" s="1260">
        <f t="shared" si="424"/>
        <v>0</v>
      </c>
      <c r="CE161" s="1260">
        <f t="shared" si="425"/>
        <v>0</v>
      </c>
      <c r="CF161" s="1260">
        <f t="shared" si="426"/>
        <v>0</v>
      </c>
      <c r="CG161" s="1266">
        <f t="shared" si="427"/>
        <v>3551366.2008654187</v>
      </c>
      <c r="CH161" s="1141">
        <f t="shared" si="428"/>
        <v>3551366.2008654187</v>
      </c>
      <c r="CI161" s="1142">
        <f t="shared" si="429"/>
        <v>0</v>
      </c>
      <c r="CJ161" s="1141">
        <f t="shared" si="430"/>
        <v>364015.03558870539</v>
      </c>
      <c r="CK161" s="1141">
        <f t="shared" si="431"/>
        <v>124297.81703028966</v>
      </c>
      <c r="CL161" s="1143">
        <f t="shared" si="489"/>
        <v>4039679.0534844138</v>
      </c>
      <c r="CM161" s="1144">
        <f t="shared" si="432"/>
        <v>0.125</v>
      </c>
      <c r="CN161" s="1141">
        <f t="shared" si="502"/>
        <v>504959.88168555172</v>
      </c>
      <c r="CO161" s="1141">
        <f t="shared" si="433"/>
        <v>30000</v>
      </c>
      <c r="CP161" s="1141">
        <f t="shared" si="503"/>
        <v>474959.88168555172</v>
      </c>
      <c r="CQ161" s="1145">
        <f t="shared" si="434"/>
        <v>14</v>
      </c>
      <c r="CR161" s="1141">
        <f t="shared" si="504"/>
        <v>33925.705834682267</v>
      </c>
      <c r="CS161" s="1144">
        <f t="shared" si="435"/>
        <v>0.875</v>
      </c>
      <c r="CT161" s="1141">
        <f t="shared" si="436"/>
        <v>3534719.1717988621</v>
      </c>
      <c r="CU161" s="1146">
        <f t="shared" si="375"/>
        <v>27404.640116072878</v>
      </c>
      <c r="CV161" s="1146">
        <f t="shared" si="376"/>
        <v>31771.055211368941</v>
      </c>
      <c r="CW161" s="1146">
        <f t="shared" si="377"/>
        <v>41041.086750248025</v>
      </c>
      <c r="CX161" s="1146">
        <f t="shared" si="378"/>
        <v>69991.676105169143</v>
      </c>
      <c r="CY161" s="1146">
        <f t="shared" si="437"/>
        <v>287136.47348060511</v>
      </c>
      <c r="CZ161" s="1146">
        <f t="shared" si="438"/>
        <v>113618.50383420824</v>
      </c>
      <c r="DA161" s="1146">
        <f t="shared" si="439"/>
        <v>82065.036118468444</v>
      </c>
      <c r="DB161" s="1146">
        <f t="shared" si="440"/>
        <v>62455.270565287698</v>
      </c>
      <c r="DC161" s="1146"/>
      <c r="DD161" s="1146"/>
      <c r="DE161" s="1146"/>
      <c r="DF161" s="1146"/>
      <c r="DG161" s="1146"/>
      <c r="DH161" s="1146"/>
      <c r="DI161" s="1146"/>
      <c r="DJ161" s="1146"/>
      <c r="DK161" s="1146"/>
      <c r="DL161" s="1146"/>
      <c r="DM161" s="1146"/>
      <c r="DN161" s="1146"/>
      <c r="DO161" s="1146"/>
      <c r="DP161" s="1146"/>
      <c r="DQ161" s="1146"/>
      <c r="DR161" s="1146"/>
      <c r="DS161" s="1146"/>
      <c r="DT161" s="1146"/>
      <c r="DU161" s="1146"/>
      <c r="DV161" s="1146"/>
      <c r="DW161" s="1146"/>
      <c r="DX161" s="1146"/>
      <c r="DY161" s="1146"/>
      <c r="DZ161" s="1146"/>
      <c r="EA161" s="1147">
        <f t="shared" si="379"/>
        <v>0.11280245569964444</v>
      </c>
      <c r="EB161" s="1148">
        <f t="shared" si="441"/>
        <v>0</v>
      </c>
      <c r="EC161" s="1190">
        <f t="shared" si="484"/>
        <v>45839</v>
      </c>
      <c r="ED161" s="1031">
        <f t="shared" si="380"/>
        <v>20</v>
      </c>
      <c r="EE161" s="1191"/>
      <c r="EF161" s="1032">
        <f t="shared" si="381"/>
        <v>45904</v>
      </c>
      <c r="EG161" s="1029">
        <f t="shared" si="442"/>
        <v>22</v>
      </c>
      <c r="EH161" s="859" t="s">
        <v>490</v>
      </c>
      <c r="EI161" s="859" t="s">
        <v>480</v>
      </c>
      <c r="EJ161" s="860">
        <f t="shared" si="382"/>
        <v>16800</v>
      </c>
      <c r="EK161" s="860">
        <f t="shared" si="383"/>
        <v>369600</v>
      </c>
      <c r="EL161" s="861">
        <f t="shared" si="384"/>
        <v>0.12633875038360176</v>
      </c>
      <c r="EM161" s="1197"/>
      <c r="EN161" s="860"/>
      <c r="EO161" s="860"/>
      <c r="EP161" s="860">
        <f t="shared" si="385"/>
        <v>0</v>
      </c>
      <c r="EQ161" s="1197"/>
      <c r="ER161" s="1200"/>
      <c r="ES161" s="1197"/>
      <c r="ET161" s="1194" t="s">
        <v>323</v>
      </c>
      <c r="EU161" s="1197" t="b">
        <f t="shared" si="386"/>
        <v>1</v>
      </c>
      <c r="EV161" s="1197" t="s">
        <v>641</v>
      </c>
      <c r="EW161" s="1197" t="s">
        <v>482</v>
      </c>
      <c r="EX161" s="1197"/>
      <c r="EY161" s="1128" t="s">
        <v>587</v>
      </c>
      <c r="EZ161" s="1128" t="s">
        <v>484</v>
      </c>
      <c r="FA161" s="1169">
        <f t="shared" si="443"/>
        <v>0</v>
      </c>
      <c r="FI161" s="1309" t="s">
        <v>149</v>
      </c>
      <c r="FJ161" s="1159" t="s">
        <v>149</v>
      </c>
      <c r="FK161" s="1160" t="b">
        <f t="shared" si="444"/>
        <v>1</v>
      </c>
      <c r="FL161" s="1131"/>
      <c r="FM161" s="1161"/>
      <c r="FU161" s="1295"/>
      <c r="FV161" s="1295"/>
      <c r="FW161" s="1023">
        <v>0.15</v>
      </c>
      <c r="FX161" s="1162">
        <v>14779.232183399639</v>
      </c>
      <c r="FY161" s="1163">
        <v>15241.083189130877</v>
      </c>
      <c r="GA161" s="1164">
        <f t="shared" si="445"/>
        <v>4039679.0534844138</v>
      </c>
      <c r="GB161" s="1165">
        <f t="shared" si="485"/>
        <v>0.15</v>
      </c>
      <c r="GC161" s="1154">
        <f t="shared" si="446"/>
        <v>605951.858022662</v>
      </c>
      <c r="GD161" s="1164">
        <f t="shared" si="447"/>
        <v>30000</v>
      </c>
      <c r="GE161" s="1154">
        <f t="shared" si="448"/>
        <v>575951.858022662</v>
      </c>
      <c r="GF161" s="1060">
        <f t="shared" si="449"/>
        <v>35</v>
      </c>
      <c r="GG161" s="1166">
        <f t="shared" si="450"/>
        <v>16455.767372076058</v>
      </c>
      <c r="GI161" s="1164">
        <f t="shared" si="451"/>
        <v>4039679.0534844138</v>
      </c>
      <c r="GJ161" s="1154">
        <f t="shared" si="452"/>
        <v>403967.90534844139</v>
      </c>
      <c r="GK161" s="1154">
        <f t="shared" si="453"/>
        <v>100991.97633711035</v>
      </c>
      <c r="GL161" s="1166">
        <v>15000</v>
      </c>
      <c r="GM161" s="1154">
        <f t="shared" si="454"/>
        <v>388967.90534844139</v>
      </c>
      <c r="GN161" s="1060">
        <f t="shared" si="455"/>
        <v>35</v>
      </c>
      <c r="GO161" s="1154">
        <f t="shared" si="456"/>
        <v>11113.368724241183</v>
      </c>
      <c r="GS161" s="1010">
        <f t="shared" si="457"/>
        <v>4039679.0534844138</v>
      </c>
      <c r="GT161" s="1011">
        <f t="shared" si="458"/>
        <v>0.125</v>
      </c>
      <c r="GU161" s="1010">
        <f t="shared" si="459"/>
        <v>504959.88168555172</v>
      </c>
      <c r="GV161" s="1010">
        <f t="shared" si="460"/>
        <v>30000</v>
      </c>
      <c r="GW161" s="1010">
        <f t="shared" si="461"/>
        <v>474959.88168555172</v>
      </c>
      <c r="GX161" s="1010">
        <f t="shared" si="462"/>
        <v>14</v>
      </c>
      <c r="GY161" s="1010">
        <f t="shared" si="463"/>
        <v>33925.705834682267</v>
      </c>
      <c r="GZ161" s="1011">
        <f t="shared" si="464"/>
        <v>0.875</v>
      </c>
      <c r="HA161" s="1010">
        <f t="shared" si="465"/>
        <v>3534719.1717988621</v>
      </c>
      <c r="HB161" s="1010">
        <f t="shared" si="466"/>
        <v>27404.640116072878</v>
      </c>
      <c r="HC161" s="1010">
        <f t="shared" si="467"/>
        <v>31771.055211368941</v>
      </c>
      <c r="HD161" s="1010">
        <f t="shared" si="468"/>
        <v>41041.086750248025</v>
      </c>
      <c r="HE161" s="1010">
        <f t="shared" si="469"/>
        <v>69991.676105169143</v>
      </c>
      <c r="HG161" s="1010">
        <f t="shared" si="470"/>
        <v>4039679.0534844138</v>
      </c>
      <c r="HH161" s="1011">
        <f t="shared" si="471"/>
        <v>0.125</v>
      </c>
      <c r="HI161" s="1010">
        <f t="shared" si="472"/>
        <v>504959.88168555172</v>
      </c>
      <c r="HJ161" s="1010">
        <f t="shared" si="473"/>
        <v>30000</v>
      </c>
      <c r="HK161" s="1010">
        <f t="shared" si="474"/>
        <v>474959.88168555172</v>
      </c>
      <c r="HL161" s="1012">
        <f t="shared" si="475"/>
        <v>33</v>
      </c>
      <c r="HM161" s="1167">
        <f t="shared" si="476"/>
        <v>14392.723687440961</v>
      </c>
      <c r="HN161" s="1168">
        <f t="shared" si="477"/>
        <v>0.875</v>
      </c>
      <c r="HO161" s="1167">
        <f t="shared" si="478"/>
        <v>3534719.1717988621</v>
      </c>
      <c r="HP161" s="1146">
        <f t="shared" si="479"/>
        <v>27404.640116072878</v>
      </c>
      <c r="HQ161" s="1146">
        <f t="shared" si="480"/>
        <v>31771.055211368941</v>
      </c>
      <c r="HR161" s="1146">
        <f t="shared" si="481"/>
        <v>41041.086750248025</v>
      </c>
      <c r="HS161" s="1146">
        <f t="shared" si="482"/>
        <v>69991.676105169143</v>
      </c>
      <c r="HU161" s="1167">
        <f t="shared" si="483"/>
        <v>-19532.982147241306</v>
      </c>
      <c r="HX161" s="1154"/>
      <c r="HY161" s="1154"/>
      <c r="IB161" s="1154"/>
      <c r="IC161" s="1154"/>
      <c r="ID161" s="1154"/>
      <c r="IE161" s="1154"/>
      <c r="IG161" s="1060"/>
    </row>
    <row r="162" spans="1:241" ht="14.25" hidden="1" customHeight="1">
      <c r="A162" s="1186">
        <f t="shared" si="490"/>
        <v>156</v>
      </c>
      <c r="B162" s="824" t="s">
        <v>149</v>
      </c>
      <c r="C162" s="855">
        <f t="shared" si="492"/>
        <v>15</v>
      </c>
      <c r="D162" s="856" t="s">
        <v>310</v>
      </c>
      <c r="E162" s="857" t="str">
        <f t="shared" si="387"/>
        <v>10th Floor</v>
      </c>
      <c r="F162" s="1185"/>
      <c r="G162" s="764" t="s">
        <v>324</v>
      </c>
      <c r="H162" s="764" t="s">
        <v>533</v>
      </c>
      <c r="I162" s="764" t="s">
        <v>476</v>
      </c>
      <c r="J162" s="1139">
        <v>22</v>
      </c>
      <c r="K162" s="1142"/>
      <c r="L162" s="764" t="s">
        <v>500</v>
      </c>
      <c r="M162" s="764" t="s">
        <v>93</v>
      </c>
      <c r="N162" s="856">
        <f t="shared" si="388"/>
        <v>100909.09090909091</v>
      </c>
      <c r="O162" s="1138">
        <f t="shared" si="486"/>
        <v>2220000</v>
      </c>
      <c r="P162" s="1138">
        <f t="shared" si="491"/>
        <v>22400</v>
      </c>
      <c r="Q162" s="1138">
        <f t="shared" si="374"/>
        <v>50000</v>
      </c>
      <c r="R162" s="1138"/>
      <c r="S162" s="1138"/>
      <c r="T162" s="1138"/>
      <c r="U162" s="1138"/>
      <c r="V162" s="858"/>
      <c r="W162" s="1138"/>
      <c r="X162" s="1138"/>
      <c r="Y162" s="1138">
        <f t="shared" si="494"/>
        <v>120000</v>
      </c>
      <c r="Z162" s="1138">
        <f t="shared" si="487"/>
        <v>75000</v>
      </c>
      <c r="AA162" s="1138">
        <f t="shared" si="488"/>
        <v>267400</v>
      </c>
      <c r="AB162" s="1138">
        <f t="shared" si="390"/>
        <v>2487400</v>
      </c>
      <c r="AC162" s="1138">
        <f t="shared" si="391"/>
        <v>62185</v>
      </c>
      <c r="AD162" s="1138">
        <f t="shared" si="392"/>
        <v>2549585</v>
      </c>
      <c r="AE162" s="1138">
        <f t="shared" si="393"/>
        <v>63739.625</v>
      </c>
      <c r="AF162" s="1138">
        <f t="shared" si="394"/>
        <v>2613324.625</v>
      </c>
      <c r="AG162" s="1138">
        <f t="shared" si="395"/>
        <v>65333.115625000006</v>
      </c>
      <c r="AH162" s="1138">
        <f t="shared" si="396"/>
        <v>2678657.7406250001</v>
      </c>
      <c r="AI162" s="1138">
        <f t="shared" si="397"/>
        <v>133932.88703125002</v>
      </c>
      <c r="AJ162" s="1138">
        <f t="shared" si="398"/>
        <v>2812590.6276562503</v>
      </c>
      <c r="AK162" s="1138">
        <f t="shared" si="399"/>
        <v>28125.906276562502</v>
      </c>
      <c r="AL162" s="1138">
        <f t="shared" si="400"/>
        <v>27537.409960060559</v>
      </c>
      <c r="AM162" s="1138"/>
      <c r="AN162" s="1138"/>
      <c r="AO162" s="1138">
        <f t="shared" si="401"/>
        <v>2868253.9438928734</v>
      </c>
      <c r="AP162" s="1138">
        <f t="shared" si="402"/>
        <v>387214.28242553794</v>
      </c>
      <c r="AQ162" s="1248">
        <f t="shared" si="403"/>
        <v>3255468.2263184115</v>
      </c>
      <c r="AR162" s="1248">
        <f t="shared" si="347"/>
        <v>2925468.2263184115</v>
      </c>
      <c r="AS162" s="1248">
        <v>15000</v>
      </c>
      <c r="AT162" s="1248">
        <f t="shared" si="348"/>
        <v>330000</v>
      </c>
      <c r="AU162" s="1248">
        <f t="shared" si="404"/>
        <v>39600</v>
      </c>
      <c r="AV162" s="1140">
        <f t="shared" si="405"/>
        <v>369600</v>
      </c>
      <c r="AW162" s="1140">
        <f t="shared" si="406"/>
        <v>3295068.2263184115</v>
      </c>
      <c r="AX162" s="1139">
        <f t="shared" si="407"/>
        <v>41188.352828980147</v>
      </c>
      <c r="AY162" s="831" t="s">
        <v>478</v>
      </c>
      <c r="AZ162" s="831">
        <f t="shared" si="408"/>
        <v>3336256.5791473915</v>
      </c>
      <c r="BA162" s="831">
        <f t="shared" si="409"/>
        <v>125109.62171802718</v>
      </c>
      <c r="BB162" s="831"/>
      <c r="BC162" s="831">
        <f t="shared" si="346"/>
        <v>33600</v>
      </c>
      <c r="BD162" s="831"/>
      <c r="BE162" s="831">
        <f t="shared" si="410"/>
        <v>3494966.2008654187</v>
      </c>
      <c r="BF162" s="831"/>
      <c r="BG162" s="831">
        <f t="shared" si="411"/>
        <v>3494966.2008654187</v>
      </c>
      <c r="BH162" s="831"/>
      <c r="BI162" s="831">
        <f t="shared" si="412"/>
        <v>3494966.2008654187</v>
      </c>
      <c r="BJ162" s="831"/>
      <c r="BK162" s="831">
        <f t="shared" si="413"/>
        <v>3494966.2008654187</v>
      </c>
      <c r="BL162" s="831"/>
      <c r="BM162" s="831">
        <f t="shared" si="414"/>
        <v>3494966.2008654187</v>
      </c>
      <c r="BN162" s="831"/>
      <c r="BO162" s="831">
        <f t="shared" si="415"/>
        <v>3494966.2008654187</v>
      </c>
      <c r="BP162" s="831"/>
      <c r="BQ162" s="831">
        <f t="shared" si="416"/>
        <v>3494966.2008654187</v>
      </c>
      <c r="BR162" s="831"/>
      <c r="BS162" s="831">
        <f t="shared" si="417"/>
        <v>3494966.2008654187</v>
      </c>
      <c r="BT162" s="831"/>
      <c r="BU162" s="831">
        <f t="shared" si="418"/>
        <v>3494966.2008654187</v>
      </c>
      <c r="BV162" s="831"/>
      <c r="BW162" s="831">
        <f t="shared" si="419"/>
        <v>56400</v>
      </c>
      <c r="BX162" s="831">
        <f t="shared" si="420"/>
        <v>3551366.2008654187</v>
      </c>
      <c r="BY162" s="831"/>
      <c r="BZ162" s="831">
        <f t="shared" si="421"/>
        <v>3551366.2008654187</v>
      </c>
      <c r="CA162" s="1260">
        <f t="shared" si="422"/>
        <v>3551366.2008654187</v>
      </c>
      <c r="CB162" s="1260">
        <f t="shared" si="423"/>
        <v>3551366.2008654187</v>
      </c>
      <c r="CC162" s="1260"/>
      <c r="CD162" s="1260">
        <f t="shared" si="424"/>
        <v>0</v>
      </c>
      <c r="CE162" s="1260">
        <f t="shared" si="425"/>
        <v>0</v>
      </c>
      <c r="CF162" s="1260">
        <f t="shared" si="426"/>
        <v>0</v>
      </c>
      <c r="CG162" s="1266">
        <f t="shared" si="427"/>
        <v>3551366.2008654187</v>
      </c>
      <c r="CH162" s="1141">
        <f t="shared" si="428"/>
        <v>3551366.2008654187</v>
      </c>
      <c r="CI162" s="1142">
        <f t="shared" si="429"/>
        <v>0</v>
      </c>
      <c r="CJ162" s="1141">
        <f t="shared" si="430"/>
        <v>364015.03558870539</v>
      </c>
      <c r="CK162" s="1141">
        <f t="shared" si="431"/>
        <v>124297.81703028966</v>
      </c>
      <c r="CL162" s="1143">
        <f t="shared" si="489"/>
        <v>4039679.0534844138</v>
      </c>
      <c r="CM162" s="1144">
        <f t="shared" si="432"/>
        <v>0.125</v>
      </c>
      <c r="CN162" s="1141">
        <f t="shared" si="502"/>
        <v>504959.88168555172</v>
      </c>
      <c r="CO162" s="1141">
        <f t="shared" si="433"/>
        <v>30000</v>
      </c>
      <c r="CP162" s="1141">
        <f t="shared" si="503"/>
        <v>474959.88168555172</v>
      </c>
      <c r="CQ162" s="1145">
        <f t="shared" si="434"/>
        <v>14</v>
      </c>
      <c r="CR162" s="1141">
        <f t="shared" si="504"/>
        <v>33925.705834682267</v>
      </c>
      <c r="CS162" s="1144">
        <f t="shared" si="435"/>
        <v>0.875</v>
      </c>
      <c r="CT162" s="1141">
        <f t="shared" si="436"/>
        <v>3534719.1717988621</v>
      </c>
      <c r="CU162" s="1146">
        <f t="shared" si="375"/>
        <v>27404.640116072878</v>
      </c>
      <c r="CV162" s="1146">
        <f t="shared" si="376"/>
        <v>31771.055211368941</v>
      </c>
      <c r="CW162" s="1146">
        <f t="shared" si="377"/>
        <v>41041.086750248025</v>
      </c>
      <c r="CX162" s="1146">
        <f t="shared" si="378"/>
        <v>69991.676105169143</v>
      </c>
      <c r="CY162" s="1146">
        <f t="shared" si="437"/>
        <v>287136.47348060511</v>
      </c>
      <c r="CZ162" s="1146">
        <f t="shared" si="438"/>
        <v>113618.50383420824</v>
      </c>
      <c r="DA162" s="1146">
        <f t="shared" si="439"/>
        <v>82065.036118468444</v>
      </c>
      <c r="DB162" s="1146">
        <f t="shared" si="440"/>
        <v>62455.270565287698</v>
      </c>
      <c r="DC162" s="1146"/>
      <c r="DD162" s="1146"/>
      <c r="DE162" s="1146"/>
      <c r="DF162" s="1146"/>
      <c r="DG162" s="1146"/>
      <c r="DH162" s="1146"/>
      <c r="DI162" s="1146"/>
      <c r="DJ162" s="1146"/>
      <c r="DK162" s="1146"/>
      <c r="DL162" s="1146"/>
      <c r="DM162" s="1146"/>
      <c r="DN162" s="1146"/>
      <c r="DO162" s="1146"/>
      <c r="DP162" s="1146"/>
      <c r="DQ162" s="1146"/>
      <c r="DR162" s="1146"/>
      <c r="DS162" s="1146"/>
      <c r="DT162" s="1146"/>
      <c r="DU162" s="1146"/>
      <c r="DV162" s="1146"/>
      <c r="DW162" s="1146"/>
      <c r="DX162" s="1146"/>
      <c r="DY162" s="1146"/>
      <c r="DZ162" s="1146"/>
      <c r="EA162" s="1147">
        <f t="shared" si="379"/>
        <v>0.11280245569964444</v>
      </c>
      <c r="EB162" s="1148">
        <f t="shared" si="441"/>
        <v>0</v>
      </c>
      <c r="EC162" s="1190">
        <f t="shared" si="484"/>
        <v>45839</v>
      </c>
      <c r="ED162" s="1031">
        <f t="shared" si="380"/>
        <v>20</v>
      </c>
      <c r="EE162" s="1191"/>
      <c r="EF162" s="1032">
        <f t="shared" si="381"/>
        <v>45904</v>
      </c>
      <c r="EG162" s="1029">
        <f t="shared" si="442"/>
        <v>22</v>
      </c>
      <c r="EH162" s="859" t="s">
        <v>490</v>
      </c>
      <c r="EI162" s="859" t="s">
        <v>480</v>
      </c>
      <c r="EJ162" s="860">
        <f t="shared" si="382"/>
        <v>16800</v>
      </c>
      <c r="EK162" s="860">
        <f t="shared" si="383"/>
        <v>369600</v>
      </c>
      <c r="EL162" s="861">
        <f t="shared" si="384"/>
        <v>0.12633875038360176</v>
      </c>
      <c r="EM162" s="1197"/>
      <c r="EN162" s="860"/>
      <c r="EO162" s="860"/>
      <c r="EP162" s="860">
        <f t="shared" si="385"/>
        <v>0</v>
      </c>
      <c r="EQ162" s="1197"/>
      <c r="ER162" s="1200"/>
      <c r="ES162" s="1197"/>
      <c r="ET162" s="1194" t="s">
        <v>324</v>
      </c>
      <c r="EU162" s="1197" t="b">
        <f t="shared" si="386"/>
        <v>1</v>
      </c>
      <c r="EV162" s="1197" t="s">
        <v>642</v>
      </c>
      <c r="EW162" s="1197" t="s">
        <v>482</v>
      </c>
      <c r="EX162" s="1197"/>
      <c r="EY162" s="1128" t="s">
        <v>587</v>
      </c>
      <c r="EZ162" s="1128" t="s">
        <v>484</v>
      </c>
      <c r="FA162" s="1169">
        <f t="shared" si="443"/>
        <v>0</v>
      </c>
      <c r="FI162" s="1309" t="s">
        <v>149</v>
      </c>
      <c r="FJ162" s="1159" t="s">
        <v>149</v>
      </c>
      <c r="FK162" s="1160" t="b">
        <f t="shared" si="444"/>
        <v>1</v>
      </c>
      <c r="FL162" s="1131"/>
      <c r="FM162" s="1161"/>
      <c r="FU162" s="1295"/>
      <c r="FV162" s="1295"/>
      <c r="FW162" s="1023">
        <v>0.15</v>
      </c>
      <c r="FX162" s="1162">
        <v>14779.232183399639</v>
      </c>
      <c r="FY162" s="1163">
        <v>15241.083189130877</v>
      </c>
      <c r="GA162" s="1164">
        <f t="shared" si="445"/>
        <v>4039679.0534844138</v>
      </c>
      <c r="GB162" s="1165">
        <f t="shared" si="485"/>
        <v>0.15</v>
      </c>
      <c r="GC162" s="1154">
        <f t="shared" si="446"/>
        <v>605951.858022662</v>
      </c>
      <c r="GD162" s="1164">
        <f t="shared" si="447"/>
        <v>30000</v>
      </c>
      <c r="GE162" s="1154">
        <f t="shared" si="448"/>
        <v>575951.858022662</v>
      </c>
      <c r="GF162" s="1060">
        <f t="shared" si="449"/>
        <v>35</v>
      </c>
      <c r="GG162" s="1166">
        <f t="shared" si="450"/>
        <v>16455.767372076058</v>
      </c>
      <c r="GI162" s="1164">
        <f t="shared" si="451"/>
        <v>4039679.0534844138</v>
      </c>
      <c r="GJ162" s="1154">
        <f t="shared" si="452"/>
        <v>403967.90534844139</v>
      </c>
      <c r="GK162" s="1154">
        <f t="shared" si="453"/>
        <v>100991.97633711035</v>
      </c>
      <c r="GL162" s="1166">
        <v>15000</v>
      </c>
      <c r="GM162" s="1154">
        <f t="shared" si="454"/>
        <v>388967.90534844139</v>
      </c>
      <c r="GN162" s="1060">
        <f t="shared" si="455"/>
        <v>35</v>
      </c>
      <c r="GO162" s="1154">
        <f t="shared" si="456"/>
        <v>11113.368724241183</v>
      </c>
      <c r="GS162" s="1010">
        <f t="shared" si="457"/>
        <v>4039679.0534844138</v>
      </c>
      <c r="GT162" s="1011">
        <f t="shared" si="458"/>
        <v>0.125</v>
      </c>
      <c r="GU162" s="1010">
        <f t="shared" si="459"/>
        <v>504959.88168555172</v>
      </c>
      <c r="GV162" s="1010">
        <f t="shared" si="460"/>
        <v>30000</v>
      </c>
      <c r="GW162" s="1010">
        <f t="shared" si="461"/>
        <v>474959.88168555172</v>
      </c>
      <c r="GX162" s="1010">
        <f t="shared" si="462"/>
        <v>14</v>
      </c>
      <c r="GY162" s="1010">
        <f t="shared" si="463"/>
        <v>33925.705834682267</v>
      </c>
      <c r="GZ162" s="1011">
        <f t="shared" si="464"/>
        <v>0.875</v>
      </c>
      <c r="HA162" s="1010">
        <f t="shared" si="465"/>
        <v>3534719.1717988621</v>
      </c>
      <c r="HB162" s="1010">
        <f t="shared" si="466"/>
        <v>27404.640116072878</v>
      </c>
      <c r="HC162" s="1010">
        <f t="shared" si="467"/>
        <v>31771.055211368941</v>
      </c>
      <c r="HD162" s="1010">
        <f t="shared" si="468"/>
        <v>41041.086750248025</v>
      </c>
      <c r="HE162" s="1010">
        <f t="shared" si="469"/>
        <v>69991.676105169143</v>
      </c>
      <c r="HG162" s="1010">
        <f t="shared" si="470"/>
        <v>4039679.0534844138</v>
      </c>
      <c r="HH162" s="1011">
        <f t="shared" si="471"/>
        <v>0.125</v>
      </c>
      <c r="HI162" s="1010">
        <f t="shared" si="472"/>
        <v>504959.88168555172</v>
      </c>
      <c r="HJ162" s="1010">
        <f t="shared" si="473"/>
        <v>30000</v>
      </c>
      <c r="HK162" s="1010">
        <f t="shared" si="474"/>
        <v>474959.88168555172</v>
      </c>
      <c r="HL162" s="1012">
        <f t="shared" si="475"/>
        <v>33</v>
      </c>
      <c r="HM162" s="1167">
        <f t="shared" si="476"/>
        <v>14392.723687440961</v>
      </c>
      <c r="HN162" s="1168">
        <f t="shared" si="477"/>
        <v>0.875</v>
      </c>
      <c r="HO162" s="1167">
        <f t="shared" si="478"/>
        <v>3534719.1717988621</v>
      </c>
      <c r="HP162" s="1146">
        <f t="shared" si="479"/>
        <v>27404.640116072878</v>
      </c>
      <c r="HQ162" s="1146">
        <f t="shared" si="480"/>
        <v>31771.055211368941</v>
      </c>
      <c r="HR162" s="1146">
        <f t="shared" si="481"/>
        <v>41041.086750248025</v>
      </c>
      <c r="HS162" s="1146">
        <f t="shared" si="482"/>
        <v>69991.676105169143</v>
      </c>
      <c r="HU162" s="1167">
        <f t="shared" si="483"/>
        <v>-19532.982147241306</v>
      </c>
      <c r="HX162" s="1154"/>
      <c r="HY162" s="1154"/>
      <c r="IB162" s="1154"/>
      <c r="IC162" s="1154"/>
      <c r="ID162" s="1154"/>
      <c r="IE162" s="1154"/>
      <c r="IG162" s="1060"/>
    </row>
    <row r="163" spans="1:241" ht="14.25" hidden="1" customHeight="1">
      <c r="A163" s="1186">
        <f t="shared" si="490"/>
        <v>157</v>
      </c>
      <c r="B163" s="824" t="s">
        <v>149</v>
      </c>
      <c r="C163" s="855">
        <f t="shared" si="492"/>
        <v>16</v>
      </c>
      <c r="D163" s="856" t="s">
        <v>310</v>
      </c>
      <c r="E163" s="857" t="str">
        <f t="shared" si="387"/>
        <v>10th Floor</v>
      </c>
      <c r="F163" s="1185"/>
      <c r="G163" s="764" t="s">
        <v>325</v>
      </c>
      <c r="H163" s="764" t="s">
        <v>550</v>
      </c>
      <c r="I163" s="764" t="s">
        <v>476</v>
      </c>
      <c r="J163" s="1139">
        <v>22</v>
      </c>
      <c r="K163" s="1142"/>
      <c r="L163" s="764" t="s">
        <v>500</v>
      </c>
      <c r="M163" s="764" t="s">
        <v>93</v>
      </c>
      <c r="N163" s="856">
        <f t="shared" si="388"/>
        <v>100909.09090909091</v>
      </c>
      <c r="O163" s="1138">
        <f t="shared" si="486"/>
        <v>2220000</v>
      </c>
      <c r="P163" s="1138">
        <f t="shared" si="491"/>
        <v>22400</v>
      </c>
      <c r="Q163" s="1138">
        <f t="shared" si="374"/>
        <v>50000</v>
      </c>
      <c r="R163" s="1138"/>
      <c r="S163" s="1138"/>
      <c r="T163" s="1138"/>
      <c r="U163" s="1138"/>
      <c r="V163" s="858"/>
      <c r="W163" s="1138"/>
      <c r="X163" s="1138"/>
      <c r="Y163" s="1138">
        <f t="shared" si="494"/>
        <v>120000</v>
      </c>
      <c r="Z163" s="1138">
        <f t="shared" si="487"/>
        <v>75000</v>
      </c>
      <c r="AA163" s="1138">
        <f t="shared" si="488"/>
        <v>267400</v>
      </c>
      <c r="AB163" s="1138">
        <f t="shared" si="390"/>
        <v>2487400</v>
      </c>
      <c r="AC163" s="1138">
        <f t="shared" si="391"/>
        <v>62185</v>
      </c>
      <c r="AD163" s="1138">
        <f t="shared" si="392"/>
        <v>2549585</v>
      </c>
      <c r="AE163" s="1138">
        <f t="shared" si="393"/>
        <v>63739.625</v>
      </c>
      <c r="AF163" s="1138">
        <f t="shared" si="394"/>
        <v>2613324.625</v>
      </c>
      <c r="AG163" s="1138">
        <f t="shared" si="395"/>
        <v>65333.115625000006</v>
      </c>
      <c r="AH163" s="1138">
        <f t="shared" si="396"/>
        <v>2678657.7406250001</v>
      </c>
      <c r="AI163" s="1138">
        <f t="shared" si="397"/>
        <v>133932.88703125002</v>
      </c>
      <c r="AJ163" s="1138">
        <f t="shared" si="398"/>
        <v>2812590.6276562503</v>
      </c>
      <c r="AK163" s="1138">
        <f t="shared" si="399"/>
        <v>28125.906276562502</v>
      </c>
      <c r="AL163" s="1138">
        <f t="shared" si="400"/>
        <v>27537.409960060559</v>
      </c>
      <c r="AM163" s="1138"/>
      <c r="AN163" s="1138"/>
      <c r="AO163" s="1138">
        <f t="shared" si="401"/>
        <v>2868253.9438928734</v>
      </c>
      <c r="AP163" s="1138">
        <f t="shared" si="402"/>
        <v>387214.28242553794</v>
      </c>
      <c r="AQ163" s="1248">
        <f t="shared" si="403"/>
        <v>3255468.2263184115</v>
      </c>
      <c r="AR163" s="1248">
        <f t="shared" si="347"/>
        <v>2925468.2263184115</v>
      </c>
      <c r="AS163" s="1248">
        <v>15000</v>
      </c>
      <c r="AT163" s="1248">
        <f t="shared" si="348"/>
        <v>330000</v>
      </c>
      <c r="AU163" s="1248">
        <f t="shared" si="404"/>
        <v>39600</v>
      </c>
      <c r="AV163" s="1140">
        <f t="shared" si="405"/>
        <v>369600</v>
      </c>
      <c r="AW163" s="1140">
        <f t="shared" si="406"/>
        <v>3295068.2263184115</v>
      </c>
      <c r="AX163" s="1139">
        <f t="shared" si="407"/>
        <v>41188.352828980147</v>
      </c>
      <c r="AY163" s="831" t="s">
        <v>478</v>
      </c>
      <c r="AZ163" s="831">
        <f t="shared" si="408"/>
        <v>3336256.5791473915</v>
      </c>
      <c r="BA163" s="831">
        <f t="shared" si="409"/>
        <v>125109.62171802718</v>
      </c>
      <c r="BB163" s="831"/>
      <c r="BC163" s="831">
        <f t="shared" si="346"/>
        <v>33600</v>
      </c>
      <c r="BD163" s="831"/>
      <c r="BE163" s="831">
        <f t="shared" si="410"/>
        <v>3494966.2008654187</v>
      </c>
      <c r="BF163" s="831"/>
      <c r="BG163" s="831">
        <f t="shared" si="411"/>
        <v>3494966.2008654187</v>
      </c>
      <c r="BH163" s="831"/>
      <c r="BI163" s="831">
        <f t="shared" si="412"/>
        <v>3494966.2008654187</v>
      </c>
      <c r="BJ163" s="831"/>
      <c r="BK163" s="831">
        <f t="shared" si="413"/>
        <v>3494966.2008654187</v>
      </c>
      <c r="BL163" s="831"/>
      <c r="BM163" s="831">
        <f t="shared" si="414"/>
        <v>3494966.2008654187</v>
      </c>
      <c r="BN163" s="831"/>
      <c r="BO163" s="831">
        <f t="shared" si="415"/>
        <v>3494966.2008654187</v>
      </c>
      <c r="BP163" s="831"/>
      <c r="BQ163" s="831">
        <f t="shared" si="416"/>
        <v>3494966.2008654187</v>
      </c>
      <c r="BR163" s="831"/>
      <c r="BS163" s="831">
        <f t="shared" si="417"/>
        <v>3494966.2008654187</v>
      </c>
      <c r="BT163" s="831"/>
      <c r="BU163" s="831">
        <f t="shared" si="418"/>
        <v>3494966.2008654187</v>
      </c>
      <c r="BV163" s="831"/>
      <c r="BW163" s="831">
        <f t="shared" si="419"/>
        <v>56400</v>
      </c>
      <c r="BX163" s="831">
        <f t="shared" si="420"/>
        <v>3551366.2008654187</v>
      </c>
      <c r="BY163" s="831"/>
      <c r="BZ163" s="831">
        <f t="shared" si="421"/>
        <v>3551366.2008654187</v>
      </c>
      <c r="CA163" s="1260">
        <f t="shared" si="422"/>
        <v>3551366.2008654187</v>
      </c>
      <c r="CB163" s="1260">
        <f t="shared" si="423"/>
        <v>3551366.2008654187</v>
      </c>
      <c r="CC163" s="1260"/>
      <c r="CD163" s="1260">
        <f t="shared" si="424"/>
        <v>0</v>
      </c>
      <c r="CE163" s="1260">
        <f t="shared" si="425"/>
        <v>0</v>
      </c>
      <c r="CF163" s="1260">
        <f t="shared" si="426"/>
        <v>0</v>
      </c>
      <c r="CG163" s="1266">
        <f t="shared" si="427"/>
        <v>3551366.2008654187</v>
      </c>
      <c r="CH163" s="1141">
        <f t="shared" si="428"/>
        <v>3551366.2008654187</v>
      </c>
      <c r="CI163" s="1142">
        <f t="shared" si="429"/>
        <v>0</v>
      </c>
      <c r="CJ163" s="1141">
        <f t="shared" si="430"/>
        <v>364015.03558870539</v>
      </c>
      <c r="CK163" s="1141">
        <f t="shared" si="431"/>
        <v>124297.81703028966</v>
      </c>
      <c r="CL163" s="1143">
        <f t="shared" si="489"/>
        <v>4039679.0534844138</v>
      </c>
      <c r="CM163" s="1144">
        <f t="shared" si="432"/>
        <v>0.125</v>
      </c>
      <c r="CN163" s="1141">
        <f t="shared" si="502"/>
        <v>504959.88168555172</v>
      </c>
      <c r="CO163" s="1141">
        <f t="shared" si="433"/>
        <v>30000</v>
      </c>
      <c r="CP163" s="1141">
        <f t="shared" si="503"/>
        <v>474959.88168555172</v>
      </c>
      <c r="CQ163" s="1145">
        <f t="shared" si="434"/>
        <v>14</v>
      </c>
      <c r="CR163" s="1141">
        <f t="shared" si="504"/>
        <v>33925.705834682267</v>
      </c>
      <c r="CS163" s="1144">
        <f t="shared" si="435"/>
        <v>0.875</v>
      </c>
      <c r="CT163" s="1141">
        <f t="shared" si="436"/>
        <v>3534719.1717988621</v>
      </c>
      <c r="CU163" s="1146">
        <f t="shared" si="375"/>
        <v>27404.640116072878</v>
      </c>
      <c r="CV163" s="1146">
        <f t="shared" si="376"/>
        <v>31771.055211368941</v>
      </c>
      <c r="CW163" s="1146">
        <f t="shared" si="377"/>
        <v>41041.086750248025</v>
      </c>
      <c r="CX163" s="1146">
        <f t="shared" si="378"/>
        <v>69991.676105169143</v>
      </c>
      <c r="CY163" s="1146">
        <f t="shared" si="437"/>
        <v>287136.47348060511</v>
      </c>
      <c r="CZ163" s="1146">
        <f t="shared" si="438"/>
        <v>113618.50383420824</v>
      </c>
      <c r="DA163" s="1146">
        <f t="shared" si="439"/>
        <v>82065.036118468444</v>
      </c>
      <c r="DB163" s="1146">
        <f t="shared" si="440"/>
        <v>62455.270565287698</v>
      </c>
      <c r="DC163" s="1146"/>
      <c r="DD163" s="1146"/>
      <c r="DE163" s="1146"/>
      <c r="DF163" s="1146"/>
      <c r="DG163" s="1146"/>
      <c r="DH163" s="1146"/>
      <c r="DI163" s="1146"/>
      <c r="DJ163" s="1146"/>
      <c r="DK163" s="1146"/>
      <c r="DL163" s="1146"/>
      <c r="DM163" s="1146"/>
      <c r="DN163" s="1146"/>
      <c r="DO163" s="1146"/>
      <c r="DP163" s="1146"/>
      <c r="DQ163" s="1146"/>
      <c r="DR163" s="1146"/>
      <c r="DS163" s="1146"/>
      <c r="DT163" s="1146"/>
      <c r="DU163" s="1146"/>
      <c r="DV163" s="1146"/>
      <c r="DW163" s="1146"/>
      <c r="DX163" s="1146"/>
      <c r="DY163" s="1146"/>
      <c r="DZ163" s="1146"/>
      <c r="EA163" s="1147">
        <f t="shared" si="379"/>
        <v>0.11280245569964444</v>
      </c>
      <c r="EB163" s="1148">
        <f t="shared" si="441"/>
        <v>0</v>
      </c>
      <c r="EC163" s="1190">
        <f t="shared" si="484"/>
        <v>45839</v>
      </c>
      <c r="ED163" s="1031">
        <f t="shared" si="380"/>
        <v>20</v>
      </c>
      <c r="EE163" s="1191"/>
      <c r="EF163" s="1032">
        <f t="shared" si="381"/>
        <v>45904</v>
      </c>
      <c r="EG163" s="1029">
        <f t="shared" si="442"/>
        <v>22</v>
      </c>
      <c r="EH163" s="859" t="s">
        <v>490</v>
      </c>
      <c r="EI163" s="859" t="s">
        <v>480</v>
      </c>
      <c r="EJ163" s="860">
        <f t="shared" si="382"/>
        <v>16800</v>
      </c>
      <c r="EK163" s="860">
        <f t="shared" si="383"/>
        <v>369600</v>
      </c>
      <c r="EL163" s="861">
        <f t="shared" si="384"/>
        <v>0.12633875038360176</v>
      </c>
      <c r="EM163" s="1197"/>
      <c r="EN163" s="860"/>
      <c r="EO163" s="860"/>
      <c r="EP163" s="860">
        <f t="shared" si="385"/>
        <v>0</v>
      </c>
      <c r="EQ163" s="1197"/>
      <c r="ER163" s="1200"/>
      <c r="ES163" s="1197"/>
      <c r="ET163" s="1194" t="s">
        <v>325</v>
      </c>
      <c r="EU163" s="1197" t="b">
        <f t="shared" si="386"/>
        <v>1</v>
      </c>
      <c r="EV163" s="1197" t="s">
        <v>643</v>
      </c>
      <c r="EW163" s="1197" t="s">
        <v>482</v>
      </c>
      <c r="EX163" s="1197"/>
      <c r="EY163" s="1128" t="s">
        <v>587</v>
      </c>
      <c r="EZ163" s="1128" t="s">
        <v>484</v>
      </c>
      <c r="FA163" s="1169">
        <f t="shared" si="443"/>
        <v>0</v>
      </c>
      <c r="FI163" s="1309" t="s">
        <v>149</v>
      </c>
      <c r="FJ163" s="1159" t="s">
        <v>149</v>
      </c>
      <c r="FK163" s="1160" t="b">
        <f t="shared" si="444"/>
        <v>1</v>
      </c>
      <c r="FL163" s="1131"/>
      <c r="FM163" s="1161"/>
      <c r="FU163" s="1295"/>
      <c r="FV163" s="1295"/>
      <c r="FW163" s="1023">
        <v>0.15</v>
      </c>
      <c r="FX163" s="1162">
        <v>14779.232183399639</v>
      </c>
      <c r="FY163" s="1163">
        <v>15241.083189130877</v>
      </c>
      <c r="GA163" s="1164">
        <f t="shared" si="445"/>
        <v>4039679.0534844138</v>
      </c>
      <c r="GB163" s="1165">
        <f t="shared" si="485"/>
        <v>0.15</v>
      </c>
      <c r="GC163" s="1154">
        <f t="shared" si="446"/>
        <v>605951.858022662</v>
      </c>
      <c r="GD163" s="1164">
        <f t="shared" si="447"/>
        <v>30000</v>
      </c>
      <c r="GE163" s="1154">
        <f t="shared" si="448"/>
        <v>575951.858022662</v>
      </c>
      <c r="GF163" s="1060">
        <f t="shared" si="449"/>
        <v>35</v>
      </c>
      <c r="GG163" s="1166">
        <f t="shared" si="450"/>
        <v>16455.767372076058</v>
      </c>
      <c r="GI163" s="1164">
        <f t="shared" si="451"/>
        <v>4039679.0534844138</v>
      </c>
      <c r="GJ163" s="1154">
        <f t="shared" si="452"/>
        <v>403967.90534844139</v>
      </c>
      <c r="GK163" s="1154">
        <f t="shared" si="453"/>
        <v>100991.97633711035</v>
      </c>
      <c r="GL163" s="1166">
        <v>15000</v>
      </c>
      <c r="GM163" s="1154">
        <f t="shared" si="454"/>
        <v>388967.90534844139</v>
      </c>
      <c r="GN163" s="1060">
        <f t="shared" si="455"/>
        <v>35</v>
      </c>
      <c r="GO163" s="1154">
        <f t="shared" si="456"/>
        <v>11113.368724241183</v>
      </c>
      <c r="GS163" s="1010">
        <f t="shared" si="457"/>
        <v>4039679.0534844138</v>
      </c>
      <c r="GT163" s="1011">
        <f t="shared" si="458"/>
        <v>0.125</v>
      </c>
      <c r="GU163" s="1010">
        <f t="shared" si="459"/>
        <v>504959.88168555172</v>
      </c>
      <c r="GV163" s="1010">
        <f t="shared" si="460"/>
        <v>30000</v>
      </c>
      <c r="GW163" s="1010">
        <f t="shared" si="461"/>
        <v>474959.88168555172</v>
      </c>
      <c r="GX163" s="1010">
        <f t="shared" si="462"/>
        <v>14</v>
      </c>
      <c r="GY163" s="1010">
        <f t="shared" si="463"/>
        <v>33925.705834682267</v>
      </c>
      <c r="GZ163" s="1011">
        <f t="shared" si="464"/>
        <v>0.875</v>
      </c>
      <c r="HA163" s="1010">
        <f t="shared" si="465"/>
        <v>3534719.1717988621</v>
      </c>
      <c r="HB163" s="1010">
        <f t="shared" si="466"/>
        <v>27404.640116072878</v>
      </c>
      <c r="HC163" s="1010">
        <f t="shared" si="467"/>
        <v>31771.055211368941</v>
      </c>
      <c r="HD163" s="1010">
        <f t="shared" si="468"/>
        <v>41041.086750248025</v>
      </c>
      <c r="HE163" s="1010">
        <f t="shared" si="469"/>
        <v>69991.676105169143</v>
      </c>
      <c r="HG163" s="1010">
        <f t="shared" si="470"/>
        <v>4039679.0534844138</v>
      </c>
      <c r="HH163" s="1011">
        <f t="shared" si="471"/>
        <v>0.125</v>
      </c>
      <c r="HI163" s="1010">
        <f t="shared" si="472"/>
        <v>504959.88168555172</v>
      </c>
      <c r="HJ163" s="1010">
        <f t="shared" si="473"/>
        <v>30000</v>
      </c>
      <c r="HK163" s="1010">
        <f t="shared" si="474"/>
        <v>474959.88168555172</v>
      </c>
      <c r="HL163" s="1012">
        <f t="shared" si="475"/>
        <v>33</v>
      </c>
      <c r="HM163" s="1167">
        <f t="shared" si="476"/>
        <v>14392.723687440961</v>
      </c>
      <c r="HN163" s="1168">
        <f t="shared" si="477"/>
        <v>0.875</v>
      </c>
      <c r="HO163" s="1167">
        <f t="shared" si="478"/>
        <v>3534719.1717988621</v>
      </c>
      <c r="HP163" s="1146">
        <f t="shared" si="479"/>
        <v>27404.640116072878</v>
      </c>
      <c r="HQ163" s="1146">
        <f t="shared" si="480"/>
        <v>31771.055211368941</v>
      </c>
      <c r="HR163" s="1146">
        <f t="shared" si="481"/>
        <v>41041.086750248025</v>
      </c>
      <c r="HS163" s="1146">
        <f t="shared" si="482"/>
        <v>69991.676105169143</v>
      </c>
      <c r="HU163" s="1167">
        <f t="shared" si="483"/>
        <v>-19532.982147241306</v>
      </c>
      <c r="HX163" s="1154"/>
      <c r="HY163" s="1154"/>
      <c r="IB163" s="1154"/>
      <c r="IC163" s="1154"/>
      <c r="ID163" s="1154"/>
      <c r="IE163" s="1154"/>
      <c r="IG163" s="1060"/>
    </row>
    <row r="164" spans="1:241" ht="14.25" hidden="1" customHeight="1">
      <c r="A164" s="1186">
        <f t="shared" si="490"/>
        <v>158</v>
      </c>
      <c r="B164" s="824"/>
      <c r="C164" s="855">
        <f t="shared" si="492"/>
        <v>17</v>
      </c>
      <c r="D164" s="856" t="s">
        <v>310</v>
      </c>
      <c r="E164" s="857" t="str">
        <f t="shared" si="387"/>
        <v>10th Floor</v>
      </c>
      <c r="F164" s="1185"/>
      <c r="G164" s="1012" t="s">
        <v>644</v>
      </c>
      <c r="H164" s="764" t="s">
        <v>552</v>
      </c>
      <c r="I164" s="764" t="s">
        <v>476</v>
      </c>
      <c r="J164" s="1139">
        <v>22</v>
      </c>
      <c r="K164" s="1142"/>
      <c r="L164" s="764" t="s">
        <v>500</v>
      </c>
      <c r="M164" s="764" t="s">
        <v>93</v>
      </c>
      <c r="N164" s="856">
        <f t="shared" si="388"/>
        <v>100909.09090909091</v>
      </c>
      <c r="O164" s="1138">
        <f t="shared" si="486"/>
        <v>2220000</v>
      </c>
      <c r="P164" s="1138">
        <f t="shared" si="491"/>
        <v>22400</v>
      </c>
      <c r="Q164" s="1138">
        <f t="shared" si="374"/>
        <v>50000</v>
      </c>
      <c r="R164" s="1138"/>
      <c r="S164" s="1138"/>
      <c r="T164" s="1138"/>
      <c r="U164" s="1138"/>
      <c r="V164" s="858"/>
      <c r="W164" s="858"/>
      <c r="X164" s="1138"/>
      <c r="Y164" s="1138">
        <f t="shared" si="494"/>
        <v>120000</v>
      </c>
      <c r="Z164" s="1138">
        <f t="shared" si="487"/>
        <v>75000</v>
      </c>
      <c r="AA164" s="1138">
        <f t="shared" si="488"/>
        <v>267400</v>
      </c>
      <c r="AB164" s="1138">
        <f t="shared" si="390"/>
        <v>2487400</v>
      </c>
      <c r="AC164" s="1138">
        <f t="shared" si="391"/>
        <v>62185</v>
      </c>
      <c r="AD164" s="1138">
        <f t="shared" si="392"/>
        <v>2549585</v>
      </c>
      <c r="AE164" s="1138">
        <f t="shared" si="393"/>
        <v>63739.625</v>
      </c>
      <c r="AF164" s="1138">
        <f t="shared" si="394"/>
        <v>2613324.625</v>
      </c>
      <c r="AG164" s="1138">
        <f t="shared" si="395"/>
        <v>65333.115625000006</v>
      </c>
      <c r="AH164" s="1138">
        <f t="shared" si="396"/>
        <v>2678657.7406250001</v>
      </c>
      <c r="AI164" s="1138">
        <f t="shared" si="397"/>
        <v>133932.88703125002</v>
      </c>
      <c r="AJ164" s="1138">
        <f t="shared" si="398"/>
        <v>2812590.6276562503</v>
      </c>
      <c r="AK164" s="1138">
        <f t="shared" si="399"/>
        <v>28125.906276562502</v>
      </c>
      <c r="AL164" s="1138">
        <f t="shared" si="400"/>
        <v>27537.409960060559</v>
      </c>
      <c r="AM164" s="1138"/>
      <c r="AN164" s="1138"/>
      <c r="AO164" s="1138">
        <f t="shared" si="401"/>
        <v>2868253.9438928734</v>
      </c>
      <c r="AP164" s="1138">
        <f t="shared" si="402"/>
        <v>387214.28242553794</v>
      </c>
      <c r="AQ164" s="1248">
        <f t="shared" si="403"/>
        <v>3255468.2263184115</v>
      </c>
      <c r="AR164" s="1248">
        <f t="shared" si="347"/>
        <v>2925468.2263184115</v>
      </c>
      <c r="AS164" s="1248">
        <v>15000</v>
      </c>
      <c r="AT164" s="1248">
        <f t="shared" si="348"/>
        <v>330000</v>
      </c>
      <c r="AU164" s="1248">
        <f t="shared" si="404"/>
        <v>39600</v>
      </c>
      <c r="AV164" s="1140">
        <f t="shared" si="405"/>
        <v>369600</v>
      </c>
      <c r="AW164" s="1140">
        <f t="shared" si="406"/>
        <v>3295068.2263184115</v>
      </c>
      <c r="AX164" s="1139">
        <f t="shared" si="407"/>
        <v>41188.352828980147</v>
      </c>
      <c r="AY164" s="831" t="s">
        <v>478</v>
      </c>
      <c r="AZ164" s="831">
        <f t="shared" si="408"/>
        <v>3336256.5791473915</v>
      </c>
      <c r="BA164" s="831">
        <f t="shared" si="409"/>
        <v>125109.62171802718</v>
      </c>
      <c r="BB164" s="831"/>
      <c r="BC164" s="831">
        <f t="shared" si="346"/>
        <v>33600</v>
      </c>
      <c r="BD164" s="831"/>
      <c r="BE164" s="831">
        <f t="shared" si="410"/>
        <v>3494966.2008654187</v>
      </c>
      <c r="BF164" s="831"/>
      <c r="BG164" s="831">
        <f t="shared" si="411"/>
        <v>3494966.2008654187</v>
      </c>
      <c r="BH164" s="831"/>
      <c r="BI164" s="831">
        <f t="shared" si="412"/>
        <v>3494966.2008654187</v>
      </c>
      <c r="BJ164" s="831"/>
      <c r="BK164" s="831">
        <f t="shared" si="413"/>
        <v>3494966.2008654187</v>
      </c>
      <c r="BL164" s="831"/>
      <c r="BM164" s="831">
        <f t="shared" si="414"/>
        <v>3494966.2008654187</v>
      </c>
      <c r="BN164" s="831"/>
      <c r="BO164" s="831">
        <f t="shared" si="415"/>
        <v>3494966.2008654187</v>
      </c>
      <c r="BP164" s="831"/>
      <c r="BQ164" s="831">
        <f t="shared" si="416"/>
        <v>3494966.2008654187</v>
      </c>
      <c r="BR164" s="831"/>
      <c r="BS164" s="831">
        <f t="shared" si="417"/>
        <v>3494966.2008654187</v>
      </c>
      <c r="BT164" s="831"/>
      <c r="BU164" s="831">
        <f t="shared" si="418"/>
        <v>3494966.2008654187</v>
      </c>
      <c r="BV164" s="831"/>
      <c r="BW164" s="831">
        <f t="shared" si="419"/>
        <v>56400</v>
      </c>
      <c r="BX164" s="831">
        <f t="shared" si="420"/>
        <v>3551366.2008654187</v>
      </c>
      <c r="BY164" s="831"/>
      <c r="BZ164" s="831">
        <f t="shared" si="421"/>
        <v>3551366.2008654187</v>
      </c>
      <c r="CA164" s="1260">
        <f t="shared" si="422"/>
        <v>3551366.2008654187</v>
      </c>
      <c r="CB164" s="1260">
        <f t="shared" si="423"/>
        <v>3551366.2008654187</v>
      </c>
      <c r="CC164" s="1260"/>
      <c r="CD164" s="1260">
        <f t="shared" si="424"/>
        <v>0</v>
      </c>
      <c r="CE164" s="1260">
        <f t="shared" si="425"/>
        <v>0</v>
      </c>
      <c r="CF164" s="1260">
        <f t="shared" si="426"/>
        <v>0</v>
      </c>
      <c r="CG164" s="1266">
        <f t="shared" si="427"/>
        <v>3551366.2008654187</v>
      </c>
      <c r="CH164" s="1141">
        <f t="shared" si="428"/>
        <v>3551366.2008654187</v>
      </c>
      <c r="CI164" s="1142">
        <f t="shared" si="429"/>
        <v>0</v>
      </c>
      <c r="CJ164" s="1141">
        <f t="shared" si="430"/>
        <v>364015.03558870539</v>
      </c>
      <c r="CK164" s="1141">
        <f t="shared" si="431"/>
        <v>124297.81703028966</v>
      </c>
      <c r="CL164" s="1143">
        <f t="shared" si="489"/>
        <v>4039679.0534844138</v>
      </c>
      <c r="CM164" s="1144">
        <f t="shared" si="432"/>
        <v>0.125</v>
      </c>
      <c r="CN164" s="1141">
        <f t="shared" si="502"/>
        <v>504959.88168555172</v>
      </c>
      <c r="CO164" s="1141">
        <f t="shared" si="433"/>
        <v>30000</v>
      </c>
      <c r="CP164" s="1141">
        <f t="shared" si="503"/>
        <v>474959.88168555172</v>
      </c>
      <c r="CQ164" s="1145">
        <f t="shared" si="434"/>
        <v>14</v>
      </c>
      <c r="CR164" s="1141">
        <f t="shared" si="504"/>
        <v>33925.705834682267</v>
      </c>
      <c r="CS164" s="1144">
        <f t="shared" si="435"/>
        <v>0.875</v>
      </c>
      <c r="CT164" s="1141">
        <f t="shared" si="436"/>
        <v>3534719.1717988621</v>
      </c>
      <c r="CU164" s="1146">
        <f t="shared" si="375"/>
        <v>27404.640116072878</v>
      </c>
      <c r="CV164" s="1146">
        <f t="shared" si="376"/>
        <v>31771.055211368941</v>
      </c>
      <c r="CW164" s="1146">
        <f t="shared" si="377"/>
        <v>41041.086750248025</v>
      </c>
      <c r="CX164" s="1146">
        <f t="shared" si="378"/>
        <v>69991.676105169143</v>
      </c>
      <c r="CY164" s="1146">
        <f t="shared" si="437"/>
        <v>287136.47348060511</v>
      </c>
      <c r="CZ164" s="1146">
        <f t="shared" si="438"/>
        <v>113618.50383420824</v>
      </c>
      <c r="DA164" s="1146">
        <f t="shared" si="439"/>
        <v>82065.036118468444</v>
      </c>
      <c r="DB164" s="1146">
        <f t="shared" si="440"/>
        <v>62455.270565287698</v>
      </c>
      <c r="DC164" s="1146"/>
      <c r="DD164" s="1146"/>
      <c r="DE164" s="1146"/>
      <c r="DF164" s="1146"/>
      <c r="DG164" s="1146"/>
      <c r="DH164" s="1146"/>
      <c r="DI164" s="1146"/>
      <c r="DJ164" s="1146"/>
      <c r="DK164" s="1146"/>
      <c r="DL164" s="1146"/>
      <c r="DM164" s="1146"/>
      <c r="DN164" s="1146"/>
      <c r="DO164" s="1146"/>
      <c r="DP164" s="1146"/>
      <c r="DQ164" s="1146"/>
      <c r="DR164" s="1146"/>
      <c r="DS164" s="1146"/>
      <c r="DT164" s="1146"/>
      <c r="DU164" s="1146"/>
      <c r="DV164" s="1146"/>
      <c r="DW164" s="1146"/>
      <c r="DX164" s="1146"/>
      <c r="DY164" s="1146"/>
      <c r="DZ164" s="1146"/>
      <c r="EA164" s="1147">
        <f t="shared" si="379"/>
        <v>0.11280245569964444</v>
      </c>
      <c r="EB164" s="1148">
        <f t="shared" si="441"/>
        <v>0</v>
      </c>
      <c r="EC164" s="1190">
        <f t="shared" si="484"/>
        <v>45839</v>
      </c>
      <c r="ED164" s="1031">
        <f t="shared" si="380"/>
        <v>20</v>
      </c>
      <c r="EE164" s="1191"/>
      <c r="EF164" s="1032">
        <f t="shared" si="381"/>
        <v>45904</v>
      </c>
      <c r="EG164" s="1029">
        <f t="shared" si="442"/>
        <v>22</v>
      </c>
      <c r="EH164" s="859" t="s">
        <v>490</v>
      </c>
      <c r="EI164" s="859" t="s">
        <v>480</v>
      </c>
      <c r="EJ164" s="860">
        <f t="shared" si="382"/>
        <v>16800</v>
      </c>
      <c r="EK164" s="860">
        <f t="shared" si="383"/>
        <v>369600</v>
      </c>
      <c r="EL164" s="861">
        <f t="shared" si="384"/>
        <v>0.12633875038360176</v>
      </c>
      <c r="EM164" s="1197"/>
      <c r="EN164" s="860"/>
      <c r="EO164" s="860"/>
      <c r="EP164" s="860">
        <f t="shared" si="385"/>
        <v>0</v>
      </c>
      <c r="EQ164" s="1197"/>
      <c r="ER164" s="1200"/>
      <c r="ES164" s="1197"/>
      <c r="ET164" s="1194" t="s">
        <v>644</v>
      </c>
      <c r="EU164" s="1197" t="b">
        <f t="shared" si="386"/>
        <v>1</v>
      </c>
      <c r="EV164" s="1197"/>
      <c r="EW164" s="1197"/>
      <c r="EX164" s="1197"/>
      <c r="EY164" s="1128" t="s">
        <v>587</v>
      </c>
      <c r="EZ164" s="1128" t="s">
        <v>484</v>
      </c>
      <c r="FA164" s="1169">
        <f t="shared" si="443"/>
        <v>0</v>
      </c>
      <c r="FI164" s="1309" t="s">
        <v>149</v>
      </c>
      <c r="FJ164" s="1159" t="s">
        <v>149</v>
      </c>
      <c r="FK164" s="1160" t="b">
        <f t="shared" si="444"/>
        <v>1</v>
      </c>
      <c r="FL164" s="1131"/>
      <c r="FM164" s="1161"/>
      <c r="FO164" s="888"/>
      <c r="FU164" s="1295"/>
      <c r="FV164" s="1295"/>
      <c r="FW164" s="1023">
        <v>0.125</v>
      </c>
      <c r="FX164" s="1162">
        <v>12240.269243742125</v>
      </c>
      <c r="FY164" s="1163">
        <v>12622.777657609065</v>
      </c>
      <c r="GA164" s="1164">
        <f t="shared" si="445"/>
        <v>4039679.0534844138</v>
      </c>
      <c r="GB164" s="1165">
        <f t="shared" si="485"/>
        <v>0.15</v>
      </c>
      <c r="GC164" s="1154">
        <f t="shared" si="446"/>
        <v>605951.858022662</v>
      </c>
      <c r="GD164" s="1164">
        <f t="shared" si="447"/>
        <v>30000</v>
      </c>
      <c r="GE164" s="1154">
        <f t="shared" si="448"/>
        <v>575951.858022662</v>
      </c>
      <c r="GF164" s="1060">
        <f t="shared" si="449"/>
        <v>35</v>
      </c>
      <c r="GG164" s="1166">
        <f t="shared" si="450"/>
        <v>16455.767372076058</v>
      </c>
      <c r="GI164" s="1164">
        <f t="shared" si="451"/>
        <v>4039679.0534844138</v>
      </c>
      <c r="GJ164" s="1154">
        <f t="shared" si="452"/>
        <v>403967.90534844139</v>
      </c>
      <c r="GK164" s="1154">
        <f t="shared" si="453"/>
        <v>100991.97633711035</v>
      </c>
      <c r="GL164" s="1166">
        <v>15000</v>
      </c>
      <c r="GM164" s="1154">
        <f t="shared" si="454"/>
        <v>388967.90534844139</v>
      </c>
      <c r="GN164" s="1060">
        <f t="shared" si="455"/>
        <v>35</v>
      </c>
      <c r="GO164" s="1154">
        <f t="shared" si="456"/>
        <v>11113.368724241183</v>
      </c>
      <c r="GS164" s="1010">
        <f t="shared" si="457"/>
        <v>4039679.0534844138</v>
      </c>
      <c r="GT164" s="1011">
        <f t="shared" si="458"/>
        <v>0.125</v>
      </c>
      <c r="GU164" s="1010">
        <f t="shared" si="459"/>
        <v>504959.88168555172</v>
      </c>
      <c r="GV164" s="1010">
        <f t="shared" si="460"/>
        <v>30000</v>
      </c>
      <c r="GW164" s="1010">
        <f t="shared" si="461"/>
        <v>474959.88168555172</v>
      </c>
      <c r="GX164" s="1010">
        <f t="shared" si="462"/>
        <v>14</v>
      </c>
      <c r="GY164" s="1010">
        <f t="shared" si="463"/>
        <v>33925.705834682267</v>
      </c>
      <c r="GZ164" s="1011">
        <f t="shared" si="464"/>
        <v>0.875</v>
      </c>
      <c r="HA164" s="1010">
        <f t="shared" si="465"/>
        <v>3534719.1717988621</v>
      </c>
      <c r="HB164" s="1010">
        <f t="shared" si="466"/>
        <v>27404.640116072878</v>
      </c>
      <c r="HC164" s="1010">
        <f t="shared" si="467"/>
        <v>31771.055211368941</v>
      </c>
      <c r="HD164" s="1010">
        <f t="shared" si="468"/>
        <v>41041.086750248025</v>
      </c>
      <c r="HE164" s="1010">
        <f t="shared" si="469"/>
        <v>69991.676105169143</v>
      </c>
      <c r="HG164" s="1010">
        <f t="shared" si="470"/>
        <v>4039679.0534844138</v>
      </c>
      <c r="HH164" s="1011">
        <f t="shared" si="471"/>
        <v>0.125</v>
      </c>
      <c r="HI164" s="1010">
        <f t="shared" si="472"/>
        <v>504959.88168555172</v>
      </c>
      <c r="HJ164" s="1010">
        <f t="shared" si="473"/>
        <v>30000</v>
      </c>
      <c r="HK164" s="1010">
        <f t="shared" si="474"/>
        <v>474959.88168555172</v>
      </c>
      <c r="HL164" s="1012">
        <f t="shared" si="475"/>
        <v>33</v>
      </c>
      <c r="HM164" s="1167">
        <f t="shared" si="476"/>
        <v>14392.723687440961</v>
      </c>
      <c r="HN164" s="1168">
        <f t="shared" si="477"/>
        <v>0.875</v>
      </c>
      <c r="HO164" s="1167">
        <f t="shared" si="478"/>
        <v>3534719.1717988621</v>
      </c>
      <c r="HP164" s="1146">
        <f t="shared" si="479"/>
        <v>27404.640116072878</v>
      </c>
      <c r="HQ164" s="1146">
        <f t="shared" si="480"/>
        <v>31771.055211368941</v>
      </c>
      <c r="HR164" s="1146">
        <f t="shared" si="481"/>
        <v>41041.086750248025</v>
      </c>
      <c r="HS164" s="1146">
        <f t="shared" si="482"/>
        <v>69991.676105169143</v>
      </c>
      <c r="HU164" s="1167">
        <f t="shared" si="483"/>
        <v>-19532.982147241306</v>
      </c>
      <c r="HX164" s="1154"/>
      <c r="HY164" s="1154"/>
      <c r="IB164" s="1154"/>
      <c r="IC164" s="1154"/>
      <c r="ID164" s="1154"/>
      <c r="IE164" s="1154"/>
      <c r="IG164" s="1060"/>
    </row>
    <row r="165" spans="1:241" ht="14.25" hidden="1" customHeight="1">
      <c r="A165" s="1186">
        <f t="shared" si="490"/>
        <v>159</v>
      </c>
      <c r="B165" s="824"/>
      <c r="C165" s="855">
        <f t="shared" si="492"/>
        <v>18</v>
      </c>
      <c r="D165" s="856" t="s">
        <v>310</v>
      </c>
      <c r="E165" s="857" t="str">
        <f t="shared" si="387"/>
        <v>10th Floor</v>
      </c>
      <c r="F165" s="1185"/>
      <c r="G165" s="1012" t="s">
        <v>645</v>
      </c>
      <c r="H165" s="764" t="s">
        <v>552</v>
      </c>
      <c r="I165" s="764" t="s">
        <v>476</v>
      </c>
      <c r="J165" s="831">
        <v>22</v>
      </c>
      <c r="K165" s="1142"/>
      <c r="L165" s="764" t="s">
        <v>500</v>
      </c>
      <c r="M165" s="764" t="s">
        <v>117</v>
      </c>
      <c r="N165" s="856">
        <f t="shared" si="388"/>
        <v>100909.09090909091</v>
      </c>
      <c r="O165" s="1138">
        <f t="shared" si="486"/>
        <v>2220000</v>
      </c>
      <c r="P165" s="1138">
        <f t="shared" si="491"/>
        <v>22400</v>
      </c>
      <c r="Q165" s="1138">
        <f t="shared" si="374"/>
        <v>50000</v>
      </c>
      <c r="R165" s="1138"/>
      <c r="S165" s="1138"/>
      <c r="T165" s="1138"/>
      <c r="U165" s="1138"/>
      <c r="V165" s="858">
        <f>J165*$V$5</f>
        <v>55000</v>
      </c>
      <c r="W165" s="858"/>
      <c r="X165" s="1138"/>
      <c r="Y165" s="1138">
        <f t="shared" si="494"/>
        <v>120000</v>
      </c>
      <c r="Z165" s="1138">
        <f t="shared" si="487"/>
        <v>75000</v>
      </c>
      <c r="AA165" s="1138">
        <f t="shared" si="488"/>
        <v>322400</v>
      </c>
      <c r="AB165" s="1138">
        <f t="shared" si="390"/>
        <v>2542400</v>
      </c>
      <c r="AC165" s="1138">
        <f t="shared" si="391"/>
        <v>63560</v>
      </c>
      <c r="AD165" s="1138">
        <f t="shared" si="392"/>
        <v>2605960</v>
      </c>
      <c r="AE165" s="1138">
        <f t="shared" si="393"/>
        <v>65149</v>
      </c>
      <c r="AF165" s="1138">
        <f t="shared" si="394"/>
        <v>2671109</v>
      </c>
      <c r="AG165" s="1138">
        <f t="shared" si="395"/>
        <v>66777.725000000006</v>
      </c>
      <c r="AH165" s="1138">
        <f t="shared" si="396"/>
        <v>2737886.7250000001</v>
      </c>
      <c r="AI165" s="1138">
        <f t="shared" si="397"/>
        <v>136894.33625000002</v>
      </c>
      <c r="AJ165" s="1138">
        <f t="shared" si="398"/>
        <v>2874781.0612500003</v>
      </c>
      <c r="AK165" s="1138">
        <f t="shared" si="399"/>
        <v>28747.810612500005</v>
      </c>
      <c r="AL165" s="1138">
        <f t="shared" si="400"/>
        <v>27537.409960060559</v>
      </c>
      <c r="AM165" s="1138"/>
      <c r="AN165" s="1138"/>
      <c r="AO165" s="1138">
        <f t="shared" si="401"/>
        <v>2931066.2818225608</v>
      </c>
      <c r="AP165" s="1138">
        <f t="shared" si="402"/>
        <v>395693.94804604573</v>
      </c>
      <c r="AQ165" s="1248">
        <f t="shared" si="403"/>
        <v>3326760.2298686067</v>
      </c>
      <c r="AR165" s="1248">
        <f t="shared" si="347"/>
        <v>2996760.2298686067</v>
      </c>
      <c r="AS165" s="1248">
        <v>15000</v>
      </c>
      <c r="AT165" s="1248">
        <f t="shared" si="348"/>
        <v>330000</v>
      </c>
      <c r="AU165" s="1248">
        <f t="shared" si="404"/>
        <v>39600</v>
      </c>
      <c r="AV165" s="1140">
        <f t="shared" si="405"/>
        <v>369600</v>
      </c>
      <c r="AW165" s="1140">
        <f t="shared" si="406"/>
        <v>3366360.2298686067</v>
      </c>
      <c r="AX165" s="1139">
        <f t="shared" si="407"/>
        <v>42079.502873357589</v>
      </c>
      <c r="AY165" s="831" t="s">
        <v>478</v>
      </c>
      <c r="AZ165" s="831">
        <f t="shared" si="408"/>
        <v>3408439.732741964</v>
      </c>
      <c r="BA165" s="831">
        <f t="shared" si="409"/>
        <v>127816.48997782364</v>
      </c>
      <c r="BB165" s="831"/>
      <c r="BC165" s="831">
        <f t="shared" si="346"/>
        <v>33600</v>
      </c>
      <c r="BD165" s="831"/>
      <c r="BE165" s="831">
        <f t="shared" si="410"/>
        <v>3569856.2227197876</v>
      </c>
      <c r="BF165" s="831"/>
      <c r="BG165" s="831">
        <f t="shared" si="411"/>
        <v>3569856.2227197876</v>
      </c>
      <c r="BH165" s="831"/>
      <c r="BI165" s="831">
        <f t="shared" si="412"/>
        <v>3569856.2227197876</v>
      </c>
      <c r="BJ165" s="831"/>
      <c r="BK165" s="831">
        <f t="shared" si="413"/>
        <v>3569856.2227197876</v>
      </c>
      <c r="BL165" s="831"/>
      <c r="BM165" s="831">
        <f t="shared" si="414"/>
        <v>3569856.2227197876</v>
      </c>
      <c r="BN165" s="831"/>
      <c r="BO165" s="831">
        <f t="shared" si="415"/>
        <v>3569856.2227197876</v>
      </c>
      <c r="BP165" s="831"/>
      <c r="BQ165" s="831">
        <f t="shared" si="416"/>
        <v>3569856.2227197876</v>
      </c>
      <c r="BR165" s="831"/>
      <c r="BS165" s="831">
        <f t="shared" si="417"/>
        <v>3569856.2227197876</v>
      </c>
      <c r="BT165" s="831"/>
      <c r="BU165" s="831">
        <f t="shared" si="418"/>
        <v>3569856.2227197876</v>
      </c>
      <c r="BV165" s="831"/>
      <c r="BW165" s="831">
        <f t="shared" si="419"/>
        <v>56400</v>
      </c>
      <c r="BX165" s="831">
        <f t="shared" si="420"/>
        <v>3626256.2227197876</v>
      </c>
      <c r="BY165" s="831"/>
      <c r="BZ165" s="831">
        <f t="shared" si="421"/>
        <v>3626256.2227197876</v>
      </c>
      <c r="CA165" s="1260">
        <f t="shared" si="422"/>
        <v>3626256.2227197876</v>
      </c>
      <c r="CB165" s="1260">
        <f t="shared" si="423"/>
        <v>3626256.2227197876</v>
      </c>
      <c r="CC165" s="1260"/>
      <c r="CD165" s="1260">
        <f t="shared" si="424"/>
        <v>0</v>
      </c>
      <c r="CE165" s="1260">
        <f t="shared" si="425"/>
        <v>0</v>
      </c>
      <c r="CF165" s="1260">
        <f t="shared" si="426"/>
        <v>0</v>
      </c>
      <c r="CG165" s="1266">
        <f t="shared" si="427"/>
        <v>3626256.2227197876</v>
      </c>
      <c r="CH165" s="1141">
        <f t="shared" si="428"/>
        <v>3626256.2227197876</v>
      </c>
      <c r="CI165" s="1142">
        <f t="shared" si="429"/>
        <v>435150.74672637449</v>
      </c>
      <c r="CJ165" s="1141">
        <f t="shared" si="430"/>
        <v>371691.26282877818</v>
      </c>
      <c r="CK165" s="1141">
        <f t="shared" si="431"/>
        <v>126918.96779519258</v>
      </c>
      <c r="CL165" s="1143">
        <f t="shared" si="489"/>
        <v>4560017.2000701325</v>
      </c>
      <c r="CM165" s="1144">
        <f t="shared" si="432"/>
        <v>0.125</v>
      </c>
      <c r="CN165" s="1141">
        <f t="shared" si="502"/>
        <v>570002.15000876656</v>
      </c>
      <c r="CO165" s="1141">
        <f t="shared" si="433"/>
        <v>30000</v>
      </c>
      <c r="CP165" s="1141">
        <f t="shared" si="503"/>
        <v>540002.15000876656</v>
      </c>
      <c r="CQ165" s="1145">
        <f t="shared" si="434"/>
        <v>14</v>
      </c>
      <c r="CR165" s="1141">
        <f t="shared" si="504"/>
        <v>38571.582143483327</v>
      </c>
      <c r="CS165" s="1144">
        <f t="shared" si="435"/>
        <v>0.875</v>
      </c>
      <c r="CT165" s="1141">
        <f t="shared" si="436"/>
        <v>3990015.0500613661</v>
      </c>
      <c r="CU165" s="1146">
        <f t="shared" si="375"/>
        <v>30934.544214158675</v>
      </c>
      <c r="CV165" s="1146">
        <f t="shared" si="376"/>
        <v>35863.383281218179</v>
      </c>
      <c r="CW165" s="1146">
        <f t="shared" si="377"/>
        <v>46327.457952204735</v>
      </c>
      <c r="CX165" s="1146">
        <f t="shared" si="378"/>
        <v>79007.080185247803</v>
      </c>
      <c r="CY165" s="1146">
        <f t="shared" si="437"/>
        <v>324121.60483632161</v>
      </c>
      <c r="CZ165" s="1146">
        <f t="shared" si="438"/>
        <v>128253.3401467466</v>
      </c>
      <c r="DA165" s="1146">
        <f t="shared" si="439"/>
        <v>92635.571110980251</v>
      </c>
      <c r="DB165" s="1146">
        <f t="shared" si="440"/>
        <v>70499.934336886203</v>
      </c>
      <c r="DC165" s="1146"/>
      <c r="DD165" s="1146"/>
      <c r="DE165" s="1146"/>
      <c r="DF165" s="1146"/>
      <c r="DG165" s="1146"/>
      <c r="DH165" s="1146"/>
      <c r="DI165" s="1146"/>
      <c r="DJ165" s="1146"/>
      <c r="DK165" s="1146"/>
      <c r="DL165" s="1146"/>
      <c r="DM165" s="1146"/>
      <c r="DN165" s="1146"/>
      <c r="DO165" s="1146"/>
      <c r="DP165" s="1146"/>
      <c r="DQ165" s="1146"/>
      <c r="DR165" s="1146"/>
      <c r="DS165" s="1146"/>
      <c r="DT165" s="1146"/>
      <c r="DU165" s="1146"/>
      <c r="DV165" s="1146"/>
      <c r="DW165" s="1146"/>
      <c r="DX165" s="1146"/>
      <c r="DY165" s="1146"/>
      <c r="DZ165" s="1146"/>
      <c r="EA165" s="1147">
        <f t="shared" si="379"/>
        <v>0.11011891999596808</v>
      </c>
      <c r="EB165" s="1148">
        <f t="shared" si="441"/>
        <v>0</v>
      </c>
      <c r="EC165" s="1190">
        <f t="shared" si="484"/>
        <v>45839</v>
      </c>
      <c r="ED165" s="1031">
        <f t="shared" si="380"/>
        <v>20</v>
      </c>
      <c r="EE165" s="1191"/>
      <c r="EF165" s="1032">
        <f t="shared" si="381"/>
        <v>45904</v>
      </c>
      <c r="EG165" s="1029">
        <f t="shared" si="442"/>
        <v>22</v>
      </c>
      <c r="EH165" s="859" t="s">
        <v>490</v>
      </c>
      <c r="EI165" s="859" t="s">
        <v>480</v>
      </c>
      <c r="EJ165" s="860">
        <f t="shared" si="382"/>
        <v>16800</v>
      </c>
      <c r="EK165" s="860">
        <f t="shared" si="383"/>
        <v>369600</v>
      </c>
      <c r="EL165" s="861">
        <f t="shared" si="384"/>
        <v>0.12333319039548425</v>
      </c>
      <c r="EM165" s="1197"/>
      <c r="EN165" s="860"/>
      <c r="EO165" s="860"/>
      <c r="EP165" s="860">
        <f t="shared" si="385"/>
        <v>0</v>
      </c>
      <c r="EQ165" s="1197"/>
      <c r="ER165" s="1200"/>
      <c r="ES165" s="1197"/>
      <c r="ET165" s="1194" t="s">
        <v>645</v>
      </c>
      <c r="EU165" s="1197" t="b">
        <f t="shared" si="386"/>
        <v>1</v>
      </c>
      <c r="EV165" s="1197"/>
      <c r="EW165" s="1197"/>
      <c r="EX165" s="1197"/>
      <c r="EY165" s="1128" t="s">
        <v>587</v>
      </c>
      <c r="EZ165" s="1128" t="s">
        <v>484</v>
      </c>
      <c r="FA165" s="1169">
        <f t="shared" si="443"/>
        <v>0</v>
      </c>
      <c r="FI165" s="1309" t="s">
        <v>149</v>
      </c>
      <c r="FJ165" s="1159" t="s">
        <v>149</v>
      </c>
      <c r="FK165" s="1160" t="b">
        <f t="shared" si="444"/>
        <v>1</v>
      </c>
      <c r="FL165" s="1131"/>
      <c r="FM165" s="1161"/>
      <c r="FO165" s="888"/>
      <c r="FU165" s="1295"/>
      <c r="FV165" s="1295"/>
      <c r="FW165" s="1023">
        <v>0.125</v>
      </c>
      <c r="FX165" s="1162">
        <v>12777.979626728262</v>
      </c>
      <c r="FY165" s="1163">
        <v>13177.291490063521</v>
      </c>
      <c r="GA165" s="1164">
        <f t="shared" si="445"/>
        <v>4560017.2000701325</v>
      </c>
      <c r="GB165" s="1165">
        <f t="shared" si="485"/>
        <v>0.15</v>
      </c>
      <c r="GC165" s="1154">
        <f t="shared" si="446"/>
        <v>684002.58001051983</v>
      </c>
      <c r="GD165" s="1164">
        <f t="shared" si="447"/>
        <v>30000</v>
      </c>
      <c r="GE165" s="1154">
        <f t="shared" si="448"/>
        <v>654002.58001051983</v>
      </c>
      <c r="GF165" s="1060">
        <f t="shared" si="449"/>
        <v>35</v>
      </c>
      <c r="GG165" s="1166">
        <f t="shared" si="450"/>
        <v>18685.788000300567</v>
      </c>
      <c r="GI165" s="1164">
        <f t="shared" si="451"/>
        <v>4560017.2000701325</v>
      </c>
      <c r="GJ165" s="1154">
        <f t="shared" si="452"/>
        <v>456001.7200070133</v>
      </c>
      <c r="GK165" s="1154">
        <f t="shared" si="453"/>
        <v>114000.43000175332</v>
      </c>
      <c r="GL165" s="1166">
        <v>15000</v>
      </c>
      <c r="GM165" s="1154">
        <f t="shared" si="454"/>
        <v>441001.7200070133</v>
      </c>
      <c r="GN165" s="1060">
        <f t="shared" si="455"/>
        <v>35</v>
      </c>
      <c r="GO165" s="1154">
        <f t="shared" si="456"/>
        <v>12600.049143057522</v>
      </c>
      <c r="GS165" s="1010">
        <f t="shared" si="457"/>
        <v>4560017.2000701325</v>
      </c>
      <c r="GT165" s="1011">
        <f t="shared" si="458"/>
        <v>0.125</v>
      </c>
      <c r="GU165" s="1010">
        <f t="shared" si="459"/>
        <v>570002.15000876656</v>
      </c>
      <c r="GV165" s="1010">
        <f t="shared" si="460"/>
        <v>30000</v>
      </c>
      <c r="GW165" s="1010">
        <f t="shared" si="461"/>
        <v>540002.15000876656</v>
      </c>
      <c r="GX165" s="1010">
        <f t="shared" si="462"/>
        <v>14</v>
      </c>
      <c r="GY165" s="1010">
        <f t="shared" si="463"/>
        <v>38571.582143483327</v>
      </c>
      <c r="GZ165" s="1011">
        <f t="shared" si="464"/>
        <v>0.875</v>
      </c>
      <c r="HA165" s="1010">
        <f t="shared" si="465"/>
        <v>3990015.0500613661</v>
      </c>
      <c r="HB165" s="1010">
        <f t="shared" si="466"/>
        <v>30934.544214158675</v>
      </c>
      <c r="HC165" s="1010">
        <f t="shared" si="467"/>
        <v>35863.383281218179</v>
      </c>
      <c r="HD165" s="1010">
        <f t="shared" si="468"/>
        <v>46327.457952204735</v>
      </c>
      <c r="HE165" s="1010">
        <f t="shared" si="469"/>
        <v>79007.080185247803</v>
      </c>
      <c r="HG165" s="1010">
        <f t="shared" si="470"/>
        <v>4560017.2000701325</v>
      </c>
      <c r="HH165" s="1011">
        <f t="shared" si="471"/>
        <v>0.125</v>
      </c>
      <c r="HI165" s="1010">
        <f t="shared" si="472"/>
        <v>570002.15000876656</v>
      </c>
      <c r="HJ165" s="1010">
        <f t="shared" si="473"/>
        <v>30000</v>
      </c>
      <c r="HK165" s="1010">
        <f t="shared" si="474"/>
        <v>540002.15000876656</v>
      </c>
      <c r="HL165" s="1012">
        <f t="shared" si="475"/>
        <v>33</v>
      </c>
      <c r="HM165" s="1167">
        <f t="shared" si="476"/>
        <v>16363.701515417168</v>
      </c>
      <c r="HN165" s="1168">
        <f t="shared" si="477"/>
        <v>0.875</v>
      </c>
      <c r="HO165" s="1167">
        <f t="shared" si="478"/>
        <v>3990015.0500613661</v>
      </c>
      <c r="HP165" s="1146">
        <f t="shared" si="479"/>
        <v>30934.544214158675</v>
      </c>
      <c r="HQ165" s="1146">
        <f t="shared" si="480"/>
        <v>35863.383281218179</v>
      </c>
      <c r="HR165" s="1146">
        <f t="shared" si="481"/>
        <v>46327.457952204735</v>
      </c>
      <c r="HS165" s="1146">
        <f t="shared" si="482"/>
        <v>79007.080185247803</v>
      </c>
      <c r="HU165" s="1167">
        <f t="shared" si="483"/>
        <v>-22207.880628066159</v>
      </c>
      <c r="HX165" s="1154"/>
      <c r="HY165" s="1154"/>
      <c r="IB165" s="1154"/>
      <c r="IC165" s="1154"/>
      <c r="ID165" s="1154"/>
      <c r="IE165" s="1154"/>
      <c r="IG165" s="1060"/>
    </row>
    <row r="166" spans="1:241" ht="14.25" hidden="1" customHeight="1">
      <c r="A166" s="1186">
        <f t="shared" si="490"/>
        <v>160</v>
      </c>
      <c r="B166" s="824"/>
      <c r="C166" s="855">
        <v>1</v>
      </c>
      <c r="D166" s="856" t="s">
        <v>519</v>
      </c>
      <c r="E166" s="857" t="str">
        <f t="shared" si="387"/>
        <v>11th Floor</v>
      </c>
      <c r="F166" s="1185"/>
      <c r="G166" s="1012" t="s">
        <v>646</v>
      </c>
      <c r="H166" s="764" t="s">
        <v>475</v>
      </c>
      <c r="I166" s="764" t="s">
        <v>476</v>
      </c>
      <c r="J166" s="1139">
        <v>22</v>
      </c>
      <c r="K166" s="1142"/>
      <c r="L166" s="764" t="s">
        <v>344</v>
      </c>
      <c r="M166" s="764" t="s">
        <v>477</v>
      </c>
      <c r="N166" s="856">
        <f t="shared" si="388"/>
        <v>100909.09090909091</v>
      </c>
      <c r="O166" s="1138">
        <f t="shared" si="486"/>
        <v>2220000</v>
      </c>
      <c r="P166" s="1138">
        <f t="shared" si="491"/>
        <v>22400</v>
      </c>
      <c r="Q166" s="1138">
        <f t="shared" si="374"/>
        <v>50000</v>
      </c>
      <c r="R166" s="1138"/>
      <c r="S166" s="1138"/>
      <c r="T166" s="1138"/>
      <c r="U166" s="1138"/>
      <c r="V166" s="858"/>
      <c r="W166" s="858">
        <f>J166*$W$5</f>
        <v>22000</v>
      </c>
      <c r="X166" s="1138"/>
      <c r="Y166" s="1138">
        <f>Y165+Y5</f>
        <v>140000</v>
      </c>
      <c r="Z166" s="1138">
        <f t="shared" si="487"/>
        <v>75000</v>
      </c>
      <c r="AA166" s="1138">
        <f t="shared" si="488"/>
        <v>309400</v>
      </c>
      <c r="AB166" s="1138">
        <f t="shared" si="390"/>
        <v>2529400</v>
      </c>
      <c r="AC166" s="1138">
        <f t="shared" si="391"/>
        <v>63235</v>
      </c>
      <c r="AD166" s="1138">
        <f t="shared" si="392"/>
        <v>2592635</v>
      </c>
      <c r="AE166" s="1138">
        <f t="shared" si="393"/>
        <v>64815.875</v>
      </c>
      <c r="AF166" s="1138">
        <f t="shared" si="394"/>
        <v>2657450.875</v>
      </c>
      <c r="AG166" s="1138">
        <f t="shared" si="395"/>
        <v>66436.271875000006</v>
      </c>
      <c r="AH166" s="1138">
        <f t="shared" si="396"/>
        <v>2723887.1468750001</v>
      </c>
      <c r="AI166" s="1138">
        <f t="shared" si="397"/>
        <v>136194.35734375002</v>
      </c>
      <c r="AJ166" s="1138">
        <f t="shared" si="398"/>
        <v>2860081.5042187502</v>
      </c>
      <c r="AK166" s="1138">
        <f t="shared" si="399"/>
        <v>28600.815042187503</v>
      </c>
      <c r="AL166" s="1138">
        <f t="shared" si="400"/>
        <v>27537.409960060559</v>
      </c>
      <c r="AM166" s="1138"/>
      <c r="AN166" s="1138"/>
      <c r="AO166" s="1138">
        <f t="shared" si="401"/>
        <v>2916219.729220998</v>
      </c>
      <c r="AP166" s="1138">
        <f t="shared" si="402"/>
        <v>393689.66344483476</v>
      </c>
      <c r="AQ166" s="1248">
        <f t="shared" si="403"/>
        <v>3309909.3926658328</v>
      </c>
      <c r="AR166" s="1248">
        <f t="shared" si="347"/>
        <v>2979909.3926658328</v>
      </c>
      <c r="AS166" s="1248">
        <v>15000</v>
      </c>
      <c r="AT166" s="1248">
        <f t="shared" si="348"/>
        <v>330000</v>
      </c>
      <c r="AU166" s="1248">
        <f t="shared" si="404"/>
        <v>39600</v>
      </c>
      <c r="AV166" s="1140">
        <f t="shared" si="405"/>
        <v>369600</v>
      </c>
      <c r="AW166" s="1140">
        <f t="shared" si="406"/>
        <v>3349509.3926658328</v>
      </c>
      <c r="AX166" s="1139">
        <f t="shared" si="407"/>
        <v>41868.867408322913</v>
      </c>
      <c r="AY166" s="831" t="s">
        <v>478</v>
      </c>
      <c r="AZ166" s="831">
        <f t="shared" si="408"/>
        <v>3391378.2600741559</v>
      </c>
      <c r="BA166" s="831">
        <f t="shared" si="409"/>
        <v>127176.68475278084</v>
      </c>
      <c r="BB166" s="831"/>
      <c r="BC166" s="831">
        <f t="shared" si="346"/>
        <v>33600</v>
      </c>
      <c r="BD166" s="831"/>
      <c r="BE166" s="831">
        <f t="shared" si="410"/>
        <v>3552154.9448269368</v>
      </c>
      <c r="BF166" s="831"/>
      <c r="BG166" s="831">
        <f t="shared" si="411"/>
        <v>3552154.9448269368</v>
      </c>
      <c r="BH166" s="831"/>
      <c r="BI166" s="831">
        <f t="shared" si="412"/>
        <v>3552154.9448269368</v>
      </c>
      <c r="BJ166" s="831"/>
      <c r="BK166" s="831">
        <f t="shared" si="413"/>
        <v>3552154.9448269368</v>
      </c>
      <c r="BL166" s="831"/>
      <c r="BM166" s="831">
        <f t="shared" si="414"/>
        <v>3552154.9448269368</v>
      </c>
      <c r="BN166" s="831"/>
      <c r="BO166" s="831">
        <f t="shared" si="415"/>
        <v>3552154.9448269368</v>
      </c>
      <c r="BP166" s="831"/>
      <c r="BQ166" s="831">
        <f t="shared" si="416"/>
        <v>3552154.9448269368</v>
      </c>
      <c r="BR166" s="831"/>
      <c r="BS166" s="831">
        <f t="shared" si="417"/>
        <v>3552154.9448269368</v>
      </c>
      <c r="BT166" s="831"/>
      <c r="BU166" s="831">
        <f t="shared" si="418"/>
        <v>3552154.9448269368</v>
      </c>
      <c r="BV166" s="831"/>
      <c r="BW166" s="831">
        <f t="shared" si="419"/>
        <v>56400</v>
      </c>
      <c r="BX166" s="831">
        <f t="shared" si="420"/>
        <v>3608554.9448269368</v>
      </c>
      <c r="BY166" s="831"/>
      <c r="BZ166" s="831">
        <f t="shared" si="421"/>
        <v>3608554.9448269368</v>
      </c>
      <c r="CA166" s="1260">
        <f t="shared" si="422"/>
        <v>3608554.9448269368</v>
      </c>
      <c r="CB166" s="1260">
        <f t="shared" si="423"/>
        <v>3608554.9448269368</v>
      </c>
      <c r="CC166" s="1260"/>
      <c r="CD166" s="1260">
        <f t="shared" si="424"/>
        <v>0</v>
      </c>
      <c r="CE166" s="1260">
        <f t="shared" si="425"/>
        <v>0</v>
      </c>
      <c r="CF166" s="1260">
        <f t="shared" si="426"/>
        <v>0</v>
      </c>
      <c r="CG166" s="1266">
        <f t="shared" si="427"/>
        <v>3608554.9448269368</v>
      </c>
      <c r="CH166" s="1141">
        <f t="shared" si="428"/>
        <v>3608554.9448269368</v>
      </c>
      <c r="CI166" s="1142">
        <f t="shared" si="429"/>
        <v>433026.59337923239</v>
      </c>
      <c r="CJ166" s="1141">
        <f t="shared" si="430"/>
        <v>369876.88184476102</v>
      </c>
      <c r="CK166" s="1141">
        <f t="shared" si="431"/>
        <v>126299.42306894281</v>
      </c>
      <c r="CL166" s="1143">
        <f t="shared" si="489"/>
        <v>4537757.8431198727</v>
      </c>
      <c r="CM166" s="1144">
        <f t="shared" si="432"/>
        <v>0.125</v>
      </c>
      <c r="CN166" s="1141">
        <f t="shared" si="502"/>
        <v>567219.73038998409</v>
      </c>
      <c r="CO166" s="1141">
        <f t="shared" si="433"/>
        <v>30000</v>
      </c>
      <c r="CP166" s="1141">
        <f t="shared" si="503"/>
        <v>537219.73038998409</v>
      </c>
      <c r="CQ166" s="1145">
        <f t="shared" si="434"/>
        <v>15</v>
      </c>
      <c r="CR166" s="1141">
        <f t="shared" si="504"/>
        <v>35814.648692665607</v>
      </c>
      <c r="CS166" s="1144">
        <f t="shared" si="435"/>
        <v>0.875</v>
      </c>
      <c r="CT166" s="1141">
        <f t="shared" si="436"/>
        <v>3970538.1127298884</v>
      </c>
      <c r="CU166" s="1146">
        <f t="shared" si="375"/>
        <v>30783.539726336574</v>
      </c>
      <c r="CV166" s="1146">
        <f t="shared" si="376"/>
        <v>35688.319062186645</v>
      </c>
      <c r="CW166" s="1146">
        <f t="shared" si="377"/>
        <v>46101.314194865306</v>
      </c>
      <c r="CX166" s="1146">
        <f t="shared" si="378"/>
        <v>78621.413482189266</v>
      </c>
      <c r="CY166" s="1146">
        <f t="shared" si="437"/>
        <v>322539.43130916212</v>
      </c>
      <c r="CZ166" s="1146">
        <f t="shared" si="438"/>
        <v>127627.28178925934</v>
      </c>
      <c r="DA166" s="1146">
        <f t="shared" si="439"/>
        <v>92183.378026353559</v>
      </c>
      <c r="DB166" s="1146">
        <f t="shared" si="440"/>
        <v>70155.794581590861</v>
      </c>
      <c r="DC166" s="1146"/>
      <c r="DD166" s="1146"/>
      <c r="DE166" s="1146"/>
      <c r="DF166" s="1146"/>
      <c r="DG166" s="1146"/>
      <c r="DH166" s="1146"/>
      <c r="DI166" s="1146"/>
      <c r="DJ166" s="1146"/>
      <c r="DK166" s="1146"/>
      <c r="DL166" s="1146"/>
      <c r="DM166" s="1146"/>
      <c r="DN166" s="1146"/>
      <c r="DO166" s="1146"/>
      <c r="DP166" s="1146"/>
      <c r="DQ166" s="1146"/>
      <c r="DR166" s="1146"/>
      <c r="DS166" s="1146"/>
      <c r="DT166" s="1146"/>
      <c r="DU166" s="1146"/>
      <c r="DV166" s="1146"/>
      <c r="DW166" s="1146"/>
      <c r="DX166" s="1146"/>
      <c r="DY166" s="1146"/>
      <c r="DZ166" s="1146"/>
      <c r="EA166" s="1147">
        <f t="shared" si="379"/>
        <v>0.11074162214871283</v>
      </c>
      <c r="EB166" s="1148">
        <f t="shared" si="441"/>
        <v>0</v>
      </c>
      <c r="EC166" s="1190">
        <f t="shared" si="484"/>
        <v>45839</v>
      </c>
      <c r="ED166" s="1031">
        <f t="shared" si="380"/>
        <v>20</v>
      </c>
      <c r="EE166" s="1191"/>
      <c r="EF166" s="1032">
        <f t="shared" si="381"/>
        <v>45904</v>
      </c>
      <c r="EG166" s="1029">
        <f t="shared" si="442"/>
        <v>22</v>
      </c>
      <c r="EH166" s="859" t="s">
        <v>490</v>
      </c>
      <c r="EI166" s="859" t="s">
        <v>480</v>
      </c>
      <c r="EJ166" s="860">
        <f t="shared" si="382"/>
        <v>16800</v>
      </c>
      <c r="EK166" s="860">
        <f t="shared" si="383"/>
        <v>369600</v>
      </c>
      <c r="EL166" s="861">
        <f t="shared" si="384"/>
        <v>0.12403061680655837</v>
      </c>
      <c r="EM166" s="1197"/>
      <c r="EN166" s="860"/>
      <c r="EO166" s="860"/>
      <c r="EP166" s="860">
        <f t="shared" si="385"/>
        <v>0</v>
      </c>
      <c r="EQ166" s="1197"/>
      <c r="ER166" s="1200"/>
      <c r="ES166" s="1197"/>
      <c r="ET166" s="1207" t="s">
        <v>646</v>
      </c>
      <c r="EU166" s="1197" t="b">
        <f t="shared" si="386"/>
        <v>1</v>
      </c>
      <c r="EV166" s="1197"/>
      <c r="EW166" s="1197"/>
      <c r="EX166" s="1197"/>
      <c r="EY166" s="1128" t="s">
        <v>587</v>
      </c>
      <c r="EZ166" s="1128" t="s">
        <v>484</v>
      </c>
      <c r="FA166" s="1169">
        <f t="shared" si="443"/>
        <v>0</v>
      </c>
      <c r="FI166" s="1309" t="s">
        <v>149</v>
      </c>
      <c r="FJ166" s="1159" t="s">
        <v>149</v>
      </c>
      <c r="FK166" s="1160" t="b">
        <f t="shared" si="444"/>
        <v>1</v>
      </c>
      <c r="FL166" s="1131"/>
      <c r="FM166" s="1161"/>
      <c r="FO166" s="888"/>
      <c r="FU166" s="1295"/>
      <c r="FV166" s="1295"/>
      <c r="FW166" s="1023">
        <v>0.15</v>
      </c>
      <c r="FX166" s="1162">
        <v>15054.555791183073</v>
      </c>
      <c r="FY166" s="1163">
        <v>15525.010659657544</v>
      </c>
      <c r="GA166" s="1164">
        <f t="shared" si="445"/>
        <v>4537757.8431198727</v>
      </c>
      <c r="GB166" s="1165">
        <f t="shared" si="485"/>
        <v>0.15</v>
      </c>
      <c r="GC166" s="1154">
        <f t="shared" si="446"/>
        <v>680663.67646798084</v>
      </c>
      <c r="GD166" s="1164">
        <f t="shared" si="447"/>
        <v>30000</v>
      </c>
      <c r="GE166" s="1154">
        <f t="shared" si="448"/>
        <v>650663.67646798084</v>
      </c>
      <c r="GF166" s="1060">
        <f t="shared" si="449"/>
        <v>35</v>
      </c>
      <c r="GG166" s="1166">
        <f t="shared" si="450"/>
        <v>18590.390756228026</v>
      </c>
      <c r="GI166" s="1164">
        <f t="shared" si="451"/>
        <v>4537757.8431198727</v>
      </c>
      <c r="GJ166" s="1154">
        <f t="shared" si="452"/>
        <v>453775.78431198729</v>
      </c>
      <c r="GK166" s="1154">
        <f t="shared" si="453"/>
        <v>113443.94607799682</v>
      </c>
      <c r="GL166" s="1166">
        <v>15000</v>
      </c>
      <c r="GM166" s="1154">
        <f t="shared" si="454"/>
        <v>438775.78431198729</v>
      </c>
      <c r="GN166" s="1060">
        <f t="shared" si="455"/>
        <v>35</v>
      </c>
      <c r="GO166" s="1154">
        <f t="shared" si="456"/>
        <v>12536.450980342493</v>
      </c>
      <c r="GS166" s="1010">
        <f t="shared" si="457"/>
        <v>4537757.8431198727</v>
      </c>
      <c r="GT166" s="1011">
        <f t="shared" si="458"/>
        <v>0.125</v>
      </c>
      <c r="GU166" s="1010">
        <f t="shared" si="459"/>
        <v>567219.73038998409</v>
      </c>
      <c r="GV166" s="1010">
        <f t="shared" si="460"/>
        <v>30000</v>
      </c>
      <c r="GW166" s="1010">
        <f t="shared" si="461"/>
        <v>537219.73038998409</v>
      </c>
      <c r="GX166" s="1010">
        <f t="shared" si="462"/>
        <v>15</v>
      </c>
      <c r="GY166" s="1010">
        <f t="shared" si="463"/>
        <v>35814.648692665607</v>
      </c>
      <c r="GZ166" s="1011">
        <f t="shared" si="464"/>
        <v>0.875</v>
      </c>
      <c r="HA166" s="1010">
        <f t="shared" si="465"/>
        <v>3970538.1127298884</v>
      </c>
      <c r="HB166" s="1010">
        <f t="shared" si="466"/>
        <v>30783.539726336574</v>
      </c>
      <c r="HC166" s="1010">
        <f t="shared" si="467"/>
        <v>35688.319062186645</v>
      </c>
      <c r="HD166" s="1010">
        <f t="shared" si="468"/>
        <v>46101.314194865306</v>
      </c>
      <c r="HE166" s="1010">
        <f t="shared" si="469"/>
        <v>78621.413482189266</v>
      </c>
      <c r="HG166" s="1010">
        <f t="shared" si="470"/>
        <v>4537757.8431198727</v>
      </c>
      <c r="HH166" s="1011">
        <f t="shared" si="471"/>
        <v>0.125</v>
      </c>
      <c r="HI166" s="1010">
        <f t="shared" si="472"/>
        <v>567219.73038998409</v>
      </c>
      <c r="HJ166" s="1010">
        <f t="shared" si="473"/>
        <v>30000</v>
      </c>
      <c r="HK166" s="1010">
        <f t="shared" si="474"/>
        <v>537219.73038998409</v>
      </c>
      <c r="HL166" s="1012">
        <f t="shared" si="475"/>
        <v>33</v>
      </c>
      <c r="HM166" s="1167">
        <f t="shared" si="476"/>
        <v>16279.385769393457</v>
      </c>
      <c r="HN166" s="1168">
        <f t="shared" si="477"/>
        <v>0.875</v>
      </c>
      <c r="HO166" s="1167">
        <f t="shared" si="478"/>
        <v>3970538.1127298884</v>
      </c>
      <c r="HP166" s="1146">
        <f t="shared" si="479"/>
        <v>30783.539726336574</v>
      </c>
      <c r="HQ166" s="1146">
        <f t="shared" si="480"/>
        <v>35688.319062186645</v>
      </c>
      <c r="HR166" s="1146">
        <f t="shared" si="481"/>
        <v>46101.314194865306</v>
      </c>
      <c r="HS166" s="1146">
        <f t="shared" si="482"/>
        <v>78621.413482189266</v>
      </c>
      <c r="HU166" s="1167">
        <f t="shared" si="483"/>
        <v>-19535.262923272152</v>
      </c>
      <c r="HX166" s="1154"/>
      <c r="HY166" s="1154"/>
      <c r="IB166" s="1154"/>
      <c r="IC166" s="1154"/>
      <c r="ID166" s="1154"/>
      <c r="IE166" s="1154"/>
      <c r="IG166" s="1060"/>
    </row>
    <row r="167" spans="1:241" ht="14.25" customHeight="1">
      <c r="A167" s="1186">
        <f t="shared" si="490"/>
        <v>161</v>
      </c>
      <c r="B167" s="824"/>
      <c r="C167" s="855">
        <f>C166+1</f>
        <v>2</v>
      </c>
      <c r="D167" s="856" t="s">
        <v>519</v>
      </c>
      <c r="E167" s="857" t="str">
        <f t="shared" si="387"/>
        <v>11th Floor</v>
      </c>
      <c r="F167" s="1185"/>
      <c r="G167" s="764" t="s">
        <v>647</v>
      </c>
      <c r="H167" s="764" t="s">
        <v>489</v>
      </c>
      <c r="I167" s="764" t="s">
        <v>476</v>
      </c>
      <c r="J167" s="1139">
        <v>22</v>
      </c>
      <c r="K167" s="1142"/>
      <c r="L167" s="764" t="s">
        <v>344</v>
      </c>
      <c r="M167" s="764" t="s">
        <v>93</v>
      </c>
      <c r="N167" s="856">
        <f t="shared" si="388"/>
        <v>100909.09090909091</v>
      </c>
      <c r="O167" s="1138">
        <f t="shared" si="486"/>
        <v>2220000</v>
      </c>
      <c r="P167" s="1138">
        <f t="shared" si="491"/>
        <v>22400</v>
      </c>
      <c r="Q167" s="1138">
        <f t="shared" si="374"/>
        <v>50000</v>
      </c>
      <c r="R167" s="1138"/>
      <c r="S167" s="1138"/>
      <c r="T167" s="1138"/>
      <c r="U167" s="1138"/>
      <c r="V167" s="858"/>
      <c r="W167" s="858"/>
      <c r="X167" s="1138"/>
      <c r="Y167" s="1138">
        <f>$Y$166</f>
        <v>140000</v>
      </c>
      <c r="Z167" s="1138">
        <f t="shared" si="487"/>
        <v>75000</v>
      </c>
      <c r="AA167" s="1138">
        <f t="shared" si="488"/>
        <v>287400</v>
      </c>
      <c r="AB167" s="1138">
        <f t="shared" si="390"/>
        <v>2507400</v>
      </c>
      <c r="AC167" s="1138">
        <f t="shared" si="391"/>
        <v>62685</v>
      </c>
      <c r="AD167" s="1138">
        <f t="shared" si="392"/>
        <v>2570085</v>
      </c>
      <c r="AE167" s="1138">
        <f t="shared" si="393"/>
        <v>64252.125</v>
      </c>
      <c r="AF167" s="1138">
        <f t="shared" si="394"/>
        <v>2634337.125</v>
      </c>
      <c r="AG167" s="1138">
        <f t="shared" si="395"/>
        <v>65858.428125000006</v>
      </c>
      <c r="AH167" s="1138">
        <f t="shared" si="396"/>
        <v>2700195.5531250001</v>
      </c>
      <c r="AI167" s="1138">
        <f t="shared" si="397"/>
        <v>135009.77765625002</v>
      </c>
      <c r="AJ167" s="1138">
        <f t="shared" si="398"/>
        <v>2835205.3307812503</v>
      </c>
      <c r="AK167" s="1138">
        <f t="shared" si="399"/>
        <v>28352.053307812504</v>
      </c>
      <c r="AL167" s="1138">
        <f t="shared" si="400"/>
        <v>27537.409960060559</v>
      </c>
      <c r="AM167" s="1138"/>
      <c r="AN167" s="1138"/>
      <c r="AO167" s="1138">
        <f t="shared" si="401"/>
        <v>2891094.7940491233</v>
      </c>
      <c r="AP167" s="1138">
        <f t="shared" si="402"/>
        <v>390297.79719663167</v>
      </c>
      <c r="AQ167" s="1248">
        <f t="shared" si="403"/>
        <v>3281392.5912457551</v>
      </c>
      <c r="AR167" s="1248">
        <f t="shared" si="347"/>
        <v>2951392.5912457551</v>
      </c>
      <c r="AS167" s="1248">
        <v>15000</v>
      </c>
      <c r="AT167" s="1248">
        <f t="shared" si="348"/>
        <v>330000</v>
      </c>
      <c r="AU167" s="1248">
        <f t="shared" si="404"/>
        <v>39600</v>
      </c>
      <c r="AV167" s="1140">
        <f t="shared" si="405"/>
        <v>369600</v>
      </c>
      <c r="AW167" s="1140">
        <f t="shared" si="406"/>
        <v>3320992.5912457551</v>
      </c>
      <c r="AX167" s="1139">
        <f t="shared" si="407"/>
        <v>41512.407390571942</v>
      </c>
      <c r="AY167" s="831" t="s">
        <v>478</v>
      </c>
      <c r="AZ167" s="831">
        <f t="shared" si="408"/>
        <v>3362504.9986363272</v>
      </c>
      <c r="BA167" s="831">
        <f t="shared" si="409"/>
        <v>126093.93744886227</v>
      </c>
      <c r="BB167" s="831"/>
      <c r="BC167" s="831">
        <f t="shared" si="346"/>
        <v>33600</v>
      </c>
      <c r="BD167" s="831"/>
      <c r="BE167" s="831">
        <f t="shared" si="410"/>
        <v>3522198.9360851897</v>
      </c>
      <c r="BF167" s="831"/>
      <c r="BG167" s="831">
        <f t="shared" si="411"/>
        <v>3522198.9360851897</v>
      </c>
      <c r="BH167" s="831"/>
      <c r="BI167" s="831">
        <f t="shared" si="412"/>
        <v>3522198.9360851897</v>
      </c>
      <c r="BJ167" s="831"/>
      <c r="BK167" s="831">
        <f t="shared" si="413"/>
        <v>3522198.9360851897</v>
      </c>
      <c r="BL167" s="831"/>
      <c r="BM167" s="831">
        <f t="shared" si="414"/>
        <v>3522198.9360851897</v>
      </c>
      <c r="BN167" s="831"/>
      <c r="BO167" s="831">
        <f t="shared" si="415"/>
        <v>3522198.9360851897</v>
      </c>
      <c r="BP167" s="831"/>
      <c r="BQ167" s="831">
        <f t="shared" si="416"/>
        <v>3522198.9360851897</v>
      </c>
      <c r="BR167" s="831">
        <f t="shared" ref="BR167:BR170" si="505">$BR$5/42</f>
        <v>3544.6104</v>
      </c>
      <c r="BS167" s="831">
        <f t="shared" si="417"/>
        <v>3525743.5464851898</v>
      </c>
      <c r="BT167" s="831">
        <f t="shared" ref="BT167:BT170" si="506">$BT$5/41</f>
        <v>1609.3168000000001</v>
      </c>
      <c r="BU167" s="831">
        <f t="shared" si="418"/>
        <v>3527352.86328519</v>
      </c>
      <c r="BV167" s="831">
        <f t="shared" ref="BV167:BV170" si="507">$BV$5/43</f>
        <v>1163.3400930232558</v>
      </c>
      <c r="BW167" s="831">
        <f t="shared" si="419"/>
        <v>56400</v>
      </c>
      <c r="BX167" s="831">
        <f t="shared" si="420"/>
        <v>3584916.2033782131</v>
      </c>
      <c r="BY167" s="831">
        <f t="shared" ref="BY167:BY170" si="508">$BY$5/44</f>
        <v>30549.183723443901</v>
      </c>
      <c r="BZ167" s="831">
        <f t="shared" si="421"/>
        <v>3615465.3871016572</v>
      </c>
      <c r="CA167" s="1260">
        <f t="shared" si="422"/>
        <v>3615465.3871016572</v>
      </c>
      <c r="CB167" s="1260">
        <f t="shared" si="423"/>
        <v>3439465.3871016572</v>
      </c>
      <c r="CC167" s="1260">
        <v>8000</v>
      </c>
      <c r="CD167" s="1260">
        <f t="shared" si="424"/>
        <v>176000</v>
      </c>
      <c r="CE167" s="1260">
        <f t="shared" si="425"/>
        <v>21120</v>
      </c>
      <c r="CF167" s="1260">
        <f t="shared" si="426"/>
        <v>197120</v>
      </c>
      <c r="CG167" s="1266">
        <f t="shared" si="427"/>
        <v>3636585.3871016572</v>
      </c>
      <c r="CH167" s="1141">
        <f t="shared" si="428"/>
        <v>3636585.3871016572</v>
      </c>
      <c r="CI167" s="1142">
        <f t="shared" si="429"/>
        <v>0</v>
      </c>
      <c r="CJ167" s="1141">
        <f t="shared" si="430"/>
        <v>372750.00217791984</v>
      </c>
      <c r="CK167" s="1141">
        <f t="shared" si="431"/>
        <v>127280.48854855802</v>
      </c>
      <c r="CL167" s="1143">
        <f t="shared" si="489"/>
        <v>4136615.8778281352</v>
      </c>
      <c r="CM167" s="1144">
        <f t="shared" si="432"/>
        <v>0.125</v>
      </c>
      <c r="CN167" s="1141">
        <f t="shared" si="502"/>
        <v>517076.98472851689</v>
      </c>
      <c r="CO167" s="1141">
        <f t="shared" si="433"/>
        <v>30000</v>
      </c>
      <c r="CP167" s="1141">
        <f t="shared" si="503"/>
        <v>487076.98472851689</v>
      </c>
      <c r="CQ167" s="1145">
        <f t="shared" si="434"/>
        <v>15</v>
      </c>
      <c r="CR167" s="1141">
        <f t="shared" si="504"/>
        <v>32471.798981901127</v>
      </c>
      <c r="CS167" s="1144">
        <f t="shared" si="435"/>
        <v>0.875</v>
      </c>
      <c r="CT167" s="1141">
        <f t="shared" si="436"/>
        <v>3619538.8930996181</v>
      </c>
      <c r="CU167" s="1146">
        <f t="shared" si="375"/>
        <v>28062.246512512531</v>
      </c>
      <c r="CV167" s="1146">
        <f t="shared" si="376"/>
        <v>32533.438845678374</v>
      </c>
      <c r="CW167" s="1146">
        <f t="shared" si="377"/>
        <v>42025.915635045858</v>
      </c>
      <c r="CX167" s="1146">
        <f t="shared" si="378"/>
        <v>71671.208246782538</v>
      </c>
      <c r="CY167" s="1146">
        <f t="shared" si="437"/>
        <v>294026.64904256142</v>
      </c>
      <c r="CZ167" s="1146">
        <f t="shared" si="438"/>
        <v>116344.91274010217</v>
      </c>
      <c r="DA167" s="1146">
        <f t="shared" si="439"/>
        <v>84034.282656535739</v>
      </c>
      <c r="DB167" s="1146">
        <f t="shared" si="440"/>
        <v>63953.957840185147</v>
      </c>
      <c r="DC167" s="1146"/>
      <c r="DD167" s="1146"/>
      <c r="DE167" s="1146"/>
      <c r="DF167" s="1146"/>
      <c r="DG167" s="1146"/>
      <c r="DH167" s="1146"/>
      <c r="DI167" s="1146"/>
      <c r="DJ167" s="1146"/>
      <c r="DK167" s="1146"/>
      <c r="DL167" s="1146"/>
      <c r="DM167" s="1146"/>
      <c r="DN167" s="1146"/>
      <c r="DO167" s="1146"/>
      <c r="DP167" s="1146"/>
      <c r="DQ167" s="1146"/>
      <c r="DR167" s="1146"/>
      <c r="DS167" s="1146"/>
      <c r="DT167" s="1146"/>
      <c r="DU167" s="1146"/>
      <c r="DV167" s="1146"/>
      <c r="DW167" s="1146"/>
      <c r="DX167" s="1146"/>
      <c r="DY167" s="1146"/>
      <c r="DZ167" s="1146"/>
      <c r="EA167" s="1147">
        <f t="shared" si="379"/>
        <v>0.11181162444427974</v>
      </c>
      <c r="EB167" s="1148">
        <f t="shared" si="441"/>
        <v>5.7311232361639666E-2</v>
      </c>
      <c r="EC167" s="1190">
        <f t="shared" si="484"/>
        <v>45839</v>
      </c>
      <c r="ED167" s="1031">
        <f t="shared" si="380"/>
        <v>20</v>
      </c>
      <c r="EE167" s="1191"/>
      <c r="EF167" s="1032">
        <f t="shared" si="381"/>
        <v>45904</v>
      </c>
      <c r="EG167" s="1029">
        <f t="shared" si="442"/>
        <v>22</v>
      </c>
      <c r="EH167" s="859" t="s">
        <v>490</v>
      </c>
      <c r="EI167" s="859" t="s">
        <v>480</v>
      </c>
      <c r="EJ167" s="860">
        <f t="shared" si="382"/>
        <v>16800</v>
      </c>
      <c r="EK167" s="860">
        <f t="shared" si="383"/>
        <v>369600</v>
      </c>
      <c r="EL167" s="861">
        <f t="shared" si="384"/>
        <v>0.12522901937759331</v>
      </c>
      <c r="EM167" s="1197"/>
      <c r="EN167" s="860"/>
      <c r="EO167" s="860"/>
      <c r="EP167" s="860">
        <f t="shared" si="385"/>
        <v>0</v>
      </c>
      <c r="EQ167" s="1197"/>
      <c r="ER167" s="1200"/>
      <c r="ES167" s="1197"/>
      <c r="ET167" s="1207" t="s">
        <v>647</v>
      </c>
      <c r="EU167" s="1197" t="b">
        <f t="shared" si="386"/>
        <v>1</v>
      </c>
      <c r="EV167" s="1197"/>
      <c r="EW167" s="1197"/>
      <c r="EX167" s="1197"/>
      <c r="EY167" s="1128" t="s">
        <v>587</v>
      </c>
      <c r="EZ167" s="1128" t="s">
        <v>484</v>
      </c>
      <c r="FA167" s="1169">
        <f t="shared" si="443"/>
        <v>-21120</v>
      </c>
      <c r="FI167" s="1309" t="s">
        <v>96</v>
      </c>
      <c r="FJ167" s="1159" t="s">
        <v>96</v>
      </c>
      <c r="FK167" s="1160" t="b">
        <f t="shared" si="444"/>
        <v>1</v>
      </c>
      <c r="FL167" s="1131"/>
      <c r="FM167" s="1161"/>
      <c r="FO167" s="888"/>
      <c r="FU167" s="1295"/>
      <c r="FV167" s="1295"/>
      <c r="FW167" s="1023">
        <v>0.125</v>
      </c>
      <c r="FX167" s="1162">
        <v>12349.524643656185</v>
      </c>
      <c r="FY167" s="1163">
        <v>12735.44728877044</v>
      </c>
      <c r="GA167" s="1164">
        <f t="shared" si="445"/>
        <v>4136615.8778281352</v>
      </c>
      <c r="GB167" s="1165">
        <f>FW167</f>
        <v>0.125</v>
      </c>
      <c r="GC167" s="1154">
        <f t="shared" si="446"/>
        <v>517076.98472851689</v>
      </c>
      <c r="GD167" s="1164">
        <f t="shared" si="447"/>
        <v>30000</v>
      </c>
      <c r="GE167" s="1154">
        <f t="shared" si="448"/>
        <v>487076.98472851689</v>
      </c>
      <c r="GF167" s="1060">
        <f t="shared" si="449"/>
        <v>35</v>
      </c>
      <c r="GG167" s="1166">
        <f t="shared" si="450"/>
        <v>13916.485277957625</v>
      </c>
      <c r="GI167" s="1164">
        <f t="shared" si="451"/>
        <v>4136615.8778281352</v>
      </c>
      <c r="GJ167" s="1154">
        <f t="shared" si="452"/>
        <v>413661.58778281353</v>
      </c>
      <c r="GK167" s="1154">
        <f t="shared" si="453"/>
        <v>103415.39694570338</v>
      </c>
      <c r="GL167" s="1166">
        <v>15000</v>
      </c>
      <c r="GM167" s="1154">
        <f t="shared" si="454"/>
        <v>398661.58778281353</v>
      </c>
      <c r="GN167" s="1060">
        <f t="shared" si="455"/>
        <v>35</v>
      </c>
      <c r="GO167" s="1154">
        <f t="shared" si="456"/>
        <v>11390.331079508958</v>
      </c>
      <c r="GS167" s="1010">
        <f t="shared" si="457"/>
        <v>4136615.8778281352</v>
      </c>
      <c r="GT167" s="1011">
        <f t="shared" si="458"/>
        <v>0.125</v>
      </c>
      <c r="GU167" s="1010">
        <f t="shared" si="459"/>
        <v>517076.98472851689</v>
      </c>
      <c r="GV167" s="1010">
        <f t="shared" si="460"/>
        <v>30000</v>
      </c>
      <c r="GW167" s="1010">
        <f t="shared" si="461"/>
        <v>487076.98472851689</v>
      </c>
      <c r="GX167" s="1010">
        <f t="shared" si="462"/>
        <v>15</v>
      </c>
      <c r="GY167" s="1010">
        <f t="shared" si="463"/>
        <v>32471.798981901127</v>
      </c>
      <c r="GZ167" s="1011">
        <f t="shared" si="464"/>
        <v>0.875</v>
      </c>
      <c r="HA167" s="1010">
        <f t="shared" si="465"/>
        <v>3619538.8930996181</v>
      </c>
      <c r="HB167" s="1010">
        <f t="shared" si="466"/>
        <v>28062.246512512531</v>
      </c>
      <c r="HC167" s="1010">
        <f t="shared" si="467"/>
        <v>32533.438845678374</v>
      </c>
      <c r="HD167" s="1010">
        <f t="shared" si="468"/>
        <v>42025.915635045858</v>
      </c>
      <c r="HE167" s="1010">
        <f t="shared" si="469"/>
        <v>71671.208246782538</v>
      </c>
      <c r="HG167" s="1010">
        <f t="shared" si="470"/>
        <v>4136615.8778281352</v>
      </c>
      <c r="HH167" s="1011">
        <f t="shared" si="471"/>
        <v>0.125</v>
      </c>
      <c r="HI167" s="1010">
        <f t="shared" si="472"/>
        <v>517076.98472851689</v>
      </c>
      <c r="HJ167" s="1010">
        <f t="shared" si="473"/>
        <v>30000</v>
      </c>
      <c r="HK167" s="1010">
        <f t="shared" si="474"/>
        <v>487076.98472851689</v>
      </c>
      <c r="HL167" s="1012">
        <f t="shared" si="475"/>
        <v>33</v>
      </c>
      <c r="HM167" s="1167">
        <f t="shared" si="476"/>
        <v>14759.908628136876</v>
      </c>
      <c r="HN167" s="1168">
        <f t="shared" si="477"/>
        <v>0.875</v>
      </c>
      <c r="HO167" s="1167">
        <f t="shared" si="478"/>
        <v>3619538.8930996181</v>
      </c>
      <c r="HP167" s="1146">
        <f t="shared" si="479"/>
        <v>28062.246512512531</v>
      </c>
      <c r="HQ167" s="1146">
        <f t="shared" si="480"/>
        <v>32533.438845678374</v>
      </c>
      <c r="HR167" s="1146">
        <f t="shared" si="481"/>
        <v>42025.915635045858</v>
      </c>
      <c r="HS167" s="1146">
        <f t="shared" si="482"/>
        <v>71671.208246782538</v>
      </c>
      <c r="HU167" s="1167">
        <f t="shared" si="483"/>
        <v>-17711.890353764251</v>
      </c>
      <c r="HX167" s="1154"/>
      <c r="HY167" s="1154"/>
      <c r="IB167" s="1154"/>
      <c r="IC167" s="1154"/>
      <c r="ID167" s="1154"/>
      <c r="IE167" s="1154"/>
      <c r="IG167" s="1060"/>
    </row>
    <row r="168" spans="1:241" ht="14.25" customHeight="1">
      <c r="A168" s="1186">
        <f t="shared" si="490"/>
        <v>162</v>
      </c>
      <c r="B168" s="824"/>
      <c r="C168" s="855">
        <f t="shared" ref="C168:C183" si="509">C167+1</f>
        <v>3</v>
      </c>
      <c r="D168" s="856" t="s">
        <v>519</v>
      </c>
      <c r="E168" s="857" t="str">
        <f t="shared" si="387"/>
        <v>11th Floor</v>
      </c>
      <c r="F168" s="1185"/>
      <c r="G168" s="764" t="s">
        <v>648</v>
      </c>
      <c r="H168" s="764" t="s">
        <v>493</v>
      </c>
      <c r="I168" s="764" t="s">
        <v>476</v>
      </c>
      <c r="J168" s="1139">
        <v>22</v>
      </c>
      <c r="K168" s="1142"/>
      <c r="L168" s="764" t="s">
        <v>344</v>
      </c>
      <c r="M168" s="764" t="s">
        <v>477</v>
      </c>
      <c r="N168" s="856">
        <f t="shared" si="388"/>
        <v>100909.09090909091</v>
      </c>
      <c r="O168" s="1138">
        <f t="shared" si="486"/>
        <v>2220000</v>
      </c>
      <c r="P168" s="1138">
        <f t="shared" si="491"/>
        <v>22400</v>
      </c>
      <c r="Q168" s="1138">
        <f t="shared" si="374"/>
        <v>50000</v>
      </c>
      <c r="R168" s="1138"/>
      <c r="S168" s="1138"/>
      <c r="T168" s="1138"/>
      <c r="U168" s="1138"/>
      <c r="V168" s="858"/>
      <c r="W168" s="858">
        <f t="shared" ref="W168:W171" si="510">J168*$W$5</f>
        <v>22000</v>
      </c>
      <c r="X168" s="1138"/>
      <c r="Y168" s="1138">
        <f t="shared" ref="Y168:Y183" si="511">$Y$166</f>
        <v>140000</v>
      </c>
      <c r="Z168" s="1138">
        <f t="shared" si="487"/>
        <v>75000</v>
      </c>
      <c r="AA168" s="1138">
        <f t="shared" si="488"/>
        <v>309400</v>
      </c>
      <c r="AB168" s="1138">
        <f t="shared" si="390"/>
        <v>2529400</v>
      </c>
      <c r="AC168" s="1138">
        <f t="shared" si="391"/>
        <v>63235</v>
      </c>
      <c r="AD168" s="1138">
        <f t="shared" si="392"/>
        <v>2592635</v>
      </c>
      <c r="AE168" s="1138">
        <f t="shared" si="393"/>
        <v>64815.875</v>
      </c>
      <c r="AF168" s="1138">
        <f t="shared" si="394"/>
        <v>2657450.875</v>
      </c>
      <c r="AG168" s="1138">
        <f t="shared" si="395"/>
        <v>66436.271875000006</v>
      </c>
      <c r="AH168" s="1138">
        <f t="shared" si="396"/>
        <v>2723887.1468750001</v>
      </c>
      <c r="AI168" s="1138">
        <f t="shared" si="397"/>
        <v>136194.35734375002</v>
      </c>
      <c r="AJ168" s="1138">
        <f t="shared" si="398"/>
        <v>2860081.5042187502</v>
      </c>
      <c r="AK168" s="1138">
        <f t="shared" si="399"/>
        <v>28600.815042187503</v>
      </c>
      <c r="AL168" s="1138">
        <f t="shared" si="400"/>
        <v>27537.409960060559</v>
      </c>
      <c r="AM168" s="1138"/>
      <c r="AN168" s="1138"/>
      <c r="AO168" s="1138">
        <f t="shared" si="401"/>
        <v>2916219.729220998</v>
      </c>
      <c r="AP168" s="1138">
        <f t="shared" si="402"/>
        <v>393689.66344483476</v>
      </c>
      <c r="AQ168" s="1248">
        <f t="shared" si="403"/>
        <v>3309909.3926658328</v>
      </c>
      <c r="AR168" s="1248">
        <f t="shared" si="347"/>
        <v>2979909.3926658328</v>
      </c>
      <c r="AS168" s="1248">
        <v>15000</v>
      </c>
      <c r="AT168" s="1248">
        <f t="shared" si="348"/>
        <v>330000</v>
      </c>
      <c r="AU168" s="1248">
        <f t="shared" si="404"/>
        <v>39600</v>
      </c>
      <c r="AV168" s="1140">
        <f t="shared" si="405"/>
        <v>369600</v>
      </c>
      <c r="AW168" s="1140">
        <f t="shared" si="406"/>
        <v>3349509.3926658328</v>
      </c>
      <c r="AX168" s="1139">
        <f t="shared" si="407"/>
        <v>41868.867408322913</v>
      </c>
      <c r="AY168" s="831">
        <v>13444.671373913045</v>
      </c>
      <c r="AZ168" s="831">
        <f t="shared" si="408"/>
        <v>3404822.9314480689</v>
      </c>
      <c r="BA168" s="831">
        <f t="shared" si="409"/>
        <v>127680.85992930258</v>
      </c>
      <c r="BB168" s="831"/>
      <c r="BC168" s="831">
        <f t="shared" si="346"/>
        <v>33600</v>
      </c>
      <c r="BD168" s="831">
        <v>8990.8965517241377</v>
      </c>
      <c r="BE168" s="831">
        <f t="shared" si="410"/>
        <v>3575094.6879290957</v>
      </c>
      <c r="BF168" s="831">
        <v>42723.767172413798</v>
      </c>
      <c r="BG168" s="831">
        <f t="shared" si="411"/>
        <v>3617818.4551015096</v>
      </c>
      <c r="BH168" s="831"/>
      <c r="BI168" s="831">
        <f t="shared" si="412"/>
        <v>3617818.4551015096</v>
      </c>
      <c r="BJ168" s="831"/>
      <c r="BK168" s="831">
        <f t="shared" si="413"/>
        <v>3617818.4551015096</v>
      </c>
      <c r="BL168" s="831"/>
      <c r="BM168" s="831">
        <f t="shared" si="414"/>
        <v>3617818.4551015096</v>
      </c>
      <c r="BN168" s="831"/>
      <c r="BO168" s="831">
        <f t="shared" si="415"/>
        <v>3617818.4551015096</v>
      </c>
      <c r="BP168" s="831">
        <f t="shared" ref="BP168:BP170" si="512">$BP$5/37</f>
        <v>5065.3710270270276</v>
      </c>
      <c r="BQ168" s="831">
        <f t="shared" si="416"/>
        <v>3622883.8261285368</v>
      </c>
      <c r="BR168" s="831">
        <f t="shared" si="505"/>
        <v>3544.6104</v>
      </c>
      <c r="BS168" s="831">
        <f t="shared" si="417"/>
        <v>3626428.436528537</v>
      </c>
      <c r="BT168" s="831">
        <f t="shared" si="506"/>
        <v>1609.3168000000001</v>
      </c>
      <c r="BU168" s="831">
        <f t="shared" si="418"/>
        <v>3628037.7533285371</v>
      </c>
      <c r="BV168" s="831">
        <f t="shared" si="507"/>
        <v>1163.3400930232558</v>
      </c>
      <c r="BW168" s="831">
        <f t="shared" si="419"/>
        <v>56400</v>
      </c>
      <c r="BX168" s="831">
        <f t="shared" si="420"/>
        <v>3685601.0934215602</v>
      </c>
      <c r="BY168" s="831">
        <f t="shared" si="508"/>
        <v>30549.183723443901</v>
      </c>
      <c r="BZ168" s="831">
        <f t="shared" si="421"/>
        <v>3716150.2771450044</v>
      </c>
      <c r="CA168" s="1260">
        <f t="shared" si="422"/>
        <v>3716150.2771450044</v>
      </c>
      <c r="CB168" s="1260">
        <f t="shared" si="423"/>
        <v>3540150.2771450044</v>
      </c>
      <c r="CC168" s="1260">
        <v>8000</v>
      </c>
      <c r="CD168" s="1260">
        <f t="shared" si="424"/>
        <v>176000</v>
      </c>
      <c r="CE168" s="1260">
        <f t="shared" si="425"/>
        <v>21120</v>
      </c>
      <c r="CF168" s="1260">
        <f t="shared" si="426"/>
        <v>197120</v>
      </c>
      <c r="CG168" s="1266">
        <f t="shared" si="427"/>
        <v>3737270.2771450044</v>
      </c>
      <c r="CH168" s="1141">
        <f t="shared" si="428"/>
        <v>3737270.2771450044</v>
      </c>
      <c r="CI168" s="1142">
        <f t="shared" si="429"/>
        <v>0</v>
      </c>
      <c r="CJ168" s="1141">
        <f t="shared" si="430"/>
        <v>383070.20340736292</v>
      </c>
      <c r="CK168" s="1141">
        <f t="shared" si="431"/>
        <v>130804.45970007517</v>
      </c>
      <c r="CL168" s="1143">
        <f t="shared" si="489"/>
        <v>4251144.9402524428</v>
      </c>
      <c r="CM168" s="1144">
        <f t="shared" si="432"/>
        <v>0.125</v>
      </c>
      <c r="CN168" s="1141">
        <f t="shared" si="502"/>
        <v>531393.11753155536</v>
      </c>
      <c r="CO168" s="1141">
        <f t="shared" si="433"/>
        <v>30000</v>
      </c>
      <c r="CP168" s="1141">
        <f t="shared" si="503"/>
        <v>501393.11753155536</v>
      </c>
      <c r="CQ168" s="1145">
        <f t="shared" si="434"/>
        <v>15</v>
      </c>
      <c r="CR168" s="1141">
        <f t="shared" si="504"/>
        <v>33426.207835437024</v>
      </c>
      <c r="CS168" s="1144">
        <f t="shared" si="435"/>
        <v>0.875</v>
      </c>
      <c r="CT168" s="1141">
        <f t="shared" si="436"/>
        <v>3719751.8227208876</v>
      </c>
      <c r="CU168" s="1146">
        <f t="shared" si="375"/>
        <v>28839.196289218729</v>
      </c>
      <c r="CV168" s="1146">
        <f t="shared" si="376"/>
        <v>33434.180988163789</v>
      </c>
      <c r="CW168" s="1146">
        <f t="shared" si="377"/>
        <v>43189.472720682716</v>
      </c>
      <c r="CX168" s="1146">
        <f t="shared" si="378"/>
        <v>73655.54436252336</v>
      </c>
      <c r="CY168" s="1146">
        <f t="shared" si="437"/>
        <v>302167.26384392555</v>
      </c>
      <c r="CZ168" s="1146">
        <f t="shared" si="438"/>
        <v>119566.11436179053</v>
      </c>
      <c r="DA168" s="1146">
        <f t="shared" si="439"/>
        <v>86360.910965375821</v>
      </c>
      <c r="DB168" s="1146">
        <f t="shared" si="440"/>
        <v>65724.629095647659</v>
      </c>
      <c r="DC168" s="1146"/>
      <c r="DD168" s="1146"/>
      <c r="DE168" s="1146"/>
      <c r="DF168" s="1146"/>
      <c r="DG168" s="1146"/>
      <c r="DH168" s="1146"/>
      <c r="DI168" s="1146"/>
      <c r="DJ168" s="1146"/>
      <c r="DK168" s="1146"/>
      <c r="DL168" s="1146"/>
      <c r="DM168" s="1146"/>
      <c r="DN168" s="1146"/>
      <c r="DO168" s="1146"/>
      <c r="DP168" s="1146"/>
      <c r="DQ168" s="1146"/>
      <c r="DR168" s="1146"/>
      <c r="DS168" s="1146"/>
      <c r="DT168" s="1146"/>
      <c r="DU168" s="1146"/>
      <c r="DV168" s="1146"/>
      <c r="DW168" s="1146"/>
      <c r="DX168" s="1146"/>
      <c r="DY168" s="1146"/>
      <c r="DZ168" s="1146"/>
      <c r="EA168" s="1147">
        <f t="shared" si="379"/>
        <v>0.11074162214871283</v>
      </c>
      <c r="EB168" s="1148">
        <f t="shared" si="441"/>
        <v>5.568125208486057E-2</v>
      </c>
      <c r="EC168" s="1190">
        <f t="shared" si="484"/>
        <v>45839</v>
      </c>
      <c r="ED168" s="1031">
        <f t="shared" si="380"/>
        <v>20</v>
      </c>
      <c r="EE168" s="1191"/>
      <c r="EF168" s="1032">
        <f t="shared" si="381"/>
        <v>45904</v>
      </c>
      <c r="EG168" s="1029">
        <f t="shared" si="442"/>
        <v>22</v>
      </c>
      <c r="EH168" s="859" t="s">
        <v>490</v>
      </c>
      <c r="EI168" s="859" t="s">
        <v>480</v>
      </c>
      <c r="EJ168" s="860">
        <f t="shared" si="382"/>
        <v>16800</v>
      </c>
      <c r="EK168" s="860">
        <f t="shared" si="383"/>
        <v>369600</v>
      </c>
      <c r="EL168" s="861">
        <f t="shared" si="384"/>
        <v>0.12403061680655837</v>
      </c>
      <c r="EM168" s="1197"/>
      <c r="EN168" s="860"/>
      <c r="EO168" s="860"/>
      <c r="EP168" s="860">
        <f t="shared" si="385"/>
        <v>0</v>
      </c>
      <c r="EQ168" s="1197"/>
      <c r="ER168" s="1200"/>
      <c r="ES168" s="1197"/>
      <c r="ET168" s="1207" t="s">
        <v>648</v>
      </c>
      <c r="EU168" s="1197" t="b">
        <f t="shared" si="386"/>
        <v>1</v>
      </c>
      <c r="EV168" s="1197"/>
      <c r="EW168" s="1197"/>
      <c r="EX168" s="1197"/>
      <c r="EY168" s="1128" t="s">
        <v>587</v>
      </c>
      <c r="EZ168" s="1128" t="s">
        <v>611</v>
      </c>
      <c r="FA168" s="1169"/>
      <c r="FI168" s="1309" t="s">
        <v>96</v>
      </c>
      <c r="FJ168" s="1159" t="s">
        <v>96</v>
      </c>
      <c r="FK168" s="1160" t="b">
        <f t="shared" si="444"/>
        <v>1</v>
      </c>
      <c r="FL168" s="1131"/>
      <c r="FM168" s="1161"/>
      <c r="FO168" s="888"/>
      <c r="FU168" s="1295"/>
      <c r="FV168" s="1295"/>
      <c r="FW168" s="1023">
        <v>0.15</v>
      </c>
      <c r="FX168" s="1162">
        <v>15054.555791183073</v>
      </c>
      <c r="FY168" s="1163">
        <v>15525.010659657544</v>
      </c>
      <c r="GA168" s="1164">
        <f t="shared" si="445"/>
        <v>4251144.9402524428</v>
      </c>
      <c r="GB168" s="1165">
        <f t="shared" si="485"/>
        <v>0.15</v>
      </c>
      <c r="GC168" s="1154">
        <f t="shared" si="446"/>
        <v>637671.74103786645</v>
      </c>
      <c r="GD168" s="1164">
        <f t="shared" si="447"/>
        <v>30000</v>
      </c>
      <c r="GE168" s="1154">
        <f t="shared" si="448"/>
        <v>607671.74103786645</v>
      </c>
      <c r="GF168" s="1060">
        <f t="shared" si="449"/>
        <v>35</v>
      </c>
      <c r="GG168" s="1166">
        <f t="shared" si="450"/>
        <v>17362.049743939042</v>
      </c>
      <c r="GI168" s="1164">
        <f t="shared" si="451"/>
        <v>4251144.9402524428</v>
      </c>
      <c r="GJ168" s="1154">
        <f t="shared" si="452"/>
        <v>425114.49402524432</v>
      </c>
      <c r="GK168" s="1154">
        <f t="shared" si="453"/>
        <v>106278.62350631108</v>
      </c>
      <c r="GL168" s="1166">
        <v>15000</v>
      </c>
      <c r="GM168" s="1154">
        <f t="shared" si="454"/>
        <v>410114.49402524432</v>
      </c>
      <c r="GN168" s="1060">
        <f t="shared" si="455"/>
        <v>35</v>
      </c>
      <c r="GO168" s="1154">
        <f t="shared" si="456"/>
        <v>11717.556972149838</v>
      </c>
      <c r="GS168" s="1010">
        <f t="shared" si="457"/>
        <v>4251144.9402524428</v>
      </c>
      <c r="GT168" s="1011">
        <f t="shared" si="458"/>
        <v>0.125</v>
      </c>
      <c r="GU168" s="1010">
        <f t="shared" si="459"/>
        <v>531393.11753155536</v>
      </c>
      <c r="GV168" s="1010">
        <f t="shared" si="460"/>
        <v>30000</v>
      </c>
      <c r="GW168" s="1010">
        <f t="shared" si="461"/>
        <v>501393.11753155536</v>
      </c>
      <c r="GX168" s="1010">
        <f t="shared" si="462"/>
        <v>15</v>
      </c>
      <c r="GY168" s="1010">
        <f t="shared" si="463"/>
        <v>33426.207835437024</v>
      </c>
      <c r="GZ168" s="1011">
        <f t="shared" si="464"/>
        <v>0.875</v>
      </c>
      <c r="HA168" s="1010">
        <f t="shared" si="465"/>
        <v>3719751.8227208876</v>
      </c>
      <c r="HB168" s="1010">
        <f t="shared" si="466"/>
        <v>28839.196289218729</v>
      </c>
      <c r="HC168" s="1010">
        <f t="shared" si="467"/>
        <v>33434.180988163789</v>
      </c>
      <c r="HD168" s="1010">
        <f t="shared" si="468"/>
        <v>43189.472720682716</v>
      </c>
      <c r="HE168" s="1010">
        <f t="shared" si="469"/>
        <v>73655.54436252336</v>
      </c>
      <c r="HG168" s="1010">
        <f t="shared" si="470"/>
        <v>4251144.9402524428</v>
      </c>
      <c r="HH168" s="1011">
        <f t="shared" si="471"/>
        <v>0.125</v>
      </c>
      <c r="HI168" s="1010">
        <f t="shared" si="472"/>
        <v>531393.11753155536</v>
      </c>
      <c r="HJ168" s="1010">
        <f t="shared" si="473"/>
        <v>30000</v>
      </c>
      <c r="HK168" s="1010">
        <f t="shared" si="474"/>
        <v>501393.11753155536</v>
      </c>
      <c r="HL168" s="1012">
        <f t="shared" si="475"/>
        <v>33</v>
      </c>
      <c r="HM168" s="1167">
        <f t="shared" si="476"/>
        <v>15193.730834289556</v>
      </c>
      <c r="HN168" s="1168">
        <f t="shared" si="477"/>
        <v>0.875</v>
      </c>
      <c r="HO168" s="1167">
        <f t="shared" si="478"/>
        <v>3719751.8227208876</v>
      </c>
      <c r="HP168" s="1146">
        <f t="shared" si="479"/>
        <v>28839.196289218729</v>
      </c>
      <c r="HQ168" s="1146">
        <f t="shared" si="480"/>
        <v>33434.180988163789</v>
      </c>
      <c r="HR168" s="1146">
        <f t="shared" si="481"/>
        <v>43189.472720682716</v>
      </c>
      <c r="HS168" s="1146">
        <f t="shared" si="482"/>
        <v>73655.54436252336</v>
      </c>
      <c r="HU168" s="1167">
        <f t="shared" si="483"/>
        <v>-18232.477001147468</v>
      </c>
      <c r="HX168" s="1154"/>
      <c r="HY168" s="1154"/>
      <c r="IB168" s="1154"/>
      <c r="IC168" s="1154"/>
      <c r="ID168" s="1154"/>
      <c r="IE168" s="1154"/>
      <c r="IG168" s="1060"/>
    </row>
    <row r="169" spans="1:241" ht="14.25" customHeight="1">
      <c r="A169" s="1186">
        <f t="shared" si="490"/>
        <v>163</v>
      </c>
      <c r="B169" s="824"/>
      <c r="C169" s="855">
        <f t="shared" si="509"/>
        <v>4</v>
      </c>
      <c r="D169" s="856" t="s">
        <v>519</v>
      </c>
      <c r="E169" s="857" t="str">
        <f t="shared" si="387"/>
        <v>11th Floor</v>
      </c>
      <c r="F169" s="1185"/>
      <c r="G169" s="764" t="s">
        <v>649</v>
      </c>
      <c r="H169" s="764" t="s">
        <v>496</v>
      </c>
      <c r="I169" s="764" t="s">
        <v>476</v>
      </c>
      <c r="J169" s="1139">
        <v>22</v>
      </c>
      <c r="K169" s="1142"/>
      <c r="L169" s="764" t="s">
        <v>344</v>
      </c>
      <c r="M169" s="764" t="s">
        <v>477</v>
      </c>
      <c r="N169" s="856">
        <f t="shared" si="388"/>
        <v>100909.09090909091</v>
      </c>
      <c r="O169" s="1138">
        <f t="shared" si="486"/>
        <v>2220000</v>
      </c>
      <c r="P169" s="1138">
        <f t="shared" si="491"/>
        <v>22400</v>
      </c>
      <c r="Q169" s="1138">
        <f t="shared" si="374"/>
        <v>50000</v>
      </c>
      <c r="R169" s="1138"/>
      <c r="S169" s="1138"/>
      <c r="T169" s="1138"/>
      <c r="U169" s="1138"/>
      <c r="V169" s="858"/>
      <c r="W169" s="858">
        <f t="shared" si="510"/>
        <v>22000</v>
      </c>
      <c r="X169" s="1138"/>
      <c r="Y169" s="1138">
        <f t="shared" si="511"/>
        <v>140000</v>
      </c>
      <c r="Z169" s="1138">
        <f t="shared" si="487"/>
        <v>75000</v>
      </c>
      <c r="AA169" s="1138">
        <f t="shared" si="488"/>
        <v>309400</v>
      </c>
      <c r="AB169" s="1138">
        <f t="shared" si="390"/>
        <v>2529400</v>
      </c>
      <c r="AC169" s="1138">
        <f t="shared" si="391"/>
        <v>63235</v>
      </c>
      <c r="AD169" s="1138">
        <f t="shared" si="392"/>
        <v>2592635</v>
      </c>
      <c r="AE169" s="1138">
        <f t="shared" si="393"/>
        <v>64815.875</v>
      </c>
      <c r="AF169" s="1138">
        <f t="shared" si="394"/>
        <v>2657450.875</v>
      </c>
      <c r="AG169" s="1138">
        <f t="shared" si="395"/>
        <v>66436.271875000006</v>
      </c>
      <c r="AH169" s="1138">
        <f t="shared" si="396"/>
        <v>2723887.1468750001</v>
      </c>
      <c r="AI169" s="1138">
        <f t="shared" si="397"/>
        <v>136194.35734375002</v>
      </c>
      <c r="AJ169" s="1138">
        <f t="shared" si="398"/>
        <v>2860081.5042187502</v>
      </c>
      <c r="AK169" s="1138">
        <f t="shared" si="399"/>
        <v>28600.815042187503</v>
      </c>
      <c r="AL169" s="1138">
        <f t="shared" si="400"/>
        <v>27537.409960060559</v>
      </c>
      <c r="AM169" s="1138"/>
      <c r="AN169" s="1138"/>
      <c r="AO169" s="1138">
        <f t="shared" si="401"/>
        <v>2916219.729220998</v>
      </c>
      <c r="AP169" s="1138">
        <f t="shared" si="402"/>
        <v>393689.66344483476</v>
      </c>
      <c r="AQ169" s="1248">
        <f t="shared" si="403"/>
        <v>3309909.3926658328</v>
      </c>
      <c r="AR169" s="1248">
        <f t="shared" si="347"/>
        <v>2979909.3926658328</v>
      </c>
      <c r="AS169" s="1248">
        <v>15000</v>
      </c>
      <c r="AT169" s="1248">
        <f t="shared" si="348"/>
        <v>330000</v>
      </c>
      <c r="AU169" s="1248">
        <f t="shared" si="404"/>
        <v>39600</v>
      </c>
      <c r="AV169" s="1140">
        <f t="shared" si="405"/>
        <v>369600</v>
      </c>
      <c r="AW169" s="1140">
        <f t="shared" si="406"/>
        <v>3349509.3926658328</v>
      </c>
      <c r="AX169" s="1139">
        <f t="shared" si="407"/>
        <v>41868.867408322913</v>
      </c>
      <c r="AY169" s="831">
        <v>13444.671373913045</v>
      </c>
      <c r="AZ169" s="831">
        <f t="shared" si="408"/>
        <v>3404822.9314480689</v>
      </c>
      <c r="BA169" s="831">
        <f t="shared" si="409"/>
        <v>127680.85992930258</v>
      </c>
      <c r="BB169" s="831"/>
      <c r="BC169" s="831">
        <f t="shared" si="346"/>
        <v>33600</v>
      </c>
      <c r="BD169" s="831">
        <v>8990.8965517241377</v>
      </c>
      <c r="BE169" s="831">
        <f t="shared" si="410"/>
        <v>3575094.6879290957</v>
      </c>
      <c r="BF169" s="831">
        <v>42723.767172413798</v>
      </c>
      <c r="BG169" s="831">
        <f t="shared" si="411"/>
        <v>3617818.4551015096</v>
      </c>
      <c r="BH169" s="831"/>
      <c r="BI169" s="831">
        <f t="shared" si="412"/>
        <v>3617818.4551015096</v>
      </c>
      <c r="BJ169" s="831"/>
      <c r="BK169" s="831">
        <f t="shared" si="413"/>
        <v>3617818.4551015096</v>
      </c>
      <c r="BL169" s="831"/>
      <c r="BM169" s="831">
        <f t="shared" si="414"/>
        <v>3617818.4551015096</v>
      </c>
      <c r="BN169" s="831"/>
      <c r="BO169" s="831">
        <f t="shared" si="415"/>
        <v>3617818.4551015096</v>
      </c>
      <c r="BP169" s="831">
        <f t="shared" si="512"/>
        <v>5065.3710270270276</v>
      </c>
      <c r="BQ169" s="831">
        <f t="shared" si="416"/>
        <v>3622883.8261285368</v>
      </c>
      <c r="BR169" s="831">
        <f t="shared" si="505"/>
        <v>3544.6104</v>
      </c>
      <c r="BS169" s="831">
        <f t="shared" si="417"/>
        <v>3626428.436528537</v>
      </c>
      <c r="BT169" s="831">
        <f t="shared" si="506"/>
        <v>1609.3168000000001</v>
      </c>
      <c r="BU169" s="831">
        <f t="shared" si="418"/>
        <v>3628037.7533285371</v>
      </c>
      <c r="BV169" s="831">
        <f t="shared" si="507"/>
        <v>1163.3400930232558</v>
      </c>
      <c r="BW169" s="831">
        <f t="shared" si="419"/>
        <v>56400</v>
      </c>
      <c r="BX169" s="831">
        <f t="shared" si="420"/>
        <v>3685601.0934215602</v>
      </c>
      <c r="BY169" s="831">
        <f t="shared" si="508"/>
        <v>30549.183723443901</v>
      </c>
      <c r="BZ169" s="831">
        <f t="shared" si="421"/>
        <v>3716150.2771450044</v>
      </c>
      <c r="CA169" s="1260">
        <f t="shared" si="422"/>
        <v>3716150.2771450044</v>
      </c>
      <c r="CB169" s="1260">
        <f t="shared" si="423"/>
        <v>3540150.2771450044</v>
      </c>
      <c r="CC169" s="1260">
        <v>8000</v>
      </c>
      <c r="CD169" s="1260">
        <f t="shared" si="424"/>
        <v>176000</v>
      </c>
      <c r="CE169" s="1260">
        <f t="shared" si="425"/>
        <v>21120</v>
      </c>
      <c r="CF169" s="1260">
        <f t="shared" si="426"/>
        <v>197120</v>
      </c>
      <c r="CG169" s="1266">
        <f t="shared" si="427"/>
        <v>3737270.2771450044</v>
      </c>
      <c r="CH169" s="1141">
        <f t="shared" si="428"/>
        <v>3737270.2771450044</v>
      </c>
      <c r="CI169" s="1142">
        <f t="shared" si="429"/>
        <v>0</v>
      </c>
      <c r="CJ169" s="1141">
        <f t="shared" si="430"/>
        <v>383070.20340736292</v>
      </c>
      <c r="CK169" s="1141">
        <f t="shared" si="431"/>
        <v>130804.45970007517</v>
      </c>
      <c r="CL169" s="1143">
        <f t="shared" si="489"/>
        <v>4251144.9402524428</v>
      </c>
      <c r="CM169" s="1144">
        <f t="shared" si="432"/>
        <v>0.125</v>
      </c>
      <c r="CN169" s="1141">
        <f t="shared" si="502"/>
        <v>531393.11753155536</v>
      </c>
      <c r="CO169" s="1141">
        <f t="shared" si="433"/>
        <v>30000</v>
      </c>
      <c r="CP169" s="1141">
        <f t="shared" si="503"/>
        <v>501393.11753155536</v>
      </c>
      <c r="CQ169" s="1145">
        <f t="shared" si="434"/>
        <v>15</v>
      </c>
      <c r="CR169" s="1141">
        <f t="shared" si="504"/>
        <v>33426.207835437024</v>
      </c>
      <c r="CS169" s="1144">
        <f t="shared" si="435"/>
        <v>0.875</v>
      </c>
      <c r="CT169" s="1141">
        <f t="shared" si="436"/>
        <v>3719751.8227208876</v>
      </c>
      <c r="CU169" s="1146">
        <f t="shared" si="375"/>
        <v>28839.196289218729</v>
      </c>
      <c r="CV169" s="1146">
        <f t="shared" si="376"/>
        <v>33434.180988163789</v>
      </c>
      <c r="CW169" s="1146">
        <f t="shared" si="377"/>
        <v>43189.472720682716</v>
      </c>
      <c r="CX169" s="1146">
        <f t="shared" si="378"/>
        <v>73655.54436252336</v>
      </c>
      <c r="CY169" s="1146">
        <f t="shared" si="437"/>
        <v>302167.26384392555</v>
      </c>
      <c r="CZ169" s="1146">
        <f t="shared" si="438"/>
        <v>119566.11436179053</v>
      </c>
      <c r="DA169" s="1146">
        <f t="shared" si="439"/>
        <v>86360.910965375821</v>
      </c>
      <c r="DB169" s="1146">
        <f t="shared" si="440"/>
        <v>65724.629095647659</v>
      </c>
      <c r="DC169" s="1146"/>
      <c r="DD169" s="1146"/>
      <c r="DE169" s="1146"/>
      <c r="DF169" s="1146"/>
      <c r="DG169" s="1146"/>
      <c r="DH169" s="1146"/>
      <c r="DI169" s="1146"/>
      <c r="DJ169" s="1146"/>
      <c r="DK169" s="1146"/>
      <c r="DL169" s="1146"/>
      <c r="DM169" s="1146"/>
      <c r="DN169" s="1146"/>
      <c r="DO169" s="1146"/>
      <c r="DP169" s="1146"/>
      <c r="DQ169" s="1146"/>
      <c r="DR169" s="1146"/>
      <c r="DS169" s="1146"/>
      <c r="DT169" s="1146"/>
      <c r="DU169" s="1146"/>
      <c r="DV169" s="1146"/>
      <c r="DW169" s="1146"/>
      <c r="DX169" s="1146"/>
      <c r="DY169" s="1146"/>
      <c r="DZ169" s="1146"/>
      <c r="EA169" s="1147">
        <f t="shared" si="379"/>
        <v>0.11074162214871283</v>
      </c>
      <c r="EB169" s="1148">
        <f t="shared" si="441"/>
        <v>5.568125208486057E-2</v>
      </c>
      <c r="EC169" s="1190">
        <f t="shared" si="484"/>
        <v>45839</v>
      </c>
      <c r="ED169" s="1031">
        <f t="shared" si="380"/>
        <v>20</v>
      </c>
      <c r="EE169" s="1191"/>
      <c r="EF169" s="1032">
        <f t="shared" si="381"/>
        <v>45904</v>
      </c>
      <c r="EG169" s="1029">
        <f t="shared" si="442"/>
        <v>22</v>
      </c>
      <c r="EH169" s="859" t="s">
        <v>490</v>
      </c>
      <c r="EI169" s="859" t="s">
        <v>480</v>
      </c>
      <c r="EJ169" s="860">
        <f t="shared" si="382"/>
        <v>16800</v>
      </c>
      <c r="EK169" s="860">
        <f t="shared" si="383"/>
        <v>369600</v>
      </c>
      <c r="EL169" s="861">
        <f t="shared" si="384"/>
        <v>0.12403061680655837</v>
      </c>
      <c r="EM169" s="1197"/>
      <c r="EN169" s="860"/>
      <c r="EO169" s="860"/>
      <c r="EP169" s="860">
        <f t="shared" si="385"/>
        <v>0</v>
      </c>
      <c r="EQ169" s="1197"/>
      <c r="ER169" s="1200"/>
      <c r="ES169" s="1197"/>
      <c r="ET169" s="1207" t="s">
        <v>649</v>
      </c>
      <c r="EU169" s="1197" t="b">
        <f t="shared" si="386"/>
        <v>1</v>
      </c>
      <c r="EV169" s="1197"/>
      <c r="EW169" s="1197"/>
      <c r="EX169" s="1197"/>
      <c r="EY169" s="1128" t="s">
        <v>587</v>
      </c>
      <c r="EZ169" s="1128" t="s">
        <v>611</v>
      </c>
      <c r="FA169" s="1169"/>
      <c r="FI169" s="1309" t="s">
        <v>96</v>
      </c>
      <c r="FJ169" s="1159" t="s">
        <v>96</v>
      </c>
      <c r="FK169" s="1160" t="b">
        <f t="shared" si="444"/>
        <v>1</v>
      </c>
      <c r="FL169" s="1131"/>
      <c r="FM169" s="1161"/>
      <c r="FO169" s="888"/>
      <c r="FU169" s="1295"/>
      <c r="FV169" s="1295"/>
      <c r="FW169" s="1023">
        <v>0.15</v>
      </c>
      <c r="FX169" s="1162">
        <v>15054.555791183073</v>
      </c>
      <c r="FY169" s="1163">
        <v>15525.010659657544</v>
      </c>
      <c r="GA169" s="1164">
        <f t="shared" si="445"/>
        <v>4251144.9402524428</v>
      </c>
      <c r="GB169" s="1165">
        <f t="shared" si="485"/>
        <v>0.15</v>
      </c>
      <c r="GC169" s="1154">
        <f t="shared" si="446"/>
        <v>637671.74103786645</v>
      </c>
      <c r="GD169" s="1164">
        <f t="shared" si="447"/>
        <v>30000</v>
      </c>
      <c r="GE169" s="1154">
        <f t="shared" si="448"/>
        <v>607671.74103786645</v>
      </c>
      <c r="GF169" s="1060">
        <f t="shared" si="449"/>
        <v>35</v>
      </c>
      <c r="GG169" s="1166">
        <f t="shared" si="450"/>
        <v>17362.049743939042</v>
      </c>
      <c r="GI169" s="1164">
        <f t="shared" si="451"/>
        <v>4251144.9402524428</v>
      </c>
      <c r="GJ169" s="1154">
        <f t="shared" si="452"/>
        <v>425114.49402524432</v>
      </c>
      <c r="GK169" s="1154">
        <f t="shared" si="453"/>
        <v>106278.62350631108</v>
      </c>
      <c r="GL169" s="1166">
        <v>15000</v>
      </c>
      <c r="GM169" s="1154">
        <f t="shared" si="454"/>
        <v>410114.49402524432</v>
      </c>
      <c r="GN169" s="1060">
        <f t="shared" si="455"/>
        <v>35</v>
      </c>
      <c r="GO169" s="1154">
        <f t="shared" si="456"/>
        <v>11717.556972149838</v>
      </c>
      <c r="GS169" s="1010">
        <f t="shared" si="457"/>
        <v>4251144.9402524428</v>
      </c>
      <c r="GT169" s="1011">
        <f t="shared" si="458"/>
        <v>0.125</v>
      </c>
      <c r="GU169" s="1010">
        <f t="shared" si="459"/>
        <v>531393.11753155536</v>
      </c>
      <c r="GV169" s="1010">
        <f t="shared" si="460"/>
        <v>30000</v>
      </c>
      <c r="GW169" s="1010">
        <f t="shared" si="461"/>
        <v>501393.11753155536</v>
      </c>
      <c r="GX169" s="1010">
        <f t="shared" si="462"/>
        <v>15</v>
      </c>
      <c r="GY169" s="1010">
        <f t="shared" si="463"/>
        <v>33426.207835437024</v>
      </c>
      <c r="GZ169" s="1011">
        <f t="shared" si="464"/>
        <v>0.875</v>
      </c>
      <c r="HA169" s="1010">
        <f t="shared" si="465"/>
        <v>3719751.8227208876</v>
      </c>
      <c r="HB169" s="1010">
        <f t="shared" si="466"/>
        <v>28839.196289218729</v>
      </c>
      <c r="HC169" s="1010">
        <f t="shared" si="467"/>
        <v>33434.180988163789</v>
      </c>
      <c r="HD169" s="1010">
        <f t="shared" si="468"/>
        <v>43189.472720682716</v>
      </c>
      <c r="HE169" s="1010">
        <f t="shared" si="469"/>
        <v>73655.54436252336</v>
      </c>
      <c r="HG169" s="1010">
        <f t="shared" si="470"/>
        <v>4251144.9402524428</v>
      </c>
      <c r="HH169" s="1011">
        <f t="shared" si="471"/>
        <v>0.125</v>
      </c>
      <c r="HI169" s="1010">
        <f t="shared" si="472"/>
        <v>531393.11753155536</v>
      </c>
      <c r="HJ169" s="1010">
        <f t="shared" si="473"/>
        <v>30000</v>
      </c>
      <c r="HK169" s="1010">
        <f t="shared" si="474"/>
        <v>501393.11753155536</v>
      </c>
      <c r="HL169" s="1012">
        <f t="shared" si="475"/>
        <v>33</v>
      </c>
      <c r="HM169" s="1167">
        <f t="shared" si="476"/>
        <v>15193.730834289556</v>
      </c>
      <c r="HN169" s="1168">
        <f t="shared" si="477"/>
        <v>0.875</v>
      </c>
      <c r="HO169" s="1167">
        <f t="shared" si="478"/>
        <v>3719751.8227208876</v>
      </c>
      <c r="HP169" s="1146">
        <f t="shared" si="479"/>
        <v>28839.196289218729</v>
      </c>
      <c r="HQ169" s="1146">
        <f t="shared" si="480"/>
        <v>33434.180988163789</v>
      </c>
      <c r="HR169" s="1146">
        <f t="shared" si="481"/>
        <v>43189.472720682716</v>
      </c>
      <c r="HS169" s="1146">
        <f t="shared" si="482"/>
        <v>73655.54436252336</v>
      </c>
      <c r="HU169" s="1167">
        <f t="shared" si="483"/>
        <v>-18232.477001147468</v>
      </c>
      <c r="HX169" s="1154"/>
      <c r="HY169" s="1154"/>
      <c r="IB169" s="1154"/>
      <c r="IC169" s="1154"/>
      <c r="ID169" s="1154"/>
      <c r="IE169" s="1154"/>
      <c r="IG169" s="1060"/>
    </row>
    <row r="170" spans="1:241" ht="14.25" customHeight="1">
      <c r="A170" s="1186">
        <f t="shared" si="490"/>
        <v>164</v>
      </c>
      <c r="B170" s="824"/>
      <c r="C170" s="855">
        <f t="shared" si="509"/>
        <v>5</v>
      </c>
      <c r="D170" s="856" t="s">
        <v>519</v>
      </c>
      <c r="E170" s="857" t="str">
        <f t="shared" si="387"/>
        <v>11th Floor</v>
      </c>
      <c r="F170" s="1185"/>
      <c r="G170" s="764" t="s">
        <v>650</v>
      </c>
      <c r="H170" s="764" t="s">
        <v>499</v>
      </c>
      <c r="I170" s="764" t="s">
        <v>476</v>
      </c>
      <c r="J170" s="1139">
        <v>22</v>
      </c>
      <c r="K170" s="1142"/>
      <c r="L170" s="764" t="s">
        <v>344</v>
      </c>
      <c r="M170" s="764" t="s">
        <v>477</v>
      </c>
      <c r="N170" s="856">
        <f t="shared" si="388"/>
        <v>100909.09090909091</v>
      </c>
      <c r="O170" s="1138">
        <f t="shared" si="486"/>
        <v>2220000</v>
      </c>
      <c r="P170" s="1138">
        <f t="shared" si="491"/>
        <v>22400</v>
      </c>
      <c r="Q170" s="1138">
        <f t="shared" si="374"/>
        <v>50000</v>
      </c>
      <c r="R170" s="1138"/>
      <c r="S170" s="1138"/>
      <c r="T170" s="1138"/>
      <c r="U170" s="1138"/>
      <c r="V170" s="858"/>
      <c r="W170" s="858">
        <f t="shared" si="510"/>
        <v>22000</v>
      </c>
      <c r="X170" s="1138"/>
      <c r="Y170" s="1138">
        <f t="shared" si="511"/>
        <v>140000</v>
      </c>
      <c r="Z170" s="1138">
        <f t="shared" si="487"/>
        <v>75000</v>
      </c>
      <c r="AA170" s="1138">
        <f t="shared" si="488"/>
        <v>309400</v>
      </c>
      <c r="AB170" s="1138">
        <f t="shared" si="390"/>
        <v>2529400</v>
      </c>
      <c r="AC170" s="1138">
        <f t="shared" si="391"/>
        <v>63235</v>
      </c>
      <c r="AD170" s="1138">
        <f t="shared" si="392"/>
        <v>2592635</v>
      </c>
      <c r="AE170" s="1138">
        <f t="shared" si="393"/>
        <v>64815.875</v>
      </c>
      <c r="AF170" s="1138">
        <f t="shared" si="394"/>
        <v>2657450.875</v>
      </c>
      <c r="AG170" s="1138">
        <f t="shared" si="395"/>
        <v>66436.271875000006</v>
      </c>
      <c r="AH170" s="1138">
        <f t="shared" si="396"/>
        <v>2723887.1468750001</v>
      </c>
      <c r="AI170" s="1138">
        <f t="shared" si="397"/>
        <v>136194.35734375002</v>
      </c>
      <c r="AJ170" s="1138">
        <f t="shared" si="398"/>
        <v>2860081.5042187502</v>
      </c>
      <c r="AK170" s="1138">
        <f t="shared" si="399"/>
        <v>28600.815042187503</v>
      </c>
      <c r="AL170" s="1138">
        <f t="shared" si="400"/>
        <v>27537.409960060559</v>
      </c>
      <c r="AM170" s="1138"/>
      <c r="AN170" s="1138"/>
      <c r="AO170" s="1138">
        <f t="shared" si="401"/>
        <v>2916219.729220998</v>
      </c>
      <c r="AP170" s="1138">
        <f t="shared" si="402"/>
        <v>393689.66344483476</v>
      </c>
      <c r="AQ170" s="1248">
        <f t="shared" si="403"/>
        <v>3309909.3926658328</v>
      </c>
      <c r="AR170" s="1248">
        <f t="shared" si="347"/>
        <v>2979909.3926658328</v>
      </c>
      <c r="AS170" s="1248">
        <v>15000</v>
      </c>
      <c r="AT170" s="1248">
        <f t="shared" si="348"/>
        <v>330000</v>
      </c>
      <c r="AU170" s="1248">
        <f t="shared" si="404"/>
        <v>39600</v>
      </c>
      <c r="AV170" s="1140">
        <f t="shared" si="405"/>
        <v>369600</v>
      </c>
      <c r="AW170" s="1140">
        <f t="shared" si="406"/>
        <v>3349509.3926658328</v>
      </c>
      <c r="AX170" s="1139">
        <f t="shared" si="407"/>
        <v>41868.867408322913</v>
      </c>
      <c r="AY170" s="831">
        <v>13444.671373913045</v>
      </c>
      <c r="AZ170" s="831">
        <f t="shared" si="408"/>
        <v>3404822.9314480689</v>
      </c>
      <c r="BA170" s="831">
        <f t="shared" si="409"/>
        <v>127680.85992930258</v>
      </c>
      <c r="BB170" s="831"/>
      <c r="BC170" s="831">
        <f t="shared" si="346"/>
        <v>33600</v>
      </c>
      <c r="BD170" s="831">
        <v>8990.8965517241377</v>
      </c>
      <c r="BE170" s="831">
        <f t="shared" si="410"/>
        <v>3575094.6879290957</v>
      </c>
      <c r="BF170" s="831">
        <v>42723.767172413798</v>
      </c>
      <c r="BG170" s="831">
        <f t="shared" si="411"/>
        <v>3617818.4551015096</v>
      </c>
      <c r="BH170" s="831"/>
      <c r="BI170" s="831">
        <f t="shared" si="412"/>
        <v>3617818.4551015096</v>
      </c>
      <c r="BJ170" s="831"/>
      <c r="BK170" s="831">
        <f t="shared" si="413"/>
        <v>3617818.4551015096</v>
      </c>
      <c r="BL170" s="831"/>
      <c r="BM170" s="831">
        <f t="shared" si="414"/>
        <v>3617818.4551015096</v>
      </c>
      <c r="BN170" s="831"/>
      <c r="BO170" s="831">
        <f t="shared" si="415"/>
        <v>3617818.4551015096</v>
      </c>
      <c r="BP170" s="831">
        <f t="shared" si="512"/>
        <v>5065.3710270270276</v>
      </c>
      <c r="BQ170" s="831">
        <f t="shared" si="416"/>
        <v>3622883.8261285368</v>
      </c>
      <c r="BR170" s="831">
        <f t="shared" si="505"/>
        <v>3544.6104</v>
      </c>
      <c r="BS170" s="831">
        <f t="shared" si="417"/>
        <v>3626428.436528537</v>
      </c>
      <c r="BT170" s="831">
        <f t="shared" si="506"/>
        <v>1609.3168000000001</v>
      </c>
      <c r="BU170" s="831">
        <f t="shared" si="418"/>
        <v>3628037.7533285371</v>
      </c>
      <c r="BV170" s="831">
        <f t="shared" si="507"/>
        <v>1163.3400930232558</v>
      </c>
      <c r="BW170" s="831">
        <f t="shared" si="419"/>
        <v>56400</v>
      </c>
      <c r="BX170" s="831">
        <f t="shared" si="420"/>
        <v>3685601.0934215602</v>
      </c>
      <c r="BY170" s="831">
        <f t="shared" si="508"/>
        <v>30549.183723443901</v>
      </c>
      <c r="BZ170" s="831">
        <f t="shared" si="421"/>
        <v>3716150.2771450044</v>
      </c>
      <c r="CA170" s="1260">
        <f t="shared" si="422"/>
        <v>3716150.2771450044</v>
      </c>
      <c r="CB170" s="1260">
        <f t="shared" si="423"/>
        <v>3540150.2771450044</v>
      </c>
      <c r="CC170" s="1260">
        <v>8000</v>
      </c>
      <c r="CD170" s="1260">
        <f t="shared" si="424"/>
        <v>176000</v>
      </c>
      <c r="CE170" s="1260">
        <f t="shared" si="425"/>
        <v>21120</v>
      </c>
      <c r="CF170" s="1260">
        <f t="shared" si="426"/>
        <v>197120</v>
      </c>
      <c r="CG170" s="1266">
        <f t="shared" si="427"/>
        <v>3737270.2771450044</v>
      </c>
      <c r="CH170" s="1141">
        <f t="shared" si="428"/>
        <v>3737270.2771450044</v>
      </c>
      <c r="CI170" s="1142">
        <f t="shared" si="429"/>
        <v>0</v>
      </c>
      <c r="CJ170" s="1141">
        <f t="shared" si="430"/>
        <v>383070.20340736292</v>
      </c>
      <c r="CK170" s="1141">
        <f t="shared" si="431"/>
        <v>130804.45970007517</v>
      </c>
      <c r="CL170" s="1143">
        <f t="shared" si="489"/>
        <v>4251144.9402524428</v>
      </c>
      <c r="CM170" s="1144">
        <f t="shared" si="432"/>
        <v>0.125</v>
      </c>
      <c r="CN170" s="1141">
        <f t="shared" si="502"/>
        <v>531393.11753155536</v>
      </c>
      <c r="CO170" s="1141">
        <f t="shared" si="433"/>
        <v>30000</v>
      </c>
      <c r="CP170" s="1141">
        <f t="shared" si="503"/>
        <v>501393.11753155536</v>
      </c>
      <c r="CQ170" s="1145">
        <f t="shared" si="434"/>
        <v>15</v>
      </c>
      <c r="CR170" s="1141">
        <f t="shared" si="504"/>
        <v>33426.207835437024</v>
      </c>
      <c r="CS170" s="1144">
        <f t="shared" si="435"/>
        <v>0.875</v>
      </c>
      <c r="CT170" s="1141">
        <f t="shared" si="436"/>
        <v>3719751.8227208876</v>
      </c>
      <c r="CU170" s="1146">
        <f t="shared" si="375"/>
        <v>28839.196289218729</v>
      </c>
      <c r="CV170" s="1146">
        <f t="shared" si="376"/>
        <v>33434.180988163789</v>
      </c>
      <c r="CW170" s="1146">
        <f t="shared" si="377"/>
        <v>43189.472720682716</v>
      </c>
      <c r="CX170" s="1146">
        <f t="shared" si="378"/>
        <v>73655.54436252336</v>
      </c>
      <c r="CY170" s="1146">
        <f t="shared" si="437"/>
        <v>302167.26384392555</v>
      </c>
      <c r="CZ170" s="1146">
        <f t="shared" si="438"/>
        <v>119566.11436179053</v>
      </c>
      <c r="DA170" s="1146">
        <f t="shared" si="439"/>
        <v>86360.910965375821</v>
      </c>
      <c r="DB170" s="1146">
        <f t="shared" si="440"/>
        <v>65724.629095647659</v>
      </c>
      <c r="DC170" s="1146"/>
      <c r="DD170" s="1146"/>
      <c r="DE170" s="1146"/>
      <c r="DF170" s="1146"/>
      <c r="DG170" s="1146"/>
      <c r="DH170" s="1146"/>
      <c r="DI170" s="1146"/>
      <c r="DJ170" s="1146"/>
      <c r="DK170" s="1146"/>
      <c r="DL170" s="1146"/>
      <c r="DM170" s="1146"/>
      <c r="DN170" s="1146"/>
      <c r="DO170" s="1146"/>
      <c r="DP170" s="1146"/>
      <c r="DQ170" s="1146"/>
      <c r="DR170" s="1146"/>
      <c r="DS170" s="1146"/>
      <c r="DT170" s="1146"/>
      <c r="DU170" s="1146"/>
      <c r="DV170" s="1146"/>
      <c r="DW170" s="1146"/>
      <c r="DX170" s="1146"/>
      <c r="DY170" s="1146"/>
      <c r="DZ170" s="1146"/>
      <c r="EA170" s="1147">
        <f t="shared" si="379"/>
        <v>0.11074162214871283</v>
      </c>
      <c r="EB170" s="1148">
        <f t="shared" si="441"/>
        <v>5.568125208486057E-2</v>
      </c>
      <c r="EC170" s="1190">
        <f t="shared" si="484"/>
        <v>45839</v>
      </c>
      <c r="ED170" s="1031">
        <f t="shared" si="380"/>
        <v>20</v>
      </c>
      <c r="EE170" s="1191"/>
      <c r="EF170" s="1032">
        <f t="shared" si="381"/>
        <v>45904</v>
      </c>
      <c r="EG170" s="1029">
        <f t="shared" si="442"/>
        <v>22</v>
      </c>
      <c r="EH170" s="859" t="s">
        <v>490</v>
      </c>
      <c r="EI170" s="859" t="s">
        <v>480</v>
      </c>
      <c r="EJ170" s="860">
        <f t="shared" si="382"/>
        <v>16800</v>
      </c>
      <c r="EK170" s="860">
        <f t="shared" si="383"/>
        <v>369600</v>
      </c>
      <c r="EL170" s="861">
        <f t="shared" si="384"/>
        <v>0.12403061680655837</v>
      </c>
      <c r="EM170" s="1197"/>
      <c r="EN170" s="860"/>
      <c r="EO170" s="860"/>
      <c r="EP170" s="860">
        <f t="shared" si="385"/>
        <v>0</v>
      </c>
      <c r="EQ170" s="1197"/>
      <c r="ER170" s="1200"/>
      <c r="ES170" s="1197"/>
      <c r="ET170" s="1207" t="s">
        <v>650</v>
      </c>
      <c r="EU170" s="1197" t="b">
        <f t="shared" si="386"/>
        <v>1</v>
      </c>
      <c r="EV170" s="1197"/>
      <c r="EW170" s="1197"/>
      <c r="EX170" s="1197"/>
      <c r="EY170" s="1128" t="s">
        <v>587</v>
      </c>
      <c r="EZ170" s="1128" t="s">
        <v>611</v>
      </c>
      <c r="FA170" s="1169"/>
      <c r="FI170" s="1309" t="s">
        <v>96</v>
      </c>
      <c r="FJ170" s="1159" t="s">
        <v>96</v>
      </c>
      <c r="FK170" s="1160" t="b">
        <f t="shared" si="444"/>
        <v>1</v>
      </c>
      <c r="FL170" s="1131"/>
      <c r="FM170" s="1161"/>
      <c r="FO170" s="888"/>
      <c r="FU170" s="1295"/>
      <c r="FV170" s="1295"/>
      <c r="FW170" s="1023">
        <v>0.15</v>
      </c>
      <c r="FX170" s="1162">
        <v>15054.555791183073</v>
      </c>
      <c r="FY170" s="1163">
        <v>15525.010659657544</v>
      </c>
      <c r="GA170" s="1164">
        <f t="shared" si="445"/>
        <v>4251144.9402524428</v>
      </c>
      <c r="GB170" s="1165">
        <f t="shared" si="485"/>
        <v>0.15</v>
      </c>
      <c r="GC170" s="1154">
        <f t="shared" si="446"/>
        <v>637671.74103786645</v>
      </c>
      <c r="GD170" s="1164">
        <f t="shared" si="447"/>
        <v>30000</v>
      </c>
      <c r="GE170" s="1154">
        <f t="shared" si="448"/>
        <v>607671.74103786645</v>
      </c>
      <c r="GF170" s="1060">
        <f t="shared" si="449"/>
        <v>35</v>
      </c>
      <c r="GG170" s="1166">
        <f t="shared" si="450"/>
        <v>17362.049743939042</v>
      </c>
      <c r="GI170" s="1164">
        <f t="shared" si="451"/>
        <v>4251144.9402524428</v>
      </c>
      <c r="GJ170" s="1154">
        <f t="shared" si="452"/>
        <v>425114.49402524432</v>
      </c>
      <c r="GK170" s="1154">
        <f t="shared" si="453"/>
        <v>106278.62350631108</v>
      </c>
      <c r="GL170" s="1166">
        <v>15000</v>
      </c>
      <c r="GM170" s="1154">
        <f t="shared" si="454"/>
        <v>410114.49402524432</v>
      </c>
      <c r="GN170" s="1060">
        <f t="shared" si="455"/>
        <v>35</v>
      </c>
      <c r="GO170" s="1154">
        <f t="shared" si="456"/>
        <v>11717.556972149838</v>
      </c>
      <c r="GS170" s="1010">
        <f t="shared" si="457"/>
        <v>4251144.9402524428</v>
      </c>
      <c r="GT170" s="1011">
        <f t="shared" si="458"/>
        <v>0.125</v>
      </c>
      <c r="GU170" s="1010">
        <f t="shared" si="459"/>
        <v>531393.11753155536</v>
      </c>
      <c r="GV170" s="1010">
        <f t="shared" si="460"/>
        <v>30000</v>
      </c>
      <c r="GW170" s="1010">
        <f t="shared" si="461"/>
        <v>501393.11753155536</v>
      </c>
      <c r="GX170" s="1010">
        <f t="shared" si="462"/>
        <v>15</v>
      </c>
      <c r="GY170" s="1010">
        <f t="shared" si="463"/>
        <v>33426.207835437024</v>
      </c>
      <c r="GZ170" s="1011">
        <f t="shared" si="464"/>
        <v>0.875</v>
      </c>
      <c r="HA170" s="1010">
        <f t="shared" si="465"/>
        <v>3719751.8227208876</v>
      </c>
      <c r="HB170" s="1010">
        <f t="shared" si="466"/>
        <v>28839.196289218729</v>
      </c>
      <c r="HC170" s="1010">
        <f t="shared" si="467"/>
        <v>33434.180988163789</v>
      </c>
      <c r="HD170" s="1010">
        <f t="shared" si="468"/>
        <v>43189.472720682716</v>
      </c>
      <c r="HE170" s="1010">
        <f t="shared" si="469"/>
        <v>73655.54436252336</v>
      </c>
      <c r="HG170" s="1010">
        <f t="shared" si="470"/>
        <v>4251144.9402524428</v>
      </c>
      <c r="HH170" s="1011">
        <f t="shared" si="471"/>
        <v>0.125</v>
      </c>
      <c r="HI170" s="1010">
        <f t="shared" si="472"/>
        <v>531393.11753155536</v>
      </c>
      <c r="HJ170" s="1010">
        <f t="shared" si="473"/>
        <v>30000</v>
      </c>
      <c r="HK170" s="1010">
        <f t="shared" si="474"/>
        <v>501393.11753155536</v>
      </c>
      <c r="HL170" s="1012">
        <f t="shared" si="475"/>
        <v>33</v>
      </c>
      <c r="HM170" s="1167">
        <f t="shared" si="476"/>
        <v>15193.730834289556</v>
      </c>
      <c r="HN170" s="1168">
        <f t="shared" si="477"/>
        <v>0.875</v>
      </c>
      <c r="HO170" s="1167">
        <f t="shared" si="478"/>
        <v>3719751.8227208876</v>
      </c>
      <c r="HP170" s="1146">
        <f t="shared" si="479"/>
        <v>28839.196289218729</v>
      </c>
      <c r="HQ170" s="1146">
        <f t="shared" si="480"/>
        <v>33434.180988163789</v>
      </c>
      <c r="HR170" s="1146">
        <f t="shared" si="481"/>
        <v>43189.472720682716</v>
      </c>
      <c r="HS170" s="1146">
        <f t="shared" si="482"/>
        <v>73655.54436252336</v>
      </c>
      <c r="HU170" s="1167">
        <f t="shared" si="483"/>
        <v>-18232.477001147468</v>
      </c>
      <c r="HX170" s="1154"/>
      <c r="HY170" s="1154"/>
      <c r="IB170" s="1154"/>
      <c r="IC170" s="1154"/>
      <c r="ID170" s="1154"/>
      <c r="IE170" s="1154"/>
      <c r="IG170" s="1060"/>
    </row>
    <row r="171" spans="1:241" ht="14.25" hidden="1" customHeight="1">
      <c r="A171" s="1186">
        <f t="shared" si="490"/>
        <v>165</v>
      </c>
      <c r="B171" s="824"/>
      <c r="C171" s="855">
        <f t="shared" si="509"/>
        <v>6</v>
      </c>
      <c r="D171" s="856" t="s">
        <v>519</v>
      </c>
      <c r="E171" s="857" t="str">
        <f t="shared" si="387"/>
        <v>11th Floor</v>
      </c>
      <c r="F171" s="1185"/>
      <c r="G171" s="764" t="s">
        <v>651</v>
      </c>
      <c r="H171" s="764" t="s">
        <v>503</v>
      </c>
      <c r="I171" s="764" t="s">
        <v>476</v>
      </c>
      <c r="J171" s="1139">
        <v>22</v>
      </c>
      <c r="K171" s="1142"/>
      <c r="L171" s="764" t="s">
        <v>344</v>
      </c>
      <c r="M171" s="764" t="s">
        <v>477</v>
      </c>
      <c r="N171" s="856">
        <f t="shared" si="388"/>
        <v>100909.09090909091</v>
      </c>
      <c r="O171" s="1138">
        <f t="shared" si="486"/>
        <v>2220000</v>
      </c>
      <c r="P171" s="1138">
        <f t="shared" si="491"/>
        <v>22400</v>
      </c>
      <c r="Q171" s="1138">
        <f t="shared" si="374"/>
        <v>50000</v>
      </c>
      <c r="R171" s="1138"/>
      <c r="S171" s="1138"/>
      <c r="T171" s="1138"/>
      <c r="U171" s="1138"/>
      <c r="V171" s="858"/>
      <c r="W171" s="858">
        <f t="shared" si="510"/>
        <v>22000</v>
      </c>
      <c r="X171" s="1138"/>
      <c r="Y171" s="1138">
        <f t="shared" si="511"/>
        <v>140000</v>
      </c>
      <c r="Z171" s="1138">
        <f t="shared" si="487"/>
        <v>75000</v>
      </c>
      <c r="AA171" s="1138">
        <f t="shared" si="488"/>
        <v>309400</v>
      </c>
      <c r="AB171" s="1138">
        <f t="shared" si="390"/>
        <v>2529400</v>
      </c>
      <c r="AC171" s="1138">
        <f t="shared" si="391"/>
        <v>63235</v>
      </c>
      <c r="AD171" s="1138">
        <f t="shared" si="392"/>
        <v>2592635</v>
      </c>
      <c r="AE171" s="1138">
        <f t="shared" si="393"/>
        <v>64815.875</v>
      </c>
      <c r="AF171" s="1138">
        <f t="shared" si="394"/>
        <v>2657450.875</v>
      </c>
      <c r="AG171" s="1138">
        <f t="shared" si="395"/>
        <v>66436.271875000006</v>
      </c>
      <c r="AH171" s="1138">
        <f t="shared" si="396"/>
        <v>2723887.1468750001</v>
      </c>
      <c r="AI171" s="1138">
        <f t="shared" si="397"/>
        <v>136194.35734375002</v>
      </c>
      <c r="AJ171" s="1138">
        <f t="shared" si="398"/>
        <v>2860081.5042187502</v>
      </c>
      <c r="AK171" s="1138">
        <f t="shared" si="399"/>
        <v>28600.815042187503</v>
      </c>
      <c r="AL171" s="1138">
        <f t="shared" si="400"/>
        <v>27537.409960060559</v>
      </c>
      <c r="AM171" s="1138"/>
      <c r="AN171" s="1138"/>
      <c r="AO171" s="1138">
        <f t="shared" si="401"/>
        <v>2916219.729220998</v>
      </c>
      <c r="AP171" s="1138">
        <f t="shared" si="402"/>
        <v>393689.66344483476</v>
      </c>
      <c r="AQ171" s="1248">
        <f t="shared" si="403"/>
        <v>3309909.3926658328</v>
      </c>
      <c r="AR171" s="1248">
        <f t="shared" si="347"/>
        <v>2979909.3926658328</v>
      </c>
      <c r="AS171" s="1248">
        <v>15000</v>
      </c>
      <c r="AT171" s="1248">
        <f t="shared" si="348"/>
        <v>330000</v>
      </c>
      <c r="AU171" s="1248">
        <f t="shared" si="404"/>
        <v>39600</v>
      </c>
      <c r="AV171" s="1140">
        <f t="shared" si="405"/>
        <v>369600</v>
      </c>
      <c r="AW171" s="1140">
        <f t="shared" si="406"/>
        <v>3349509.3926658328</v>
      </c>
      <c r="AX171" s="1139">
        <f t="shared" si="407"/>
        <v>41868.867408322913</v>
      </c>
      <c r="AY171" s="831" t="s">
        <v>478</v>
      </c>
      <c r="AZ171" s="831">
        <f t="shared" si="408"/>
        <v>3391378.2600741559</v>
      </c>
      <c r="BA171" s="831">
        <f t="shared" si="409"/>
        <v>127176.68475278084</v>
      </c>
      <c r="BB171" s="831"/>
      <c r="BC171" s="831">
        <f t="shared" ref="BC171:BC219" si="513">$BC$5*1.12</f>
        <v>33600</v>
      </c>
      <c r="BD171" s="831"/>
      <c r="BE171" s="831">
        <f t="shared" si="410"/>
        <v>3552154.9448269368</v>
      </c>
      <c r="BF171" s="831"/>
      <c r="BG171" s="831">
        <f t="shared" si="411"/>
        <v>3552154.9448269368</v>
      </c>
      <c r="BH171" s="831"/>
      <c r="BI171" s="831">
        <f t="shared" si="412"/>
        <v>3552154.9448269368</v>
      </c>
      <c r="BJ171" s="831"/>
      <c r="BK171" s="831">
        <f t="shared" si="413"/>
        <v>3552154.9448269368</v>
      </c>
      <c r="BL171" s="831"/>
      <c r="BM171" s="831">
        <f t="shared" si="414"/>
        <v>3552154.9448269368</v>
      </c>
      <c r="BN171" s="831"/>
      <c r="BO171" s="831">
        <f t="shared" si="415"/>
        <v>3552154.9448269368</v>
      </c>
      <c r="BP171" s="831"/>
      <c r="BQ171" s="831">
        <f t="shared" si="416"/>
        <v>3552154.9448269368</v>
      </c>
      <c r="BR171" s="831"/>
      <c r="BS171" s="831">
        <f t="shared" si="417"/>
        <v>3552154.9448269368</v>
      </c>
      <c r="BT171" s="831"/>
      <c r="BU171" s="831">
        <f t="shared" si="418"/>
        <v>3552154.9448269368</v>
      </c>
      <c r="BV171" s="831"/>
      <c r="BW171" s="831">
        <f t="shared" si="419"/>
        <v>56400</v>
      </c>
      <c r="BX171" s="831">
        <f t="shared" si="420"/>
        <v>3608554.9448269368</v>
      </c>
      <c r="BY171" s="831"/>
      <c r="BZ171" s="831">
        <f t="shared" si="421"/>
        <v>3608554.9448269368</v>
      </c>
      <c r="CA171" s="1260">
        <f t="shared" si="422"/>
        <v>3608554.9448269368</v>
      </c>
      <c r="CB171" s="1260">
        <f t="shared" si="423"/>
        <v>3608554.9448269368</v>
      </c>
      <c r="CC171" s="1260"/>
      <c r="CD171" s="1260">
        <f t="shared" si="424"/>
        <v>0</v>
      </c>
      <c r="CE171" s="1260">
        <f t="shared" si="425"/>
        <v>0</v>
      </c>
      <c r="CF171" s="1260">
        <f t="shared" si="426"/>
        <v>0</v>
      </c>
      <c r="CG171" s="1266">
        <f t="shared" si="427"/>
        <v>3608554.9448269368</v>
      </c>
      <c r="CH171" s="1141">
        <f t="shared" si="428"/>
        <v>3608554.9448269368</v>
      </c>
      <c r="CI171" s="1142">
        <f t="shared" si="429"/>
        <v>433026.59337923239</v>
      </c>
      <c r="CJ171" s="1141">
        <f t="shared" si="430"/>
        <v>369876.88184476102</v>
      </c>
      <c r="CK171" s="1141">
        <f t="shared" si="431"/>
        <v>126299.42306894281</v>
      </c>
      <c r="CL171" s="1143">
        <f t="shared" si="489"/>
        <v>4537757.8431198727</v>
      </c>
      <c r="CM171" s="1144">
        <f t="shared" si="432"/>
        <v>0.125</v>
      </c>
      <c r="CN171" s="1141">
        <f t="shared" si="502"/>
        <v>567219.73038998409</v>
      </c>
      <c r="CO171" s="1141">
        <f t="shared" si="433"/>
        <v>30000</v>
      </c>
      <c r="CP171" s="1141">
        <f t="shared" si="503"/>
        <v>537219.73038998409</v>
      </c>
      <c r="CQ171" s="1145">
        <f t="shared" si="434"/>
        <v>15</v>
      </c>
      <c r="CR171" s="1141">
        <f t="shared" si="504"/>
        <v>35814.648692665607</v>
      </c>
      <c r="CS171" s="1144">
        <f t="shared" si="435"/>
        <v>0.875</v>
      </c>
      <c r="CT171" s="1141">
        <f t="shared" si="436"/>
        <v>3970538.1127298884</v>
      </c>
      <c r="CU171" s="1146">
        <f t="shared" si="375"/>
        <v>30783.539726336574</v>
      </c>
      <c r="CV171" s="1146">
        <f t="shared" si="376"/>
        <v>35688.319062186645</v>
      </c>
      <c r="CW171" s="1146">
        <f t="shared" si="377"/>
        <v>46101.314194865306</v>
      </c>
      <c r="CX171" s="1146">
        <f t="shared" si="378"/>
        <v>78621.413482189266</v>
      </c>
      <c r="CY171" s="1146">
        <f t="shared" si="437"/>
        <v>322539.43130916212</v>
      </c>
      <c r="CZ171" s="1146">
        <f t="shared" si="438"/>
        <v>127627.28178925934</v>
      </c>
      <c r="DA171" s="1146">
        <f t="shared" si="439"/>
        <v>92183.378026353559</v>
      </c>
      <c r="DB171" s="1146">
        <f t="shared" si="440"/>
        <v>70155.794581590861</v>
      </c>
      <c r="DC171" s="1146"/>
      <c r="DD171" s="1146"/>
      <c r="DE171" s="1146"/>
      <c r="DF171" s="1146"/>
      <c r="DG171" s="1146"/>
      <c r="DH171" s="1146"/>
      <c r="DI171" s="1146"/>
      <c r="DJ171" s="1146"/>
      <c r="DK171" s="1146"/>
      <c r="DL171" s="1146"/>
      <c r="DM171" s="1146"/>
      <c r="DN171" s="1146"/>
      <c r="DO171" s="1146"/>
      <c r="DP171" s="1146"/>
      <c r="DQ171" s="1146"/>
      <c r="DR171" s="1146"/>
      <c r="DS171" s="1146"/>
      <c r="DT171" s="1146"/>
      <c r="DU171" s="1146"/>
      <c r="DV171" s="1146"/>
      <c r="DW171" s="1146"/>
      <c r="DX171" s="1146"/>
      <c r="DY171" s="1146"/>
      <c r="DZ171" s="1146"/>
      <c r="EA171" s="1147">
        <f t="shared" si="379"/>
        <v>0.11074162214871283</v>
      </c>
      <c r="EB171" s="1148">
        <f t="shared" si="441"/>
        <v>0</v>
      </c>
      <c r="EC171" s="1190">
        <f t="shared" si="484"/>
        <v>45839</v>
      </c>
      <c r="ED171" s="1031">
        <f t="shared" si="380"/>
        <v>20</v>
      </c>
      <c r="EE171" s="1191"/>
      <c r="EF171" s="1032">
        <f t="shared" si="381"/>
        <v>45904</v>
      </c>
      <c r="EG171" s="1029">
        <f t="shared" si="442"/>
        <v>22</v>
      </c>
      <c r="EH171" s="859" t="s">
        <v>490</v>
      </c>
      <c r="EI171" s="859" t="s">
        <v>480</v>
      </c>
      <c r="EJ171" s="860">
        <f t="shared" si="382"/>
        <v>16800</v>
      </c>
      <c r="EK171" s="860">
        <f t="shared" si="383"/>
        <v>369600</v>
      </c>
      <c r="EL171" s="861">
        <f t="shared" si="384"/>
        <v>0.12403061680655837</v>
      </c>
      <c r="EM171" s="1197"/>
      <c r="EN171" s="860"/>
      <c r="EO171" s="860"/>
      <c r="EP171" s="860">
        <f t="shared" si="385"/>
        <v>0</v>
      </c>
      <c r="EQ171" s="1197"/>
      <c r="ER171" s="1200"/>
      <c r="ES171" s="1197"/>
      <c r="ET171" s="1207" t="s">
        <v>651</v>
      </c>
      <c r="EU171" s="1197" t="b">
        <f t="shared" si="386"/>
        <v>1</v>
      </c>
      <c r="EV171" s="1197"/>
      <c r="EW171" s="1197"/>
      <c r="EX171" s="1197"/>
      <c r="EY171" s="1128" t="s">
        <v>587</v>
      </c>
      <c r="EZ171" s="1128" t="s">
        <v>484</v>
      </c>
      <c r="FA171" s="1169">
        <f t="shared" si="443"/>
        <v>0</v>
      </c>
      <c r="FI171" s="1309" t="s">
        <v>149</v>
      </c>
      <c r="FJ171" s="1159" t="s">
        <v>149</v>
      </c>
      <c r="FK171" s="1160" t="b">
        <f t="shared" si="444"/>
        <v>1</v>
      </c>
      <c r="FL171" s="1131"/>
      <c r="FM171" s="1161"/>
      <c r="FO171" s="888"/>
      <c r="FU171" s="1295"/>
      <c r="FV171" s="1295"/>
      <c r="FW171" s="1023">
        <v>0.15</v>
      </c>
      <c r="FX171" s="1162">
        <v>15054.555791183073</v>
      </c>
      <c r="FY171" s="1163">
        <v>15525.010659657544</v>
      </c>
      <c r="GA171" s="1164">
        <f t="shared" si="445"/>
        <v>4537757.8431198727</v>
      </c>
      <c r="GB171" s="1165">
        <f t="shared" si="485"/>
        <v>0.15</v>
      </c>
      <c r="GC171" s="1154">
        <f t="shared" si="446"/>
        <v>680663.67646798084</v>
      </c>
      <c r="GD171" s="1164">
        <f t="shared" si="447"/>
        <v>30000</v>
      </c>
      <c r="GE171" s="1154">
        <f t="shared" si="448"/>
        <v>650663.67646798084</v>
      </c>
      <c r="GF171" s="1060">
        <f t="shared" si="449"/>
        <v>35</v>
      </c>
      <c r="GG171" s="1166">
        <f t="shared" si="450"/>
        <v>18590.390756228026</v>
      </c>
      <c r="GI171" s="1164">
        <f t="shared" si="451"/>
        <v>4537757.8431198727</v>
      </c>
      <c r="GJ171" s="1154">
        <f t="shared" si="452"/>
        <v>453775.78431198729</v>
      </c>
      <c r="GK171" s="1154">
        <f t="shared" si="453"/>
        <v>113443.94607799682</v>
      </c>
      <c r="GL171" s="1166">
        <v>15000</v>
      </c>
      <c r="GM171" s="1154">
        <f t="shared" si="454"/>
        <v>438775.78431198729</v>
      </c>
      <c r="GN171" s="1060">
        <f t="shared" si="455"/>
        <v>35</v>
      </c>
      <c r="GO171" s="1154">
        <f t="shared" si="456"/>
        <v>12536.450980342493</v>
      </c>
      <c r="GS171" s="1010">
        <f t="shared" si="457"/>
        <v>4537757.8431198727</v>
      </c>
      <c r="GT171" s="1011">
        <f t="shared" si="458"/>
        <v>0.125</v>
      </c>
      <c r="GU171" s="1010">
        <f t="shared" si="459"/>
        <v>567219.73038998409</v>
      </c>
      <c r="GV171" s="1010">
        <f t="shared" si="460"/>
        <v>30000</v>
      </c>
      <c r="GW171" s="1010">
        <f t="shared" si="461"/>
        <v>537219.73038998409</v>
      </c>
      <c r="GX171" s="1010">
        <f t="shared" si="462"/>
        <v>15</v>
      </c>
      <c r="GY171" s="1010">
        <f t="shared" si="463"/>
        <v>35814.648692665607</v>
      </c>
      <c r="GZ171" s="1011">
        <f t="shared" si="464"/>
        <v>0.875</v>
      </c>
      <c r="HA171" s="1010">
        <f t="shared" si="465"/>
        <v>3970538.1127298884</v>
      </c>
      <c r="HB171" s="1010">
        <f t="shared" si="466"/>
        <v>30783.539726336574</v>
      </c>
      <c r="HC171" s="1010">
        <f t="shared" si="467"/>
        <v>35688.319062186645</v>
      </c>
      <c r="HD171" s="1010">
        <f t="shared" si="468"/>
        <v>46101.314194865306</v>
      </c>
      <c r="HE171" s="1010">
        <f t="shared" si="469"/>
        <v>78621.413482189266</v>
      </c>
      <c r="HG171" s="1010">
        <f t="shared" si="470"/>
        <v>4537757.8431198727</v>
      </c>
      <c r="HH171" s="1011">
        <f t="shared" si="471"/>
        <v>0.125</v>
      </c>
      <c r="HI171" s="1010">
        <f t="shared" si="472"/>
        <v>567219.73038998409</v>
      </c>
      <c r="HJ171" s="1010">
        <f t="shared" si="473"/>
        <v>30000</v>
      </c>
      <c r="HK171" s="1010">
        <f t="shared" si="474"/>
        <v>537219.73038998409</v>
      </c>
      <c r="HL171" s="1012">
        <f t="shared" si="475"/>
        <v>33</v>
      </c>
      <c r="HM171" s="1167">
        <f t="shared" si="476"/>
        <v>16279.385769393457</v>
      </c>
      <c r="HN171" s="1168">
        <f t="shared" si="477"/>
        <v>0.875</v>
      </c>
      <c r="HO171" s="1167">
        <f t="shared" si="478"/>
        <v>3970538.1127298884</v>
      </c>
      <c r="HP171" s="1146">
        <f t="shared" si="479"/>
        <v>30783.539726336574</v>
      </c>
      <c r="HQ171" s="1146">
        <f t="shared" si="480"/>
        <v>35688.319062186645</v>
      </c>
      <c r="HR171" s="1146">
        <f t="shared" si="481"/>
        <v>46101.314194865306</v>
      </c>
      <c r="HS171" s="1146">
        <f t="shared" si="482"/>
        <v>78621.413482189266</v>
      </c>
      <c r="HU171" s="1167">
        <f t="shared" si="483"/>
        <v>-19535.262923272152</v>
      </c>
      <c r="HX171" s="1154"/>
      <c r="HY171" s="1154"/>
      <c r="IB171" s="1154"/>
      <c r="IC171" s="1154"/>
      <c r="ID171" s="1154"/>
      <c r="IE171" s="1154"/>
      <c r="IG171" s="1060"/>
    </row>
    <row r="172" spans="1:241" ht="14.25" hidden="1" customHeight="1">
      <c r="A172" s="1186">
        <f t="shared" si="490"/>
        <v>166</v>
      </c>
      <c r="B172" s="824"/>
      <c r="C172" s="855">
        <f t="shared" si="509"/>
        <v>7</v>
      </c>
      <c r="D172" s="856" t="s">
        <v>519</v>
      </c>
      <c r="E172" s="857" t="str">
        <f t="shared" si="387"/>
        <v>11th Floor</v>
      </c>
      <c r="F172" s="1185"/>
      <c r="G172" s="764" t="s">
        <v>652</v>
      </c>
      <c r="H172" s="764" t="s">
        <v>506</v>
      </c>
      <c r="I172" s="764" t="s">
        <v>476</v>
      </c>
      <c r="J172" s="831">
        <v>22</v>
      </c>
      <c r="K172" s="1142"/>
      <c r="L172" s="764" t="s">
        <v>344</v>
      </c>
      <c r="M172" s="764" t="s">
        <v>117</v>
      </c>
      <c r="N172" s="856">
        <f t="shared" si="388"/>
        <v>100909.09090909091</v>
      </c>
      <c r="O172" s="1138">
        <f t="shared" si="486"/>
        <v>2220000</v>
      </c>
      <c r="P172" s="1138">
        <f t="shared" si="491"/>
        <v>22400</v>
      </c>
      <c r="Q172" s="1138">
        <f t="shared" si="374"/>
        <v>50000</v>
      </c>
      <c r="R172" s="1138"/>
      <c r="S172" s="1138"/>
      <c r="T172" s="1138"/>
      <c r="U172" s="1138"/>
      <c r="V172" s="858">
        <f t="shared" ref="V172:V173" si="514">J172*$V$5</f>
        <v>55000</v>
      </c>
      <c r="W172" s="1138"/>
      <c r="X172" s="1138"/>
      <c r="Y172" s="1138">
        <f t="shared" si="511"/>
        <v>140000</v>
      </c>
      <c r="Z172" s="1138">
        <f t="shared" si="487"/>
        <v>75000</v>
      </c>
      <c r="AA172" s="1138">
        <f t="shared" si="488"/>
        <v>342400</v>
      </c>
      <c r="AB172" s="1138">
        <f t="shared" si="390"/>
        <v>2562400</v>
      </c>
      <c r="AC172" s="1138">
        <f t="shared" si="391"/>
        <v>64060</v>
      </c>
      <c r="AD172" s="1138">
        <f t="shared" si="392"/>
        <v>2626460</v>
      </c>
      <c r="AE172" s="1138">
        <f t="shared" si="393"/>
        <v>65661.5</v>
      </c>
      <c r="AF172" s="1138">
        <f t="shared" si="394"/>
        <v>2692121.5</v>
      </c>
      <c r="AG172" s="1138">
        <f t="shared" si="395"/>
        <v>67303.037500000006</v>
      </c>
      <c r="AH172" s="1138">
        <f t="shared" si="396"/>
        <v>2759424.5375000001</v>
      </c>
      <c r="AI172" s="1138">
        <f t="shared" si="397"/>
        <v>137971.22687500002</v>
      </c>
      <c r="AJ172" s="1138">
        <f t="shared" si="398"/>
        <v>2897395.7643750003</v>
      </c>
      <c r="AK172" s="1138">
        <f t="shared" si="399"/>
        <v>28973.957643750004</v>
      </c>
      <c r="AL172" s="1138">
        <f t="shared" si="400"/>
        <v>27537.409960060559</v>
      </c>
      <c r="AM172" s="1138"/>
      <c r="AN172" s="1138"/>
      <c r="AO172" s="1138">
        <f t="shared" si="401"/>
        <v>2953907.1319788108</v>
      </c>
      <c r="AP172" s="1138">
        <f t="shared" si="402"/>
        <v>398777.46281713946</v>
      </c>
      <c r="AQ172" s="1248">
        <f t="shared" si="403"/>
        <v>3352684.5947959502</v>
      </c>
      <c r="AR172" s="1248">
        <f t="shared" si="347"/>
        <v>3022684.5947959502</v>
      </c>
      <c r="AS172" s="1248">
        <v>15000</v>
      </c>
      <c r="AT172" s="1248">
        <f t="shared" si="348"/>
        <v>330000</v>
      </c>
      <c r="AU172" s="1248">
        <f t="shared" si="404"/>
        <v>39600</v>
      </c>
      <c r="AV172" s="1140">
        <f t="shared" si="405"/>
        <v>369600</v>
      </c>
      <c r="AW172" s="1140">
        <f t="shared" si="406"/>
        <v>3392284.5947959502</v>
      </c>
      <c r="AX172" s="1139">
        <f t="shared" si="407"/>
        <v>42403.557434949384</v>
      </c>
      <c r="AY172" s="831" t="s">
        <v>478</v>
      </c>
      <c r="AZ172" s="831">
        <f t="shared" si="408"/>
        <v>3434688.1522308998</v>
      </c>
      <c r="BA172" s="831">
        <f t="shared" si="409"/>
        <v>128800.80570865874</v>
      </c>
      <c r="BB172" s="831"/>
      <c r="BC172" s="831">
        <f t="shared" si="513"/>
        <v>33600</v>
      </c>
      <c r="BD172" s="831"/>
      <c r="BE172" s="831">
        <f t="shared" si="410"/>
        <v>3597088.9579395587</v>
      </c>
      <c r="BF172" s="831"/>
      <c r="BG172" s="831">
        <f t="shared" si="411"/>
        <v>3597088.9579395587</v>
      </c>
      <c r="BH172" s="831"/>
      <c r="BI172" s="831">
        <f t="shared" si="412"/>
        <v>3597088.9579395587</v>
      </c>
      <c r="BJ172" s="831"/>
      <c r="BK172" s="831">
        <f t="shared" si="413"/>
        <v>3597088.9579395587</v>
      </c>
      <c r="BL172" s="831"/>
      <c r="BM172" s="831">
        <f t="shared" si="414"/>
        <v>3597088.9579395587</v>
      </c>
      <c r="BN172" s="831"/>
      <c r="BO172" s="831">
        <f t="shared" si="415"/>
        <v>3597088.9579395587</v>
      </c>
      <c r="BP172" s="831"/>
      <c r="BQ172" s="831">
        <f t="shared" si="416"/>
        <v>3597088.9579395587</v>
      </c>
      <c r="BR172" s="831"/>
      <c r="BS172" s="831">
        <f t="shared" si="417"/>
        <v>3597088.9579395587</v>
      </c>
      <c r="BT172" s="831"/>
      <c r="BU172" s="831">
        <f t="shared" si="418"/>
        <v>3597088.9579395587</v>
      </c>
      <c r="BV172" s="831"/>
      <c r="BW172" s="831">
        <f t="shared" si="419"/>
        <v>56400</v>
      </c>
      <c r="BX172" s="831">
        <f t="shared" si="420"/>
        <v>3653488.9579395587</v>
      </c>
      <c r="BY172" s="831"/>
      <c r="BZ172" s="831">
        <f t="shared" si="421"/>
        <v>3653488.9579395587</v>
      </c>
      <c r="CA172" s="1260">
        <f t="shared" si="422"/>
        <v>3653488.9579395587</v>
      </c>
      <c r="CB172" s="1260">
        <f t="shared" si="423"/>
        <v>3653488.9579395587</v>
      </c>
      <c r="CC172" s="1260"/>
      <c r="CD172" s="1260">
        <f t="shared" si="424"/>
        <v>0</v>
      </c>
      <c r="CE172" s="1260">
        <f t="shared" si="425"/>
        <v>0</v>
      </c>
      <c r="CF172" s="1260">
        <f t="shared" si="426"/>
        <v>0</v>
      </c>
      <c r="CG172" s="1266">
        <f t="shared" si="427"/>
        <v>3653488.9579395587</v>
      </c>
      <c r="CH172" s="1141">
        <f t="shared" si="428"/>
        <v>3653488.9579395587</v>
      </c>
      <c r="CI172" s="1142">
        <f t="shared" si="429"/>
        <v>438418.67495274701</v>
      </c>
      <c r="CJ172" s="1141">
        <f t="shared" si="430"/>
        <v>374482.61818880471</v>
      </c>
      <c r="CK172" s="1141">
        <f t="shared" si="431"/>
        <v>127872.11352788456</v>
      </c>
      <c r="CL172" s="1143">
        <f t="shared" si="489"/>
        <v>4594262.3646089947</v>
      </c>
      <c r="CM172" s="1144">
        <f t="shared" si="432"/>
        <v>0.125</v>
      </c>
      <c r="CN172" s="1141">
        <f t="shared" si="502"/>
        <v>574282.79557612434</v>
      </c>
      <c r="CO172" s="1141">
        <f t="shared" si="433"/>
        <v>30000</v>
      </c>
      <c r="CP172" s="1141">
        <f t="shared" si="503"/>
        <v>544282.79557612434</v>
      </c>
      <c r="CQ172" s="1145">
        <f t="shared" si="434"/>
        <v>15</v>
      </c>
      <c r="CR172" s="1141">
        <f t="shared" si="504"/>
        <v>36285.519705074956</v>
      </c>
      <c r="CS172" s="1144">
        <f t="shared" si="435"/>
        <v>0.875</v>
      </c>
      <c r="CT172" s="1141">
        <f t="shared" si="436"/>
        <v>4019979.5690328702</v>
      </c>
      <c r="CU172" s="1146">
        <f t="shared" si="375"/>
        <v>31166.858810808069</v>
      </c>
      <c r="CV172" s="1146">
        <f t="shared" si="376"/>
        <v>36132.712848958996</v>
      </c>
      <c r="CW172" s="1146">
        <f t="shared" si="377"/>
        <v>46675.371425034631</v>
      </c>
      <c r="CX172" s="1146">
        <f t="shared" si="378"/>
        <v>79600.413574568622</v>
      </c>
      <c r="CY172" s="1146">
        <f t="shared" si="437"/>
        <v>326555.71795502852</v>
      </c>
      <c r="CZ172" s="1146">
        <f t="shared" si="438"/>
        <v>129216.50685057316</v>
      </c>
      <c r="DA172" s="1146">
        <f t="shared" si="439"/>
        <v>93331.252779636707</v>
      </c>
      <c r="DB172" s="1146">
        <f t="shared" si="440"/>
        <v>71029.380114263637</v>
      </c>
      <c r="DC172" s="1146"/>
      <c r="DD172" s="1146"/>
      <c r="DE172" s="1146"/>
      <c r="DF172" s="1146"/>
      <c r="DG172" s="1146"/>
      <c r="DH172" s="1146"/>
      <c r="DI172" s="1146"/>
      <c r="DJ172" s="1146"/>
      <c r="DK172" s="1146"/>
      <c r="DL172" s="1146"/>
      <c r="DM172" s="1146"/>
      <c r="DN172" s="1146"/>
      <c r="DO172" s="1146"/>
      <c r="DP172" s="1146"/>
      <c r="DQ172" s="1146"/>
      <c r="DR172" s="1146"/>
      <c r="DS172" s="1146"/>
      <c r="DT172" s="1146"/>
      <c r="DU172" s="1146"/>
      <c r="DV172" s="1146"/>
      <c r="DW172" s="1146"/>
      <c r="DX172" s="1146"/>
      <c r="DY172" s="1146"/>
      <c r="DZ172" s="1146"/>
      <c r="EA172" s="1147">
        <f t="shared" si="379"/>
        <v>0.109174473766846</v>
      </c>
      <c r="EB172" s="1148">
        <f t="shared" si="441"/>
        <v>0</v>
      </c>
      <c r="EC172" s="1190">
        <f t="shared" si="484"/>
        <v>45839</v>
      </c>
      <c r="ED172" s="1031">
        <f t="shared" si="380"/>
        <v>20</v>
      </c>
      <c r="EE172" s="1191"/>
      <c r="EF172" s="1032">
        <f t="shared" si="381"/>
        <v>45904</v>
      </c>
      <c r="EG172" s="1029">
        <f t="shared" si="442"/>
        <v>22</v>
      </c>
      <c r="EH172" s="859" t="s">
        <v>490</v>
      </c>
      <c r="EI172" s="859" t="s">
        <v>480</v>
      </c>
      <c r="EJ172" s="860">
        <f t="shared" si="382"/>
        <v>16800</v>
      </c>
      <c r="EK172" s="860">
        <f t="shared" si="383"/>
        <v>369600</v>
      </c>
      <c r="EL172" s="861">
        <f t="shared" si="384"/>
        <v>0.12227541061886751</v>
      </c>
      <c r="EM172" s="1197"/>
      <c r="EN172" s="860"/>
      <c r="EO172" s="860"/>
      <c r="EP172" s="860">
        <f t="shared" si="385"/>
        <v>0</v>
      </c>
      <c r="EQ172" s="1197"/>
      <c r="ER172" s="1200"/>
      <c r="ES172" s="1197"/>
      <c r="ET172" s="1207" t="s">
        <v>652</v>
      </c>
      <c r="EU172" s="1197" t="b">
        <f t="shared" si="386"/>
        <v>1</v>
      </c>
      <c r="EV172" s="1197"/>
      <c r="EW172" s="1197"/>
      <c r="EX172" s="1197"/>
      <c r="EY172" s="1128" t="s">
        <v>587</v>
      </c>
      <c r="EZ172" s="1128" t="s">
        <v>484</v>
      </c>
      <c r="FA172" s="1169">
        <f t="shared" si="443"/>
        <v>0</v>
      </c>
      <c r="FI172" s="1309" t="s">
        <v>149</v>
      </c>
      <c r="FJ172" s="1159" t="s">
        <v>149</v>
      </c>
      <c r="FK172" s="1160" t="b">
        <f t="shared" si="444"/>
        <v>1</v>
      </c>
      <c r="FL172" s="1131"/>
      <c r="FM172" s="1161"/>
      <c r="FO172" s="888"/>
      <c r="FU172" s="1295"/>
      <c r="FV172" s="1295"/>
      <c r="FW172" s="1023">
        <v>0.15</v>
      </c>
      <c r="FX172" s="1162">
        <v>15555.59112287988</v>
      </c>
      <c r="FY172" s="1163">
        <v>16041.703345469876</v>
      </c>
      <c r="GA172" s="1164">
        <f t="shared" si="445"/>
        <v>4594262.3646089947</v>
      </c>
      <c r="GB172" s="1165">
        <f t="shared" si="485"/>
        <v>0.15</v>
      </c>
      <c r="GC172" s="1154">
        <f t="shared" si="446"/>
        <v>689139.3546913492</v>
      </c>
      <c r="GD172" s="1164">
        <f t="shared" si="447"/>
        <v>30000</v>
      </c>
      <c r="GE172" s="1154">
        <f t="shared" si="448"/>
        <v>659139.3546913492</v>
      </c>
      <c r="GF172" s="1060">
        <f t="shared" si="449"/>
        <v>35</v>
      </c>
      <c r="GG172" s="1166">
        <f t="shared" si="450"/>
        <v>18832.552991181405</v>
      </c>
      <c r="GI172" s="1164">
        <f t="shared" si="451"/>
        <v>4594262.3646089947</v>
      </c>
      <c r="GJ172" s="1154">
        <f t="shared" si="452"/>
        <v>459426.23646089947</v>
      </c>
      <c r="GK172" s="1154">
        <f t="shared" si="453"/>
        <v>114856.55911522487</v>
      </c>
      <c r="GL172" s="1166">
        <v>15000</v>
      </c>
      <c r="GM172" s="1154">
        <f t="shared" si="454"/>
        <v>444426.23646089947</v>
      </c>
      <c r="GN172" s="1060">
        <f t="shared" si="455"/>
        <v>35</v>
      </c>
      <c r="GO172" s="1154">
        <f t="shared" si="456"/>
        <v>12697.892470311413</v>
      </c>
      <c r="GS172" s="1010">
        <f t="shared" si="457"/>
        <v>4594262.3646089947</v>
      </c>
      <c r="GT172" s="1011">
        <f t="shared" si="458"/>
        <v>0.125</v>
      </c>
      <c r="GU172" s="1010">
        <f t="shared" si="459"/>
        <v>574282.79557612434</v>
      </c>
      <c r="GV172" s="1010">
        <f t="shared" si="460"/>
        <v>30000</v>
      </c>
      <c r="GW172" s="1010">
        <f t="shared" si="461"/>
        <v>544282.79557612434</v>
      </c>
      <c r="GX172" s="1010">
        <f t="shared" si="462"/>
        <v>15</v>
      </c>
      <c r="GY172" s="1010">
        <f t="shared" si="463"/>
        <v>36285.519705074956</v>
      </c>
      <c r="GZ172" s="1011">
        <f t="shared" si="464"/>
        <v>0.875</v>
      </c>
      <c r="HA172" s="1010">
        <f t="shared" si="465"/>
        <v>4019979.5690328702</v>
      </c>
      <c r="HB172" s="1010">
        <f t="shared" si="466"/>
        <v>31166.858810808069</v>
      </c>
      <c r="HC172" s="1010">
        <f t="shared" si="467"/>
        <v>36132.712848958996</v>
      </c>
      <c r="HD172" s="1010">
        <f t="shared" si="468"/>
        <v>46675.371425034631</v>
      </c>
      <c r="HE172" s="1010">
        <f t="shared" si="469"/>
        <v>79600.413574568622</v>
      </c>
      <c r="HG172" s="1010">
        <f t="shared" si="470"/>
        <v>4594262.3646089947</v>
      </c>
      <c r="HH172" s="1011">
        <f t="shared" si="471"/>
        <v>0.125</v>
      </c>
      <c r="HI172" s="1010">
        <f t="shared" si="472"/>
        <v>574282.79557612434</v>
      </c>
      <c r="HJ172" s="1010">
        <f t="shared" si="473"/>
        <v>30000</v>
      </c>
      <c r="HK172" s="1010">
        <f t="shared" si="474"/>
        <v>544282.79557612434</v>
      </c>
      <c r="HL172" s="1012">
        <f t="shared" si="475"/>
        <v>33</v>
      </c>
      <c r="HM172" s="1167">
        <f t="shared" si="476"/>
        <v>16493.418047761344</v>
      </c>
      <c r="HN172" s="1168">
        <f t="shared" si="477"/>
        <v>0.875</v>
      </c>
      <c r="HO172" s="1167">
        <f t="shared" si="478"/>
        <v>4019979.5690328702</v>
      </c>
      <c r="HP172" s="1146">
        <f t="shared" si="479"/>
        <v>31166.858810808069</v>
      </c>
      <c r="HQ172" s="1146">
        <f t="shared" si="480"/>
        <v>36132.712848958996</v>
      </c>
      <c r="HR172" s="1146">
        <f t="shared" si="481"/>
        <v>46675.371425034631</v>
      </c>
      <c r="HS172" s="1146">
        <f t="shared" si="482"/>
        <v>79600.413574568622</v>
      </c>
      <c r="HU172" s="1167">
        <f t="shared" si="483"/>
        <v>-19792.101657313611</v>
      </c>
      <c r="HX172" s="1154"/>
      <c r="HY172" s="1154"/>
      <c r="IB172" s="1154"/>
      <c r="IC172" s="1154"/>
      <c r="ID172" s="1154"/>
      <c r="IE172" s="1154"/>
      <c r="IG172" s="1060"/>
    </row>
    <row r="173" spans="1:241" ht="14.25" hidden="1" customHeight="1">
      <c r="A173" s="1186">
        <f t="shared" si="490"/>
        <v>167</v>
      </c>
      <c r="B173" s="824"/>
      <c r="C173" s="855">
        <f t="shared" si="509"/>
        <v>8</v>
      </c>
      <c r="D173" s="856" t="s">
        <v>519</v>
      </c>
      <c r="E173" s="857" t="str">
        <f t="shared" si="387"/>
        <v>11th Floor</v>
      </c>
      <c r="F173" s="1185"/>
      <c r="G173" s="764" t="s">
        <v>653</v>
      </c>
      <c r="H173" s="764" t="s">
        <v>508</v>
      </c>
      <c r="I173" s="764" t="s">
        <v>476</v>
      </c>
      <c r="J173" s="831">
        <v>22</v>
      </c>
      <c r="K173" s="1142"/>
      <c r="L173" s="764" t="s">
        <v>500</v>
      </c>
      <c r="M173" s="764" t="s">
        <v>117</v>
      </c>
      <c r="N173" s="856">
        <f t="shared" si="388"/>
        <v>100909.09090909091</v>
      </c>
      <c r="O173" s="1138">
        <f t="shared" si="486"/>
        <v>2220000</v>
      </c>
      <c r="P173" s="1138">
        <f t="shared" si="491"/>
        <v>22400</v>
      </c>
      <c r="Q173" s="1138">
        <f t="shared" si="374"/>
        <v>50000</v>
      </c>
      <c r="R173" s="1138"/>
      <c r="S173" s="1138"/>
      <c r="T173" s="1138"/>
      <c r="U173" s="1138"/>
      <c r="V173" s="858">
        <f t="shared" si="514"/>
        <v>55000</v>
      </c>
      <c r="W173" s="1138"/>
      <c r="X173" s="1138"/>
      <c r="Y173" s="1138">
        <f t="shared" si="511"/>
        <v>140000</v>
      </c>
      <c r="Z173" s="1138">
        <f t="shared" si="487"/>
        <v>75000</v>
      </c>
      <c r="AA173" s="1138">
        <f t="shared" si="488"/>
        <v>342400</v>
      </c>
      <c r="AB173" s="1138">
        <f t="shared" si="390"/>
        <v>2562400</v>
      </c>
      <c r="AC173" s="1138">
        <f t="shared" si="391"/>
        <v>64060</v>
      </c>
      <c r="AD173" s="1138">
        <f t="shared" si="392"/>
        <v>2626460</v>
      </c>
      <c r="AE173" s="1138">
        <f t="shared" si="393"/>
        <v>65661.5</v>
      </c>
      <c r="AF173" s="1138">
        <f t="shared" si="394"/>
        <v>2692121.5</v>
      </c>
      <c r="AG173" s="1138">
        <f t="shared" si="395"/>
        <v>67303.037500000006</v>
      </c>
      <c r="AH173" s="1138">
        <f t="shared" si="396"/>
        <v>2759424.5375000001</v>
      </c>
      <c r="AI173" s="1138">
        <f t="shared" si="397"/>
        <v>137971.22687500002</v>
      </c>
      <c r="AJ173" s="1138">
        <f t="shared" si="398"/>
        <v>2897395.7643750003</v>
      </c>
      <c r="AK173" s="1138">
        <f t="shared" si="399"/>
        <v>28973.957643750004</v>
      </c>
      <c r="AL173" s="1138">
        <f t="shared" si="400"/>
        <v>27537.409960060559</v>
      </c>
      <c r="AM173" s="1138"/>
      <c r="AN173" s="1138"/>
      <c r="AO173" s="1138">
        <f t="shared" si="401"/>
        <v>2953907.1319788108</v>
      </c>
      <c r="AP173" s="1138">
        <f t="shared" si="402"/>
        <v>398777.46281713946</v>
      </c>
      <c r="AQ173" s="1248">
        <f t="shared" si="403"/>
        <v>3352684.5947959502</v>
      </c>
      <c r="AR173" s="1248">
        <f t="shared" si="347"/>
        <v>3022684.5947959502</v>
      </c>
      <c r="AS173" s="1248">
        <v>15000</v>
      </c>
      <c r="AT173" s="1248">
        <f t="shared" si="348"/>
        <v>330000</v>
      </c>
      <c r="AU173" s="1248">
        <f t="shared" si="404"/>
        <v>39600</v>
      </c>
      <c r="AV173" s="1140">
        <f t="shared" si="405"/>
        <v>369600</v>
      </c>
      <c r="AW173" s="1140">
        <f t="shared" si="406"/>
        <v>3392284.5947959502</v>
      </c>
      <c r="AX173" s="1139">
        <f t="shared" si="407"/>
        <v>42403.557434949384</v>
      </c>
      <c r="AY173" s="831" t="s">
        <v>478</v>
      </c>
      <c r="AZ173" s="831">
        <f t="shared" si="408"/>
        <v>3434688.1522308998</v>
      </c>
      <c r="BA173" s="831">
        <f t="shared" si="409"/>
        <v>128800.80570865874</v>
      </c>
      <c r="BB173" s="831"/>
      <c r="BC173" s="831">
        <f t="shared" si="513"/>
        <v>33600</v>
      </c>
      <c r="BD173" s="831"/>
      <c r="BE173" s="831">
        <f t="shared" si="410"/>
        <v>3597088.9579395587</v>
      </c>
      <c r="BF173" s="831"/>
      <c r="BG173" s="831">
        <f t="shared" si="411"/>
        <v>3597088.9579395587</v>
      </c>
      <c r="BH173" s="831"/>
      <c r="BI173" s="831">
        <f t="shared" si="412"/>
        <v>3597088.9579395587</v>
      </c>
      <c r="BJ173" s="831"/>
      <c r="BK173" s="831">
        <f t="shared" si="413"/>
        <v>3597088.9579395587</v>
      </c>
      <c r="BL173" s="831"/>
      <c r="BM173" s="831">
        <f t="shared" si="414"/>
        <v>3597088.9579395587</v>
      </c>
      <c r="BN173" s="831"/>
      <c r="BO173" s="831">
        <f t="shared" si="415"/>
        <v>3597088.9579395587</v>
      </c>
      <c r="BP173" s="831"/>
      <c r="BQ173" s="831">
        <f t="shared" si="416"/>
        <v>3597088.9579395587</v>
      </c>
      <c r="BR173" s="831"/>
      <c r="BS173" s="831">
        <f t="shared" si="417"/>
        <v>3597088.9579395587</v>
      </c>
      <c r="BT173" s="831"/>
      <c r="BU173" s="831">
        <f t="shared" si="418"/>
        <v>3597088.9579395587</v>
      </c>
      <c r="BV173" s="831"/>
      <c r="BW173" s="831">
        <f t="shared" si="419"/>
        <v>56400</v>
      </c>
      <c r="BX173" s="831">
        <f t="shared" si="420"/>
        <v>3653488.9579395587</v>
      </c>
      <c r="BY173" s="831"/>
      <c r="BZ173" s="831">
        <f t="shared" si="421"/>
        <v>3653488.9579395587</v>
      </c>
      <c r="CA173" s="1260">
        <f t="shared" si="422"/>
        <v>3653488.9579395587</v>
      </c>
      <c r="CB173" s="1260">
        <f t="shared" si="423"/>
        <v>3653488.9579395587</v>
      </c>
      <c r="CC173" s="1260"/>
      <c r="CD173" s="1260">
        <f t="shared" si="424"/>
        <v>0</v>
      </c>
      <c r="CE173" s="1260">
        <f t="shared" si="425"/>
        <v>0</v>
      </c>
      <c r="CF173" s="1260">
        <f t="shared" si="426"/>
        <v>0</v>
      </c>
      <c r="CG173" s="1266">
        <f t="shared" si="427"/>
        <v>3653488.9579395587</v>
      </c>
      <c r="CH173" s="1141">
        <f t="shared" si="428"/>
        <v>3653488.9579395587</v>
      </c>
      <c r="CI173" s="1142">
        <f t="shared" si="429"/>
        <v>438418.67495274701</v>
      </c>
      <c r="CJ173" s="1141">
        <f t="shared" si="430"/>
        <v>374482.61818880471</v>
      </c>
      <c r="CK173" s="1141">
        <f t="shared" si="431"/>
        <v>127872.11352788456</v>
      </c>
      <c r="CL173" s="1143">
        <f t="shared" si="489"/>
        <v>4594262.3646089947</v>
      </c>
      <c r="CM173" s="1144">
        <f t="shared" si="432"/>
        <v>0.125</v>
      </c>
      <c r="CN173" s="1141">
        <f t="shared" si="502"/>
        <v>574282.79557612434</v>
      </c>
      <c r="CO173" s="1141">
        <f t="shared" si="433"/>
        <v>30000</v>
      </c>
      <c r="CP173" s="1141">
        <f t="shared" si="503"/>
        <v>544282.79557612434</v>
      </c>
      <c r="CQ173" s="1145">
        <f t="shared" si="434"/>
        <v>15</v>
      </c>
      <c r="CR173" s="1141">
        <f t="shared" si="504"/>
        <v>36285.519705074956</v>
      </c>
      <c r="CS173" s="1144">
        <f t="shared" si="435"/>
        <v>0.875</v>
      </c>
      <c r="CT173" s="1141">
        <f t="shared" si="436"/>
        <v>4019979.5690328702</v>
      </c>
      <c r="CU173" s="1146">
        <f t="shared" si="375"/>
        <v>31166.858810808069</v>
      </c>
      <c r="CV173" s="1146">
        <f t="shared" si="376"/>
        <v>36132.712848958996</v>
      </c>
      <c r="CW173" s="1146">
        <f t="shared" si="377"/>
        <v>46675.371425034631</v>
      </c>
      <c r="CX173" s="1146">
        <f t="shared" si="378"/>
        <v>79600.413574568622</v>
      </c>
      <c r="CY173" s="1146">
        <f t="shared" si="437"/>
        <v>326555.71795502852</v>
      </c>
      <c r="CZ173" s="1146">
        <f t="shared" si="438"/>
        <v>129216.50685057316</v>
      </c>
      <c r="DA173" s="1146">
        <f t="shared" si="439"/>
        <v>93331.252779636707</v>
      </c>
      <c r="DB173" s="1146">
        <f t="shared" si="440"/>
        <v>71029.380114263637</v>
      </c>
      <c r="DC173" s="1146"/>
      <c r="DD173" s="1146"/>
      <c r="DE173" s="1146"/>
      <c r="DF173" s="1146"/>
      <c r="DG173" s="1146"/>
      <c r="DH173" s="1146"/>
      <c r="DI173" s="1146"/>
      <c r="DJ173" s="1146"/>
      <c r="DK173" s="1146"/>
      <c r="DL173" s="1146"/>
      <c r="DM173" s="1146"/>
      <c r="DN173" s="1146"/>
      <c r="DO173" s="1146"/>
      <c r="DP173" s="1146"/>
      <c r="DQ173" s="1146"/>
      <c r="DR173" s="1146"/>
      <c r="DS173" s="1146"/>
      <c r="DT173" s="1146"/>
      <c r="DU173" s="1146"/>
      <c r="DV173" s="1146"/>
      <c r="DW173" s="1146"/>
      <c r="DX173" s="1146"/>
      <c r="DY173" s="1146"/>
      <c r="DZ173" s="1146"/>
      <c r="EA173" s="1147">
        <f t="shared" si="379"/>
        <v>0.109174473766846</v>
      </c>
      <c r="EB173" s="1148">
        <f t="shared" si="441"/>
        <v>0</v>
      </c>
      <c r="EC173" s="1190">
        <f t="shared" si="484"/>
        <v>45839</v>
      </c>
      <c r="ED173" s="1031">
        <f t="shared" si="380"/>
        <v>20</v>
      </c>
      <c r="EE173" s="1191"/>
      <c r="EF173" s="1032">
        <f t="shared" si="381"/>
        <v>45904</v>
      </c>
      <c r="EG173" s="1029">
        <f t="shared" si="442"/>
        <v>22</v>
      </c>
      <c r="EH173" s="859" t="s">
        <v>490</v>
      </c>
      <c r="EI173" s="859" t="s">
        <v>480</v>
      </c>
      <c r="EJ173" s="860">
        <f t="shared" si="382"/>
        <v>16800</v>
      </c>
      <c r="EK173" s="860">
        <f t="shared" si="383"/>
        <v>369600</v>
      </c>
      <c r="EL173" s="861">
        <f t="shared" si="384"/>
        <v>0.12227541061886751</v>
      </c>
      <c r="EM173" s="1197"/>
      <c r="EN173" s="860"/>
      <c r="EO173" s="860"/>
      <c r="EP173" s="860">
        <f t="shared" si="385"/>
        <v>0</v>
      </c>
      <c r="EQ173" s="1197"/>
      <c r="ER173" s="1200"/>
      <c r="ES173" s="1197"/>
      <c r="ET173" s="1207" t="s">
        <v>653</v>
      </c>
      <c r="EU173" s="1197" t="b">
        <f t="shared" si="386"/>
        <v>1</v>
      </c>
      <c r="EV173" s="1197"/>
      <c r="EW173" s="1197"/>
      <c r="EX173" s="1197"/>
      <c r="EY173" s="1128" t="s">
        <v>587</v>
      </c>
      <c r="EZ173" s="1128" t="s">
        <v>484</v>
      </c>
      <c r="FA173" s="1169">
        <f t="shared" si="443"/>
        <v>0</v>
      </c>
      <c r="FI173" s="1309" t="s">
        <v>149</v>
      </c>
      <c r="FJ173" s="1159" t="s">
        <v>149</v>
      </c>
      <c r="FK173" s="1160" t="b">
        <f t="shared" si="444"/>
        <v>1</v>
      </c>
      <c r="FL173" s="1131"/>
      <c r="FM173" s="1161"/>
      <c r="FO173" s="888"/>
      <c r="FU173" s="1295"/>
      <c r="FV173" s="1295"/>
      <c r="FW173" s="1023">
        <v>0.15</v>
      </c>
      <c r="FX173" s="1162">
        <v>15555.59112287988</v>
      </c>
      <c r="FY173" s="1163">
        <v>16041.703345469876</v>
      </c>
      <c r="GA173" s="1164">
        <f t="shared" si="445"/>
        <v>4594262.3646089947</v>
      </c>
      <c r="GB173" s="1165">
        <f t="shared" si="485"/>
        <v>0.15</v>
      </c>
      <c r="GC173" s="1154">
        <f t="shared" si="446"/>
        <v>689139.3546913492</v>
      </c>
      <c r="GD173" s="1164">
        <f t="shared" si="447"/>
        <v>30000</v>
      </c>
      <c r="GE173" s="1154">
        <f t="shared" si="448"/>
        <v>659139.3546913492</v>
      </c>
      <c r="GF173" s="1060">
        <f t="shared" si="449"/>
        <v>35</v>
      </c>
      <c r="GG173" s="1166">
        <f t="shared" si="450"/>
        <v>18832.552991181405</v>
      </c>
      <c r="GI173" s="1164">
        <f t="shared" si="451"/>
        <v>4594262.3646089947</v>
      </c>
      <c r="GJ173" s="1154">
        <f t="shared" si="452"/>
        <v>459426.23646089947</v>
      </c>
      <c r="GK173" s="1154">
        <f t="shared" si="453"/>
        <v>114856.55911522487</v>
      </c>
      <c r="GL173" s="1166">
        <v>15000</v>
      </c>
      <c r="GM173" s="1154">
        <f t="shared" si="454"/>
        <v>444426.23646089947</v>
      </c>
      <c r="GN173" s="1060">
        <f t="shared" si="455"/>
        <v>35</v>
      </c>
      <c r="GO173" s="1154">
        <f t="shared" si="456"/>
        <v>12697.892470311413</v>
      </c>
      <c r="GS173" s="1010">
        <f t="shared" si="457"/>
        <v>4594262.3646089947</v>
      </c>
      <c r="GT173" s="1011">
        <f t="shared" si="458"/>
        <v>0.125</v>
      </c>
      <c r="GU173" s="1010">
        <f t="shared" si="459"/>
        <v>574282.79557612434</v>
      </c>
      <c r="GV173" s="1010">
        <f t="shared" si="460"/>
        <v>30000</v>
      </c>
      <c r="GW173" s="1010">
        <f t="shared" si="461"/>
        <v>544282.79557612434</v>
      </c>
      <c r="GX173" s="1010">
        <f t="shared" si="462"/>
        <v>15</v>
      </c>
      <c r="GY173" s="1010">
        <f t="shared" si="463"/>
        <v>36285.519705074956</v>
      </c>
      <c r="GZ173" s="1011">
        <f t="shared" si="464"/>
        <v>0.875</v>
      </c>
      <c r="HA173" s="1010">
        <f t="shared" si="465"/>
        <v>4019979.5690328702</v>
      </c>
      <c r="HB173" s="1010">
        <f t="shared" si="466"/>
        <v>31166.858810808069</v>
      </c>
      <c r="HC173" s="1010">
        <f t="shared" si="467"/>
        <v>36132.712848958996</v>
      </c>
      <c r="HD173" s="1010">
        <f t="shared" si="468"/>
        <v>46675.371425034631</v>
      </c>
      <c r="HE173" s="1010">
        <f t="shared" si="469"/>
        <v>79600.413574568622</v>
      </c>
      <c r="HG173" s="1010">
        <f t="shared" si="470"/>
        <v>4594262.3646089947</v>
      </c>
      <c r="HH173" s="1011">
        <f t="shared" si="471"/>
        <v>0.125</v>
      </c>
      <c r="HI173" s="1010">
        <f t="shared" si="472"/>
        <v>574282.79557612434</v>
      </c>
      <c r="HJ173" s="1010">
        <f t="shared" si="473"/>
        <v>30000</v>
      </c>
      <c r="HK173" s="1010">
        <f t="shared" si="474"/>
        <v>544282.79557612434</v>
      </c>
      <c r="HL173" s="1012">
        <f t="shared" si="475"/>
        <v>33</v>
      </c>
      <c r="HM173" s="1167">
        <f t="shared" si="476"/>
        <v>16493.418047761344</v>
      </c>
      <c r="HN173" s="1168">
        <f t="shared" si="477"/>
        <v>0.875</v>
      </c>
      <c r="HO173" s="1167">
        <f t="shared" si="478"/>
        <v>4019979.5690328702</v>
      </c>
      <c r="HP173" s="1146">
        <f t="shared" si="479"/>
        <v>31166.858810808069</v>
      </c>
      <c r="HQ173" s="1146">
        <f t="shared" si="480"/>
        <v>36132.712848958996</v>
      </c>
      <c r="HR173" s="1146">
        <f t="shared" si="481"/>
        <v>46675.371425034631</v>
      </c>
      <c r="HS173" s="1146">
        <f t="shared" si="482"/>
        <v>79600.413574568622</v>
      </c>
      <c r="HU173" s="1167">
        <f t="shared" si="483"/>
        <v>-19792.101657313611</v>
      </c>
      <c r="HX173" s="1154"/>
      <c r="HY173" s="1154"/>
      <c r="IB173" s="1154"/>
      <c r="IC173" s="1154"/>
      <c r="ID173" s="1154"/>
      <c r="IE173" s="1154"/>
      <c r="IG173" s="1060"/>
    </row>
    <row r="174" spans="1:241" ht="14.25" hidden="1" customHeight="1">
      <c r="A174" s="1186">
        <f t="shared" si="490"/>
        <v>168</v>
      </c>
      <c r="B174" s="824"/>
      <c r="C174" s="855">
        <f t="shared" si="509"/>
        <v>9</v>
      </c>
      <c r="D174" s="856" t="s">
        <v>519</v>
      </c>
      <c r="E174" s="857" t="str">
        <f t="shared" si="387"/>
        <v>11th Floor</v>
      </c>
      <c r="F174" s="1185"/>
      <c r="G174" s="764" t="s">
        <v>654</v>
      </c>
      <c r="H174" s="764" t="s">
        <v>512</v>
      </c>
      <c r="I174" s="764" t="s">
        <v>476</v>
      </c>
      <c r="J174" s="1139">
        <v>22</v>
      </c>
      <c r="K174" s="1142"/>
      <c r="L174" s="764" t="s">
        <v>500</v>
      </c>
      <c r="M174" s="764" t="s">
        <v>93</v>
      </c>
      <c r="N174" s="856">
        <f t="shared" si="388"/>
        <v>100909.09090909091</v>
      </c>
      <c r="O174" s="1138">
        <f t="shared" si="486"/>
        <v>2220000</v>
      </c>
      <c r="P174" s="1138">
        <f t="shared" si="491"/>
        <v>22400</v>
      </c>
      <c r="Q174" s="1138">
        <f t="shared" si="374"/>
        <v>50000</v>
      </c>
      <c r="R174" s="1138"/>
      <c r="S174" s="1138"/>
      <c r="T174" s="1138"/>
      <c r="U174" s="1138"/>
      <c r="V174" s="858"/>
      <c r="W174" s="1138"/>
      <c r="X174" s="1138"/>
      <c r="Y174" s="1138">
        <f t="shared" si="511"/>
        <v>140000</v>
      </c>
      <c r="Z174" s="1138">
        <f t="shared" si="487"/>
        <v>75000</v>
      </c>
      <c r="AA174" s="1138">
        <f t="shared" si="488"/>
        <v>287400</v>
      </c>
      <c r="AB174" s="1138">
        <f t="shared" si="390"/>
        <v>2507400</v>
      </c>
      <c r="AC174" s="1138">
        <f t="shared" si="391"/>
        <v>62685</v>
      </c>
      <c r="AD174" s="1138">
        <f t="shared" si="392"/>
        <v>2570085</v>
      </c>
      <c r="AE174" s="1138">
        <f t="shared" si="393"/>
        <v>64252.125</v>
      </c>
      <c r="AF174" s="1138">
        <f t="shared" si="394"/>
        <v>2634337.125</v>
      </c>
      <c r="AG174" s="1138">
        <f t="shared" si="395"/>
        <v>65858.428125000006</v>
      </c>
      <c r="AH174" s="1138">
        <f t="shared" si="396"/>
        <v>2700195.5531250001</v>
      </c>
      <c r="AI174" s="1138">
        <f t="shared" si="397"/>
        <v>135009.77765625002</v>
      </c>
      <c r="AJ174" s="1138">
        <f t="shared" si="398"/>
        <v>2835205.3307812503</v>
      </c>
      <c r="AK174" s="1138">
        <f t="shared" si="399"/>
        <v>28352.053307812504</v>
      </c>
      <c r="AL174" s="1138">
        <f t="shared" si="400"/>
        <v>27537.409960060559</v>
      </c>
      <c r="AM174" s="1138"/>
      <c r="AN174" s="1138"/>
      <c r="AO174" s="1138">
        <f t="shared" si="401"/>
        <v>2891094.7940491233</v>
      </c>
      <c r="AP174" s="1138">
        <f t="shared" si="402"/>
        <v>390297.79719663167</v>
      </c>
      <c r="AQ174" s="1248">
        <f t="shared" si="403"/>
        <v>3281392.5912457551</v>
      </c>
      <c r="AR174" s="1248">
        <f t="shared" si="347"/>
        <v>2951392.5912457551</v>
      </c>
      <c r="AS174" s="1248">
        <v>15000</v>
      </c>
      <c r="AT174" s="1248">
        <f t="shared" si="348"/>
        <v>330000</v>
      </c>
      <c r="AU174" s="1248">
        <f t="shared" si="404"/>
        <v>39600</v>
      </c>
      <c r="AV174" s="1140">
        <f t="shared" si="405"/>
        <v>369600</v>
      </c>
      <c r="AW174" s="1140">
        <f t="shared" si="406"/>
        <v>3320992.5912457551</v>
      </c>
      <c r="AX174" s="1139">
        <f t="shared" si="407"/>
        <v>41512.407390571942</v>
      </c>
      <c r="AY174" s="831" t="s">
        <v>478</v>
      </c>
      <c r="AZ174" s="831">
        <f t="shared" si="408"/>
        <v>3362504.9986363272</v>
      </c>
      <c r="BA174" s="831">
        <f t="shared" si="409"/>
        <v>126093.93744886227</v>
      </c>
      <c r="BB174" s="831"/>
      <c r="BC174" s="831">
        <f t="shared" si="513"/>
        <v>33600</v>
      </c>
      <c r="BD174" s="831"/>
      <c r="BE174" s="831">
        <f t="shared" si="410"/>
        <v>3522198.9360851897</v>
      </c>
      <c r="BF174" s="831"/>
      <c r="BG174" s="831">
        <f t="shared" si="411"/>
        <v>3522198.9360851897</v>
      </c>
      <c r="BH174" s="831"/>
      <c r="BI174" s="831">
        <f t="shared" si="412"/>
        <v>3522198.9360851897</v>
      </c>
      <c r="BJ174" s="831"/>
      <c r="BK174" s="831">
        <f t="shared" si="413"/>
        <v>3522198.9360851897</v>
      </c>
      <c r="BL174" s="831"/>
      <c r="BM174" s="831">
        <f t="shared" si="414"/>
        <v>3522198.9360851897</v>
      </c>
      <c r="BN174" s="831"/>
      <c r="BO174" s="831">
        <f t="shared" si="415"/>
        <v>3522198.9360851897</v>
      </c>
      <c r="BP174" s="831"/>
      <c r="BQ174" s="831">
        <f t="shared" si="416"/>
        <v>3522198.9360851897</v>
      </c>
      <c r="BR174" s="831"/>
      <c r="BS174" s="831">
        <f t="shared" si="417"/>
        <v>3522198.9360851897</v>
      </c>
      <c r="BT174" s="831"/>
      <c r="BU174" s="831">
        <f t="shared" si="418"/>
        <v>3522198.9360851897</v>
      </c>
      <c r="BV174" s="831"/>
      <c r="BW174" s="831">
        <f t="shared" si="419"/>
        <v>56400</v>
      </c>
      <c r="BX174" s="831">
        <f t="shared" si="420"/>
        <v>3578598.9360851897</v>
      </c>
      <c r="BY174" s="831"/>
      <c r="BZ174" s="831">
        <f t="shared" si="421"/>
        <v>3578598.9360851897</v>
      </c>
      <c r="CA174" s="1260">
        <f t="shared" si="422"/>
        <v>3578598.9360851897</v>
      </c>
      <c r="CB174" s="1260">
        <f t="shared" si="423"/>
        <v>3578598.9360851897</v>
      </c>
      <c r="CC174" s="1260"/>
      <c r="CD174" s="1260">
        <f t="shared" si="424"/>
        <v>0</v>
      </c>
      <c r="CE174" s="1260">
        <f t="shared" si="425"/>
        <v>0</v>
      </c>
      <c r="CF174" s="1260">
        <f t="shared" si="426"/>
        <v>0</v>
      </c>
      <c r="CG174" s="1266">
        <f t="shared" si="427"/>
        <v>3578598.9360851897</v>
      </c>
      <c r="CH174" s="1141">
        <f t="shared" si="428"/>
        <v>3578598.9360851897</v>
      </c>
      <c r="CI174" s="1142">
        <f t="shared" si="429"/>
        <v>0</v>
      </c>
      <c r="CJ174" s="1141">
        <f t="shared" si="430"/>
        <v>366806.39094873192</v>
      </c>
      <c r="CK174" s="1141">
        <f t="shared" si="431"/>
        <v>125250.96276298165</v>
      </c>
      <c r="CL174" s="1143">
        <f t="shared" si="489"/>
        <v>4070656.2897969033</v>
      </c>
      <c r="CM174" s="1144">
        <f t="shared" si="432"/>
        <v>0.125</v>
      </c>
      <c r="CN174" s="1141">
        <f t="shared" si="502"/>
        <v>508832.03622461291</v>
      </c>
      <c r="CO174" s="1141">
        <f t="shared" si="433"/>
        <v>30000</v>
      </c>
      <c r="CP174" s="1141">
        <f t="shared" si="503"/>
        <v>478832.03622461291</v>
      </c>
      <c r="CQ174" s="1145">
        <f t="shared" si="434"/>
        <v>15</v>
      </c>
      <c r="CR174" s="1141">
        <f t="shared" si="504"/>
        <v>31922.135748307526</v>
      </c>
      <c r="CS174" s="1144">
        <f t="shared" si="435"/>
        <v>0.875</v>
      </c>
      <c r="CT174" s="1141">
        <f t="shared" si="436"/>
        <v>3561824.2535722903</v>
      </c>
      <c r="CU174" s="1146">
        <f t="shared" si="375"/>
        <v>27614.785526560896</v>
      </c>
      <c r="CV174" s="1146">
        <f t="shared" si="376"/>
        <v>32014.68334918618</v>
      </c>
      <c r="CW174" s="1146">
        <f t="shared" si="377"/>
        <v>41355.799732628948</v>
      </c>
      <c r="CX174" s="1146">
        <f t="shared" si="378"/>
        <v>70528.3892108172</v>
      </c>
      <c r="CY174" s="1146">
        <f t="shared" si="437"/>
        <v>289338.30542695033</v>
      </c>
      <c r="CZ174" s="1146">
        <f t="shared" si="438"/>
        <v>114489.75800963784</v>
      </c>
      <c r="DA174" s="1146">
        <f t="shared" si="439"/>
        <v>82694.330669638817</v>
      </c>
      <c r="DB174" s="1146">
        <f t="shared" si="440"/>
        <v>62934.192689953175</v>
      </c>
      <c r="DC174" s="1146"/>
      <c r="DD174" s="1146"/>
      <c r="DE174" s="1146"/>
      <c r="DF174" s="1146"/>
      <c r="DG174" s="1146"/>
      <c r="DH174" s="1146"/>
      <c r="DI174" s="1146"/>
      <c r="DJ174" s="1146"/>
      <c r="DK174" s="1146"/>
      <c r="DL174" s="1146"/>
      <c r="DM174" s="1146"/>
      <c r="DN174" s="1146"/>
      <c r="DO174" s="1146"/>
      <c r="DP174" s="1146"/>
      <c r="DQ174" s="1146"/>
      <c r="DR174" s="1146"/>
      <c r="DS174" s="1146"/>
      <c r="DT174" s="1146"/>
      <c r="DU174" s="1146"/>
      <c r="DV174" s="1146"/>
      <c r="DW174" s="1146"/>
      <c r="DX174" s="1146"/>
      <c r="DY174" s="1146"/>
      <c r="DZ174" s="1146"/>
      <c r="EA174" s="1147">
        <f t="shared" si="379"/>
        <v>0.11181162444427974</v>
      </c>
      <c r="EB174" s="1148">
        <f t="shared" si="441"/>
        <v>0</v>
      </c>
      <c r="EC174" s="1190">
        <f t="shared" si="484"/>
        <v>45839</v>
      </c>
      <c r="ED174" s="1031">
        <f t="shared" si="380"/>
        <v>20</v>
      </c>
      <c r="EE174" s="1191"/>
      <c r="EF174" s="1032">
        <f t="shared" si="381"/>
        <v>45904</v>
      </c>
      <c r="EG174" s="1029">
        <f t="shared" si="442"/>
        <v>22</v>
      </c>
      <c r="EH174" s="859" t="s">
        <v>490</v>
      </c>
      <c r="EI174" s="859" t="s">
        <v>480</v>
      </c>
      <c r="EJ174" s="860">
        <f t="shared" si="382"/>
        <v>16800</v>
      </c>
      <c r="EK174" s="860">
        <f t="shared" si="383"/>
        <v>369600</v>
      </c>
      <c r="EL174" s="861">
        <f t="shared" si="384"/>
        <v>0.12522901937759331</v>
      </c>
      <c r="EM174" s="1197"/>
      <c r="EN174" s="860"/>
      <c r="EO174" s="860"/>
      <c r="EP174" s="860">
        <f t="shared" si="385"/>
        <v>0</v>
      </c>
      <c r="EQ174" s="1197"/>
      <c r="ER174" s="1200"/>
      <c r="ES174" s="1197"/>
      <c r="ET174" s="1207" t="s">
        <v>654</v>
      </c>
      <c r="EU174" s="1197" t="b">
        <f t="shared" si="386"/>
        <v>1</v>
      </c>
      <c r="EV174" s="1197"/>
      <c r="EW174" s="1197"/>
      <c r="EX174" s="1197"/>
      <c r="EY174" s="1128" t="s">
        <v>587</v>
      </c>
      <c r="EZ174" s="1128" t="s">
        <v>484</v>
      </c>
      <c r="FA174" s="1169">
        <f t="shared" si="443"/>
        <v>0</v>
      </c>
      <c r="FI174" s="1309" t="s">
        <v>149</v>
      </c>
      <c r="FJ174" s="1159" t="s">
        <v>149</v>
      </c>
      <c r="FK174" s="1160" t="b">
        <f t="shared" si="444"/>
        <v>1</v>
      </c>
      <c r="FL174" s="1131"/>
      <c r="FM174" s="1161"/>
      <c r="FU174" s="1295"/>
      <c r="FV174" s="1295"/>
      <c r="FW174" s="1023">
        <v>0.15</v>
      </c>
      <c r="FX174" s="1162">
        <v>14910.338663296512</v>
      </c>
      <c r="FY174" s="1163">
        <v>15376.286746524527</v>
      </c>
      <c r="GA174" s="1164">
        <f t="shared" si="445"/>
        <v>4070656.2897969033</v>
      </c>
      <c r="GB174" s="1165">
        <f t="shared" si="485"/>
        <v>0.15</v>
      </c>
      <c r="GC174" s="1154">
        <f t="shared" si="446"/>
        <v>610598.44346953544</v>
      </c>
      <c r="GD174" s="1164">
        <f t="shared" si="447"/>
        <v>30000</v>
      </c>
      <c r="GE174" s="1154">
        <f t="shared" si="448"/>
        <v>580598.44346953544</v>
      </c>
      <c r="GF174" s="1060">
        <f t="shared" si="449"/>
        <v>35</v>
      </c>
      <c r="GG174" s="1166">
        <f t="shared" si="450"/>
        <v>16588.526956272442</v>
      </c>
      <c r="GI174" s="1164">
        <f t="shared" si="451"/>
        <v>4070656.2897969033</v>
      </c>
      <c r="GJ174" s="1154">
        <f t="shared" si="452"/>
        <v>407065.62897969037</v>
      </c>
      <c r="GK174" s="1154">
        <f t="shared" si="453"/>
        <v>101766.40724492259</v>
      </c>
      <c r="GL174" s="1166">
        <v>15000</v>
      </c>
      <c r="GM174" s="1154">
        <f t="shared" si="454"/>
        <v>392065.62897969037</v>
      </c>
      <c r="GN174" s="1060">
        <f t="shared" si="455"/>
        <v>35</v>
      </c>
      <c r="GO174" s="1154">
        <f t="shared" si="456"/>
        <v>11201.875113705439</v>
      </c>
      <c r="GS174" s="1010">
        <f t="shared" si="457"/>
        <v>4070656.2897969033</v>
      </c>
      <c r="GT174" s="1011">
        <f t="shared" si="458"/>
        <v>0.125</v>
      </c>
      <c r="GU174" s="1010">
        <f t="shared" si="459"/>
        <v>508832.03622461291</v>
      </c>
      <c r="GV174" s="1010">
        <f t="shared" si="460"/>
        <v>30000</v>
      </c>
      <c r="GW174" s="1010">
        <f t="shared" si="461"/>
        <v>478832.03622461291</v>
      </c>
      <c r="GX174" s="1010">
        <f t="shared" si="462"/>
        <v>15</v>
      </c>
      <c r="GY174" s="1010">
        <f t="shared" si="463"/>
        <v>31922.135748307526</v>
      </c>
      <c r="GZ174" s="1011">
        <f t="shared" si="464"/>
        <v>0.875</v>
      </c>
      <c r="HA174" s="1010">
        <f t="shared" si="465"/>
        <v>3561824.2535722903</v>
      </c>
      <c r="HB174" s="1010">
        <f t="shared" si="466"/>
        <v>27614.785526560896</v>
      </c>
      <c r="HC174" s="1010">
        <f t="shared" si="467"/>
        <v>32014.68334918618</v>
      </c>
      <c r="HD174" s="1010">
        <f t="shared" si="468"/>
        <v>41355.799732628948</v>
      </c>
      <c r="HE174" s="1010">
        <f t="shared" si="469"/>
        <v>70528.3892108172</v>
      </c>
      <c r="HG174" s="1010">
        <f t="shared" si="470"/>
        <v>4070656.2897969033</v>
      </c>
      <c r="HH174" s="1011">
        <f t="shared" si="471"/>
        <v>0.125</v>
      </c>
      <c r="HI174" s="1010">
        <f t="shared" si="472"/>
        <v>508832.03622461291</v>
      </c>
      <c r="HJ174" s="1010">
        <f t="shared" si="473"/>
        <v>30000</v>
      </c>
      <c r="HK174" s="1010">
        <f t="shared" si="474"/>
        <v>478832.03622461291</v>
      </c>
      <c r="HL174" s="1012">
        <f t="shared" si="475"/>
        <v>33</v>
      </c>
      <c r="HM174" s="1167">
        <f t="shared" si="476"/>
        <v>14510.061703776149</v>
      </c>
      <c r="HN174" s="1168">
        <f t="shared" si="477"/>
        <v>0.875</v>
      </c>
      <c r="HO174" s="1167">
        <f t="shared" si="478"/>
        <v>3561824.2535722903</v>
      </c>
      <c r="HP174" s="1146">
        <f t="shared" si="479"/>
        <v>27614.785526560896</v>
      </c>
      <c r="HQ174" s="1146">
        <f t="shared" si="480"/>
        <v>32014.68334918618</v>
      </c>
      <c r="HR174" s="1146">
        <f t="shared" si="481"/>
        <v>41355.799732628948</v>
      </c>
      <c r="HS174" s="1146">
        <f t="shared" si="482"/>
        <v>70528.3892108172</v>
      </c>
      <c r="HU174" s="1167">
        <f t="shared" si="483"/>
        <v>-17412.074044531379</v>
      </c>
      <c r="HX174" s="1154"/>
      <c r="HY174" s="1154"/>
      <c r="IB174" s="1154"/>
      <c r="IC174" s="1154"/>
      <c r="ID174" s="1154"/>
      <c r="IE174" s="1154"/>
      <c r="IG174" s="1060"/>
    </row>
    <row r="175" spans="1:241" ht="14.25" hidden="1" customHeight="1">
      <c r="A175" s="1186">
        <f t="shared" si="490"/>
        <v>169</v>
      </c>
      <c r="B175" s="824"/>
      <c r="C175" s="855">
        <f t="shared" si="509"/>
        <v>10</v>
      </c>
      <c r="D175" s="856" t="s">
        <v>519</v>
      </c>
      <c r="E175" s="857" t="str">
        <f t="shared" si="387"/>
        <v>11th Floor</v>
      </c>
      <c r="F175" s="1185"/>
      <c r="G175" s="764" t="s">
        <v>655</v>
      </c>
      <c r="H175" s="764" t="s">
        <v>516</v>
      </c>
      <c r="I175" s="764" t="s">
        <v>476</v>
      </c>
      <c r="J175" s="1139">
        <v>22</v>
      </c>
      <c r="K175" s="1142"/>
      <c r="L175" s="764" t="s">
        <v>500</v>
      </c>
      <c r="M175" s="764" t="s">
        <v>93</v>
      </c>
      <c r="N175" s="856">
        <f t="shared" si="388"/>
        <v>100909.09090909091</v>
      </c>
      <c r="O175" s="1138">
        <f t="shared" si="486"/>
        <v>2220000</v>
      </c>
      <c r="P175" s="1138">
        <f t="shared" si="491"/>
        <v>22400</v>
      </c>
      <c r="Q175" s="1138">
        <f t="shared" si="374"/>
        <v>50000</v>
      </c>
      <c r="R175" s="1138"/>
      <c r="S175" s="1138"/>
      <c r="T175" s="1138"/>
      <c r="U175" s="1138"/>
      <c r="V175" s="858"/>
      <c r="W175" s="1138"/>
      <c r="X175" s="1138"/>
      <c r="Y175" s="1138">
        <f t="shared" si="511"/>
        <v>140000</v>
      </c>
      <c r="Z175" s="1138">
        <f t="shared" si="487"/>
        <v>75000</v>
      </c>
      <c r="AA175" s="1138">
        <f t="shared" si="488"/>
        <v>287400</v>
      </c>
      <c r="AB175" s="1138">
        <f t="shared" si="390"/>
        <v>2507400</v>
      </c>
      <c r="AC175" s="1138">
        <f t="shared" si="391"/>
        <v>62685</v>
      </c>
      <c r="AD175" s="1138">
        <f t="shared" si="392"/>
        <v>2570085</v>
      </c>
      <c r="AE175" s="1138">
        <f t="shared" si="393"/>
        <v>64252.125</v>
      </c>
      <c r="AF175" s="1138">
        <f t="shared" si="394"/>
        <v>2634337.125</v>
      </c>
      <c r="AG175" s="1138">
        <f t="shared" si="395"/>
        <v>65858.428125000006</v>
      </c>
      <c r="AH175" s="1138">
        <f t="shared" si="396"/>
        <v>2700195.5531250001</v>
      </c>
      <c r="AI175" s="1138">
        <f t="shared" si="397"/>
        <v>135009.77765625002</v>
      </c>
      <c r="AJ175" s="1138">
        <f t="shared" si="398"/>
        <v>2835205.3307812503</v>
      </c>
      <c r="AK175" s="1138">
        <f t="shared" si="399"/>
        <v>28352.053307812504</v>
      </c>
      <c r="AL175" s="1138">
        <f t="shared" si="400"/>
        <v>27537.409960060559</v>
      </c>
      <c r="AM175" s="1138"/>
      <c r="AN175" s="1138"/>
      <c r="AO175" s="1138">
        <f t="shared" si="401"/>
        <v>2891094.7940491233</v>
      </c>
      <c r="AP175" s="1138">
        <f t="shared" si="402"/>
        <v>390297.79719663167</v>
      </c>
      <c r="AQ175" s="1248">
        <f t="shared" si="403"/>
        <v>3281392.5912457551</v>
      </c>
      <c r="AR175" s="1248">
        <f t="shared" ref="AR175:AR219" si="515">AQ175-AT175</f>
        <v>2951392.5912457551</v>
      </c>
      <c r="AS175" s="1248">
        <v>15000</v>
      </c>
      <c r="AT175" s="1248">
        <f t="shared" ref="AT175:AT219" si="516">AS175*J175</f>
        <v>330000</v>
      </c>
      <c r="AU175" s="1248">
        <f t="shared" si="404"/>
        <v>39600</v>
      </c>
      <c r="AV175" s="1140">
        <f t="shared" si="405"/>
        <v>369600</v>
      </c>
      <c r="AW175" s="1140">
        <f t="shared" si="406"/>
        <v>3320992.5912457551</v>
      </c>
      <c r="AX175" s="1139">
        <f t="shared" si="407"/>
        <v>41512.407390571942</v>
      </c>
      <c r="AY175" s="831" t="s">
        <v>478</v>
      </c>
      <c r="AZ175" s="831">
        <f t="shared" si="408"/>
        <v>3362504.9986363272</v>
      </c>
      <c r="BA175" s="831">
        <f t="shared" si="409"/>
        <v>126093.93744886227</v>
      </c>
      <c r="BB175" s="831"/>
      <c r="BC175" s="831">
        <f t="shared" si="513"/>
        <v>33600</v>
      </c>
      <c r="BD175" s="831"/>
      <c r="BE175" s="831">
        <f t="shared" si="410"/>
        <v>3522198.9360851897</v>
      </c>
      <c r="BF175" s="831"/>
      <c r="BG175" s="831">
        <f t="shared" si="411"/>
        <v>3522198.9360851897</v>
      </c>
      <c r="BH175" s="831"/>
      <c r="BI175" s="831">
        <f t="shared" si="412"/>
        <v>3522198.9360851897</v>
      </c>
      <c r="BJ175" s="831"/>
      <c r="BK175" s="831">
        <f t="shared" si="413"/>
        <v>3522198.9360851897</v>
      </c>
      <c r="BL175" s="831"/>
      <c r="BM175" s="831">
        <f t="shared" si="414"/>
        <v>3522198.9360851897</v>
      </c>
      <c r="BN175" s="831"/>
      <c r="BO175" s="831">
        <f t="shared" si="415"/>
        <v>3522198.9360851897</v>
      </c>
      <c r="BP175" s="831"/>
      <c r="BQ175" s="831">
        <f t="shared" si="416"/>
        <v>3522198.9360851897</v>
      </c>
      <c r="BR175" s="831"/>
      <c r="BS175" s="831">
        <f t="shared" si="417"/>
        <v>3522198.9360851897</v>
      </c>
      <c r="BT175" s="831"/>
      <c r="BU175" s="831">
        <f t="shared" si="418"/>
        <v>3522198.9360851897</v>
      </c>
      <c r="BV175" s="831"/>
      <c r="BW175" s="831">
        <f t="shared" si="419"/>
        <v>56400</v>
      </c>
      <c r="BX175" s="831">
        <f t="shared" si="420"/>
        <v>3578598.9360851897</v>
      </c>
      <c r="BY175" s="831"/>
      <c r="BZ175" s="831">
        <f t="shared" si="421"/>
        <v>3578598.9360851897</v>
      </c>
      <c r="CA175" s="1260">
        <f t="shared" si="422"/>
        <v>3578598.9360851897</v>
      </c>
      <c r="CB175" s="1260">
        <f t="shared" si="423"/>
        <v>3578598.9360851897</v>
      </c>
      <c r="CC175" s="1260"/>
      <c r="CD175" s="1260">
        <f t="shared" si="424"/>
        <v>0</v>
      </c>
      <c r="CE175" s="1260">
        <f t="shared" si="425"/>
        <v>0</v>
      </c>
      <c r="CF175" s="1260">
        <f t="shared" si="426"/>
        <v>0</v>
      </c>
      <c r="CG175" s="1266">
        <f t="shared" si="427"/>
        <v>3578598.9360851897</v>
      </c>
      <c r="CH175" s="1141">
        <f t="shared" si="428"/>
        <v>3578598.9360851897</v>
      </c>
      <c r="CI175" s="1142">
        <f t="shared" si="429"/>
        <v>0</v>
      </c>
      <c r="CJ175" s="1141">
        <f t="shared" si="430"/>
        <v>366806.39094873192</v>
      </c>
      <c r="CK175" s="1141">
        <f t="shared" si="431"/>
        <v>125250.96276298165</v>
      </c>
      <c r="CL175" s="1143">
        <f t="shared" si="489"/>
        <v>4070656.2897969033</v>
      </c>
      <c r="CM175" s="1144">
        <f t="shared" si="432"/>
        <v>0.125</v>
      </c>
      <c r="CN175" s="1141">
        <f t="shared" si="502"/>
        <v>508832.03622461291</v>
      </c>
      <c r="CO175" s="1141">
        <f t="shared" si="433"/>
        <v>30000</v>
      </c>
      <c r="CP175" s="1141">
        <f t="shared" si="503"/>
        <v>478832.03622461291</v>
      </c>
      <c r="CQ175" s="1145">
        <f t="shared" si="434"/>
        <v>15</v>
      </c>
      <c r="CR175" s="1141">
        <f t="shared" si="504"/>
        <v>31922.135748307526</v>
      </c>
      <c r="CS175" s="1144">
        <f t="shared" si="435"/>
        <v>0.875</v>
      </c>
      <c r="CT175" s="1141">
        <f t="shared" si="436"/>
        <v>3561824.2535722903</v>
      </c>
      <c r="CU175" s="1146">
        <f t="shared" si="375"/>
        <v>27614.785526560896</v>
      </c>
      <c r="CV175" s="1146">
        <f t="shared" si="376"/>
        <v>32014.68334918618</v>
      </c>
      <c r="CW175" s="1146">
        <f t="shared" si="377"/>
        <v>41355.799732628948</v>
      </c>
      <c r="CX175" s="1146">
        <f t="shared" si="378"/>
        <v>70528.3892108172</v>
      </c>
      <c r="CY175" s="1146">
        <f t="shared" si="437"/>
        <v>289338.30542695033</v>
      </c>
      <c r="CZ175" s="1146">
        <f t="shared" si="438"/>
        <v>114489.75800963784</v>
      </c>
      <c r="DA175" s="1146">
        <f t="shared" si="439"/>
        <v>82694.330669638817</v>
      </c>
      <c r="DB175" s="1146">
        <f t="shared" si="440"/>
        <v>62934.192689953175</v>
      </c>
      <c r="DC175" s="1146"/>
      <c r="DD175" s="1146"/>
      <c r="DE175" s="1146"/>
      <c r="DF175" s="1146"/>
      <c r="DG175" s="1146"/>
      <c r="DH175" s="1146"/>
      <c r="DI175" s="1146"/>
      <c r="DJ175" s="1146"/>
      <c r="DK175" s="1146"/>
      <c r="DL175" s="1146"/>
      <c r="DM175" s="1146"/>
      <c r="DN175" s="1146"/>
      <c r="DO175" s="1146"/>
      <c r="DP175" s="1146"/>
      <c r="DQ175" s="1146"/>
      <c r="DR175" s="1146"/>
      <c r="DS175" s="1146"/>
      <c r="DT175" s="1146"/>
      <c r="DU175" s="1146"/>
      <c r="DV175" s="1146"/>
      <c r="DW175" s="1146"/>
      <c r="DX175" s="1146"/>
      <c r="DY175" s="1146"/>
      <c r="DZ175" s="1146"/>
      <c r="EA175" s="1147">
        <f t="shared" si="379"/>
        <v>0.11181162444427974</v>
      </c>
      <c r="EB175" s="1148">
        <f t="shared" si="441"/>
        <v>0</v>
      </c>
      <c r="EC175" s="1190">
        <f t="shared" si="484"/>
        <v>45839</v>
      </c>
      <c r="ED175" s="1031">
        <f t="shared" si="380"/>
        <v>20</v>
      </c>
      <c r="EE175" s="1191"/>
      <c r="EF175" s="1032">
        <f t="shared" si="381"/>
        <v>45904</v>
      </c>
      <c r="EG175" s="1029">
        <f t="shared" si="442"/>
        <v>22</v>
      </c>
      <c r="EH175" s="859" t="s">
        <v>490</v>
      </c>
      <c r="EI175" s="859" t="s">
        <v>480</v>
      </c>
      <c r="EJ175" s="860">
        <f t="shared" si="382"/>
        <v>16800</v>
      </c>
      <c r="EK175" s="860">
        <f t="shared" si="383"/>
        <v>369600</v>
      </c>
      <c r="EL175" s="861">
        <f t="shared" si="384"/>
        <v>0.12522901937759331</v>
      </c>
      <c r="EM175" s="1197"/>
      <c r="EN175" s="860"/>
      <c r="EO175" s="860"/>
      <c r="EP175" s="860">
        <f t="shared" si="385"/>
        <v>0</v>
      </c>
      <c r="EQ175" s="1197"/>
      <c r="ER175" s="1200"/>
      <c r="ES175" s="1197"/>
      <c r="ET175" s="1207" t="s">
        <v>655</v>
      </c>
      <c r="EU175" s="1197" t="b">
        <f t="shared" si="386"/>
        <v>1</v>
      </c>
      <c r="EV175" s="1197"/>
      <c r="EW175" s="1197"/>
      <c r="EX175" s="1197"/>
      <c r="EY175" s="1128" t="s">
        <v>587</v>
      </c>
      <c r="EZ175" s="1128" t="s">
        <v>484</v>
      </c>
      <c r="FA175" s="1169">
        <f t="shared" si="443"/>
        <v>0</v>
      </c>
      <c r="FI175" s="1308" t="s">
        <v>149</v>
      </c>
      <c r="FJ175" s="1159" t="s">
        <v>149</v>
      </c>
      <c r="FK175" s="1160" t="b">
        <f t="shared" si="444"/>
        <v>1</v>
      </c>
      <c r="FL175" s="1131"/>
      <c r="FM175" s="1161"/>
      <c r="FU175" s="1295"/>
      <c r="FV175" s="1295"/>
      <c r="FW175" s="1023">
        <v>0.15</v>
      </c>
      <c r="FX175" s="1162">
        <v>14910.338663296512</v>
      </c>
      <c r="FY175" s="1163">
        <v>15376.286746524527</v>
      </c>
      <c r="GA175" s="1164">
        <f t="shared" si="445"/>
        <v>4070656.2897969033</v>
      </c>
      <c r="GB175" s="1165">
        <f t="shared" si="485"/>
        <v>0.15</v>
      </c>
      <c r="GC175" s="1154">
        <f t="shared" si="446"/>
        <v>610598.44346953544</v>
      </c>
      <c r="GD175" s="1164">
        <f t="shared" si="447"/>
        <v>30000</v>
      </c>
      <c r="GE175" s="1154">
        <f t="shared" si="448"/>
        <v>580598.44346953544</v>
      </c>
      <c r="GF175" s="1060">
        <f t="shared" si="449"/>
        <v>35</v>
      </c>
      <c r="GG175" s="1166">
        <f t="shared" si="450"/>
        <v>16588.526956272442</v>
      </c>
      <c r="GI175" s="1164">
        <f t="shared" si="451"/>
        <v>4070656.2897969033</v>
      </c>
      <c r="GJ175" s="1154">
        <f t="shared" si="452"/>
        <v>407065.62897969037</v>
      </c>
      <c r="GK175" s="1154">
        <f t="shared" si="453"/>
        <v>101766.40724492259</v>
      </c>
      <c r="GL175" s="1166">
        <v>15000</v>
      </c>
      <c r="GM175" s="1154">
        <f t="shared" si="454"/>
        <v>392065.62897969037</v>
      </c>
      <c r="GN175" s="1060">
        <f t="shared" si="455"/>
        <v>35</v>
      </c>
      <c r="GO175" s="1154">
        <f t="shared" si="456"/>
        <v>11201.875113705439</v>
      </c>
      <c r="GS175" s="1010">
        <f t="shared" si="457"/>
        <v>4070656.2897969033</v>
      </c>
      <c r="GT175" s="1011">
        <f t="shared" si="458"/>
        <v>0.125</v>
      </c>
      <c r="GU175" s="1010">
        <f t="shared" si="459"/>
        <v>508832.03622461291</v>
      </c>
      <c r="GV175" s="1010">
        <f t="shared" si="460"/>
        <v>30000</v>
      </c>
      <c r="GW175" s="1010">
        <f t="shared" si="461"/>
        <v>478832.03622461291</v>
      </c>
      <c r="GX175" s="1010">
        <f t="shared" si="462"/>
        <v>15</v>
      </c>
      <c r="GY175" s="1010">
        <f t="shared" si="463"/>
        <v>31922.135748307526</v>
      </c>
      <c r="GZ175" s="1011">
        <f t="shared" si="464"/>
        <v>0.875</v>
      </c>
      <c r="HA175" s="1010">
        <f t="shared" si="465"/>
        <v>3561824.2535722903</v>
      </c>
      <c r="HB175" s="1010">
        <f t="shared" si="466"/>
        <v>27614.785526560896</v>
      </c>
      <c r="HC175" s="1010">
        <f t="shared" si="467"/>
        <v>32014.68334918618</v>
      </c>
      <c r="HD175" s="1010">
        <f t="shared" si="468"/>
        <v>41355.799732628948</v>
      </c>
      <c r="HE175" s="1010">
        <f t="shared" si="469"/>
        <v>70528.3892108172</v>
      </c>
      <c r="HG175" s="1010">
        <f t="shared" si="470"/>
        <v>4070656.2897969033</v>
      </c>
      <c r="HH175" s="1011">
        <f t="shared" si="471"/>
        <v>0.125</v>
      </c>
      <c r="HI175" s="1010">
        <f t="shared" si="472"/>
        <v>508832.03622461291</v>
      </c>
      <c r="HJ175" s="1010">
        <f t="shared" si="473"/>
        <v>30000</v>
      </c>
      <c r="HK175" s="1010">
        <f t="shared" si="474"/>
        <v>478832.03622461291</v>
      </c>
      <c r="HL175" s="1012">
        <f t="shared" si="475"/>
        <v>33</v>
      </c>
      <c r="HM175" s="1167">
        <f t="shared" si="476"/>
        <v>14510.061703776149</v>
      </c>
      <c r="HN175" s="1168">
        <f t="shared" si="477"/>
        <v>0.875</v>
      </c>
      <c r="HO175" s="1167">
        <f t="shared" si="478"/>
        <v>3561824.2535722903</v>
      </c>
      <c r="HP175" s="1146">
        <f t="shared" si="479"/>
        <v>27614.785526560896</v>
      </c>
      <c r="HQ175" s="1146">
        <f t="shared" si="480"/>
        <v>32014.68334918618</v>
      </c>
      <c r="HR175" s="1146">
        <f t="shared" si="481"/>
        <v>41355.799732628948</v>
      </c>
      <c r="HS175" s="1146">
        <f t="shared" si="482"/>
        <v>70528.3892108172</v>
      </c>
      <c r="HU175" s="1167">
        <f t="shared" si="483"/>
        <v>-17412.074044531379</v>
      </c>
      <c r="HX175" s="1154"/>
      <c r="HY175" s="1154"/>
      <c r="IB175" s="1154"/>
      <c r="IC175" s="1154"/>
      <c r="ID175" s="1154"/>
      <c r="IE175" s="1154"/>
      <c r="IG175" s="1060"/>
    </row>
    <row r="176" spans="1:241" ht="14.25" customHeight="1">
      <c r="A176" s="1186">
        <f t="shared" si="490"/>
        <v>170</v>
      </c>
      <c r="B176" s="824"/>
      <c r="C176" s="855">
        <f t="shared" si="509"/>
        <v>11</v>
      </c>
      <c r="D176" s="856" t="s">
        <v>519</v>
      </c>
      <c r="E176" s="857" t="str">
        <f t="shared" si="387"/>
        <v>11th Floor</v>
      </c>
      <c r="F176" s="1185"/>
      <c r="G176" s="764" t="s">
        <v>656</v>
      </c>
      <c r="H176" s="764" t="s">
        <v>517</v>
      </c>
      <c r="I176" s="764" t="s">
        <v>476</v>
      </c>
      <c r="J176" s="1139">
        <v>22</v>
      </c>
      <c r="K176" s="1142"/>
      <c r="L176" s="764" t="s">
        <v>500</v>
      </c>
      <c r="M176" s="764" t="s">
        <v>93</v>
      </c>
      <c r="N176" s="856">
        <f t="shared" si="388"/>
        <v>100909.09090909091</v>
      </c>
      <c r="O176" s="1138">
        <f t="shared" si="486"/>
        <v>2220000</v>
      </c>
      <c r="P176" s="1138">
        <f t="shared" si="491"/>
        <v>22400</v>
      </c>
      <c r="Q176" s="1138">
        <f t="shared" si="374"/>
        <v>50000</v>
      </c>
      <c r="R176" s="1138"/>
      <c r="S176" s="1138"/>
      <c r="T176" s="1138"/>
      <c r="U176" s="1138"/>
      <c r="V176" s="858"/>
      <c r="W176" s="1138"/>
      <c r="X176" s="1138"/>
      <c r="Y176" s="1138">
        <f t="shared" si="511"/>
        <v>140000</v>
      </c>
      <c r="Z176" s="1138">
        <f t="shared" si="487"/>
        <v>75000</v>
      </c>
      <c r="AA176" s="1138">
        <f t="shared" si="488"/>
        <v>287400</v>
      </c>
      <c r="AB176" s="1138">
        <f t="shared" si="390"/>
        <v>2507400</v>
      </c>
      <c r="AC176" s="1138">
        <f t="shared" si="391"/>
        <v>62685</v>
      </c>
      <c r="AD176" s="1138">
        <f t="shared" si="392"/>
        <v>2570085</v>
      </c>
      <c r="AE176" s="1138">
        <f t="shared" si="393"/>
        <v>64252.125</v>
      </c>
      <c r="AF176" s="1138">
        <f t="shared" si="394"/>
        <v>2634337.125</v>
      </c>
      <c r="AG176" s="1138">
        <f t="shared" si="395"/>
        <v>65858.428125000006</v>
      </c>
      <c r="AH176" s="1138">
        <f t="shared" si="396"/>
        <v>2700195.5531250001</v>
      </c>
      <c r="AI176" s="1138">
        <f t="shared" si="397"/>
        <v>135009.77765625002</v>
      </c>
      <c r="AJ176" s="1138">
        <f t="shared" si="398"/>
        <v>2835205.3307812503</v>
      </c>
      <c r="AK176" s="1138">
        <f t="shared" si="399"/>
        <v>28352.053307812504</v>
      </c>
      <c r="AL176" s="1138">
        <f t="shared" si="400"/>
        <v>27537.409960060559</v>
      </c>
      <c r="AM176" s="1138"/>
      <c r="AN176" s="1138">
        <v>14000</v>
      </c>
      <c r="AO176" s="1138">
        <f t="shared" si="401"/>
        <v>2905094.7940491233</v>
      </c>
      <c r="AP176" s="1138">
        <f t="shared" si="402"/>
        <v>392187.79719663167</v>
      </c>
      <c r="AQ176" s="1248">
        <f t="shared" si="403"/>
        <v>3297282.5912457551</v>
      </c>
      <c r="AR176" s="1248">
        <f t="shared" si="515"/>
        <v>2967282.5912457551</v>
      </c>
      <c r="AS176" s="1248">
        <v>15000</v>
      </c>
      <c r="AT176" s="1248">
        <f t="shared" si="516"/>
        <v>330000</v>
      </c>
      <c r="AU176" s="1248">
        <f t="shared" si="404"/>
        <v>39600</v>
      </c>
      <c r="AV176" s="1140">
        <f t="shared" si="405"/>
        <v>369600</v>
      </c>
      <c r="AW176" s="1140">
        <f t="shared" si="406"/>
        <v>3336882.5912457551</v>
      </c>
      <c r="AX176" s="1139">
        <f t="shared" si="407"/>
        <v>41711.032390571942</v>
      </c>
      <c r="AY176" s="831">
        <v>13444.671373913045</v>
      </c>
      <c r="AZ176" s="831">
        <f t="shared" si="408"/>
        <v>3392038.2950102403</v>
      </c>
      <c r="BA176" s="831">
        <f t="shared" si="409"/>
        <v>127201.43606288401</v>
      </c>
      <c r="BB176" s="831"/>
      <c r="BC176" s="831">
        <f t="shared" si="513"/>
        <v>33600</v>
      </c>
      <c r="BD176" s="831">
        <v>8990.8965517241377</v>
      </c>
      <c r="BE176" s="831">
        <f t="shared" si="410"/>
        <v>3561830.6276248484</v>
      </c>
      <c r="BF176" s="831">
        <v>42723.767172413798</v>
      </c>
      <c r="BG176" s="831">
        <f t="shared" si="411"/>
        <v>3604554.3947972623</v>
      </c>
      <c r="BH176" s="831"/>
      <c r="BI176" s="831">
        <f t="shared" si="412"/>
        <v>3604554.3947972623</v>
      </c>
      <c r="BJ176" s="831"/>
      <c r="BK176" s="831">
        <f t="shared" si="413"/>
        <v>3604554.3947972623</v>
      </c>
      <c r="BL176" s="831"/>
      <c r="BM176" s="831">
        <f t="shared" si="414"/>
        <v>3604554.3947972623</v>
      </c>
      <c r="BN176" s="831"/>
      <c r="BO176" s="831">
        <f t="shared" si="415"/>
        <v>3604554.3947972623</v>
      </c>
      <c r="BP176" s="831">
        <f>$BP$5/37</f>
        <v>5065.3710270270276</v>
      </c>
      <c r="BQ176" s="831">
        <f t="shared" si="416"/>
        <v>3609619.7658242895</v>
      </c>
      <c r="BR176" s="831">
        <f>$BR$5/42</f>
        <v>3544.6104</v>
      </c>
      <c r="BS176" s="831">
        <f t="shared" si="417"/>
        <v>3613164.3762242896</v>
      </c>
      <c r="BT176" s="831">
        <f>$BT$5/41</f>
        <v>1609.3168000000001</v>
      </c>
      <c r="BU176" s="831">
        <f t="shared" si="418"/>
        <v>3614773.6930242898</v>
      </c>
      <c r="BV176" s="831">
        <f>$BV$5/43</f>
        <v>1163.3400930232558</v>
      </c>
      <c r="BW176" s="831">
        <f t="shared" si="419"/>
        <v>56400</v>
      </c>
      <c r="BX176" s="831">
        <f t="shared" si="420"/>
        <v>3672337.0331173129</v>
      </c>
      <c r="BY176" s="831">
        <f>$BY$5/44</f>
        <v>30549.183723443901</v>
      </c>
      <c r="BZ176" s="831">
        <f t="shared" si="421"/>
        <v>3702886.2168407571</v>
      </c>
      <c r="CA176" s="1260">
        <f t="shared" si="422"/>
        <v>3702886.2168407571</v>
      </c>
      <c r="CB176" s="1260">
        <f t="shared" si="423"/>
        <v>3526886.2168407571</v>
      </c>
      <c r="CC176" s="1260">
        <v>8000</v>
      </c>
      <c r="CD176" s="1260">
        <f t="shared" si="424"/>
        <v>176000</v>
      </c>
      <c r="CE176" s="1260">
        <f t="shared" si="425"/>
        <v>21120</v>
      </c>
      <c r="CF176" s="1260">
        <f t="shared" si="426"/>
        <v>197120</v>
      </c>
      <c r="CG176" s="1266">
        <f t="shared" si="427"/>
        <v>3724006.2168407571</v>
      </c>
      <c r="CH176" s="1141">
        <f t="shared" si="428"/>
        <v>3724006.2168407571</v>
      </c>
      <c r="CI176" s="1142">
        <f t="shared" si="429"/>
        <v>0</v>
      </c>
      <c r="CJ176" s="1141">
        <f t="shared" si="430"/>
        <v>381710.63722617755</v>
      </c>
      <c r="CK176" s="1141">
        <f t="shared" si="431"/>
        <v>130340.21758942651</v>
      </c>
      <c r="CL176" s="1143">
        <f t="shared" si="489"/>
        <v>4236057.0716563612</v>
      </c>
      <c r="CM176" s="1144">
        <f t="shared" si="432"/>
        <v>0.125</v>
      </c>
      <c r="CN176" s="1141">
        <f t="shared" si="502"/>
        <v>529507.13395704515</v>
      </c>
      <c r="CO176" s="1141">
        <f t="shared" si="433"/>
        <v>30000</v>
      </c>
      <c r="CP176" s="1141">
        <f t="shared" si="503"/>
        <v>499507.13395704515</v>
      </c>
      <c r="CQ176" s="1145">
        <f t="shared" si="434"/>
        <v>15</v>
      </c>
      <c r="CR176" s="1141">
        <f t="shared" si="504"/>
        <v>33300.475597136341</v>
      </c>
      <c r="CS176" s="1144">
        <f t="shared" si="435"/>
        <v>0.875</v>
      </c>
      <c r="CT176" s="1141">
        <f t="shared" si="436"/>
        <v>3706549.9376993161</v>
      </c>
      <c r="CU176" s="1146">
        <f t="shared" si="375"/>
        <v>28736.842215164856</v>
      </c>
      <c r="CV176" s="1146">
        <f t="shared" si="376"/>
        <v>33315.518713304475</v>
      </c>
      <c r="CW176" s="1146">
        <f t="shared" si="377"/>
        <v>43036.18764141533</v>
      </c>
      <c r="CX176" s="1146">
        <f t="shared" si="378"/>
        <v>73394.131216104361</v>
      </c>
      <c r="CY176" s="1146">
        <f t="shared" si="437"/>
        <v>301094.8327612431</v>
      </c>
      <c r="CZ176" s="1146">
        <f t="shared" si="438"/>
        <v>119141.75860648483</v>
      </c>
      <c r="DA176" s="1146">
        <f t="shared" si="439"/>
        <v>86054.404813551664</v>
      </c>
      <c r="DB176" s="1146">
        <f t="shared" si="440"/>
        <v>65491.36380329504</v>
      </c>
      <c r="DC176" s="1146"/>
      <c r="DD176" s="1146"/>
      <c r="DE176" s="1146"/>
      <c r="DF176" s="1146"/>
      <c r="DG176" s="1146"/>
      <c r="DH176" s="1146"/>
      <c r="DI176" s="1146"/>
      <c r="DJ176" s="1146"/>
      <c r="DK176" s="1146"/>
      <c r="DL176" s="1146"/>
      <c r="DM176" s="1146"/>
      <c r="DN176" s="1146"/>
      <c r="DO176" s="1146"/>
      <c r="DP176" s="1146"/>
      <c r="DQ176" s="1146"/>
      <c r="DR176" s="1146"/>
      <c r="DS176" s="1146"/>
      <c r="DT176" s="1146"/>
      <c r="DU176" s="1146"/>
      <c r="DV176" s="1146"/>
      <c r="DW176" s="1146"/>
      <c r="DX176" s="1146"/>
      <c r="DY176" s="1146"/>
      <c r="DZ176" s="1146"/>
      <c r="EA176" s="1147">
        <f t="shared" si="379"/>
        <v>0.11121286559412462</v>
      </c>
      <c r="EB176" s="1148">
        <f t="shared" si="441"/>
        <v>5.5890660452486092E-2</v>
      </c>
      <c r="EC176" s="1190">
        <f t="shared" si="484"/>
        <v>45839</v>
      </c>
      <c r="ED176" s="1031">
        <f t="shared" si="380"/>
        <v>20</v>
      </c>
      <c r="EE176" s="1191"/>
      <c r="EF176" s="1032">
        <f t="shared" si="381"/>
        <v>45904</v>
      </c>
      <c r="EG176" s="1029">
        <f t="shared" si="442"/>
        <v>22</v>
      </c>
      <c r="EH176" s="859" t="s">
        <v>490</v>
      </c>
      <c r="EI176" s="859" t="s">
        <v>480</v>
      </c>
      <c r="EJ176" s="860">
        <f t="shared" si="382"/>
        <v>16800</v>
      </c>
      <c r="EK176" s="860">
        <f t="shared" si="383"/>
        <v>369600</v>
      </c>
      <c r="EL176" s="861">
        <f t="shared" si="384"/>
        <v>0.12455840946541959</v>
      </c>
      <c r="EM176" s="1197"/>
      <c r="EN176" s="860"/>
      <c r="EO176" s="860"/>
      <c r="EP176" s="860">
        <f t="shared" si="385"/>
        <v>0</v>
      </c>
      <c r="EQ176" s="1197"/>
      <c r="ER176" s="1200"/>
      <c r="ES176" s="1197"/>
      <c r="ET176" s="1207" t="s">
        <v>656</v>
      </c>
      <c r="EU176" s="1197" t="b">
        <f t="shared" si="386"/>
        <v>1</v>
      </c>
      <c r="EV176" s="1197"/>
      <c r="EW176" s="1197"/>
      <c r="EX176" s="1197"/>
      <c r="EY176" s="1128" t="s">
        <v>587</v>
      </c>
      <c r="EZ176" s="1128" t="s">
        <v>611</v>
      </c>
      <c r="FA176" s="1169"/>
      <c r="FI176" s="1309" t="s">
        <v>96</v>
      </c>
      <c r="FJ176" s="1159" t="s">
        <v>96</v>
      </c>
      <c r="FK176" s="1160" t="b">
        <f t="shared" si="444"/>
        <v>1</v>
      </c>
      <c r="FL176" s="1131"/>
      <c r="FM176" s="1161"/>
      <c r="FO176" s="888"/>
      <c r="FU176" s="1295"/>
      <c r="FV176" s="1295"/>
      <c r="FW176" s="1023">
        <v>0.125</v>
      </c>
      <c r="FX176" s="1162">
        <v>12349.524643656185</v>
      </c>
      <c r="FY176" s="1163">
        <v>12735.44728877044</v>
      </c>
      <c r="GA176" s="1164">
        <f t="shared" si="445"/>
        <v>4236057.0716563612</v>
      </c>
      <c r="GB176" s="1165">
        <f t="shared" si="485"/>
        <v>0.15</v>
      </c>
      <c r="GC176" s="1154">
        <f t="shared" si="446"/>
        <v>635408.56074845418</v>
      </c>
      <c r="GD176" s="1164">
        <f t="shared" si="447"/>
        <v>30000</v>
      </c>
      <c r="GE176" s="1154">
        <f t="shared" si="448"/>
        <v>605408.56074845418</v>
      </c>
      <c r="GF176" s="1060">
        <f t="shared" si="449"/>
        <v>35</v>
      </c>
      <c r="GG176" s="1166">
        <f t="shared" si="450"/>
        <v>17297.387449955833</v>
      </c>
      <c r="GI176" s="1164">
        <f t="shared" si="451"/>
        <v>4236057.0716563612</v>
      </c>
      <c r="GJ176" s="1154">
        <f t="shared" si="452"/>
        <v>423605.70716563612</v>
      </c>
      <c r="GK176" s="1154">
        <f t="shared" si="453"/>
        <v>105901.42679140903</v>
      </c>
      <c r="GL176" s="1166">
        <v>15000</v>
      </c>
      <c r="GM176" s="1154">
        <f t="shared" si="454"/>
        <v>408605.70716563612</v>
      </c>
      <c r="GN176" s="1060">
        <f t="shared" si="455"/>
        <v>35</v>
      </c>
      <c r="GO176" s="1154">
        <f t="shared" si="456"/>
        <v>11674.448776161033</v>
      </c>
      <c r="GS176" s="1010">
        <f t="shared" si="457"/>
        <v>4236057.0716563612</v>
      </c>
      <c r="GT176" s="1011">
        <f t="shared" si="458"/>
        <v>0.125</v>
      </c>
      <c r="GU176" s="1010">
        <f t="shared" si="459"/>
        <v>529507.13395704515</v>
      </c>
      <c r="GV176" s="1010">
        <f t="shared" si="460"/>
        <v>30000</v>
      </c>
      <c r="GW176" s="1010">
        <f t="shared" si="461"/>
        <v>499507.13395704515</v>
      </c>
      <c r="GX176" s="1010">
        <f t="shared" si="462"/>
        <v>15</v>
      </c>
      <c r="GY176" s="1010">
        <f t="shared" si="463"/>
        <v>33300.475597136341</v>
      </c>
      <c r="GZ176" s="1011">
        <f t="shared" si="464"/>
        <v>0.875</v>
      </c>
      <c r="HA176" s="1010">
        <f t="shared" si="465"/>
        <v>3706549.9376993161</v>
      </c>
      <c r="HB176" s="1010">
        <f t="shared" si="466"/>
        <v>28736.842215164856</v>
      </c>
      <c r="HC176" s="1010">
        <f t="shared" si="467"/>
        <v>33315.518713304475</v>
      </c>
      <c r="HD176" s="1010">
        <f t="shared" si="468"/>
        <v>43036.18764141533</v>
      </c>
      <c r="HE176" s="1010">
        <f t="shared" si="469"/>
        <v>73394.131216104361</v>
      </c>
      <c r="HG176" s="1010">
        <f t="shared" si="470"/>
        <v>4236057.0716563612</v>
      </c>
      <c r="HH176" s="1011">
        <f t="shared" si="471"/>
        <v>0.125</v>
      </c>
      <c r="HI176" s="1010">
        <f t="shared" si="472"/>
        <v>529507.13395704515</v>
      </c>
      <c r="HJ176" s="1010">
        <f t="shared" si="473"/>
        <v>30000</v>
      </c>
      <c r="HK176" s="1010">
        <f t="shared" si="474"/>
        <v>499507.13395704515</v>
      </c>
      <c r="HL176" s="1012">
        <f t="shared" si="475"/>
        <v>33</v>
      </c>
      <c r="HM176" s="1167">
        <f t="shared" si="476"/>
        <v>15136.579816880156</v>
      </c>
      <c r="HN176" s="1168">
        <f t="shared" si="477"/>
        <v>0.875</v>
      </c>
      <c r="HO176" s="1167">
        <f t="shared" si="478"/>
        <v>3706549.9376993161</v>
      </c>
      <c r="HP176" s="1146">
        <f t="shared" si="479"/>
        <v>28736.842215164856</v>
      </c>
      <c r="HQ176" s="1146">
        <f t="shared" si="480"/>
        <v>33315.518713304475</v>
      </c>
      <c r="HR176" s="1146">
        <f t="shared" si="481"/>
        <v>43036.18764141533</v>
      </c>
      <c r="HS176" s="1146">
        <f t="shared" si="482"/>
        <v>73394.131216104361</v>
      </c>
      <c r="HU176" s="1167">
        <f t="shared" si="483"/>
        <v>-18163.895780256185</v>
      </c>
      <c r="HX176" s="1154"/>
      <c r="HY176" s="1154"/>
      <c r="IB176" s="1154"/>
      <c r="IC176" s="1154"/>
      <c r="ID176" s="1154"/>
      <c r="IE176" s="1154"/>
      <c r="IG176" s="1060"/>
    </row>
    <row r="177" spans="1:241" ht="14.25" hidden="1" customHeight="1">
      <c r="A177" s="1186">
        <f t="shared" si="490"/>
        <v>171</v>
      </c>
      <c r="B177" s="824"/>
      <c r="C177" s="855">
        <f t="shared" si="509"/>
        <v>12</v>
      </c>
      <c r="D177" s="856" t="s">
        <v>519</v>
      </c>
      <c r="E177" s="857" t="str">
        <f t="shared" si="387"/>
        <v>11th Floor</v>
      </c>
      <c r="F177" s="1185"/>
      <c r="G177" s="764" t="s">
        <v>657</v>
      </c>
      <c r="H177" s="764" t="s">
        <v>520</v>
      </c>
      <c r="I177" s="764" t="s">
        <v>476</v>
      </c>
      <c r="J177" s="1139">
        <v>22</v>
      </c>
      <c r="K177" s="1142"/>
      <c r="L177" s="764" t="s">
        <v>500</v>
      </c>
      <c r="M177" s="764" t="s">
        <v>93</v>
      </c>
      <c r="N177" s="856">
        <f t="shared" si="388"/>
        <v>100909.09090909091</v>
      </c>
      <c r="O177" s="1138">
        <f t="shared" si="486"/>
        <v>2220000</v>
      </c>
      <c r="P177" s="1138">
        <f t="shared" si="491"/>
        <v>22400</v>
      </c>
      <c r="Q177" s="1138">
        <f t="shared" si="374"/>
        <v>50000</v>
      </c>
      <c r="R177" s="1138"/>
      <c r="S177" s="1138"/>
      <c r="T177" s="1138"/>
      <c r="U177" s="1138"/>
      <c r="V177" s="858"/>
      <c r="W177" s="1138"/>
      <c r="X177" s="1138"/>
      <c r="Y177" s="1138">
        <f t="shared" si="511"/>
        <v>140000</v>
      </c>
      <c r="Z177" s="1138">
        <f t="shared" si="487"/>
        <v>75000</v>
      </c>
      <c r="AA177" s="1138">
        <f t="shared" si="488"/>
        <v>287400</v>
      </c>
      <c r="AB177" s="1138">
        <f t="shared" si="390"/>
        <v>2507400</v>
      </c>
      <c r="AC177" s="1138">
        <f t="shared" si="391"/>
        <v>62685</v>
      </c>
      <c r="AD177" s="1138">
        <f t="shared" si="392"/>
        <v>2570085</v>
      </c>
      <c r="AE177" s="1138">
        <f t="shared" si="393"/>
        <v>64252.125</v>
      </c>
      <c r="AF177" s="1138">
        <f t="shared" si="394"/>
        <v>2634337.125</v>
      </c>
      <c r="AG177" s="1138">
        <f t="shared" si="395"/>
        <v>65858.428125000006</v>
      </c>
      <c r="AH177" s="1138">
        <f t="shared" si="396"/>
        <v>2700195.5531250001</v>
      </c>
      <c r="AI177" s="1138">
        <f t="shared" si="397"/>
        <v>135009.77765625002</v>
      </c>
      <c r="AJ177" s="1138">
        <f t="shared" si="398"/>
        <v>2835205.3307812503</v>
      </c>
      <c r="AK177" s="1138">
        <f t="shared" si="399"/>
        <v>28352.053307812504</v>
      </c>
      <c r="AL177" s="1138">
        <f t="shared" si="400"/>
        <v>27537.409960060559</v>
      </c>
      <c r="AM177" s="1138"/>
      <c r="AN177" s="1138"/>
      <c r="AO177" s="1138">
        <f t="shared" si="401"/>
        <v>2891094.7940491233</v>
      </c>
      <c r="AP177" s="1138">
        <f t="shared" si="402"/>
        <v>390297.79719663167</v>
      </c>
      <c r="AQ177" s="1248">
        <f t="shared" si="403"/>
        <v>3281392.5912457551</v>
      </c>
      <c r="AR177" s="1248">
        <f t="shared" si="515"/>
        <v>2951392.5912457551</v>
      </c>
      <c r="AS177" s="1248">
        <v>15000</v>
      </c>
      <c r="AT177" s="1248">
        <f t="shared" si="516"/>
        <v>330000</v>
      </c>
      <c r="AU177" s="1248">
        <f t="shared" si="404"/>
        <v>39600</v>
      </c>
      <c r="AV177" s="1140">
        <f t="shared" si="405"/>
        <v>369600</v>
      </c>
      <c r="AW177" s="1140">
        <f t="shared" si="406"/>
        <v>3320992.5912457551</v>
      </c>
      <c r="AX177" s="1139">
        <f t="shared" si="407"/>
        <v>41512.407390571942</v>
      </c>
      <c r="AY177" s="831" t="s">
        <v>478</v>
      </c>
      <c r="AZ177" s="831">
        <f t="shared" si="408"/>
        <v>3362504.9986363272</v>
      </c>
      <c r="BA177" s="831">
        <f t="shared" si="409"/>
        <v>126093.93744886227</v>
      </c>
      <c r="BB177" s="831"/>
      <c r="BC177" s="831">
        <f t="shared" si="513"/>
        <v>33600</v>
      </c>
      <c r="BD177" s="831"/>
      <c r="BE177" s="831">
        <f t="shared" si="410"/>
        <v>3522198.9360851897</v>
      </c>
      <c r="BF177" s="831"/>
      <c r="BG177" s="831">
        <f t="shared" si="411"/>
        <v>3522198.9360851897</v>
      </c>
      <c r="BH177" s="831"/>
      <c r="BI177" s="831">
        <f t="shared" si="412"/>
        <v>3522198.9360851897</v>
      </c>
      <c r="BJ177" s="831"/>
      <c r="BK177" s="831">
        <f t="shared" si="413"/>
        <v>3522198.9360851897</v>
      </c>
      <c r="BL177" s="831"/>
      <c r="BM177" s="831">
        <f t="shared" si="414"/>
        <v>3522198.9360851897</v>
      </c>
      <c r="BN177" s="831"/>
      <c r="BO177" s="831">
        <f t="shared" si="415"/>
        <v>3522198.9360851897</v>
      </c>
      <c r="BP177" s="831"/>
      <c r="BQ177" s="831">
        <f t="shared" si="416"/>
        <v>3522198.9360851897</v>
      </c>
      <c r="BR177" s="831"/>
      <c r="BS177" s="831">
        <f t="shared" si="417"/>
        <v>3522198.9360851897</v>
      </c>
      <c r="BT177" s="831"/>
      <c r="BU177" s="831">
        <f t="shared" si="418"/>
        <v>3522198.9360851897</v>
      </c>
      <c r="BV177" s="831"/>
      <c r="BW177" s="831">
        <f t="shared" si="419"/>
        <v>56400</v>
      </c>
      <c r="BX177" s="831">
        <f t="shared" si="420"/>
        <v>3578598.9360851897</v>
      </c>
      <c r="BY177" s="831"/>
      <c r="BZ177" s="831">
        <f t="shared" si="421"/>
        <v>3578598.9360851897</v>
      </c>
      <c r="CA177" s="1260">
        <f t="shared" si="422"/>
        <v>3578598.9360851897</v>
      </c>
      <c r="CB177" s="1260">
        <f t="shared" si="423"/>
        <v>3578598.9360851897</v>
      </c>
      <c r="CC177" s="1260"/>
      <c r="CD177" s="1260">
        <f t="shared" si="424"/>
        <v>0</v>
      </c>
      <c r="CE177" s="1260">
        <f t="shared" si="425"/>
        <v>0</v>
      </c>
      <c r="CF177" s="1260">
        <f t="shared" si="426"/>
        <v>0</v>
      </c>
      <c r="CG177" s="1266">
        <f t="shared" si="427"/>
        <v>3578598.9360851897</v>
      </c>
      <c r="CH177" s="1141">
        <f t="shared" si="428"/>
        <v>3578598.9360851897</v>
      </c>
      <c r="CI177" s="1142">
        <f t="shared" si="429"/>
        <v>0</v>
      </c>
      <c r="CJ177" s="1141">
        <f t="shared" si="430"/>
        <v>366806.39094873192</v>
      </c>
      <c r="CK177" s="1141">
        <f t="shared" si="431"/>
        <v>125250.96276298165</v>
      </c>
      <c r="CL177" s="1143">
        <f t="shared" si="489"/>
        <v>4070656.2897969033</v>
      </c>
      <c r="CM177" s="1144">
        <f t="shared" si="432"/>
        <v>0.125</v>
      </c>
      <c r="CN177" s="1141">
        <f t="shared" si="502"/>
        <v>508832.03622461291</v>
      </c>
      <c r="CO177" s="1141">
        <f t="shared" si="433"/>
        <v>30000</v>
      </c>
      <c r="CP177" s="1141">
        <f t="shared" si="503"/>
        <v>478832.03622461291</v>
      </c>
      <c r="CQ177" s="1145">
        <f t="shared" si="434"/>
        <v>15</v>
      </c>
      <c r="CR177" s="1141">
        <f t="shared" si="504"/>
        <v>31922.135748307526</v>
      </c>
      <c r="CS177" s="1144">
        <f t="shared" si="435"/>
        <v>0.875</v>
      </c>
      <c r="CT177" s="1141">
        <f t="shared" si="436"/>
        <v>3561824.2535722903</v>
      </c>
      <c r="CU177" s="1146">
        <f t="shared" si="375"/>
        <v>27614.785526560896</v>
      </c>
      <c r="CV177" s="1146">
        <f t="shared" si="376"/>
        <v>32014.68334918618</v>
      </c>
      <c r="CW177" s="1146">
        <f t="shared" si="377"/>
        <v>41355.799732628948</v>
      </c>
      <c r="CX177" s="1146">
        <f t="shared" si="378"/>
        <v>70528.3892108172</v>
      </c>
      <c r="CY177" s="1146">
        <f t="shared" si="437"/>
        <v>289338.30542695033</v>
      </c>
      <c r="CZ177" s="1146">
        <f t="shared" si="438"/>
        <v>114489.75800963784</v>
      </c>
      <c r="DA177" s="1146">
        <f t="shared" si="439"/>
        <v>82694.330669638817</v>
      </c>
      <c r="DB177" s="1146">
        <f t="shared" si="440"/>
        <v>62934.192689953175</v>
      </c>
      <c r="DC177" s="1146"/>
      <c r="DD177" s="1146"/>
      <c r="DE177" s="1146"/>
      <c r="DF177" s="1146"/>
      <c r="DG177" s="1146"/>
      <c r="DH177" s="1146"/>
      <c r="DI177" s="1146"/>
      <c r="DJ177" s="1146"/>
      <c r="DK177" s="1146"/>
      <c r="DL177" s="1146"/>
      <c r="DM177" s="1146"/>
      <c r="DN177" s="1146"/>
      <c r="DO177" s="1146"/>
      <c r="DP177" s="1146"/>
      <c r="DQ177" s="1146"/>
      <c r="DR177" s="1146"/>
      <c r="DS177" s="1146"/>
      <c r="DT177" s="1146"/>
      <c r="DU177" s="1146"/>
      <c r="DV177" s="1146"/>
      <c r="DW177" s="1146"/>
      <c r="DX177" s="1146"/>
      <c r="DY177" s="1146"/>
      <c r="DZ177" s="1146"/>
      <c r="EA177" s="1147">
        <f t="shared" si="379"/>
        <v>0.11181162444427974</v>
      </c>
      <c r="EB177" s="1148">
        <f t="shared" si="441"/>
        <v>0</v>
      </c>
      <c r="EC177" s="1190">
        <f t="shared" si="484"/>
        <v>45839</v>
      </c>
      <c r="ED177" s="1031">
        <f t="shared" si="380"/>
        <v>20</v>
      </c>
      <c r="EE177" s="1191"/>
      <c r="EF177" s="1032">
        <f t="shared" si="381"/>
        <v>45904</v>
      </c>
      <c r="EG177" s="1029">
        <f t="shared" si="442"/>
        <v>22</v>
      </c>
      <c r="EH177" s="859" t="s">
        <v>490</v>
      </c>
      <c r="EI177" s="859" t="s">
        <v>480</v>
      </c>
      <c r="EJ177" s="860">
        <f t="shared" si="382"/>
        <v>16800</v>
      </c>
      <c r="EK177" s="860">
        <f t="shared" si="383"/>
        <v>369600</v>
      </c>
      <c r="EL177" s="861">
        <f t="shared" si="384"/>
        <v>0.12522901937759331</v>
      </c>
      <c r="EM177" s="1197"/>
      <c r="EN177" s="860"/>
      <c r="EO177" s="860"/>
      <c r="EP177" s="860">
        <f t="shared" si="385"/>
        <v>0</v>
      </c>
      <c r="EQ177" s="1197"/>
      <c r="ER177" s="1200"/>
      <c r="ES177" s="1197"/>
      <c r="ET177" s="1207" t="s">
        <v>657</v>
      </c>
      <c r="EU177" s="1197" t="b">
        <f t="shared" si="386"/>
        <v>1</v>
      </c>
      <c r="EV177" s="1197"/>
      <c r="EW177" s="1197"/>
      <c r="EX177" s="1197"/>
      <c r="EY177" s="1128" t="s">
        <v>587</v>
      </c>
      <c r="EZ177" s="1128" t="s">
        <v>484</v>
      </c>
      <c r="FA177" s="1169">
        <f t="shared" si="443"/>
        <v>0</v>
      </c>
      <c r="FI177" s="1309" t="s">
        <v>149</v>
      </c>
      <c r="FJ177" s="1159" t="s">
        <v>149</v>
      </c>
      <c r="FK177" s="1160" t="b">
        <f t="shared" si="444"/>
        <v>1</v>
      </c>
      <c r="FL177" s="1131"/>
      <c r="FM177" s="1161"/>
      <c r="FO177" s="888"/>
      <c r="FU177" s="1295"/>
      <c r="FV177" s="1295"/>
      <c r="FW177" s="1023">
        <v>0.125</v>
      </c>
      <c r="FX177" s="1162">
        <v>12349.524643656185</v>
      </c>
      <c r="FY177" s="1163">
        <v>12735.44728877044</v>
      </c>
      <c r="GA177" s="1164">
        <f t="shared" si="445"/>
        <v>4070656.2897969033</v>
      </c>
      <c r="GB177" s="1165">
        <f t="shared" ref="GB177:GB180" si="517">FW177</f>
        <v>0.125</v>
      </c>
      <c r="GC177" s="1154">
        <f t="shared" si="446"/>
        <v>508832.03622461291</v>
      </c>
      <c r="GD177" s="1164">
        <f t="shared" si="447"/>
        <v>30000</v>
      </c>
      <c r="GE177" s="1154">
        <f t="shared" si="448"/>
        <v>478832.03622461291</v>
      </c>
      <c r="GF177" s="1060">
        <f t="shared" si="449"/>
        <v>35</v>
      </c>
      <c r="GG177" s="1166">
        <f t="shared" si="450"/>
        <v>13680.915320703227</v>
      </c>
      <c r="GI177" s="1164">
        <f t="shared" si="451"/>
        <v>4070656.2897969033</v>
      </c>
      <c r="GJ177" s="1154">
        <f t="shared" si="452"/>
        <v>407065.62897969037</v>
      </c>
      <c r="GK177" s="1154">
        <f t="shared" si="453"/>
        <v>101766.40724492259</v>
      </c>
      <c r="GL177" s="1166">
        <v>15000</v>
      </c>
      <c r="GM177" s="1154">
        <f t="shared" si="454"/>
        <v>392065.62897969037</v>
      </c>
      <c r="GN177" s="1060">
        <f t="shared" si="455"/>
        <v>35</v>
      </c>
      <c r="GO177" s="1154">
        <f t="shared" si="456"/>
        <v>11201.875113705439</v>
      </c>
      <c r="GS177" s="1010">
        <f t="shared" si="457"/>
        <v>4070656.2897969033</v>
      </c>
      <c r="GT177" s="1011">
        <f t="shared" si="458"/>
        <v>0.125</v>
      </c>
      <c r="GU177" s="1010">
        <f t="shared" si="459"/>
        <v>508832.03622461291</v>
      </c>
      <c r="GV177" s="1010">
        <f t="shared" si="460"/>
        <v>30000</v>
      </c>
      <c r="GW177" s="1010">
        <f t="shared" si="461"/>
        <v>478832.03622461291</v>
      </c>
      <c r="GX177" s="1010">
        <f t="shared" si="462"/>
        <v>15</v>
      </c>
      <c r="GY177" s="1010">
        <f t="shared" si="463"/>
        <v>31922.135748307526</v>
      </c>
      <c r="GZ177" s="1011">
        <f t="shared" si="464"/>
        <v>0.875</v>
      </c>
      <c r="HA177" s="1010">
        <f t="shared" si="465"/>
        <v>3561824.2535722903</v>
      </c>
      <c r="HB177" s="1010">
        <f t="shared" si="466"/>
        <v>27614.785526560896</v>
      </c>
      <c r="HC177" s="1010">
        <f t="shared" si="467"/>
        <v>32014.68334918618</v>
      </c>
      <c r="HD177" s="1010">
        <f t="shared" si="468"/>
        <v>41355.799732628948</v>
      </c>
      <c r="HE177" s="1010">
        <f t="shared" si="469"/>
        <v>70528.3892108172</v>
      </c>
      <c r="HG177" s="1010">
        <f t="shared" si="470"/>
        <v>4070656.2897969033</v>
      </c>
      <c r="HH177" s="1011">
        <f t="shared" si="471"/>
        <v>0.125</v>
      </c>
      <c r="HI177" s="1010">
        <f t="shared" si="472"/>
        <v>508832.03622461291</v>
      </c>
      <c r="HJ177" s="1010">
        <f t="shared" si="473"/>
        <v>30000</v>
      </c>
      <c r="HK177" s="1010">
        <f t="shared" si="474"/>
        <v>478832.03622461291</v>
      </c>
      <c r="HL177" s="1012">
        <f t="shared" si="475"/>
        <v>33</v>
      </c>
      <c r="HM177" s="1167">
        <f t="shared" si="476"/>
        <v>14510.061703776149</v>
      </c>
      <c r="HN177" s="1168">
        <f t="shared" si="477"/>
        <v>0.875</v>
      </c>
      <c r="HO177" s="1167">
        <f t="shared" si="478"/>
        <v>3561824.2535722903</v>
      </c>
      <c r="HP177" s="1146">
        <f t="shared" si="479"/>
        <v>27614.785526560896</v>
      </c>
      <c r="HQ177" s="1146">
        <f t="shared" si="480"/>
        <v>32014.68334918618</v>
      </c>
      <c r="HR177" s="1146">
        <f t="shared" si="481"/>
        <v>41355.799732628948</v>
      </c>
      <c r="HS177" s="1146">
        <f t="shared" si="482"/>
        <v>70528.3892108172</v>
      </c>
      <c r="HU177" s="1167">
        <f t="shared" si="483"/>
        <v>-17412.074044531379</v>
      </c>
      <c r="HX177" s="1154"/>
      <c r="HY177" s="1154"/>
      <c r="IB177" s="1154"/>
      <c r="IC177" s="1154"/>
      <c r="ID177" s="1154"/>
      <c r="IE177" s="1154"/>
      <c r="IG177" s="1060"/>
    </row>
    <row r="178" spans="1:241" ht="14.25" hidden="1" customHeight="1">
      <c r="A178" s="1186">
        <f t="shared" si="490"/>
        <v>172</v>
      </c>
      <c r="B178" s="824"/>
      <c r="C178" s="855">
        <f t="shared" si="509"/>
        <v>13</v>
      </c>
      <c r="D178" s="856" t="s">
        <v>519</v>
      </c>
      <c r="E178" s="857" t="str">
        <f t="shared" si="387"/>
        <v>11th Floor</v>
      </c>
      <c r="F178" s="1185"/>
      <c r="G178" s="764" t="s">
        <v>658</v>
      </c>
      <c r="H178" s="764" t="s">
        <v>525</v>
      </c>
      <c r="I178" s="764" t="s">
        <v>476</v>
      </c>
      <c r="J178" s="1139">
        <v>22</v>
      </c>
      <c r="K178" s="1142"/>
      <c r="L178" s="764" t="s">
        <v>500</v>
      </c>
      <c r="M178" s="764" t="s">
        <v>93</v>
      </c>
      <c r="N178" s="856">
        <f t="shared" si="388"/>
        <v>100909.09090909091</v>
      </c>
      <c r="O178" s="1138">
        <f t="shared" si="486"/>
        <v>2220000</v>
      </c>
      <c r="P178" s="1138">
        <f t="shared" si="491"/>
        <v>22400</v>
      </c>
      <c r="Q178" s="1138">
        <f t="shared" si="374"/>
        <v>50000</v>
      </c>
      <c r="R178" s="1138"/>
      <c r="S178" s="1138"/>
      <c r="T178" s="1138"/>
      <c r="U178" s="1138"/>
      <c r="V178" s="858"/>
      <c r="W178" s="1138"/>
      <c r="X178" s="1138"/>
      <c r="Y178" s="1138">
        <f t="shared" si="511"/>
        <v>140000</v>
      </c>
      <c r="Z178" s="1138">
        <f t="shared" si="487"/>
        <v>75000</v>
      </c>
      <c r="AA178" s="1138">
        <f t="shared" si="488"/>
        <v>287400</v>
      </c>
      <c r="AB178" s="1138">
        <f t="shared" si="390"/>
        <v>2507400</v>
      </c>
      <c r="AC178" s="1138">
        <f t="shared" si="391"/>
        <v>62685</v>
      </c>
      <c r="AD178" s="1138">
        <f t="shared" si="392"/>
        <v>2570085</v>
      </c>
      <c r="AE178" s="1138">
        <f t="shared" si="393"/>
        <v>64252.125</v>
      </c>
      <c r="AF178" s="1138">
        <f t="shared" si="394"/>
        <v>2634337.125</v>
      </c>
      <c r="AG178" s="1138">
        <f t="shared" si="395"/>
        <v>65858.428125000006</v>
      </c>
      <c r="AH178" s="1138">
        <f t="shared" si="396"/>
        <v>2700195.5531250001</v>
      </c>
      <c r="AI178" s="1138">
        <f t="shared" si="397"/>
        <v>135009.77765625002</v>
      </c>
      <c r="AJ178" s="1138">
        <f t="shared" si="398"/>
        <v>2835205.3307812503</v>
      </c>
      <c r="AK178" s="1138">
        <f t="shared" si="399"/>
        <v>28352.053307812504</v>
      </c>
      <c r="AL178" s="1138">
        <f t="shared" si="400"/>
        <v>27537.409960060559</v>
      </c>
      <c r="AM178" s="1138"/>
      <c r="AN178" s="1138"/>
      <c r="AO178" s="1138">
        <f t="shared" si="401"/>
        <v>2891094.7940491233</v>
      </c>
      <c r="AP178" s="1138">
        <f t="shared" si="402"/>
        <v>390297.79719663167</v>
      </c>
      <c r="AQ178" s="1248">
        <f t="shared" si="403"/>
        <v>3281392.5912457551</v>
      </c>
      <c r="AR178" s="1248">
        <f t="shared" si="515"/>
        <v>2951392.5912457551</v>
      </c>
      <c r="AS178" s="1248">
        <v>15000</v>
      </c>
      <c r="AT178" s="1248">
        <f t="shared" si="516"/>
        <v>330000</v>
      </c>
      <c r="AU178" s="1248">
        <f t="shared" si="404"/>
        <v>39600</v>
      </c>
      <c r="AV178" s="1140">
        <f t="shared" si="405"/>
        <v>369600</v>
      </c>
      <c r="AW178" s="1140">
        <f t="shared" si="406"/>
        <v>3320992.5912457551</v>
      </c>
      <c r="AX178" s="1139">
        <f t="shared" si="407"/>
        <v>41512.407390571942</v>
      </c>
      <c r="AY178" s="831" t="s">
        <v>478</v>
      </c>
      <c r="AZ178" s="831">
        <f t="shared" si="408"/>
        <v>3362504.9986363272</v>
      </c>
      <c r="BA178" s="831">
        <f t="shared" si="409"/>
        <v>126093.93744886227</v>
      </c>
      <c r="BB178" s="831"/>
      <c r="BC178" s="831">
        <f t="shared" si="513"/>
        <v>33600</v>
      </c>
      <c r="BD178" s="831"/>
      <c r="BE178" s="831">
        <f t="shared" si="410"/>
        <v>3522198.9360851897</v>
      </c>
      <c r="BF178" s="831"/>
      <c r="BG178" s="831">
        <f t="shared" si="411"/>
        <v>3522198.9360851897</v>
      </c>
      <c r="BH178" s="831"/>
      <c r="BI178" s="831">
        <f t="shared" si="412"/>
        <v>3522198.9360851897</v>
      </c>
      <c r="BJ178" s="831"/>
      <c r="BK178" s="831">
        <f t="shared" si="413"/>
        <v>3522198.9360851897</v>
      </c>
      <c r="BL178" s="831"/>
      <c r="BM178" s="831">
        <f t="shared" si="414"/>
        <v>3522198.9360851897</v>
      </c>
      <c r="BN178" s="831"/>
      <c r="BO178" s="831">
        <f t="shared" si="415"/>
        <v>3522198.9360851897</v>
      </c>
      <c r="BP178" s="831"/>
      <c r="BQ178" s="831">
        <f t="shared" si="416"/>
        <v>3522198.9360851897</v>
      </c>
      <c r="BR178" s="831"/>
      <c r="BS178" s="831">
        <f t="shared" si="417"/>
        <v>3522198.9360851897</v>
      </c>
      <c r="BT178" s="831"/>
      <c r="BU178" s="831">
        <f t="shared" si="418"/>
        <v>3522198.9360851897</v>
      </c>
      <c r="BV178" s="831"/>
      <c r="BW178" s="831">
        <f t="shared" si="419"/>
        <v>56400</v>
      </c>
      <c r="BX178" s="831">
        <f t="shared" si="420"/>
        <v>3578598.9360851897</v>
      </c>
      <c r="BY178" s="831"/>
      <c r="BZ178" s="831">
        <f t="shared" si="421"/>
        <v>3578598.9360851897</v>
      </c>
      <c r="CA178" s="1260">
        <f t="shared" si="422"/>
        <v>3578598.9360851897</v>
      </c>
      <c r="CB178" s="1260">
        <f t="shared" si="423"/>
        <v>3578598.9360851897</v>
      </c>
      <c r="CC178" s="1260"/>
      <c r="CD178" s="1260">
        <f t="shared" si="424"/>
        <v>0</v>
      </c>
      <c r="CE178" s="1260">
        <f t="shared" si="425"/>
        <v>0</v>
      </c>
      <c r="CF178" s="1260">
        <f t="shared" si="426"/>
        <v>0</v>
      </c>
      <c r="CG178" s="1266">
        <f t="shared" si="427"/>
        <v>3578598.9360851897</v>
      </c>
      <c r="CH178" s="1141">
        <f t="shared" si="428"/>
        <v>3578598.9360851897</v>
      </c>
      <c r="CI178" s="1142">
        <f t="shared" si="429"/>
        <v>0</v>
      </c>
      <c r="CJ178" s="1141">
        <f t="shared" si="430"/>
        <v>366806.39094873192</v>
      </c>
      <c r="CK178" s="1141">
        <f t="shared" si="431"/>
        <v>125250.96276298165</v>
      </c>
      <c r="CL178" s="1143">
        <f t="shared" si="489"/>
        <v>4070656.2897969033</v>
      </c>
      <c r="CM178" s="1144">
        <f t="shared" si="432"/>
        <v>0.125</v>
      </c>
      <c r="CN178" s="1141">
        <f t="shared" si="502"/>
        <v>508832.03622461291</v>
      </c>
      <c r="CO178" s="1141">
        <f t="shared" si="433"/>
        <v>30000</v>
      </c>
      <c r="CP178" s="1141">
        <f t="shared" si="503"/>
        <v>478832.03622461291</v>
      </c>
      <c r="CQ178" s="1145">
        <f t="shared" si="434"/>
        <v>15</v>
      </c>
      <c r="CR178" s="1141">
        <f t="shared" si="504"/>
        <v>31922.135748307526</v>
      </c>
      <c r="CS178" s="1144">
        <f t="shared" si="435"/>
        <v>0.875</v>
      </c>
      <c r="CT178" s="1141">
        <f t="shared" si="436"/>
        <v>3561824.2535722903</v>
      </c>
      <c r="CU178" s="1146">
        <f t="shared" si="375"/>
        <v>27614.785526560896</v>
      </c>
      <c r="CV178" s="1146">
        <f t="shared" si="376"/>
        <v>32014.68334918618</v>
      </c>
      <c r="CW178" s="1146">
        <f t="shared" si="377"/>
        <v>41355.799732628948</v>
      </c>
      <c r="CX178" s="1146">
        <f t="shared" si="378"/>
        <v>70528.3892108172</v>
      </c>
      <c r="CY178" s="1146">
        <f t="shared" si="437"/>
        <v>289338.30542695033</v>
      </c>
      <c r="CZ178" s="1146">
        <f t="shared" si="438"/>
        <v>114489.75800963784</v>
      </c>
      <c r="DA178" s="1146">
        <f t="shared" si="439"/>
        <v>82694.330669638817</v>
      </c>
      <c r="DB178" s="1146">
        <f t="shared" si="440"/>
        <v>62934.192689953175</v>
      </c>
      <c r="DC178" s="1146"/>
      <c r="DD178" s="1146"/>
      <c r="DE178" s="1146"/>
      <c r="DF178" s="1146"/>
      <c r="DG178" s="1146"/>
      <c r="DH178" s="1146"/>
      <c r="DI178" s="1146"/>
      <c r="DJ178" s="1146"/>
      <c r="DK178" s="1146"/>
      <c r="DL178" s="1146"/>
      <c r="DM178" s="1146"/>
      <c r="DN178" s="1146"/>
      <c r="DO178" s="1146"/>
      <c r="DP178" s="1146"/>
      <c r="DQ178" s="1146"/>
      <c r="DR178" s="1146"/>
      <c r="DS178" s="1146"/>
      <c r="DT178" s="1146"/>
      <c r="DU178" s="1146"/>
      <c r="DV178" s="1146"/>
      <c r="DW178" s="1146"/>
      <c r="DX178" s="1146"/>
      <c r="DY178" s="1146"/>
      <c r="DZ178" s="1146"/>
      <c r="EA178" s="1147">
        <f t="shared" si="379"/>
        <v>0.11181162444427974</v>
      </c>
      <c r="EB178" s="1148">
        <f t="shared" si="441"/>
        <v>0</v>
      </c>
      <c r="EC178" s="1190">
        <f t="shared" si="484"/>
        <v>45839</v>
      </c>
      <c r="ED178" s="1031">
        <f t="shared" si="380"/>
        <v>20</v>
      </c>
      <c r="EE178" s="1191"/>
      <c r="EF178" s="1032">
        <f t="shared" si="381"/>
        <v>45904</v>
      </c>
      <c r="EG178" s="1029">
        <f t="shared" si="442"/>
        <v>22</v>
      </c>
      <c r="EH178" s="859" t="s">
        <v>490</v>
      </c>
      <c r="EI178" s="859" t="s">
        <v>480</v>
      </c>
      <c r="EJ178" s="860">
        <f t="shared" si="382"/>
        <v>16800</v>
      </c>
      <c r="EK178" s="860">
        <f t="shared" si="383"/>
        <v>369600</v>
      </c>
      <c r="EL178" s="861">
        <f t="shared" si="384"/>
        <v>0.12522901937759331</v>
      </c>
      <c r="EM178" s="1197"/>
      <c r="EN178" s="860"/>
      <c r="EO178" s="860"/>
      <c r="EP178" s="860">
        <f t="shared" si="385"/>
        <v>0</v>
      </c>
      <c r="EQ178" s="1197"/>
      <c r="ER178" s="1200"/>
      <c r="ES178" s="1197"/>
      <c r="ET178" s="1207" t="s">
        <v>658</v>
      </c>
      <c r="EU178" s="1197" t="b">
        <f t="shared" si="386"/>
        <v>1</v>
      </c>
      <c r="EV178" s="1197"/>
      <c r="EW178" s="1197"/>
      <c r="EX178" s="1197"/>
      <c r="EY178" s="1128" t="s">
        <v>587</v>
      </c>
      <c r="EZ178" s="1128" t="s">
        <v>484</v>
      </c>
      <c r="FA178" s="1169">
        <f t="shared" si="443"/>
        <v>0</v>
      </c>
      <c r="FI178" s="1309" t="s">
        <v>149</v>
      </c>
      <c r="FJ178" s="1159" t="s">
        <v>149</v>
      </c>
      <c r="FK178" s="1160" t="b">
        <f t="shared" si="444"/>
        <v>1</v>
      </c>
      <c r="FL178" s="1131"/>
      <c r="FM178" s="1161"/>
      <c r="FO178" s="888"/>
      <c r="FU178" s="1295"/>
      <c r="FV178" s="1295"/>
      <c r="FW178" s="1023">
        <v>0.125</v>
      </c>
      <c r="FX178" s="1162">
        <v>12349.524643656185</v>
      </c>
      <c r="FY178" s="1163">
        <v>12735.44728877044</v>
      </c>
      <c r="GA178" s="1164">
        <f t="shared" si="445"/>
        <v>4070656.2897969033</v>
      </c>
      <c r="GB178" s="1165">
        <f t="shared" si="517"/>
        <v>0.125</v>
      </c>
      <c r="GC178" s="1154">
        <f t="shared" si="446"/>
        <v>508832.03622461291</v>
      </c>
      <c r="GD178" s="1164">
        <f t="shared" si="447"/>
        <v>30000</v>
      </c>
      <c r="GE178" s="1154">
        <f t="shared" si="448"/>
        <v>478832.03622461291</v>
      </c>
      <c r="GF178" s="1060">
        <f t="shared" si="449"/>
        <v>35</v>
      </c>
      <c r="GG178" s="1166">
        <f t="shared" si="450"/>
        <v>13680.915320703227</v>
      </c>
      <c r="GI178" s="1164">
        <f t="shared" si="451"/>
        <v>4070656.2897969033</v>
      </c>
      <c r="GJ178" s="1154">
        <f t="shared" si="452"/>
        <v>407065.62897969037</v>
      </c>
      <c r="GK178" s="1154">
        <f t="shared" si="453"/>
        <v>101766.40724492259</v>
      </c>
      <c r="GL178" s="1166">
        <v>15000</v>
      </c>
      <c r="GM178" s="1154">
        <f t="shared" si="454"/>
        <v>392065.62897969037</v>
      </c>
      <c r="GN178" s="1060">
        <f t="shared" si="455"/>
        <v>35</v>
      </c>
      <c r="GO178" s="1154">
        <f t="shared" si="456"/>
        <v>11201.875113705439</v>
      </c>
      <c r="GS178" s="1010">
        <f t="shared" si="457"/>
        <v>4070656.2897969033</v>
      </c>
      <c r="GT178" s="1011">
        <f t="shared" si="458"/>
        <v>0.125</v>
      </c>
      <c r="GU178" s="1010">
        <f t="shared" si="459"/>
        <v>508832.03622461291</v>
      </c>
      <c r="GV178" s="1010">
        <f t="shared" si="460"/>
        <v>30000</v>
      </c>
      <c r="GW178" s="1010">
        <f t="shared" si="461"/>
        <v>478832.03622461291</v>
      </c>
      <c r="GX178" s="1010">
        <f t="shared" si="462"/>
        <v>15</v>
      </c>
      <c r="GY178" s="1010">
        <f t="shared" si="463"/>
        <v>31922.135748307526</v>
      </c>
      <c r="GZ178" s="1011">
        <f t="shared" si="464"/>
        <v>0.875</v>
      </c>
      <c r="HA178" s="1010">
        <f t="shared" si="465"/>
        <v>3561824.2535722903</v>
      </c>
      <c r="HB178" s="1010">
        <f t="shared" si="466"/>
        <v>27614.785526560896</v>
      </c>
      <c r="HC178" s="1010">
        <f t="shared" si="467"/>
        <v>32014.68334918618</v>
      </c>
      <c r="HD178" s="1010">
        <f t="shared" si="468"/>
        <v>41355.799732628948</v>
      </c>
      <c r="HE178" s="1010">
        <f t="shared" si="469"/>
        <v>70528.3892108172</v>
      </c>
      <c r="HG178" s="1010">
        <f t="shared" si="470"/>
        <v>4070656.2897969033</v>
      </c>
      <c r="HH178" s="1011">
        <f t="shared" si="471"/>
        <v>0.125</v>
      </c>
      <c r="HI178" s="1010">
        <f t="shared" si="472"/>
        <v>508832.03622461291</v>
      </c>
      <c r="HJ178" s="1010">
        <f t="shared" si="473"/>
        <v>30000</v>
      </c>
      <c r="HK178" s="1010">
        <f t="shared" si="474"/>
        <v>478832.03622461291</v>
      </c>
      <c r="HL178" s="1012">
        <f t="shared" si="475"/>
        <v>33</v>
      </c>
      <c r="HM178" s="1167">
        <f t="shared" si="476"/>
        <v>14510.061703776149</v>
      </c>
      <c r="HN178" s="1168">
        <f t="shared" si="477"/>
        <v>0.875</v>
      </c>
      <c r="HO178" s="1167">
        <f t="shared" si="478"/>
        <v>3561824.2535722903</v>
      </c>
      <c r="HP178" s="1146">
        <f t="shared" si="479"/>
        <v>27614.785526560896</v>
      </c>
      <c r="HQ178" s="1146">
        <f t="shared" si="480"/>
        <v>32014.68334918618</v>
      </c>
      <c r="HR178" s="1146">
        <f t="shared" si="481"/>
        <v>41355.799732628948</v>
      </c>
      <c r="HS178" s="1146">
        <f t="shared" si="482"/>
        <v>70528.3892108172</v>
      </c>
      <c r="HU178" s="1167">
        <f t="shared" si="483"/>
        <v>-17412.074044531379</v>
      </c>
      <c r="HX178" s="1154"/>
      <c r="HY178" s="1154"/>
      <c r="IB178" s="1154"/>
      <c r="IC178" s="1154"/>
      <c r="ID178" s="1154"/>
      <c r="IE178" s="1154"/>
      <c r="IG178" s="1060"/>
    </row>
    <row r="179" spans="1:241" ht="14.25" hidden="1" customHeight="1">
      <c r="A179" s="1186">
        <f t="shared" si="490"/>
        <v>173</v>
      </c>
      <c r="B179" s="824"/>
      <c r="C179" s="855">
        <f t="shared" si="509"/>
        <v>14</v>
      </c>
      <c r="D179" s="856" t="s">
        <v>519</v>
      </c>
      <c r="E179" s="857" t="str">
        <f t="shared" si="387"/>
        <v>11th Floor</v>
      </c>
      <c r="F179" s="1185"/>
      <c r="G179" s="764" t="s">
        <v>659</v>
      </c>
      <c r="H179" s="764" t="s">
        <v>529</v>
      </c>
      <c r="I179" s="764" t="s">
        <v>476</v>
      </c>
      <c r="J179" s="1139">
        <v>22</v>
      </c>
      <c r="K179" s="1142"/>
      <c r="L179" s="764" t="s">
        <v>500</v>
      </c>
      <c r="M179" s="764" t="s">
        <v>93</v>
      </c>
      <c r="N179" s="856">
        <f t="shared" si="388"/>
        <v>100909.09090909091</v>
      </c>
      <c r="O179" s="1138">
        <f t="shared" si="486"/>
        <v>2220000</v>
      </c>
      <c r="P179" s="1138">
        <f t="shared" si="491"/>
        <v>22400</v>
      </c>
      <c r="Q179" s="1138">
        <f t="shared" si="374"/>
        <v>50000</v>
      </c>
      <c r="R179" s="1138"/>
      <c r="S179" s="1138"/>
      <c r="T179" s="1138"/>
      <c r="U179" s="1138"/>
      <c r="V179" s="858"/>
      <c r="W179" s="1138"/>
      <c r="X179" s="1138"/>
      <c r="Y179" s="1138">
        <f t="shared" si="511"/>
        <v>140000</v>
      </c>
      <c r="Z179" s="1138">
        <f t="shared" si="487"/>
        <v>75000</v>
      </c>
      <c r="AA179" s="1138">
        <f t="shared" si="488"/>
        <v>287400</v>
      </c>
      <c r="AB179" s="1138">
        <f t="shared" si="390"/>
        <v>2507400</v>
      </c>
      <c r="AC179" s="1138">
        <f t="shared" si="391"/>
        <v>62685</v>
      </c>
      <c r="AD179" s="1138">
        <f t="shared" si="392"/>
        <v>2570085</v>
      </c>
      <c r="AE179" s="1138">
        <f t="shared" si="393"/>
        <v>64252.125</v>
      </c>
      <c r="AF179" s="1138">
        <f t="shared" si="394"/>
        <v>2634337.125</v>
      </c>
      <c r="AG179" s="1138">
        <f t="shared" si="395"/>
        <v>65858.428125000006</v>
      </c>
      <c r="AH179" s="1138">
        <f t="shared" si="396"/>
        <v>2700195.5531250001</v>
      </c>
      <c r="AI179" s="1138">
        <f t="shared" si="397"/>
        <v>135009.77765625002</v>
      </c>
      <c r="AJ179" s="1138">
        <f t="shared" si="398"/>
        <v>2835205.3307812503</v>
      </c>
      <c r="AK179" s="1138">
        <f t="shared" si="399"/>
        <v>28352.053307812504</v>
      </c>
      <c r="AL179" s="1138">
        <f t="shared" si="400"/>
        <v>27537.409960060559</v>
      </c>
      <c r="AM179" s="1138"/>
      <c r="AN179" s="1138"/>
      <c r="AO179" s="1138">
        <f t="shared" si="401"/>
        <v>2891094.7940491233</v>
      </c>
      <c r="AP179" s="1138">
        <f t="shared" si="402"/>
        <v>390297.79719663167</v>
      </c>
      <c r="AQ179" s="1248">
        <f t="shared" si="403"/>
        <v>3281392.5912457551</v>
      </c>
      <c r="AR179" s="1248">
        <f t="shared" si="515"/>
        <v>2951392.5912457551</v>
      </c>
      <c r="AS179" s="1248">
        <v>15000</v>
      </c>
      <c r="AT179" s="1248">
        <f t="shared" si="516"/>
        <v>330000</v>
      </c>
      <c r="AU179" s="1248">
        <f t="shared" si="404"/>
        <v>39600</v>
      </c>
      <c r="AV179" s="1140">
        <f t="shared" si="405"/>
        <v>369600</v>
      </c>
      <c r="AW179" s="1140">
        <f t="shared" si="406"/>
        <v>3320992.5912457551</v>
      </c>
      <c r="AX179" s="1139">
        <f t="shared" si="407"/>
        <v>41512.407390571942</v>
      </c>
      <c r="AY179" s="831" t="s">
        <v>478</v>
      </c>
      <c r="AZ179" s="831">
        <f t="shared" si="408"/>
        <v>3362504.9986363272</v>
      </c>
      <c r="BA179" s="831">
        <f t="shared" si="409"/>
        <v>126093.93744886227</v>
      </c>
      <c r="BB179" s="831"/>
      <c r="BC179" s="831">
        <f t="shared" si="513"/>
        <v>33600</v>
      </c>
      <c r="BD179" s="831"/>
      <c r="BE179" s="831">
        <f t="shared" si="410"/>
        <v>3522198.9360851897</v>
      </c>
      <c r="BF179" s="831"/>
      <c r="BG179" s="831">
        <f t="shared" si="411"/>
        <v>3522198.9360851897</v>
      </c>
      <c r="BH179" s="831"/>
      <c r="BI179" s="831">
        <f t="shared" si="412"/>
        <v>3522198.9360851897</v>
      </c>
      <c r="BJ179" s="831"/>
      <c r="BK179" s="831">
        <f t="shared" si="413"/>
        <v>3522198.9360851897</v>
      </c>
      <c r="BL179" s="831"/>
      <c r="BM179" s="831">
        <f t="shared" si="414"/>
        <v>3522198.9360851897</v>
      </c>
      <c r="BN179" s="831"/>
      <c r="BO179" s="831">
        <f t="shared" si="415"/>
        <v>3522198.9360851897</v>
      </c>
      <c r="BP179" s="831"/>
      <c r="BQ179" s="831">
        <f t="shared" si="416"/>
        <v>3522198.9360851897</v>
      </c>
      <c r="BR179" s="831"/>
      <c r="BS179" s="831">
        <f t="shared" si="417"/>
        <v>3522198.9360851897</v>
      </c>
      <c r="BT179" s="831"/>
      <c r="BU179" s="831">
        <f t="shared" si="418"/>
        <v>3522198.9360851897</v>
      </c>
      <c r="BV179" s="831"/>
      <c r="BW179" s="831">
        <f t="shared" si="419"/>
        <v>56400</v>
      </c>
      <c r="BX179" s="831">
        <f t="shared" si="420"/>
        <v>3578598.9360851897</v>
      </c>
      <c r="BY179" s="831"/>
      <c r="BZ179" s="831">
        <f t="shared" si="421"/>
        <v>3578598.9360851897</v>
      </c>
      <c r="CA179" s="1260">
        <f t="shared" si="422"/>
        <v>3578598.9360851897</v>
      </c>
      <c r="CB179" s="1260">
        <f t="shared" si="423"/>
        <v>3578598.9360851897</v>
      </c>
      <c r="CC179" s="1260"/>
      <c r="CD179" s="1260">
        <f t="shared" si="424"/>
        <v>0</v>
      </c>
      <c r="CE179" s="1260">
        <f t="shared" si="425"/>
        <v>0</v>
      </c>
      <c r="CF179" s="1260">
        <f t="shared" si="426"/>
        <v>0</v>
      </c>
      <c r="CG179" s="1266">
        <f t="shared" si="427"/>
        <v>3578598.9360851897</v>
      </c>
      <c r="CH179" s="1141">
        <f t="shared" si="428"/>
        <v>3578598.9360851897</v>
      </c>
      <c r="CI179" s="1142">
        <f t="shared" si="429"/>
        <v>0</v>
      </c>
      <c r="CJ179" s="1141">
        <f t="shared" si="430"/>
        <v>366806.39094873192</v>
      </c>
      <c r="CK179" s="1141">
        <f t="shared" si="431"/>
        <v>125250.96276298165</v>
      </c>
      <c r="CL179" s="1143">
        <f t="shared" si="489"/>
        <v>4070656.2897969033</v>
      </c>
      <c r="CM179" s="1144">
        <f t="shared" si="432"/>
        <v>0.125</v>
      </c>
      <c r="CN179" s="1141">
        <f t="shared" si="502"/>
        <v>508832.03622461291</v>
      </c>
      <c r="CO179" s="1141">
        <f t="shared" si="433"/>
        <v>30000</v>
      </c>
      <c r="CP179" s="1141">
        <f t="shared" si="503"/>
        <v>478832.03622461291</v>
      </c>
      <c r="CQ179" s="1145">
        <f t="shared" si="434"/>
        <v>15</v>
      </c>
      <c r="CR179" s="1141">
        <f t="shared" si="504"/>
        <v>31922.135748307526</v>
      </c>
      <c r="CS179" s="1144">
        <f t="shared" si="435"/>
        <v>0.875</v>
      </c>
      <c r="CT179" s="1141">
        <f t="shared" si="436"/>
        <v>3561824.2535722903</v>
      </c>
      <c r="CU179" s="1146">
        <f t="shared" si="375"/>
        <v>27614.785526560896</v>
      </c>
      <c r="CV179" s="1146">
        <f t="shared" si="376"/>
        <v>32014.68334918618</v>
      </c>
      <c r="CW179" s="1146">
        <f t="shared" si="377"/>
        <v>41355.799732628948</v>
      </c>
      <c r="CX179" s="1146">
        <f t="shared" si="378"/>
        <v>70528.3892108172</v>
      </c>
      <c r="CY179" s="1146">
        <f t="shared" si="437"/>
        <v>289338.30542695033</v>
      </c>
      <c r="CZ179" s="1146">
        <f t="shared" si="438"/>
        <v>114489.75800963784</v>
      </c>
      <c r="DA179" s="1146">
        <f t="shared" si="439"/>
        <v>82694.330669638817</v>
      </c>
      <c r="DB179" s="1146">
        <f t="shared" si="440"/>
        <v>62934.192689953175</v>
      </c>
      <c r="DC179" s="1146"/>
      <c r="DD179" s="1146"/>
      <c r="DE179" s="1146"/>
      <c r="DF179" s="1146"/>
      <c r="DG179" s="1146"/>
      <c r="DH179" s="1146"/>
      <c r="DI179" s="1146"/>
      <c r="DJ179" s="1146"/>
      <c r="DK179" s="1146"/>
      <c r="DL179" s="1146"/>
      <c r="DM179" s="1146"/>
      <c r="DN179" s="1146"/>
      <c r="DO179" s="1146"/>
      <c r="DP179" s="1146"/>
      <c r="DQ179" s="1146"/>
      <c r="DR179" s="1146"/>
      <c r="DS179" s="1146"/>
      <c r="DT179" s="1146"/>
      <c r="DU179" s="1146"/>
      <c r="DV179" s="1146"/>
      <c r="DW179" s="1146"/>
      <c r="DX179" s="1146"/>
      <c r="DY179" s="1146"/>
      <c r="DZ179" s="1146"/>
      <c r="EA179" s="1147">
        <f t="shared" si="379"/>
        <v>0.11181162444427974</v>
      </c>
      <c r="EB179" s="1148">
        <f t="shared" si="441"/>
        <v>0</v>
      </c>
      <c r="EC179" s="1190">
        <f t="shared" si="484"/>
        <v>45839</v>
      </c>
      <c r="ED179" s="1031">
        <f t="shared" si="380"/>
        <v>20</v>
      </c>
      <c r="EE179" s="1191"/>
      <c r="EF179" s="1032">
        <f t="shared" si="381"/>
        <v>45904</v>
      </c>
      <c r="EG179" s="1029">
        <f t="shared" si="442"/>
        <v>22</v>
      </c>
      <c r="EH179" s="859" t="s">
        <v>490</v>
      </c>
      <c r="EI179" s="859" t="s">
        <v>480</v>
      </c>
      <c r="EJ179" s="860">
        <f t="shared" si="382"/>
        <v>16800</v>
      </c>
      <c r="EK179" s="860">
        <f t="shared" si="383"/>
        <v>369600</v>
      </c>
      <c r="EL179" s="861">
        <f t="shared" si="384"/>
        <v>0.12522901937759331</v>
      </c>
      <c r="EM179" s="1197"/>
      <c r="EN179" s="860"/>
      <c r="EO179" s="860"/>
      <c r="EP179" s="860">
        <f t="shared" si="385"/>
        <v>0</v>
      </c>
      <c r="EQ179" s="1197"/>
      <c r="ER179" s="1200"/>
      <c r="ES179" s="1197"/>
      <c r="ET179" s="1207" t="s">
        <v>659</v>
      </c>
      <c r="EU179" s="1197" t="b">
        <f t="shared" si="386"/>
        <v>1</v>
      </c>
      <c r="EV179" s="1197"/>
      <c r="EW179" s="1197"/>
      <c r="EX179" s="1197"/>
      <c r="EY179" s="1128" t="s">
        <v>587</v>
      </c>
      <c r="EZ179" s="1128" t="s">
        <v>484</v>
      </c>
      <c r="FA179" s="1169">
        <f t="shared" si="443"/>
        <v>0</v>
      </c>
      <c r="FI179" s="1309" t="s">
        <v>149</v>
      </c>
      <c r="FJ179" s="1159" t="s">
        <v>149</v>
      </c>
      <c r="FK179" s="1160" t="b">
        <f t="shared" si="444"/>
        <v>1</v>
      </c>
      <c r="FL179" s="1131"/>
      <c r="FM179" s="1161"/>
      <c r="FO179" s="888"/>
      <c r="FU179" s="1295"/>
      <c r="FV179" s="1295"/>
      <c r="FW179" s="1023">
        <v>0.125</v>
      </c>
      <c r="FX179" s="1162">
        <v>12349.524643656185</v>
      </c>
      <c r="FY179" s="1163">
        <v>12735.44728877044</v>
      </c>
      <c r="GA179" s="1164">
        <f t="shared" si="445"/>
        <v>4070656.2897969033</v>
      </c>
      <c r="GB179" s="1165">
        <f t="shared" si="517"/>
        <v>0.125</v>
      </c>
      <c r="GC179" s="1154">
        <f t="shared" si="446"/>
        <v>508832.03622461291</v>
      </c>
      <c r="GD179" s="1164">
        <f t="shared" si="447"/>
        <v>30000</v>
      </c>
      <c r="GE179" s="1154">
        <f t="shared" si="448"/>
        <v>478832.03622461291</v>
      </c>
      <c r="GF179" s="1060">
        <f t="shared" si="449"/>
        <v>35</v>
      </c>
      <c r="GG179" s="1166">
        <f t="shared" si="450"/>
        <v>13680.915320703227</v>
      </c>
      <c r="GI179" s="1164">
        <f t="shared" si="451"/>
        <v>4070656.2897969033</v>
      </c>
      <c r="GJ179" s="1154">
        <f t="shared" si="452"/>
        <v>407065.62897969037</v>
      </c>
      <c r="GK179" s="1154">
        <f t="shared" si="453"/>
        <v>101766.40724492259</v>
      </c>
      <c r="GL179" s="1166">
        <v>15000</v>
      </c>
      <c r="GM179" s="1154">
        <f t="shared" si="454"/>
        <v>392065.62897969037</v>
      </c>
      <c r="GN179" s="1060">
        <f t="shared" si="455"/>
        <v>35</v>
      </c>
      <c r="GO179" s="1154">
        <f t="shared" si="456"/>
        <v>11201.875113705439</v>
      </c>
      <c r="GS179" s="1010">
        <f t="shared" si="457"/>
        <v>4070656.2897969033</v>
      </c>
      <c r="GT179" s="1011">
        <f t="shared" si="458"/>
        <v>0.125</v>
      </c>
      <c r="GU179" s="1010">
        <f t="shared" si="459"/>
        <v>508832.03622461291</v>
      </c>
      <c r="GV179" s="1010">
        <f t="shared" si="460"/>
        <v>30000</v>
      </c>
      <c r="GW179" s="1010">
        <f t="shared" si="461"/>
        <v>478832.03622461291</v>
      </c>
      <c r="GX179" s="1010">
        <f t="shared" si="462"/>
        <v>15</v>
      </c>
      <c r="GY179" s="1010">
        <f t="shared" si="463"/>
        <v>31922.135748307526</v>
      </c>
      <c r="GZ179" s="1011">
        <f t="shared" si="464"/>
        <v>0.875</v>
      </c>
      <c r="HA179" s="1010">
        <f t="shared" si="465"/>
        <v>3561824.2535722903</v>
      </c>
      <c r="HB179" s="1010">
        <f t="shared" si="466"/>
        <v>27614.785526560896</v>
      </c>
      <c r="HC179" s="1010">
        <f t="shared" si="467"/>
        <v>32014.68334918618</v>
      </c>
      <c r="HD179" s="1010">
        <f t="shared" si="468"/>
        <v>41355.799732628948</v>
      </c>
      <c r="HE179" s="1010">
        <f t="shared" si="469"/>
        <v>70528.3892108172</v>
      </c>
      <c r="HG179" s="1010">
        <f t="shared" si="470"/>
        <v>4070656.2897969033</v>
      </c>
      <c r="HH179" s="1011">
        <f t="shared" si="471"/>
        <v>0.125</v>
      </c>
      <c r="HI179" s="1010">
        <f t="shared" si="472"/>
        <v>508832.03622461291</v>
      </c>
      <c r="HJ179" s="1010">
        <f t="shared" si="473"/>
        <v>30000</v>
      </c>
      <c r="HK179" s="1010">
        <f t="shared" si="474"/>
        <v>478832.03622461291</v>
      </c>
      <c r="HL179" s="1012">
        <f t="shared" si="475"/>
        <v>33</v>
      </c>
      <c r="HM179" s="1167">
        <f t="shared" si="476"/>
        <v>14510.061703776149</v>
      </c>
      <c r="HN179" s="1168">
        <f t="shared" si="477"/>
        <v>0.875</v>
      </c>
      <c r="HO179" s="1167">
        <f t="shared" si="478"/>
        <v>3561824.2535722903</v>
      </c>
      <c r="HP179" s="1146">
        <f t="shared" si="479"/>
        <v>27614.785526560896</v>
      </c>
      <c r="HQ179" s="1146">
        <f t="shared" si="480"/>
        <v>32014.68334918618</v>
      </c>
      <c r="HR179" s="1146">
        <f t="shared" si="481"/>
        <v>41355.799732628948</v>
      </c>
      <c r="HS179" s="1146">
        <f t="shared" si="482"/>
        <v>70528.3892108172</v>
      </c>
      <c r="HU179" s="1167">
        <f t="shared" si="483"/>
        <v>-17412.074044531379</v>
      </c>
      <c r="HX179" s="1154"/>
      <c r="HY179" s="1154"/>
      <c r="IB179" s="1154"/>
      <c r="IC179" s="1154"/>
      <c r="ID179" s="1154"/>
      <c r="IE179" s="1154"/>
      <c r="IG179" s="1060"/>
    </row>
    <row r="180" spans="1:241" ht="14.25" customHeight="1">
      <c r="A180" s="1186">
        <f t="shared" si="490"/>
        <v>174</v>
      </c>
      <c r="B180" s="824"/>
      <c r="C180" s="855">
        <f t="shared" si="509"/>
        <v>15</v>
      </c>
      <c r="D180" s="856" t="s">
        <v>519</v>
      </c>
      <c r="E180" s="857" t="str">
        <f t="shared" si="387"/>
        <v>11th Floor</v>
      </c>
      <c r="F180" s="1185"/>
      <c r="G180" s="764" t="s">
        <v>660</v>
      </c>
      <c r="H180" s="764" t="s">
        <v>533</v>
      </c>
      <c r="I180" s="764" t="s">
        <v>476</v>
      </c>
      <c r="J180" s="1139">
        <v>22</v>
      </c>
      <c r="K180" s="1142"/>
      <c r="L180" s="764" t="s">
        <v>500</v>
      </c>
      <c r="M180" s="764" t="s">
        <v>93</v>
      </c>
      <c r="N180" s="856">
        <f t="shared" si="388"/>
        <v>100909.09090909091</v>
      </c>
      <c r="O180" s="1138">
        <f t="shared" si="486"/>
        <v>2220000</v>
      </c>
      <c r="P180" s="1138">
        <f t="shared" si="491"/>
        <v>22400</v>
      </c>
      <c r="Q180" s="1138">
        <f t="shared" si="374"/>
        <v>50000</v>
      </c>
      <c r="R180" s="1138"/>
      <c r="S180" s="1138"/>
      <c r="T180" s="1138"/>
      <c r="U180" s="1138"/>
      <c r="V180" s="858"/>
      <c r="W180" s="1138"/>
      <c r="X180" s="1138"/>
      <c r="Y180" s="1138">
        <f t="shared" si="511"/>
        <v>140000</v>
      </c>
      <c r="Z180" s="1138">
        <f t="shared" si="487"/>
        <v>75000</v>
      </c>
      <c r="AA180" s="1138">
        <f t="shared" si="488"/>
        <v>287400</v>
      </c>
      <c r="AB180" s="1138">
        <f t="shared" si="390"/>
        <v>2507400</v>
      </c>
      <c r="AC180" s="1138">
        <f t="shared" si="391"/>
        <v>62685</v>
      </c>
      <c r="AD180" s="1138">
        <f t="shared" si="392"/>
        <v>2570085</v>
      </c>
      <c r="AE180" s="1138">
        <f t="shared" si="393"/>
        <v>64252.125</v>
      </c>
      <c r="AF180" s="1138">
        <f t="shared" si="394"/>
        <v>2634337.125</v>
      </c>
      <c r="AG180" s="1138">
        <f t="shared" si="395"/>
        <v>65858.428125000006</v>
      </c>
      <c r="AH180" s="1138">
        <f t="shared" si="396"/>
        <v>2700195.5531250001</v>
      </c>
      <c r="AI180" s="1138">
        <f t="shared" si="397"/>
        <v>135009.77765625002</v>
      </c>
      <c r="AJ180" s="1138">
        <f t="shared" si="398"/>
        <v>2835205.3307812503</v>
      </c>
      <c r="AK180" s="1138">
        <f t="shared" si="399"/>
        <v>28352.053307812504</v>
      </c>
      <c r="AL180" s="1138">
        <f t="shared" si="400"/>
        <v>27537.409960060559</v>
      </c>
      <c r="AM180" s="1138"/>
      <c r="AN180" s="1138"/>
      <c r="AO180" s="1138">
        <f t="shared" si="401"/>
        <v>2891094.7940491233</v>
      </c>
      <c r="AP180" s="1138">
        <f t="shared" si="402"/>
        <v>390297.79719663167</v>
      </c>
      <c r="AQ180" s="1248">
        <f t="shared" si="403"/>
        <v>3281392.5912457551</v>
      </c>
      <c r="AR180" s="1248">
        <f t="shared" si="515"/>
        <v>2951392.5912457551</v>
      </c>
      <c r="AS180" s="1248">
        <v>15000</v>
      </c>
      <c r="AT180" s="1248">
        <f t="shared" si="516"/>
        <v>330000</v>
      </c>
      <c r="AU180" s="1248">
        <f t="shared" si="404"/>
        <v>39600</v>
      </c>
      <c r="AV180" s="1140">
        <f t="shared" si="405"/>
        <v>369600</v>
      </c>
      <c r="AW180" s="1140">
        <f t="shared" si="406"/>
        <v>3320992.5912457551</v>
      </c>
      <c r="AX180" s="1139">
        <f t="shared" si="407"/>
        <v>41512.407390571942</v>
      </c>
      <c r="AY180" s="831" t="s">
        <v>478</v>
      </c>
      <c r="AZ180" s="831">
        <f t="shared" si="408"/>
        <v>3362504.9986363272</v>
      </c>
      <c r="BA180" s="831">
        <f t="shared" si="409"/>
        <v>126093.93744886227</v>
      </c>
      <c r="BB180" s="831"/>
      <c r="BC180" s="831">
        <f t="shared" si="513"/>
        <v>33600</v>
      </c>
      <c r="BD180" s="831">
        <v>8990.8965517241377</v>
      </c>
      <c r="BE180" s="831">
        <f t="shared" si="410"/>
        <v>3531189.8326369138</v>
      </c>
      <c r="BF180" s="831">
        <v>42723.767172413798</v>
      </c>
      <c r="BG180" s="831">
        <f t="shared" si="411"/>
        <v>3573913.5998093276</v>
      </c>
      <c r="BH180" s="831"/>
      <c r="BI180" s="831">
        <f t="shared" si="412"/>
        <v>3573913.5998093276</v>
      </c>
      <c r="BJ180" s="831"/>
      <c r="BK180" s="831">
        <f t="shared" si="413"/>
        <v>3573913.5998093276</v>
      </c>
      <c r="BL180" s="831"/>
      <c r="BM180" s="831">
        <f t="shared" si="414"/>
        <v>3573913.5998093276</v>
      </c>
      <c r="BN180" s="831"/>
      <c r="BO180" s="831">
        <f t="shared" si="415"/>
        <v>3573913.5998093276</v>
      </c>
      <c r="BP180" s="831">
        <f>$BP$5/37</f>
        <v>5065.3710270270276</v>
      </c>
      <c r="BQ180" s="831">
        <f t="shared" si="416"/>
        <v>3578978.9708363549</v>
      </c>
      <c r="BR180" s="831">
        <f>$BR$5/42</f>
        <v>3544.6104</v>
      </c>
      <c r="BS180" s="831">
        <f t="shared" si="417"/>
        <v>3582523.581236355</v>
      </c>
      <c r="BT180" s="831">
        <f>$BT$5/41</f>
        <v>1609.3168000000001</v>
      </c>
      <c r="BU180" s="831">
        <f t="shared" si="418"/>
        <v>3584132.8980363552</v>
      </c>
      <c r="BV180" s="831">
        <f>$BV$5/43</f>
        <v>1163.3400930232558</v>
      </c>
      <c r="BW180" s="831">
        <f t="shared" si="419"/>
        <v>56400</v>
      </c>
      <c r="BX180" s="831">
        <f t="shared" si="420"/>
        <v>3641696.2381293783</v>
      </c>
      <c r="BY180" s="831">
        <f>$BY$5/44</f>
        <v>30549.183723443901</v>
      </c>
      <c r="BZ180" s="831">
        <f t="shared" si="421"/>
        <v>3672245.4218528224</v>
      </c>
      <c r="CA180" s="1260">
        <f t="shared" si="422"/>
        <v>3672245.4218528224</v>
      </c>
      <c r="CB180" s="1260">
        <f t="shared" si="423"/>
        <v>3496245.4218528224</v>
      </c>
      <c r="CC180" s="1260">
        <v>8000</v>
      </c>
      <c r="CD180" s="1260">
        <f t="shared" si="424"/>
        <v>176000</v>
      </c>
      <c r="CE180" s="1260">
        <f t="shared" si="425"/>
        <v>21120</v>
      </c>
      <c r="CF180" s="1260">
        <f t="shared" si="426"/>
        <v>197120</v>
      </c>
      <c r="CG180" s="1266">
        <f t="shared" si="427"/>
        <v>3693365.4218528224</v>
      </c>
      <c r="CH180" s="1141">
        <f t="shared" si="428"/>
        <v>3693365.4218528224</v>
      </c>
      <c r="CI180" s="1142">
        <f t="shared" si="429"/>
        <v>0</v>
      </c>
      <c r="CJ180" s="1141">
        <f t="shared" si="430"/>
        <v>378569.95573991426</v>
      </c>
      <c r="CK180" s="1141">
        <f t="shared" si="431"/>
        <v>129267.7897648488</v>
      </c>
      <c r="CL180" s="1143">
        <f t="shared" si="489"/>
        <v>4201203.1673575854</v>
      </c>
      <c r="CM180" s="1144">
        <f t="shared" si="432"/>
        <v>0.125</v>
      </c>
      <c r="CN180" s="1141">
        <f t="shared" si="502"/>
        <v>525150.39591969817</v>
      </c>
      <c r="CO180" s="1141">
        <f t="shared" si="433"/>
        <v>30000</v>
      </c>
      <c r="CP180" s="1141">
        <f t="shared" si="503"/>
        <v>495150.39591969817</v>
      </c>
      <c r="CQ180" s="1145">
        <f t="shared" si="434"/>
        <v>15</v>
      </c>
      <c r="CR180" s="1141">
        <f t="shared" si="504"/>
        <v>33010.026394646542</v>
      </c>
      <c r="CS180" s="1144">
        <f t="shared" si="435"/>
        <v>0.875</v>
      </c>
      <c r="CT180" s="1141">
        <f t="shared" si="436"/>
        <v>3676052.7714378871</v>
      </c>
      <c r="CU180" s="1146">
        <f t="shared" si="375"/>
        <v>28500.398009746081</v>
      </c>
      <c r="CV180" s="1146">
        <f t="shared" si="376"/>
        <v>33041.401561137885</v>
      </c>
      <c r="CW180" s="1146">
        <f t="shared" si="377"/>
        <v>42682.089681906131</v>
      </c>
      <c r="CX180" s="1146">
        <f t="shared" si="378"/>
        <v>72790.250772043757</v>
      </c>
      <c r="CY180" s="1146">
        <f t="shared" si="437"/>
        <v>298617.45101014862</v>
      </c>
      <c r="CZ180" s="1146">
        <f t="shared" si="438"/>
        <v>118161.47071559612</v>
      </c>
      <c r="DA180" s="1146">
        <f t="shared" si="439"/>
        <v>85346.356753970904</v>
      </c>
      <c r="DB180" s="1146">
        <f t="shared" si="440"/>
        <v>64952.506633104982</v>
      </c>
      <c r="DC180" s="1146"/>
      <c r="DD180" s="1146"/>
      <c r="DE180" s="1146"/>
      <c r="DF180" s="1146"/>
      <c r="DG180" s="1146"/>
      <c r="DH180" s="1146"/>
      <c r="DI180" s="1146"/>
      <c r="DJ180" s="1146"/>
      <c r="DK180" s="1146"/>
      <c r="DL180" s="1146"/>
      <c r="DM180" s="1146"/>
      <c r="DN180" s="1146"/>
      <c r="DO180" s="1146"/>
      <c r="DP180" s="1146"/>
      <c r="DQ180" s="1146"/>
      <c r="DR180" s="1146"/>
      <c r="DS180" s="1146"/>
      <c r="DT180" s="1146"/>
      <c r="DU180" s="1146"/>
      <c r="DV180" s="1146"/>
      <c r="DW180" s="1146"/>
      <c r="DX180" s="1146"/>
      <c r="DY180" s="1146"/>
      <c r="DZ180" s="1146"/>
      <c r="EA180" s="1147">
        <f t="shared" si="379"/>
        <v>0.11181162444427974</v>
      </c>
      <c r="EB180" s="1148">
        <f t="shared" si="441"/>
        <v>5.6380481406690545E-2</v>
      </c>
      <c r="EC180" s="1190">
        <f t="shared" si="484"/>
        <v>45839</v>
      </c>
      <c r="ED180" s="1031">
        <f t="shared" si="380"/>
        <v>20</v>
      </c>
      <c r="EE180" s="1191"/>
      <c r="EF180" s="1032">
        <f t="shared" si="381"/>
        <v>45904</v>
      </c>
      <c r="EG180" s="1029">
        <f t="shared" si="442"/>
        <v>22</v>
      </c>
      <c r="EH180" s="859" t="s">
        <v>490</v>
      </c>
      <c r="EI180" s="859" t="s">
        <v>480</v>
      </c>
      <c r="EJ180" s="860">
        <f t="shared" si="382"/>
        <v>16800</v>
      </c>
      <c r="EK180" s="860">
        <f t="shared" si="383"/>
        <v>369600</v>
      </c>
      <c r="EL180" s="861">
        <f t="shared" si="384"/>
        <v>0.12522901937759331</v>
      </c>
      <c r="EM180" s="1197"/>
      <c r="EN180" s="860"/>
      <c r="EO180" s="860"/>
      <c r="EP180" s="860">
        <f t="shared" si="385"/>
        <v>0</v>
      </c>
      <c r="EQ180" s="1197"/>
      <c r="ER180" s="1200"/>
      <c r="ES180" s="1197"/>
      <c r="ET180" s="1207" t="s">
        <v>660</v>
      </c>
      <c r="EU180" s="1197" t="b">
        <f t="shared" si="386"/>
        <v>1</v>
      </c>
      <c r="EV180" s="1197"/>
      <c r="EW180" s="1197"/>
      <c r="EX180" s="1197"/>
      <c r="EY180" s="1128" t="s">
        <v>587</v>
      </c>
      <c r="EZ180" s="1128" t="s">
        <v>484</v>
      </c>
      <c r="FA180" s="1169">
        <f t="shared" si="443"/>
        <v>-21120</v>
      </c>
      <c r="FI180" s="1309" t="s">
        <v>96</v>
      </c>
      <c r="FJ180" s="1159" t="s">
        <v>96</v>
      </c>
      <c r="FK180" s="1160" t="b">
        <f t="shared" si="444"/>
        <v>1</v>
      </c>
      <c r="FL180" s="1131"/>
      <c r="FM180" s="1161"/>
      <c r="FO180" s="888"/>
      <c r="FU180" s="1295"/>
      <c r="FV180" s="1295"/>
      <c r="FW180" s="1023">
        <v>0.125</v>
      </c>
      <c r="FX180" s="1162">
        <v>12349.524643656185</v>
      </c>
      <c r="FY180" s="1163">
        <v>12735.44728877044</v>
      </c>
      <c r="GA180" s="1164">
        <f t="shared" si="445"/>
        <v>4201203.1673575854</v>
      </c>
      <c r="GB180" s="1165">
        <f t="shared" si="517"/>
        <v>0.125</v>
      </c>
      <c r="GC180" s="1154">
        <f t="shared" si="446"/>
        <v>525150.39591969817</v>
      </c>
      <c r="GD180" s="1164">
        <f t="shared" si="447"/>
        <v>30000</v>
      </c>
      <c r="GE180" s="1154">
        <f t="shared" si="448"/>
        <v>495150.39591969817</v>
      </c>
      <c r="GF180" s="1060">
        <f t="shared" si="449"/>
        <v>35</v>
      </c>
      <c r="GG180" s="1166">
        <f t="shared" si="450"/>
        <v>14147.154169134234</v>
      </c>
      <c r="GI180" s="1164">
        <f t="shared" si="451"/>
        <v>4201203.1673575854</v>
      </c>
      <c r="GJ180" s="1154">
        <f t="shared" si="452"/>
        <v>420120.31673575856</v>
      </c>
      <c r="GK180" s="1154">
        <f t="shared" si="453"/>
        <v>105030.07918393964</v>
      </c>
      <c r="GL180" s="1166">
        <v>15000</v>
      </c>
      <c r="GM180" s="1154">
        <f t="shared" si="454"/>
        <v>405120.31673575856</v>
      </c>
      <c r="GN180" s="1060">
        <f t="shared" si="455"/>
        <v>35</v>
      </c>
      <c r="GO180" s="1154">
        <f t="shared" si="456"/>
        <v>11574.866192450245</v>
      </c>
      <c r="GS180" s="1010">
        <f t="shared" si="457"/>
        <v>4201203.1673575854</v>
      </c>
      <c r="GT180" s="1011">
        <f t="shared" si="458"/>
        <v>0.125</v>
      </c>
      <c r="GU180" s="1010">
        <f t="shared" si="459"/>
        <v>525150.39591969817</v>
      </c>
      <c r="GV180" s="1010">
        <f t="shared" si="460"/>
        <v>30000</v>
      </c>
      <c r="GW180" s="1010">
        <f t="shared" si="461"/>
        <v>495150.39591969817</v>
      </c>
      <c r="GX180" s="1010">
        <f t="shared" si="462"/>
        <v>15</v>
      </c>
      <c r="GY180" s="1010">
        <f t="shared" si="463"/>
        <v>33010.026394646542</v>
      </c>
      <c r="GZ180" s="1011">
        <f t="shared" si="464"/>
        <v>0.875</v>
      </c>
      <c r="HA180" s="1010">
        <f t="shared" si="465"/>
        <v>3676052.7714378871</v>
      </c>
      <c r="HB180" s="1010">
        <f t="shared" si="466"/>
        <v>28500.398009746081</v>
      </c>
      <c r="HC180" s="1010">
        <f t="shared" si="467"/>
        <v>33041.401561137885</v>
      </c>
      <c r="HD180" s="1010">
        <f t="shared" si="468"/>
        <v>42682.089681906131</v>
      </c>
      <c r="HE180" s="1010">
        <f t="shared" si="469"/>
        <v>72790.250772043757</v>
      </c>
      <c r="HG180" s="1010">
        <f t="shared" si="470"/>
        <v>4201203.1673575854</v>
      </c>
      <c r="HH180" s="1011">
        <f t="shared" si="471"/>
        <v>0.125</v>
      </c>
      <c r="HI180" s="1010">
        <f t="shared" si="472"/>
        <v>525150.39591969817</v>
      </c>
      <c r="HJ180" s="1010">
        <f t="shared" si="473"/>
        <v>30000</v>
      </c>
      <c r="HK180" s="1010">
        <f t="shared" si="474"/>
        <v>495150.39591969817</v>
      </c>
      <c r="HL180" s="1012">
        <f t="shared" si="475"/>
        <v>33</v>
      </c>
      <c r="HM180" s="1167">
        <f t="shared" si="476"/>
        <v>15004.557452112065</v>
      </c>
      <c r="HN180" s="1168">
        <f t="shared" si="477"/>
        <v>0.875</v>
      </c>
      <c r="HO180" s="1167">
        <f t="shared" si="478"/>
        <v>3676052.7714378871</v>
      </c>
      <c r="HP180" s="1146">
        <f t="shared" si="479"/>
        <v>28500.398009746081</v>
      </c>
      <c r="HQ180" s="1146">
        <f t="shared" si="480"/>
        <v>33041.401561137885</v>
      </c>
      <c r="HR180" s="1146">
        <f t="shared" si="481"/>
        <v>42682.089681906131</v>
      </c>
      <c r="HS180" s="1146">
        <f t="shared" si="482"/>
        <v>72790.250772043757</v>
      </c>
      <c r="HU180" s="1167">
        <f t="shared" si="483"/>
        <v>-18005.468942534477</v>
      </c>
      <c r="HX180" s="1154"/>
      <c r="HY180" s="1154"/>
      <c r="IB180" s="1154"/>
      <c r="IC180" s="1154"/>
      <c r="ID180" s="1154"/>
      <c r="IE180" s="1154"/>
      <c r="IG180" s="1060"/>
    </row>
    <row r="181" spans="1:241" ht="14.25" hidden="1" customHeight="1">
      <c r="A181" s="1186">
        <f t="shared" si="490"/>
        <v>175</v>
      </c>
      <c r="B181" s="824"/>
      <c r="C181" s="855">
        <f t="shared" si="509"/>
        <v>16</v>
      </c>
      <c r="D181" s="856" t="s">
        <v>519</v>
      </c>
      <c r="E181" s="857" t="str">
        <f t="shared" si="387"/>
        <v>11th Floor</v>
      </c>
      <c r="F181" s="1185"/>
      <c r="G181" s="764" t="s">
        <v>661</v>
      </c>
      <c r="H181" s="764" t="s">
        <v>550</v>
      </c>
      <c r="I181" s="764" t="s">
        <v>476</v>
      </c>
      <c r="J181" s="1139">
        <v>22</v>
      </c>
      <c r="K181" s="1142"/>
      <c r="L181" s="764" t="s">
        <v>500</v>
      </c>
      <c r="M181" s="764" t="s">
        <v>93</v>
      </c>
      <c r="N181" s="856">
        <f t="shared" si="388"/>
        <v>100909.09090909091</v>
      </c>
      <c r="O181" s="1138">
        <f t="shared" si="486"/>
        <v>2220000</v>
      </c>
      <c r="P181" s="1138">
        <f t="shared" si="491"/>
        <v>22400</v>
      </c>
      <c r="Q181" s="1138">
        <f t="shared" si="374"/>
        <v>50000</v>
      </c>
      <c r="R181" s="1138"/>
      <c r="S181" s="1138"/>
      <c r="T181" s="1138"/>
      <c r="U181" s="1138"/>
      <c r="V181" s="858"/>
      <c r="W181" s="1138"/>
      <c r="X181" s="1138"/>
      <c r="Y181" s="1138">
        <f t="shared" si="511"/>
        <v>140000</v>
      </c>
      <c r="Z181" s="1138">
        <f t="shared" si="487"/>
        <v>75000</v>
      </c>
      <c r="AA181" s="1138">
        <f t="shared" si="488"/>
        <v>287400</v>
      </c>
      <c r="AB181" s="1138">
        <f t="shared" si="390"/>
        <v>2507400</v>
      </c>
      <c r="AC181" s="1138">
        <f t="shared" si="391"/>
        <v>62685</v>
      </c>
      <c r="AD181" s="1138">
        <f t="shared" si="392"/>
        <v>2570085</v>
      </c>
      <c r="AE181" s="1138">
        <f t="shared" si="393"/>
        <v>64252.125</v>
      </c>
      <c r="AF181" s="1138">
        <f t="shared" si="394"/>
        <v>2634337.125</v>
      </c>
      <c r="AG181" s="1138">
        <f t="shared" si="395"/>
        <v>65858.428125000006</v>
      </c>
      <c r="AH181" s="1138">
        <f t="shared" si="396"/>
        <v>2700195.5531250001</v>
      </c>
      <c r="AI181" s="1138">
        <f t="shared" si="397"/>
        <v>135009.77765625002</v>
      </c>
      <c r="AJ181" s="1138">
        <f t="shared" si="398"/>
        <v>2835205.3307812503</v>
      </c>
      <c r="AK181" s="1138">
        <f t="shared" si="399"/>
        <v>28352.053307812504</v>
      </c>
      <c r="AL181" s="1138">
        <f t="shared" si="400"/>
        <v>27537.409960060559</v>
      </c>
      <c r="AM181" s="1138"/>
      <c r="AN181" s="1138"/>
      <c r="AO181" s="1138">
        <f t="shared" si="401"/>
        <v>2891094.7940491233</v>
      </c>
      <c r="AP181" s="1138">
        <f t="shared" si="402"/>
        <v>390297.79719663167</v>
      </c>
      <c r="AQ181" s="1248">
        <f t="shared" si="403"/>
        <v>3281392.5912457551</v>
      </c>
      <c r="AR181" s="1248">
        <f t="shared" si="515"/>
        <v>2951392.5912457551</v>
      </c>
      <c r="AS181" s="1248">
        <v>15000</v>
      </c>
      <c r="AT181" s="1248">
        <f t="shared" si="516"/>
        <v>330000</v>
      </c>
      <c r="AU181" s="1248">
        <f t="shared" si="404"/>
        <v>39600</v>
      </c>
      <c r="AV181" s="1140">
        <f t="shared" si="405"/>
        <v>369600</v>
      </c>
      <c r="AW181" s="1140">
        <f t="shared" si="406"/>
        <v>3320992.5912457551</v>
      </c>
      <c r="AX181" s="1139">
        <f t="shared" si="407"/>
        <v>41512.407390571942</v>
      </c>
      <c r="AY181" s="831" t="s">
        <v>478</v>
      </c>
      <c r="AZ181" s="831">
        <f t="shared" si="408"/>
        <v>3362504.9986363272</v>
      </c>
      <c r="BA181" s="831">
        <f t="shared" si="409"/>
        <v>126093.93744886227</v>
      </c>
      <c r="BB181" s="831"/>
      <c r="BC181" s="831">
        <f t="shared" si="513"/>
        <v>33600</v>
      </c>
      <c r="BD181" s="831"/>
      <c r="BE181" s="831">
        <f t="shared" si="410"/>
        <v>3522198.9360851897</v>
      </c>
      <c r="BF181" s="831"/>
      <c r="BG181" s="831">
        <f t="shared" si="411"/>
        <v>3522198.9360851897</v>
      </c>
      <c r="BH181" s="831"/>
      <c r="BI181" s="831">
        <f t="shared" si="412"/>
        <v>3522198.9360851897</v>
      </c>
      <c r="BJ181" s="831"/>
      <c r="BK181" s="831">
        <f t="shared" si="413"/>
        <v>3522198.9360851897</v>
      </c>
      <c r="BL181" s="831"/>
      <c r="BM181" s="831">
        <f t="shared" si="414"/>
        <v>3522198.9360851897</v>
      </c>
      <c r="BN181" s="831"/>
      <c r="BO181" s="831">
        <f t="shared" si="415"/>
        <v>3522198.9360851897</v>
      </c>
      <c r="BP181" s="831"/>
      <c r="BQ181" s="831">
        <f t="shared" si="416"/>
        <v>3522198.9360851897</v>
      </c>
      <c r="BR181" s="831"/>
      <c r="BS181" s="831">
        <f t="shared" si="417"/>
        <v>3522198.9360851897</v>
      </c>
      <c r="BT181" s="831"/>
      <c r="BU181" s="831">
        <f t="shared" si="418"/>
        <v>3522198.9360851897</v>
      </c>
      <c r="BV181" s="831"/>
      <c r="BW181" s="831">
        <f t="shared" si="419"/>
        <v>56400</v>
      </c>
      <c r="BX181" s="831">
        <f t="shared" si="420"/>
        <v>3578598.9360851897</v>
      </c>
      <c r="BY181" s="831"/>
      <c r="BZ181" s="831">
        <f t="shared" si="421"/>
        <v>3578598.9360851897</v>
      </c>
      <c r="CA181" s="1260">
        <f t="shared" si="422"/>
        <v>3578598.9360851897</v>
      </c>
      <c r="CB181" s="1260">
        <f t="shared" si="423"/>
        <v>3578598.9360851897</v>
      </c>
      <c r="CC181" s="1260"/>
      <c r="CD181" s="1260">
        <f t="shared" si="424"/>
        <v>0</v>
      </c>
      <c r="CE181" s="1260">
        <f t="shared" si="425"/>
        <v>0</v>
      </c>
      <c r="CF181" s="1260">
        <f t="shared" si="426"/>
        <v>0</v>
      </c>
      <c r="CG181" s="1266">
        <f t="shared" si="427"/>
        <v>3578598.9360851897</v>
      </c>
      <c r="CH181" s="1141">
        <f t="shared" si="428"/>
        <v>3578598.9360851897</v>
      </c>
      <c r="CI181" s="1142">
        <f t="shared" si="429"/>
        <v>0</v>
      </c>
      <c r="CJ181" s="1141">
        <f t="shared" si="430"/>
        <v>366806.39094873192</v>
      </c>
      <c r="CK181" s="1141">
        <f t="shared" si="431"/>
        <v>125250.96276298165</v>
      </c>
      <c r="CL181" s="1143">
        <f t="shared" si="489"/>
        <v>4070656.2897969033</v>
      </c>
      <c r="CM181" s="1144">
        <f t="shared" si="432"/>
        <v>0.125</v>
      </c>
      <c r="CN181" s="1141">
        <f t="shared" si="502"/>
        <v>508832.03622461291</v>
      </c>
      <c r="CO181" s="1141">
        <f t="shared" si="433"/>
        <v>30000</v>
      </c>
      <c r="CP181" s="1141">
        <f t="shared" si="503"/>
        <v>478832.03622461291</v>
      </c>
      <c r="CQ181" s="1145">
        <f t="shared" si="434"/>
        <v>15</v>
      </c>
      <c r="CR181" s="1141">
        <f t="shared" si="504"/>
        <v>31922.135748307526</v>
      </c>
      <c r="CS181" s="1144">
        <f t="shared" si="435"/>
        <v>0.875</v>
      </c>
      <c r="CT181" s="1141">
        <f t="shared" si="436"/>
        <v>3561824.2535722903</v>
      </c>
      <c r="CU181" s="1146">
        <f t="shared" si="375"/>
        <v>27614.785526560896</v>
      </c>
      <c r="CV181" s="1146">
        <f t="shared" si="376"/>
        <v>32014.68334918618</v>
      </c>
      <c r="CW181" s="1146">
        <f t="shared" si="377"/>
        <v>41355.799732628948</v>
      </c>
      <c r="CX181" s="1146">
        <f t="shared" si="378"/>
        <v>70528.3892108172</v>
      </c>
      <c r="CY181" s="1146">
        <f t="shared" si="437"/>
        <v>289338.30542695033</v>
      </c>
      <c r="CZ181" s="1146">
        <f t="shared" si="438"/>
        <v>114489.75800963784</v>
      </c>
      <c r="DA181" s="1146">
        <f t="shared" si="439"/>
        <v>82694.330669638817</v>
      </c>
      <c r="DB181" s="1146">
        <f t="shared" si="440"/>
        <v>62934.192689953175</v>
      </c>
      <c r="DC181" s="1146"/>
      <c r="DD181" s="1146"/>
      <c r="DE181" s="1146"/>
      <c r="DF181" s="1146"/>
      <c r="DG181" s="1146"/>
      <c r="DH181" s="1146"/>
      <c r="DI181" s="1146"/>
      <c r="DJ181" s="1146"/>
      <c r="DK181" s="1146"/>
      <c r="DL181" s="1146"/>
      <c r="DM181" s="1146"/>
      <c r="DN181" s="1146"/>
      <c r="DO181" s="1146"/>
      <c r="DP181" s="1146"/>
      <c r="DQ181" s="1146"/>
      <c r="DR181" s="1146"/>
      <c r="DS181" s="1146"/>
      <c r="DT181" s="1146"/>
      <c r="DU181" s="1146"/>
      <c r="DV181" s="1146"/>
      <c r="DW181" s="1146"/>
      <c r="DX181" s="1146"/>
      <c r="DY181" s="1146"/>
      <c r="DZ181" s="1146"/>
      <c r="EA181" s="1147">
        <f t="shared" si="379"/>
        <v>0.11181162444427974</v>
      </c>
      <c r="EB181" s="1148">
        <f t="shared" si="441"/>
        <v>0</v>
      </c>
      <c r="EC181" s="1190">
        <f t="shared" si="484"/>
        <v>45839</v>
      </c>
      <c r="ED181" s="1031">
        <f t="shared" si="380"/>
        <v>20</v>
      </c>
      <c r="EE181" s="1191"/>
      <c r="EF181" s="1032">
        <f t="shared" si="381"/>
        <v>45904</v>
      </c>
      <c r="EG181" s="1029">
        <f t="shared" si="442"/>
        <v>22</v>
      </c>
      <c r="EH181" s="859" t="s">
        <v>490</v>
      </c>
      <c r="EI181" s="859" t="s">
        <v>480</v>
      </c>
      <c r="EJ181" s="860">
        <f t="shared" si="382"/>
        <v>16800</v>
      </c>
      <c r="EK181" s="860">
        <f t="shared" si="383"/>
        <v>369600</v>
      </c>
      <c r="EL181" s="861">
        <f t="shared" si="384"/>
        <v>0.12522901937759331</v>
      </c>
      <c r="EM181" s="1197"/>
      <c r="EN181" s="860"/>
      <c r="EO181" s="860"/>
      <c r="EP181" s="860">
        <f t="shared" si="385"/>
        <v>0</v>
      </c>
      <c r="EQ181" s="1197"/>
      <c r="ER181" s="1200"/>
      <c r="ES181" s="1197"/>
      <c r="ET181" s="1207" t="s">
        <v>661</v>
      </c>
      <c r="EU181" s="1197" t="b">
        <f t="shared" si="386"/>
        <v>1</v>
      </c>
      <c r="EV181" s="1197"/>
      <c r="EW181" s="1197"/>
      <c r="EX181" s="1197"/>
      <c r="EY181" s="1128" t="s">
        <v>587</v>
      </c>
      <c r="EZ181" s="1128" t="s">
        <v>484</v>
      </c>
      <c r="FA181" s="1169">
        <f t="shared" si="443"/>
        <v>0</v>
      </c>
      <c r="FI181" s="1309" t="s">
        <v>149</v>
      </c>
      <c r="FJ181" s="1159" t="s">
        <v>149</v>
      </c>
      <c r="FK181" s="1160" t="b">
        <f t="shared" si="444"/>
        <v>1</v>
      </c>
      <c r="FL181" s="1131"/>
      <c r="FM181" s="1161"/>
      <c r="FU181" s="1295"/>
      <c r="FV181" s="1295"/>
      <c r="FW181" s="1023">
        <v>0.15</v>
      </c>
      <c r="FX181" s="1162">
        <v>14910.338663296512</v>
      </c>
      <c r="FY181" s="1163">
        <v>15376.286746524527</v>
      </c>
      <c r="GA181" s="1164">
        <f t="shared" si="445"/>
        <v>4070656.2897969033</v>
      </c>
      <c r="GB181" s="1165">
        <f t="shared" si="485"/>
        <v>0.15</v>
      </c>
      <c r="GC181" s="1154">
        <f t="shared" si="446"/>
        <v>610598.44346953544</v>
      </c>
      <c r="GD181" s="1164">
        <f t="shared" si="447"/>
        <v>30000</v>
      </c>
      <c r="GE181" s="1154">
        <f t="shared" si="448"/>
        <v>580598.44346953544</v>
      </c>
      <c r="GF181" s="1060">
        <f t="shared" si="449"/>
        <v>35</v>
      </c>
      <c r="GG181" s="1166">
        <f t="shared" si="450"/>
        <v>16588.526956272442</v>
      </c>
      <c r="GI181" s="1164">
        <f t="shared" si="451"/>
        <v>4070656.2897969033</v>
      </c>
      <c r="GJ181" s="1154">
        <f t="shared" si="452"/>
        <v>407065.62897969037</v>
      </c>
      <c r="GK181" s="1154">
        <f t="shared" si="453"/>
        <v>101766.40724492259</v>
      </c>
      <c r="GL181" s="1166">
        <v>15000</v>
      </c>
      <c r="GM181" s="1154">
        <f t="shared" si="454"/>
        <v>392065.62897969037</v>
      </c>
      <c r="GN181" s="1060">
        <f t="shared" si="455"/>
        <v>35</v>
      </c>
      <c r="GO181" s="1154">
        <f t="shared" si="456"/>
        <v>11201.875113705439</v>
      </c>
      <c r="GS181" s="1010">
        <f t="shared" si="457"/>
        <v>4070656.2897969033</v>
      </c>
      <c r="GT181" s="1011">
        <f t="shared" si="458"/>
        <v>0.125</v>
      </c>
      <c r="GU181" s="1010">
        <f t="shared" si="459"/>
        <v>508832.03622461291</v>
      </c>
      <c r="GV181" s="1010">
        <f t="shared" si="460"/>
        <v>30000</v>
      </c>
      <c r="GW181" s="1010">
        <f t="shared" si="461"/>
        <v>478832.03622461291</v>
      </c>
      <c r="GX181" s="1010">
        <f t="shared" si="462"/>
        <v>15</v>
      </c>
      <c r="GY181" s="1010">
        <f t="shared" si="463"/>
        <v>31922.135748307526</v>
      </c>
      <c r="GZ181" s="1011">
        <f t="shared" si="464"/>
        <v>0.875</v>
      </c>
      <c r="HA181" s="1010">
        <f t="shared" si="465"/>
        <v>3561824.2535722903</v>
      </c>
      <c r="HB181" s="1010">
        <f t="shared" si="466"/>
        <v>27614.785526560896</v>
      </c>
      <c r="HC181" s="1010">
        <f t="shared" si="467"/>
        <v>32014.68334918618</v>
      </c>
      <c r="HD181" s="1010">
        <f t="shared" si="468"/>
        <v>41355.799732628948</v>
      </c>
      <c r="HE181" s="1010">
        <f t="shared" si="469"/>
        <v>70528.3892108172</v>
      </c>
      <c r="HG181" s="1010">
        <f t="shared" si="470"/>
        <v>4070656.2897969033</v>
      </c>
      <c r="HH181" s="1011">
        <f t="shared" si="471"/>
        <v>0.125</v>
      </c>
      <c r="HI181" s="1010">
        <f t="shared" si="472"/>
        <v>508832.03622461291</v>
      </c>
      <c r="HJ181" s="1010">
        <f t="shared" si="473"/>
        <v>30000</v>
      </c>
      <c r="HK181" s="1010">
        <f t="shared" si="474"/>
        <v>478832.03622461291</v>
      </c>
      <c r="HL181" s="1012">
        <f t="shared" si="475"/>
        <v>33</v>
      </c>
      <c r="HM181" s="1167">
        <f t="shared" si="476"/>
        <v>14510.061703776149</v>
      </c>
      <c r="HN181" s="1168">
        <f t="shared" si="477"/>
        <v>0.875</v>
      </c>
      <c r="HO181" s="1167">
        <f t="shared" si="478"/>
        <v>3561824.2535722903</v>
      </c>
      <c r="HP181" s="1146">
        <f t="shared" si="479"/>
        <v>27614.785526560896</v>
      </c>
      <c r="HQ181" s="1146">
        <f t="shared" si="480"/>
        <v>32014.68334918618</v>
      </c>
      <c r="HR181" s="1146">
        <f t="shared" si="481"/>
        <v>41355.799732628948</v>
      </c>
      <c r="HS181" s="1146">
        <f t="shared" si="482"/>
        <v>70528.3892108172</v>
      </c>
      <c r="HU181" s="1167">
        <f t="shared" si="483"/>
        <v>-17412.074044531379</v>
      </c>
      <c r="HX181" s="1154"/>
      <c r="HY181" s="1154"/>
      <c r="IB181" s="1154"/>
      <c r="IC181" s="1154"/>
      <c r="ID181" s="1154"/>
      <c r="IE181" s="1154"/>
      <c r="IG181" s="1060"/>
    </row>
    <row r="182" spans="1:241" ht="14.25" customHeight="1">
      <c r="A182" s="1186">
        <f t="shared" si="490"/>
        <v>176</v>
      </c>
      <c r="B182" s="824"/>
      <c r="C182" s="855">
        <f t="shared" si="509"/>
        <v>17</v>
      </c>
      <c r="D182" s="856" t="s">
        <v>519</v>
      </c>
      <c r="E182" s="857" t="str">
        <f t="shared" si="387"/>
        <v>11th Floor</v>
      </c>
      <c r="F182" s="1185"/>
      <c r="G182" s="764" t="s">
        <v>662</v>
      </c>
      <c r="H182" s="764" t="s">
        <v>663</v>
      </c>
      <c r="I182" s="764" t="s">
        <v>476</v>
      </c>
      <c r="J182" s="1139">
        <v>22</v>
      </c>
      <c r="K182" s="1142"/>
      <c r="L182" s="764" t="s">
        <v>500</v>
      </c>
      <c r="M182" s="764" t="s">
        <v>93</v>
      </c>
      <c r="N182" s="856">
        <f t="shared" si="388"/>
        <v>100909.09090909091</v>
      </c>
      <c r="O182" s="1138">
        <f t="shared" si="486"/>
        <v>2220000</v>
      </c>
      <c r="P182" s="1138">
        <f t="shared" si="491"/>
        <v>22400</v>
      </c>
      <c r="Q182" s="1138">
        <f t="shared" si="374"/>
        <v>50000</v>
      </c>
      <c r="R182" s="1138"/>
      <c r="S182" s="1138"/>
      <c r="T182" s="1138"/>
      <c r="U182" s="1138"/>
      <c r="V182" s="858"/>
      <c r="W182" s="858"/>
      <c r="X182" s="1138"/>
      <c r="Y182" s="1138">
        <f t="shared" si="511"/>
        <v>140000</v>
      </c>
      <c r="Z182" s="1138">
        <f t="shared" si="487"/>
        <v>75000</v>
      </c>
      <c r="AA182" s="1138">
        <f t="shared" si="488"/>
        <v>287400</v>
      </c>
      <c r="AB182" s="1138">
        <f t="shared" si="390"/>
        <v>2507400</v>
      </c>
      <c r="AC182" s="1138">
        <f t="shared" si="391"/>
        <v>62685</v>
      </c>
      <c r="AD182" s="1138">
        <f t="shared" si="392"/>
        <v>2570085</v>
      </c>
      <c r="AE182" s="1138">
        <f t="shared" si="393"/>
        <v>64252.125</v>
      </c>
      <c r="AF182" s="1138">
        <f t="shared" si="394"/>
        <v>2634337.125</v>
      </c>
      <c r="AG182" s="1138">
        <f t="shared" si="395"/>
        <v>65858.428125000006</v>
      </c>
      <c r="AH182" s="1138">
        <f t="shared" si="396"/>
        <v>2700195.5531250001</v>
      </c>
      <c r="AI182" s="1138">
        <f t="shared" si="397"/>
        <v>135009.77765625002</v>
      </c>
      <c r="AJ182" s="1138">
        <f t="shared" si="398"/>
        <v>2835205.3307812503</v>
      </c>
      <c r="AK182" s="1138">
        <f t="shared" si="399"/>
        <v>28352.053307812504</v>
      </c>
      <c r="AL182" s="1138">
        <f t="shared" si="400"/>
        <v>27537.409960060559</v>
      </c>
      <c r="AM182" s="1138"/>
      <c r="AN182" s="1138"/>
      <c r="AO182" s="1138">
        <f t="shared" si="401"/>
        <v>2891094.7940491233</v>
      </c>
      <c r="AP182" s="1138">
        <f t="shared" si="402"/>
        <v>390297.79719663167</v>
      </c>
      <c r="AQ182" s="1248">
        <f t="shared" si="403"/>
        <v>3281392.5912457551</v>
      </c>
      <c r="AR182" s="1248">
        <f t="shared" si="515"/>
        <v>2951392.5912457551</v>
      </c>
      <c r="AS182" s="1248">
        <v>15000</v>
      </c>
      <c r="AT182" s="1248">
        <f t="shared" si="516"/>
        <v>330000</v>
      </c>
      <c r="AU182" s="1248">
        <f t="shared" si="404"/>
        <v>39600</v>
      </c>
      <c r="AV182" s="1140">
        <f t="shared" si="405"/>
        <v>369600</v>
      </c>
      <c r="AW182" s="1140">
        <f t="shared" si="406"/>
        <v>3320992.5912457551</v>
      </c>
      <c r="AX182" s="1139">
        <f t="shared" si="407"/>
        <v>41512.407390571942</v>
      </c>
      <c r="AY182" s="831" t="s">
        <v>478</v>
      </c>
      <c r="AZ182" s="831">
        <f t="shared" si="408"/>
        <v>3362504.9986363272</v>
      </c>
      <c r="BA182" s="831">
        <f t="shared" si="409"/>
        <v>126093.93744886227</v>
      </c>
      <c r="BB182" s="831"/>
      <c r="BC182" s="831">
        <f t="shared" si="513"/>
        <v>33600</v>
      </c>
      <c r="BD182" s="831"/>
      <c r="BE182" s="831">
        <f t="shared" si="410"/>
        <v>3522198.9360851897</v>
      </c>
      <c r="BF182" s="831"/>
      <c r="BG182" s="831">
        <f t="shared" si="411"/>
        <v>3522198.9360851897</v>
      </c>
      <c r="BH182" s="831"/>
      <c r="BI182" s="831">
        <f t="shared" si="412"/>
        <v>3522198.9360851897</v>
      </c>
      <c r="BJ182" s="831"/>
      <c r="BK182" s="831">
        <f t="shared" si="413"/>
        <v>3522198.9360851897</v>
      </c>
      <c r="BL182" s="831"/>
      <c r="BM182" s="831">
        <f t="shared" si="414"/>
        <v>3522198.9360851897</v>
      </c>
      <c r="BN182" s="831"/>
      <c r="BO182" s="831">
        <f t="shared" si="415"/>
        <v>3522198.9360851897</v>
      </c>
      <c r="BP182" s="831"/>
      <c r="BQ182" s="831">
        <f t="shared" si="416"/>
        <v>3522198.9360851897</v>
      </c>
      <c r="BR182" s="831">
        <f>$BR$5/42</f>
        <v>3544.6104</v>
      </c>
      <c r="BS182" s="831">
        <f t="shared" si="417"/>
        <v>3525743.5464851898</v>
      </c>
      <c r="BT182" s="831">
        <f>$BT$5/41</f>
        <v>1609.3168000000001</v>
      </c>
      <c r="BU182" s="831">
        <f t="shared" si="418"/>
        <v>3527352.86328519</v>
      </c>
      <c r="BV182" s="831">
        <f>$BV$5/43</f>
        <v>1163.3400930232558</v>
      </c>
      <c r="BW182" s="831">
        <f t="shared" si="419"/>
        <v>56400</v>
      </c>
      <c r="BX182" s="831">
        <f t="shared" si="420"/>
        <v>3584916.2033782131</v>
      </c>
      <c r="BY182" s="831">
        <f>$BY$5/44</f>
        <v>30549.183723443901</v>
      </c>
      <c r="BZ182" s="831">
        <f t="shared" si="421"/>
        <v>3615465.3871016572</v>
      </c>
      <c r="CA182" s="1260">
        <f t="shared" si="422"/>
        <v>3615465.3871016572</v>
      </c>
      <c r="CB182" s="1260">
        <f t="shared" si="423"/>
        <v>3439465.3871016572</v>
      </c>
      <c r="CC182" s="1260">
        <v>8000</v>
      </c>
      <c r="CD182" s="1260">
        <f t="shared" si="424"/>
        <v>176000</v>
      </c>
      <c r="CE182" s="1260">
        <f t="shared" si="425"/>
        <v>21120</v>
      </c>
      <c r="CF182" s="1260">
        <f t="shared" si="426"/>
        <v>197120</v>
      </c>
      <c r="CG182" s="1266">
        <f t="shared" si="427"/>
        <v>3636585.3871016572</v>
      </c>
      <c r="CH182" s="1141">
        <f t="shared" si="428"/>
        <v>3636585.3871016572</v>
      </c>
      <c r="CI182" s="1142">
        <f t="shared" si="429"/>
        <v>0</v>
      </c>
      <c r="CJ182" s="1141">
        <f t="shared" si="430"/>
        <v>372750.00217791984</v>
      </c>
      <c r="CK182" s="1141">
        <f t="shared" si="431"/>
        <v>127280.48854855802</v>
      </c>
      <c r="CL182" s="1143">
        <f t="shared" si="489"/>
        <v>4136615.8778281352</v>
      </c>
      <c r="CM182" s="1144">
        <f t="shared" si="432"/>
        <v>0.125</v>
      </c>
      <c r="CN182" s="1141">
        <f t="shared" si="502"/>
        <v>517076.98472851689</v>
      </c>
      <c r="CO182" s="1141">
        <f t="shared" si="433"/>
        <v>30000</v>
      </c>
      <c r="CP182" s="1141">
        <f t="shared" si="503"/>
        <v>487076.98472851689</v>
      </c>
      <c r="CQ182" s="1145">
        <f t="shared" si="434"/>
        <v>15</v>
      </c>
      <c r="CR182" s="1141">
        <f t="shared" si="504"/>
        <v>32471.798981901127</v>
      </c>
      <c r="CS182" s="1144">
        <f t="shared" si="435"/>
        <v>0.875</v>
      </c>
      <c r="CT182" s="1141">
        <f t="shared" si="436"/>
        <v>3619538.8930996181</v>
      </c>
      <c r="CU182" s="1146">
        <f t="shared" si="375"/>
        <v>28062.246512512531</v>
      </c>
      <c r="CV182" s="1146">
        <f t="shared" si="376"/>
        <v>32533.438845678374</v>
      </c>
      <c r="CW182" s="1146">
        <f t="shared" si="377"/>
        <v>42025.915635045858</v>
      </c>
      <c r="CX182" s="1146">
        <f t="shared" si="378"/>
        <v>71671.208246782538</v>
      </c>
      <c r="CY182" s="1146">
        <f t="shared" si="437"/>
        <v>294026.64904256142</v>
      </c>
      <c r="CZ182" s="1146">
        <f t="shared" si="438"/>
        <v>116344.91274010217</v>
      </c>
      <c r="DA182" s="1146">
        <f t="shared" si="439"/>
        <v>84034.282656535739</v>
      </c>
      <c r="DB182" s="1146">
        <f t="shared" si="440"/>
        <v>63953.957840185147</v>
      </c>
      <c r="DC182" s="1146"/>
      <c r="DD182" s="1146"/>
      <c r="DE182" s="1146"/>
      <c r="DF182" s="1146"/>
      <c r="DG182" s="1146"/>
      <c r="DH182" s="1146"/>
      <c r="DI182" s="1146"/>
      <c r="DJ182" s="1146"/>
      <c r="DK182" s="1146"/>
      <c r="DL182" s="1146"/>
      <c r="DM182" s="1146"/>
      <c r="DN182" s="1146"/>
      <c r="DO182" s="1146"/>
      <c r="DP182" s="1146"/>
      <c r="DQ182" s="1146"/>
      <c r="DR182" s="1146"/>
      <c r="DS182" s="1146"/>
      <c r="DT182" s="1146"/>
      <c r="DU182" s="1146"/>
      <c r="DV182" s="1146"/>
      <c r="DW182" s="1146"/>
      <c r="DX182" s="1146"/>
      <c r="DY182" s="1146"/>
      <c r="DZ182" s="1146"/>
      <c r="EA182" s="1147">
        <f t="shared" si="379"/>
        <v>0.11181162444427974</v>
      </c>
      <c r="EB182" s="1148">
        <f t="shared" si="441"/>
        <v>5.7311232361639666E-2</v>
      </c>
      <c r="EC182" s="1190">
        <f t="shared" si="484"/>
        <v>45839</v>
      </c>
      <c r="ED182" s="1031">
        <f t="shared" si="380"/>
        <v>20</v>
      </c>
      <c r="EE182" s="1191"/>
      <c r="EF182" s="1032">
        <f t="shared" si="381"/>
        <v>45904</v>
      </c>
      <c r="EG182" s="1029">
        <f t="shared" si="442"/>
        <v>22</v>
      </c>
      <c r="EH182" s="859" t="s">
        <v>490</v>
      </c>
      <c r="EI182" s="859" t="s">
        <v>480</v>
      </c>
      <c r="EJ182" s="860">
        <f t="shared" si="382"/>
        <v>16800</v>
      </c>
      <c r="EK182" s="860">
        <f t="shared" si="383"/>
        <v>369600</v>
      </c>
      <c r="EL182" s="861">
        <f t="shared" si="384"/>
        <v>0.12522901937759331</v>
      </c>
      <c r="EM182" s="1197"/>
      <c r="EN182" s="860"/>
      <c r="EO182" s="860"/>
      <c r="EP182" s="860">
        <f t="shared" si="385"/>
        <v>0</v>
      </c>
      <c r="EQ182" s="1197"/>
      <c r="ER182" s="1200"/>
      <c r="ES182" s="1197"/>
      <c r="ET182" s="1207" t="s">
        <v>662</v>
      </c>
      <c r="EU182" s="1197" t="b">
        <f t="shared" si="386"/>
        <v>1</v>
      </c>
      <c r="EV182" s="1197"/>
      <c r="EW182" s="1197"/>
      <c r="EX182" s="1197"/>
      <c r="EY182" s="1128" t="s">
        <v>587</v>
      </c>
      <c r="EZ182" s="1128" t="s">
        <v>484</v>
      </c>
      <c r="FA182" s="1169">
        <f t="shared" si="443"/>
        <v>-21120</v>
      </c>
      <c r="FI182" s="1309" t="s">
        <v>96</v>
      </c>
      <c r="FJ182" s="1159" t="s">
        <v>96</v>
      </c>
      <c r="FK182" s="1160" t="b">
        <f t="shared" si="444"/>
        <v>1</v>
      </c>
      <c r="FL182" s="1131"/>
      <c r="FM182" s="1161"/>
      <c r="FU182" s="1295"/>
      <c r="FV182" s="1295"/>
      <c r="FW182" s="1023">
        <v>0.15</v>
      </c>
      <c r="FX182" s="1162">
        <v>14910.338663296512</v>
      </c>
      <c r="FY182" s="1163">
        <v>15376.286746524527</v>
      </c>
      <c r="GA182" s="1164">
        <f t="shared" si="445"/>
        <v>4136615.8778281352</v>
      </c>
      <c r="GB182" s="1165">
        <f t="shared" si="485"/>
        <v>0.15</v>
      </c>
      <c r="GC182" s="1154">
        <f t="shared" si="446"/>
        <v>620492.3816742202</v>
      </c>
      <c r="GD182" s="1164">
        <f t="shared" si="447"/>
        <v>30000</v>
      </c>
      <c r="GE182" s="1154">
        <f t="shared" si="448"/>
        <v>590492.3816742202</v>
      </c>
      <c r="GF182" s="1060">
        <f t="shared" si="449"/>
        <v>35</v>
      </c>
      <c r="GG182" s="1166">
        <f t="shared" si="450"/>
        <v>16871.210904977721</v>
      </c>
      <c r="GI182" s="1164">
        <f t="shared" si="451"/>
        <v>4136615.8778281352</v>
      </c>
      <c r="GJ182" s="1154">
        <f t="shared" si="452"/>
        <v>413661.58778281353</v>
      </c>
      <c r="GK182" s="1154">
        <f t="shared" si="453"/>
        <v>103415.39694570338</v>
      </c>
      <c r="GL182" s="1166">
        <v>15000</v>
      </c>
      <c r="GM182" s="1154">
        <f t="shared" si="454"/>
        <v>398661.58778281353</v>
      </c>
      <c r="GN182" s="1060">
        <f t="shared" si="455"/>
        <v>35</v>
      </c>
      <c r="GO182" s="1154">
        <f t="shared" si="456"/>
        <v>11390.331079508958</v>
      </c>
      <c r="GS182" s="1010">
        <f t="shared" si="457"/>
        <v>4136615.8778281352</v>
      </c>
      <c r="GT182" s="1011">
        <f t="shared" si="458"/>
        <v>0.125</v>
      </c>
      <c r="GU182" s="1010">
        <f t="shared" si="459"/>
        <v>517076.98472851689</v>
      </c>
      <c r="GV182" s="1010">
        <f t="shared" si="460"/>
        <v>30000</v>
      </c>
      <c r="GW182" s="1010">
        <f t="shared" si="461"/>
        <v>487076.98472851689</v>
      </c>
      <c r="GX182" s="1010">
        <f t="shared" si="462"/>
        <v>15</v>
      </c>
      <c r="GY182" s="1010">
        <f t="shared" si="463"/>
        <v>32471.798981901127</v>
      </c>
      <c r="GZ182" s="1011">
        <f t="shared" si="464"/>
        <v>0.875</v>
      </c>
      <c r="HA182" s="1010">
        <f t="shared" si="465"/>
        <v>3619538.8930996181</v>
      </c>
      <c r="HB182" s="1010">
        <f t="shared" si="466"/>
        <v>28062.246512512531</v>
      </c>
      <c r="HC182" s="1010">
        <f t="shared" si="467"/>
        <v>32533.438845678374</v>
      </c>
      <c r="HD182" s="1010">
        <f t="shared" si="468"/>
        <v>42025.915635045858</v>
      </c>
      <c r="HE182" s="1010">
        <f t="shared" si="469"/>
        <v>71671.208246782538</v>
      </c>
      <c r="HG182" s="1010">
        <f t="shared" si="470"/>
        <v>4136615.8778281352</v>
      </c>
      <c r="HH182" s="1011">
        <f t="shared" si="471"/>
        <v>0.125</v>
      </c>
      <c r="HI182" s="1010">
        <f t="shared" si="472"/>
        <v>517076.98472851689</v>
      </c>
      <c r="HJ182" s="1010">
        <f t="shared" si="473"/>
        <v>30000</v>
      </c>
      <c r="HK182" s="1010">
        <f t="shared" si="474"/>
        <v>487076.98472851689</v>
      </c>
      <c r="HL182" s="1012">
        <f t="shared" si="475"/>
        <v>33</v>
      </c>
      <c r="HM182" s="1167">
        <f t="shared" si="476"/>
        <v>14759.908628136876</v>
      </c>
      <c r="HN182" s="1168">
        <f t="shared" si="477"/>
        <v>0.875</v>
      </c>
      <c r="HO182" s="1167">
        <f t="shared" si="478"/>
        <v>3619538.8930996181</v>
      </c>
      <c r="HP182" s="1146">
        <f t="shared" si="479"/>
        <v>28062.246512512531</v>
      </c>
      <c r="HQ182" s="1146">
        <f t="shared" si="480"/>
        <v>32533.438845678374</v>
      </c>
      <c r="HR182" s="1146">
        <f t="shared" si="481"/>
        <v>42025.915635045858</v>
      </c>
      <c r="HS182" s="1146">
        <f t="shared" si="482"/>
        <v>71671.208246782538</v>
      </c>
      <c r="HU182" s="1167">
        <f t="shared" si="483"/>
        <v>-17711.890353764251</v>
      </c>
      <c r="HX182" s="1154"/>
      <c r="HY182" s="1154"/>
      <c r="IB182" s="1154"/>
      <c r="IC182" s="1154"/>
      <c r="ID182" s="1154"/>
      <c r="IE182" s="1154"/>
      <c r="IG182" s="1060"/>
    </row>
    <row r="183" spans="1:241" ht="14.25" hidden="1" customHeight="1">
      <c r="A183" s="1186">
        <f t="shared" si="490"/>
        <v>177</v>
      </c>
      <c r="B183" s="824"/>
      <c r="C183" s="855">
        <f t="shared" si="509"/>
        <v>18</v>
      </c>
      <c r="D183" s="856" t="s">
        <v>519</v>
      </c>
      <c r="E183" s="857" t="str">
        <f t="shared" si="387"/>
        <v>11th Floor</v>
      </c>
      <c r="F183" s="1185"/>
      <c r="G183" s="764" t="s">
        <v>664</v>
      </c>
      <c r="H183" s="764" t="s">
        <v>552</v>
      </c>
      <c r="I183" s="764" t="s">
        <v>476</v>
      </c>
      <c r="J183" s="831">
        <v>22</v>
      </c>
      <c r="K183" s="1142"/>
      <c r="L183" s="764" t="s">
        <v>500</v>
      </c>
      <c r="M183" s="764" t="s">
        <v>117</v>
      </c>
      <c r="N183" s="856">
        <f t="shared" si="388"/>
        <v>100909.09090909091</v>
      </c>
      <c r="O183" s="1138">
        <f t="shared" si="486"/>
        <v>2220000</v>
      </c>
      <c r="P183" s="1138">
        <f t="shared" si="491"/>
        <v>22400</v>
      </c>
      <c r="Q183" s="1138">
        <f t="shared" si="374"/>
        <v>50000</v>
      </c>
      <c r="R183" s="1138"/>
      <c r="S183" s="1138"/>
      <c r="T183" s="1138"/>
      <c r="U183" s="1138"/>
      <c r="V183" s="858">
        <f>J183*$V$5</f>
        <v>55000</v>
      </c>
      <c r="W183" s="858"/>
      <c r="X183" s="1138"/>
      <c r="Y183" s="1138">
        <f t="shared" si="511"/>
        <v>140000</v>
      </c>
      <c r="Z183" s="1138">
        <f t="shared" si="487"/>
        <v>75000</v>
      </c>
      <c r="AA183" s="1138">
        <f t="shared" si="488"/>
        <v>342400</v>
      </c>
      <c r="AB183" s="1138">
        <f t="shared" si="390"/>
        <v>2562400</v>
      </c>
      <c r="AC183" s="1138">
        <f t="shared" si="391"/>
        <v>64060</v>
      </c>
      <c r="AD183" s="1138">
        <f t="shared" si="392"/>
        <v>2626460</v>
      </c>
      <c r="AE183" s="1138">
        <f t="shared" si="393"/>
        <v>65661.5</v>
      </c>
      <c r="AF183" s="1138">
        <f t="shared" si="394"/>
        <v>2692121.5</v>
      </c>
      <c r="AG183" s="1138">
        <f t="shared" si="395"/>
        <v>67303.037500000006</v>
      </c>
      <c r="AH183" s="1138">
        <f t="shared" si="396"/>
        <v>2759424.5375000001</v>
      </c>
      <c r="AI183" s="1138">
        <f t="shared" si="397"/>
        <v>137971.22687500002</v>
      </c>
      <c r="AJ183" s="1138">
        <f t="shared" si="398"/>
        <v>2897395.7643750003</v>
      </c>
      <c r="AK183" s="1138">
        <f t="shared" si="399"/>
        <v>28973.957643750004</v>
      </c>
      <c r="AL183" s="1138">
        <f t="shared" si="400"/>
        <v>27537.409960060559</v>
      </c>
      <c r="AM183" s="1138"/>
      <c r="AN183" s="1138"/>
      <c r="AO183" s="1138">
        <f t="shared" si="401"/>
        <v>2953907.1319788108</v>
      </c>
      <c r="AP183" s="1138">
        <f t="shared" si="402"/>
        <v>398777.46281713946</v>
      </c>
      <c r="AQ183" s="1248">
        <f t="shared" si="403"/>
        <v>3352684.5947959502</v>
      </c>
      <c r="AR183" s="1248">
        <f t="shared" si="515"/>
        <v>3022684.5947959502</v>
      </c>
      <c r="AS183" s="1248">
        <v>15000</v>
      </c>
      <c r="AT183" s="1248">
        <f t="shared" si="516"/>
        <v>330000</v>
      </c>
      <c r="AU183" s="1248">
        <f t="shared" si="404"/>
        <v>39600</v>
      </c>
      <c r="AV183" s="1140">
        <f t="shared" si="405"/>
        <v>369600</v>
      </c>
      <c r="AW183" s="1140">
        <f t="shared" si="406"/>
        <v>3392284.5947959502</v>
      </c>
      <c r="AX183" s="1139">
        <f t="shared" si="407"/>
        <v>42403.557434949384</v>
      </c>
      <c r="AY183" s="831" t="s">
        <v>478</v>
      </c>
      <c r="AZ183" s="831">
        <f t="shared" si="408"/>
        <v>3434688.1522308998</v>
      </c>
      <c r="BA183" s="831">
        <f t="shared" si="409"/>
        <v>128800.80570865874</v>
      </c>
      <c r="BB183" s="831"/>
      <c r="BC183" s="831">
        <f t="shared" si="513"/>
        <v>33600</v>
      </c>
      <c r="BD183" s="831"/>
      <c r="BE183" s="831">
        <f t="shared" si="410"/>
        <v>3597088.9579395587</v>
      </c>
      <c r="BF183" s="831"/>
      <c r="BG183" s="831">
        <f t="shared" si="411"/>
        <v>3597088.9579395587</v>
      </c>
      <c r="BH183" s="831"/>
      <c r="BI183" s="831">
        <f t="shared" si="412"/>
        <v>3597088.9579395587</v>
      </c>
      <c r="BJ183" s="831"/>
      <c r="BK183" s="831">
        <f t="shared" si="413"/>
        <v>3597088.9579395587</v>
      </c>
      <c r="BL183" s="831"/>
      <c r="BM183" s="831">
        <f t="shared" si="414"/>
        <v>3597088.9579395587</v>
      </c>
      <c r="BN183" s="831"/>
      <c r="BO183" s="831">
        <f t="shared" si="415"/>
        <v>3597088.9579395587</v>
      </c>
      <c r="BP183" s="831"/>
      <c r="BQ183" s="831">
        <f t="shared" si="416"/>
        <v>3597088.9579395587</v>
      </c>
      <c r="BR183" s="831"/>
      <c r="BS183" s="831">
        <f t="shared" si="417"/>
        <v>3597088.9579395587</v>
      </c>
      <c r="BT183" s="831"/>
      <c r="BU183" s="831">
        <f t="shared" si="418"/>
        <v>3597088.9579395587</v>
      </c>
      <c r="BV183" s="831"/>
      <c r="BW183" s="831">
        <f t="shared" si="419"/>
        <v>56400</v>
      </c>
      <c r="BX183" s="831">
        <f t="shared" si="420"/>
        <v>3653488.9579395587</v>
      </c>
      <c r="BY183" s="831"/>
      <c r="BZ183" s="831">
        <f t="shared" si="421"/>
        <v>3653488.9579395587</v>
      </c>
      <c r="CA183" s="1260">
        <f t="shared" si="422"/>
        <v>3653488.9579395587</v>
      </c>
      <c r="CB183" s="1260">
        <f t="shared" si="423"/>
        <v>3653488.9579395587</v>
      </c>
      <c r="CC183" s="1260"/>
      <c r="CD183" s="1260">
        <f t="shared" si="424"/>
        <v>0</v>
      </c>
      <c r="CE183" s="1260">
        <f t="shared" si="425"/>
        <v>0</v>
      </c>
      <c r="CF183" s="1260">
        <f t="shared" si="426"/>
        <v>0</v>
      </c>
      <c r="CG183" s="1266">
        <f t="shared" si="427"/>
        <v>3653488.9579395587</v>
      </c>
      <c r="CH183" s="1141">
        <f t="shared" si="428"/>
        <v>3653488.9579395587</v>
      </c>
      <c r="CI183" s="1142">
        <f t="shared" si="429"/>
        <v>438418.67495274701</v>
      </c>
      <c r="CJ183" s="1141">
        <f t="shared" si="430"/>
        <v>374482.61818880471</v>
      </c>
      <c r="CK183" s="1141">
        <f t="shared" si="431"/>
        <v>127872.11352788456</v>
      </c>
      <c r="CL183" s="1143">
        <f t="shared" si="489"/>
        <v>4594262.3646089947</v>
      </c>
      <c r="CM183" s="1144">
        <f t="shared" si="432"/>
        <v>0.125</v>
      </c>
      <c r="CN183" s="1141">
        <f t="shared" si="502"/>
        <v>574282.79557612434</v>
      </c>
      <c r="CO183" s="1141">
        <f t="shared" si="433"/>
        <v>30000</v>
      </c>
      <c r="CP183" s="1141">
        <f t="shared" si="503"/>
        <v>544282.79557612434</v>
      </c>
      <c r="CQ183" s="1145">
        <f t="shared" si="434"/>
        <v>15</v>
      </c>
      <c r="CR183" s="1141">
        <f t="shared" si="504"/>
        <v>36285.519705074956</v>
      </c>
      <c r="CS183" s="1144">
        <f t="shared" si="435"/>
        <v>0.875</v>
      </c>
      <c r="CT183" s="1141">
        <f t="shared" si="436"/>
        <v>4019979.5690328702</v>
      </c>
      <c r="CU183" s="1146">
        <f t="shared" si="375"/>
        <v>31166.858810808069</v>
      </c>
      <c r="CV183" s="1146">
        <f t="shared" si="376"/>
        <v>36132.712848958996</v>
      </c>
      <c r="CW183" s="1146">
        <f t="shared" si="377"/>
        <v>46675.371425034631</v>
      </c>
      <c r="CX183" s="1146">
        <f t="shared" si="378"/>
        <v>79600.413574568622</v>
      </c>
      <c r="CY183" s="1146">
        <f t="shared" si="437"/>
        <v>326555.71795502852</v>
      </c>
      <c r="CZ183" s="1146">
        <f t="shared" si="438"/>
        <v>129216.50685057316</v>
      </c>
      <c r="DA183" s="1146">
        <f t="shared" si="439"/>
        <v>93331.252779636707</v>
      </c>
      <c r="DB183" s="1146">
        <f t="shared" si="440"/>
        <v>71029.380114263637</v>
      </c>
      <c r="DC183" s="1146"/>
      <c r="DD183" s="1146"/>
      <c r="DE183" s="1146"/>
      <c r="DF183" s="1146"/>
      <c r="DG183" s="1146"/>
      <c r="DH183" s="1146"/>
      <c r="DI183" s="1146"/>
      <c r="DJ183" s="1146"/>
      <c r="DK183" s="1146"/>
      <c r="DL183" s="1146"/>
      <c r="DM183" s="1146"/>
      <c r="DN183" s="1146"/>
      <c r="DO183" s="1146"/>
      <c r="DP183" s="1146"/>
      <c r="DQ183" s="1146"/>
      <c r="DR183" s="1146"/>
      <c r="DS183" s="1146"/>
      <c r="DT183" s="1146"/>
      <c r="DU183" s="1146"/>
      <c r="DV183" s="1146"/>
      <c r="DW183" s="1146"/>
      <c r="DX183" s="1146"/>
      <c r="DY183" s="1146"/>
      <c r="DZ183" s="1146"/>
      <c r="EA183" s="1147">
        <f t="shared" si="379"/>
        <v>0.109174473766846</v>
      </c>
      <c r="EB183" s="1148">
        <f t="shared" si="441"/>
        <v>0</v>
      </c>
      <c r="EC183" s="1190">
        <f t="shared" si="484"/>
        <v>45839</v>
      </c>
      <c r="ED183" s="1031">
        <f t="shared" si="380"/>
        <v>20</v>
      </c>
      <c r="EE183" s="1191"/>
      <c r="EF183" s="1032">
        <f t="shared" si="381"/>
        <v>45904</v>
      </c>
      <c r="EG183" s="1029">
        <f t="shared" si="442"/>
        <v>22</v>
      </c>
      <c r="EH183" s="859" t="s">
        <v>490</v>
      </c>
      <c r="EI183" s="859" t="s">
        <v>480</v>
      </c>
      <c r="EJ183" s="860">
        <f t="shared" si="382"/>
        <v>16800</v>
      </c>
      <c r="EK183" s="860">
        <f t="shared" si="383"/>
        <v>369600</v>
      </c>
      <c r="EL183" s="861">
        <f t="shared" si="384"/>
        <v>0.12227541061886751</v>
      </c>
      <c r="EM183" s="1197"/>
      <c r="EN183" s="860"/>
      <c r="EO183" s="860"/>
      <c r="EP183" s="860">
        <f t="shared" si="385"/>
        <v>0</v>
      </c>
      <c r="EQ183" s="1197"/>
      <c r="ER183" s="1200"/>
      <c r="ES183" s="1197"/>
      <c r="ET183" s="1207" t="s">
        <v>664</v>
      </c>
      <c r="EU183" s="1197" t="b">
        <f t="shared" si="386"/>
        <v>1</v>
      </c>
      <c r="EV183" s="1197"/>
      <c r="EW183" s="1197"/>
      <c r="EX183" s="1197"/>
      <c r="EY183" s="1128" t="s">
        <v>587</v>
      </c>
      <c r="EZ183" s="1128" t="s">
        <v>484</v>
      </c>
      <c r="FA183" s="1169">
        <f t="shared" si="443"/>
        <v>0</v>
      </c>
      <c r="FI183" s="1309" t="s">
        <v>149</v>
      </c>
      <c r="FJ183" s="1159" t="s">
        <v>149</v>
      </c>
      <c r="FK183" s="1160" t="b">
        <f t="shared" si="444"/>
        <v>1</v>
      </c>
      <c r="FL183" s="1131"/>
      <c r="FM183" s="1161"/>
      <c r="FO183" s="888"/>
      <c r="FU183" s="1295"/>
      <c r="FV183" s="1295"/>
      <c r="FW183" s="1023">
        <v>0.15</v>
      </c>
      <c r="FX183" s="1162">
        <v>15555.59112287988</v>
      </c>
      <c r="FY183" s="1163">
        <v>16041.703345469876</v>
      </c>
      <c r="GA183" s="1164">
        <f t="shared" si="445"/>
        <v>4594262.3646089947</v>
      </c>
      <c r="GB183" s="1165">
        <f t="shared" si="485"/>
        <v>0.15</v>
      </c>
      <c r="GC183" s="1154">
        <f t="shared" si="446"/>
        <v>689139.3546913492</v>
      </c>
      <c r="GD183" s="1164">
        <f t="shared" si="447"/>
        <v>30000</v>
      </c>
      <c r="GE183" s="1154">
        <f t="shared" si="448"/>
        <v>659139.3546913492</v>
      </c>
      <c r="GF183" s="1060">
        <f t="shared" si="449"/>
        <v>35</v>
      </c>
      <c r="GG183" s="1166">
        <f t="shared" si="450"/>
        <v>18832.552991181405</v>
      </c>
      <c r="GI183" s="1164">
        <f t="shared" si="451"/>
        <v>4594262.3646089947</v>
      </c>
      <c r="GJ183" s="1154">
        <f t="shared" si="452"/>
        <v>459426.23646089947</v>
      </c>
      <c r="GK183" s="1154">
        <f t="shared" si="453"/>
        <v>114856.55911522487</v>
      </c>
      <c r="GL183" s="1166">
        <v>15000</v>
      </c>
      <c r="GM183" s="1154">
        <f t="shared" si="454"/>
        <v>444426.23646089947</v>
      </c>
      <c r="GN183" s="1060">
        <f t="shared" si="455"/>
        <v>35</v>
      </c>
      <c r="GO183" s="1154">
        <f t="shared" si="456"/>
        <v>12697.892470311413</v>
      </c>
      <c r="GS183" s="1010">
        <f t="shared" si="457"/>
        <v>4594262.3646089947</v>
      </c>
      <c r="GT183" s="1011">
        <f t="shared" si="458"/>
        <v>0.125</v>
      </c>
      <c r="GU183" s="1010">
        <f t="shared" si="459"/>
        <v>574282.79557612434</v>
      </c>
      <c r="GV183" s="1010">
        <f t="shared" si="460"/>
        <v>30000</v>
      </c>
      <c r="GW183" s="1010">
        <f t="shared" si="461"/>
        <v>544282.79557612434</v>
      </c>
      <c r="GX183" s="1010">
        <f t="shared" si="462"/>
        <v>15</v>
      </c>
      <c r="GY183" s="1010">
        <f t="shared" si="463"/>
        <v>36285.519705074956</v>
      </c>
      <c r="GZ183" s="1011">
        <f t="shared" si="464"/>
        <v>0.875</v>
      </c>
      <c r="HA183" s="1010">
        <f t="shared" si="465"/>
        <v>4019979.5690328702</v>
      </c>
      <c r="HB183" s="1010">
        <f t="shared" si="466"/>
        <v>31166.858810808069</v>
      </c>
      <c r="HC183" s="1010">
        <f t="shared" si="467"/>
        <v>36132.712848958996</v>
      </c>
      <c r="HD183" s="1010">
        <f t="shared" si="468"/>
        <v>46675.371425034631</v>
      </c>
      <c r="HE183" s="1010">
        <f t="shared" si="469"/>
        <v>79600.413574568622</v>
      </c>
      <c r="HG183" s="1010">
        <f t="shared" si="470"/>
        <v>4594262.3646089947</v>
      </c>
      <c r="HH183" s="1011">
        <f t="shared" si="471"/>
        <v>0.125</v>
      </c>
      <c r="HI183" s="1010">
        <f t="shared" si="472"/>
        <v>574282.79557612434</v>
      </c>
      <c r="HJ183" s="1010">
        <f t="shared" si="473"/>
        <v>30000</v>
      </c>
      <c r="HK183" s="1010">
        <f t="shared" si="474"/>
        <v>544282.79557612434</v>
      </c>
      <c r="HL183" s="1012">
        <f t="shared" si="475"/>
        <v>33</v>
      </c>
      <c r="HM183" s="1167">
        <f t="shared" si="476"/>
        <v>16493.418047761344</v>
      </c>
      <c r="HN183" s="1168">
        <f t="shared" si="477"/>
        <v>0.875</v>
      </c>
      <c r="HO183" s="1167">
        <f t="shared" si="478"/>
        <v>4019979.5690328702</v>
      </c>
      <c r="HP183" s="1146">
        <f t="shared" si="479"/>
        <v>31166.858810808069</v>
      </c>
      <c r="HQ183" s="1146">
        <f t="shared" si="480"/>
        <v>36132.712848958996</v>
      </c>
      <c r="HR183" s="1146">
        <f t="shared" si="481"/>
        <v>46675.371425034631</v>
      </c>
      <c r="HS183" s="1146">
        <f t="shared" si="482"/>
        <v>79600.413574568622</v>
      </c>
      <c r="HU183" s="1167">
        <f t="shared" si="483"/>
        <v>-19792.101657313611</v>
      </c>
      <c r="HX183" s="1154"/>
      <c r="HY183" s="1154"/>
      <c r="IB183" s="1154"/>
      <c r="IC183" s="1154"/>
      <c r="ID183" s="1154"/>
      <c r="IE183" s="1154"/>
      <c r="IG183" s="1060"/>
    </row>
    <row r="184" spans="1:241" ht="14.25" customHeight="1">
      <c r="A184" s="1186">
        <f t="shared" si="490"/>
        <v>178</v>
      </c>
      <c r="B184" s="824"/>
      <c r="C184" s="855">
        <v>1</v>
      </c>
      <c r="D184" s="856" t="s">
        <v>524</v>
      </c>
      <c r="E184" s="857" t="str">
        <f t="shared" si="387"/>
        <v>12th Floor</v>
      </c>
      <c r="F184" s="1185"/>
      <c r="G184" s="764" t="s">
        <v>665</v>
      </c>
      <c r="H184" s="764" t="s">
        <v>475</v>
      </c>
      <c r="I184" s="764" t="s">
        <v>476</v>
      </c>
      <c r="J184" s="1139">
        <v>22</v>
      </c>
      <c r="K184" s="1142"/>
      <c r="L184" s="764" t="s">
        <v>344</v>
      </c>
      <c r="M184" s="764" t="s">
        <v>477</v>
      </c>
      <c r="N184" s="856">
        <f t="shared" si="388"/>
        <v>100909.09090909091</v>
      </c>
      <c r="O184" s="1138">
        <f t="shared" si="486"/>
        <v>2220000</v>
      </c>
      <c r="P184" s="1138">
        <f t="shared" si="491"/>
        <v>22400</v>
      </c>
      <c r="Q184" s="1138">
        <f t="shared" si="374"/>
        <v>50000</v>
      </c>
      <c r="R184" s="1138"/>
      <c r="S184" s="1138"/>
      <c r="T184" s="1138"/>
      <c r="U184" s="1138"/>
      <c r="V184" s="858"/>
      <c r="W184" s="858">
        <f>J184*$W$5</f>
        <v>22000</v>
      </c>
      <c r="X184" s="1138"/>
      <c r="Y184" s="1138">
        <f>Y183+Y5</f>
        <v>160000</v>
      </c>
      <c r="Z184" s="1138">
        <f t="shared" si="487"/>
        <v>75000</v>
      </c>
      <c r="AA184" s="1138">
        <f t="shared" si="488"/>
        <v>329400</v>
      </c>
      <c r="AB184" s="1138">
        <f t="shared" si="390"/>
        <v>2549400</v>
      </c>
      <c r="AC184" s="1138">
        <f t="shared" si="391"/>
        <v>63735</v>
      </c>
      <c r="AD184" s="1138">
        <f t="shared" si="392"/>
        <v>2613135</v>
      </c>
      <c r="AE184" s="1138">
        <f t="shared" si="393"/>
        <v>65328.375</v>
      </c>
      <c r="AF184" s="1138">
        <f t="shared" si="394"/>
        <v>2678463.375</v>
      </c>
      <c r="AG184" s="1138">
        <f t="shared" si="395"/>
        <v>66961.584375000006</v>
      </c>
      <c r="AH184" s="1138">
        <f t="shared" si="396"/>
        <v>2745424.9593750001</v>
      </c>
      <c r="AI184" s="1138">
        <f t="shared" si="397"/>
        <v>137271.24796875002</v>
      </c>
      <c r="AJ184" s="1138">
        <f t="shared" si="398"/>
        <v>2882696.2073437502</v>
      </c>
      <c r="AK184" s="1138">
        <f t="shared" si="399"/>
        <v>28826.962073437502</v>
      </c>
      <c r="AL184" s="1138">
        <f t="shared" si="400"/>
        <v>27537.409960060559</v>
      </c>
      <c r="AM184" s="1138"/>
      <c r="AN184" s="1138"/>
      <c r="AO184" s="1138">
        <f t="shared" si="401"/>
        <v>2939060.579377248</v>
      </c>
      <c r="AP184" s="1138">
        <f t="shared" si="402"/>
        <v>396773.17821592849</v>
      </c>
      <c r="AQ184" s="1248">
        <f t="shared" si="403"/>
        <v>3335833.7575931763</v>
      </c>
      <c r="AR184" s="1248">
        <f t="shared" si="515"/>
        <v>3005833.7575931763</v>
      </c>
      <c r="AS184" s="1248">
        <v>15000</v>
      </c>
      <c r="AT184" s="1248">
        <f t="shared" si="516"/>
        <v>330000</v>
      </c>
      <c r="AU184" s="1248">
        <f t="shared" si="404"/>
        <v>39600</v>
      </c>
      <c r="AV184" s="1140">
        <f t="shared" si="405"/>
        <v>369600</v>
      </c>
      <c r="AW184" s="1140">
        <f t="shared" si="406"/>
        <v>3375433.7575931763</v>
      </c>
      <c r="AX184" s="1139">
        <f t="shared" si="407"/>
        <v>42192.921969914707</v>
      </c>
      <c r="AY184" s="831">
        <v>13444.671373913045</v>
      </c>
      <c r="AZ184" s="831">
        <f t="shared" si="408"/>
        <v>3431071.3509370042</v>
      </c>
      <c r="BA184" s="831">
        <f t="shared" si="409"/>
        <v>128665.17566013765</v>
      </c>
      <c r="BB184" s="831"/>
      <c r="BC184" s="831">
        <f t="shared" si="513"/>
        <v>33600</v>
      </c>
      <c r="BD184" s="831">
        <v>8990.8965517241377</v>
      </c>
      <c r="BE184" s="831">
        <f t="shared" si="410"/>
        <v>3602327.4231488658</v>
      </c>
      <c r="BF184" s="831">
        <v>42723.767172413798</v>
      </c>
      <c r="BG184" s="831">
        <f t="shared" si="411"/>
        <v>3645051.1903212797</v>
      </c>
      <c r="BH184" s="831"/>
      <c r="BI184" s="831">
        <f t="shared" si="412"/>
        <v>3645051.1903212797</v>
      </c>
      <c r="BJ184" s="831"/>
      <c r="BK184" s="831">
        <f t="shared" si="413"/>
        <v>3645051.1903212797</v>
      </c>
      <c r="BL184" s="831"/>
      <c r="BM184" s="831">
        <f t="shared" si="414"/>
        <v>3645051.1903212797</v>
      </c>
      <c r="BN184" s="831"/>
      <c r="BO184" s="831">
        <f t="shared" si="415"/>
        <v>3645051.1903212797</v>
      </c>
      <c r="BP184" s="831">
        <f t="shared" ref="BP184:BP186" si="518">$BP$5/37</f>
        <v>5065.3710270270276</v>
      </c>
      <c r="BQ184" s="831">
        <f t="shared" si="416"/>
        <v>3650116.5613483069</v>
      </c>
      <c r="BR184" s="831">
        <f t="shared" ref="BR184:BR186" si="519">$BR$5/42</f>
        <v>3544.6104</v>
      </c>
      <c r="BS184" s="831">
        <f t="shared" si="417"/>
        <v>3653661.1717483071</v>
      </c>
      <c r="BT184" s="831">
        <f t="shared" ref="BT184:BT186" si="520">$BT$5/41</f>
        <v>1609.3168000000001</v>
      </c>
      <c r="BU184" s="831">
        <f t="shared" si="418"/>
        <v>3655270.4885483072</v>
      </c>
      <c r="BV184" s="831">
        <f t="shared" ref="BV184:BV186" si="521">$BV$5/43</f>
        <v>1163.3400930232558</v>
      </c>
      <c r="BW184" s="831">
        <f t="shared" si="419"/>
        <v>56400</v>
      </c>
      <c r="BX184" s="831">
        <f t="shared" si="420"/>
        <v>3712833.8286413304</v>
      </c>
      <c r="BY184" s="831">
        <f t="shared" ref="BY184:BY186" si="522">$BY$5/44</f>
        <v>30549.183723443901</v>
      </c>
      <c r="BZ184" s="831">
        <f t="shared" si="421"/>
        <v>3743383.0123647745</v>
      </c>
      <c r="CA184" s="1260">
        <f t="shared" si="422"/>
        <v>3743383.0123647745</v>
      </c>
      <c r="CB184" s="1260">
        <f t="shared" si="423"/>
        <v>3567383.0123647745</v>
      </c>
      <c r="CC184" s="1260">
        <v>8000</v>
      </c>
      <c r="CD184" s="1260">
        <f t="shared" si="424"/>
        <v>176000</v>
      </c>
      <c r="CE184" s="1260">
        <f t="shared" si="425"/>
        <v>21120</v>
      </c>
      <c r="CF184" s="1260">
        <f t="shared" si="426"/>
        <v>197120</v>
      </c>
      <c r="CG184" s="1266">
        <f t="shared" si="427"/>
        <v>3764503.0123647745</v>
      </c>
      <c r="CH184" s="1141">
        <f t="shared" si="428"/>
        <v>3764503.0123647745</v>
      </c>
      <c r="CI184" s="1142">
        <f t="shared" si="429"/>
        <v>0</v>
      </c>
      <c r="CJ184" s="1141">
        <f t="shared" si="430"/>
        <v>385861.55876738939</v>
      </c>
      <c r="CK184" s="1141">
        <f t="shared" si="431"/>
        <v>131757.60543276713</v>
      </c>
      <c r="CL184" s="1143">
        <f t="shared" si="489"/>
        <v>4282122.1765649309</v>
      </c>
      <c r="CM184" s="1144">
        <f t="shared" si="432"/>
        <v>0.125</v>
      </c>
      <c r="CN184" s="1141">
        <f t="shared" si="502"/>
        <v>535265.27207061637</v>
      </c>
      <c r="CO184" s="1141">
        <f t="shared" si="433"/>
        <v>30000</v>
      </c>
      <c r="CP184" s="1141">
        <f t="shared" si="503"/>
        <v>505265.27207061637</v>
      </c>
      <c r="CQ184" s="1145">
        <f t="shared" si="434"/>
        <v>16</v>
      </c>
      <c r="CR184" s="1141">
        <f t="shared" si="504"/>
        <v>31579.079504413523</v>
      </c>
      <c r="CS184" s="1144">
        <f t="shared" si="435"/>
        <v>0.875</v>
      </c>
      <c r="CT184" s="1141">
        <f t="shared" si="436"/>
        <v>3746856.9044943145</v>
      </c>
      <c r="CU184" s="1146">
        <f t="shared" si="375"/>
        <v>29049.341699706732</v>
      </c>
      <c r="CV184" s="1146">
        <f t="shared" si="376"/>
        <v>33677.809125981017</v>
      </c>
      <c r="CW184" s="1146">
        <f t="shared" si="377"/>
        <v>43504.185703063617</v>
      </c>
      <c r="CX184" s="1146">
        <f t="shared" si="378"/>
        <v>74192.257468171403</v>
      </c>
      <c r="CY184" s="1146">
        <f t="shared" si="437"/>
        <v>304369.09579027066</v>
      </c>
      <c r="CZ184" s="1146">
        <f t="shared" si="438"/>
        <v>120437.36853722009</v>
      </c>
      <c r="DA184" s="1146">
        <f t="shared" si="439"/>
        <v>86990.20551654615</v>
      </c>
      <c r="DB184" s="1146">
        <f t="shared" si="440"/>
        <v>66203.551220313122</v>
      </c>
      <c r="DC184" s="1146"/>
      <c r="DD184" s="1146"/>
      <c r="DE184" s="1146"/>
      <c r="DF184" s="1146"/>
      <c r="DG184" s="1146"/>
      <c r="DH184" s="1146"/>
      <c r="DI184" s="1146"/>
      <c r="DJ184" s="1146"/>
      <c r="DK184" s="1146"/>
      <c r="DL184" s="1146"/>
      <c r="DM184" s="1146"/>
      <c r="DN184" s="1146"/>
      <c r="DO184" s="1146"/>
      <c r="DP184" s="1146"/>
      <c r="DQ184" s="1146"/>
      <c r="DR184" s="1146"/>
      <c r="DS184" s="1146"/>
      <c r="DT184" s="1146"/>
      <c r="DU184" s="1146"/>
      <c r="DV184" s="1146"/>
      <c r="DW184" s="1146"/>
      <c r="DX184" s="1146"/>
      <c r="DY184" s="1146"/>
      <c r="DZ184" s="1146"/>
      <c r="EA184" s="1147">
        <f t="shared" si="379"/>
        <v>0.10978651070318565</v>
      </c>
      <c r="EB184" s="1148">
        <f t="shared" si="441"/>
        <v>5.5256191812533065E-2</v>
      </c>
      <c r="EC184" s="1190">
        <f t="shared" si="484"/>
        <v>45839</v>
      </c>
      <c r="ED184" s="1031">
        <f t="shared" si="380"/>
        <v>20</v>
      </c>
      <c r="EE184" s="1191"/>
      <c r="EF184" s="1032">
        <f t="shared" si="381"/>
        <v>45904</v>
      </c>
      <c r="EG184" s="1029">
        <f t="shared" si="442"/>
        <v>22</v>
      </c>
      <c r="EH184" s="859" t="s">
        <v>490</v>
      </c>
      <c r="EI184" s="859" t="s">
        <v>480</v>
      </c>
      <c r="EJ184" s="860">
        <f t="shared" si="382"/>
        <v>16800</v>
      </c>
      <c r="EK184" s="860">
        <f t="shared" si="383"/>
        <v>369600</v>
      </c>
      <c r="EL184" s="861">
        <f t="shared" si="384"/>
        <v>0.12296089198756793</v>
      </c>
      <c r="EM184" s="1197"/>
      <c r="EN184" s="860"/>
      <c r="EO184" s="860"/>
      <c r="EP184" s="860">
        <f t="shared" si="385"/>
        <v>0</v>
      </c>
      <c r="EQ184" s="1197"/>
      <c r="ER184" s="1200"/>
      <c r="ES184" s="1197"/>
      <c r="ET184" s="1207" t="s">
        <v>665</v>
      </c>
      <c r="EU184" s="1197" t="b">
        <f t="shared" si="386"/>
        <v>1</v>
      </c>
      <c r="EV184" s="1197"/>
      <c r="EW184" s="1197"/>
      <c r="EX184" s="1197"/>
      <c r="EY184" s="1128" t="s">
        <v>587</v>
      </c>
      <c r="EZ184" s="1128" t="s">
        <v>611</v>
      </c>
      <c r="FA184" s="1169"/>
      <c r="FI184" s="1309" t="s">
        <v>96</v>
      </c>
      <c r="FJ184" s="1159" t="s">
        <v>96</v>
      </c>
      <c r="FK184" s="1160" t="b">
        <f t="shared" si="444"/>
        <v>1</v>
      </c>
      <c r="FL184" s="1131"/>
      <c r="FM184" s="1161"/>
      <c r="FO184" s="888"/>
      <c r="FU184" s="1295"/>
      <c r="FV184" s="1295"/>
      <c r="FW184" s="1023">
        <v>0.15</v>
      </c>
      <c r="FX184" s="1162">
        <v>15185.662271079947</v>
      </c>
      <c r="FY184" s="1163">
        <v>15660.214217051196</v>
      </c>
      <c r="GA184" s="1164">
        <f t="shared" si="445"/>
        <v>4282122.1765649309</v>
      </c>
      <c r="GB184" s="1165">
        <f t="shared" si="485"/>
        <v>0.15</v>
      </c>
      <c r="GC184" s="1154">
        <f t="shared" si="446"/>
        <v>642318.32648473966</v>
      </c>
      <c r="GD184" s="1164">
        <f t="shared" si="447"/>
        <v>30000</v>
      </c>
      <c r="GE184" s="1154">
        <f t="shared" si="448"/>
        <v>612318.32648473966</v>
      </c>
      <c r="GF184" s="1060">
        <f t="shared" si="449"/>
        <v>35</v>
      </c>
      <c r="GG184" s="1166">
        <f t="shared" si="450"/>
        <v>17494.809328135419</v>
      </c>
      <c r="GI184" s="1164">
        <f t="shared" si="451"/>
        <v>4282122.1765649309</v>
      </c>
      <c r="GJ184" s="1154">
        <f t="shared" si="452"/>
        <v>428212.21765649313</v>
      </c>
      <c r="GK184" s="1154">
        <f t="shared" si="453"/>
        <v>107053.05441412328</v>
      </c>
      <c r="GL184" s="1166">
        <v>15000</v>
      </c>
      <c r="GM184" s="1154">
        <f t="shared" si="454"/>
        <v>413212.21765649313</v>
      </c>
      <c r="GN184" s="1060">
        <f t="shared" si="455"/>
        <v>35</v>
      </c>
      <c r="GO184" s="1154">
        <f t="shared" si="456"/>
        <v>11806.063361614089</v>
      </c>
      <c r="GS184" s="1010">
        <f t="shared" si="457"/>
        <v>4282122.1765649309</v>
      </c>
      <c r="GT184" s="1011">
        <f t="shared" si="458"/>
        <v>0.125</v>
      </c>
      <c r="GU184" s="1010">
        <f t="shared" si="459"/>
        <v>535265.27207061637</v>
      </c>
      <c r="GV184" s="1010">
        <f t="shared" si="460"/>
        <v>30000</v>
      </c>
      <c r="GW184" s="1010">
        <f t="shared" si="461"/>
        <v>505265.27207061637</v>
      </c>
      <c r="GX184" s="1010">
        <f t="shared" si="462"/>
        <v>16</v>
      </c>
      <c r="GY184" s="1010">
        <f t="shared" si="463"/>
        <v>31579.079504413523</v>
      </c>
      <c r="GZ184" s="1011">
        <f t="shared" si="464"/>
        <v>0.875</v>
      </c>
      <c r="HA184" s="1010">
        <f t="shared" si="465"/>
        <v>3746856.9044943145</v>
      </c>
      <c r="HB184" s="1010">
        <f t="shared" si="466"/>
        <v>29049.341699706732</v>
      </c>
      <c r="HC184" s="1010">
        <f t="shared" si="467"/>
        <v>33677.809125981017</v>
      </c>
      <c r="HD184" s="1010">
        <f t="shared" si="468"/>
        <v>43504.185703063617</v>
      </c>
      <c r="HE184" s="1010">
        <f t="shared" si="469"/>
        <v>74192.257468171403</v>
      </c>
      <c r="HG184" s="1010">
        <f t="shared" si="470"/>
        <v>4282122.1765649309</v>
      </c>
      <c r="HH184" s="1011">
        <f t="shared" si="471"/>
        <v>0.125</v>
      </c>
      <c r="HI184" s="1010">
        <f t="shared" si="472"/>
        <v>535265.27207061637</v>
      </c>
      <c r="HJ184" s="1010">
        <f t="shared" si="473"/>
        <v>30000</v>
      </c>
      <c r="HK184" s="1010">
        <f t="shared" si="474"/>
        <v>505265.27207061637</v>
      </c>
      <c r="HL184" s="1012">
        <f t="shared" si="475"/>
        <v>33</v>
      </c>
      <c r="HM184" s="1167">
        <f t="shared" si="476"/>
        <v>15311.068850624739</v>
      </c>
      <c r="HN184" s="1168">
        <f t="shared" si="477"/>
        <v>0.875</v>
      </c>
      <c r="HO184" s="1167">
        <f t="shared" si="478"/>
        <v>3746856.9044943145</v>
      </c>
      <c r="HP184" s="1146">
        <f t="shared" si="479"/>
        <v>29049.341699706732</v>
      </c>
      <c r="HQ184" s="1146">
        <f t="shared" si="480"/>
        <v>33677.809125981017</v>
      </c>
      <c r="HR184" s="1146">
        <f t="shared" si="481"/>
        <v>43504.185703063617</v>
      </c>
      <c r="HS184" s="1146">
        <f t="shared" si="482"/>
        <v>74192.257468171403</v>
      </c>
      <c r="HU184" s="1167">
        <f t="shared" si="483"/>
        <v>-16268.010653788784</v>
      </c>
      <c r="HX184" s="1154"/>
      <c r="HY184" s="1154"/>
      <c r="IB184" s="1154"/>
      <c r="IC184" s="1154"/>
      <c r="ID184" s="1154"/>
      <c r="IE184" s="1154"/>
      <c r="IG184" s="1060"/>
    </row>
    <row r="185" spans="1:241" ht="14.25" customHeight="1">
      <c r="A185" s="1186">
        <f t="shared" si="490"/>
        <v>179</v>
      </c>
      <c r="B185" s="824"/>
      <c r="C185" s="855">
        <f>C184+1</f>
        <v>2</v>
      </c>
      <c r="D185" s="856" t="s">
        <v>524</v>
      </c>
      <c r="E185" s="857" t="str">
        <f t="shared" si="387"/>
        <v>12th Floor</v>
      </c>
      <c r="F185" s="1185"/>
      <c r="G185" s="764" t="s">
        <v>666</v>
      </c>
      <c r="H185" s="764" t="s">
        <v>489</v>
      </c>
      <c r="I185" s="764" t="s">
        <v>476</v>
      </c>
      <c r="J185" s="1139">
        <v>22</v>
      </c>
      <c r="K185" s="1142"/>
      <c r="L185" s="764" t="s">
        <v>344</v>
      </c>
      <c r="M185" s="764" t="s">
        <v>93</v>
      </c>
      <c r="N185" s="856">
        <f t="shared" si="388"/>
        <v>100909.09090909091</v>
      </c>
      <c r="O185" s="1138">
        <f t="shared" si="486"/>
        <v>2220000</v>
      </c>
      <c r="P185" s="1138">
        <f t="shared" si="491"/>
        <v>22400</v>
      </c>
      <c r="Q185" s="1138">
        <f t="shared" si="374"/>
        <v>50000</v>
      </c>
      <c r="R185" s="1138"/>
      <c r="S185" s="1138"/>
      <c r="T185" s="1138"/>
      <c r="U185" s="1138"/>
      <c r="V185" s="858"/>
      <c r="W185" s="858"/>
      <c r="X185" s="1138"/>
      <c r="Y185" s="1138">
        <f>$Y$184</f>
        <v>160000</v>
      </c>
      <c r="Z185" s="1138">
        <f t="shared" si="487"/>
        <v>75000</v>
      </c>
      <c r="AA185" s="1138">
        <f t="shared" si="488"/>
        <v>307400</v>
      </c>
      <c r="AB185" s="1138">
        <f t="shared" si="390"/>
        <v>2527400</v>
      </c>
      <c r="AC185" s="1138">
        <f t="shared" si="391"/>
        <v>63185</v>
      </c>
      <c r="AD185" s="1138">
        <f t="shared" si="392"/>
        <v>2590585</v>
      </c>
      <c r="AE185" s="1138">
        <f t="shared" si="393"/>
        <v>64764.625</v>
      </c>
      <c r="AF185" s="1138">
        <f t="shared" si="394"/>
        <v>2655349.625</v>
      </c>
      <c r="AG185" s="1138">
        <f t="shared" si="395"/>
        <v>66383.740625000006</v>
      </c>
      <c r="AH185" s="1138">
        <f t="shared" si="396"/>
        <v>2721733.3656250001</v>
      </c>
      <c r="AI185" s="1138">
        <f t="shared" si="397"/>
        <v>136086.66828125002</v>
      </c>
      <c r="AJ185" s="1138">
        <f t="shared" si="398"/>
        <v>2857820.0339062503</v>
      </c>
      <c r="AK185" s="1138">
        <f t="shared" si="399"/>
        <v>28578.200339062503</v>
      </c>
      <c r="AL185" s="1138">
        <f t="shared" si="400"/>
        <v>27537.409960060559</v>
      </c>
      <c r="AM185" s="1138"/>
      <c r="AN185" s="1138"/>
      <c r="AO185" s="1138">
        <f t="shared" si="401"/>
        <v>2913935.6442053732</v>
      </c>
      <c r="AP185" s="1138">
        <f t="shared" si="402"/>
        <v>393381.3119677254</v>
      </c>
      <c r="AQ185" s="1248">
        <f t="shared" si="403"/>
        <v>3307316.9561730986</v>
      </c>
      <c r="AR185" s="1248">
        <f t="shared" si="515"/>
        <v>2977316.9561730986</v>
      </c>
      <c r="AS185" s="1248">
        <v>15000</v>
      </c>
      <c r="AT185" s="1248">
        <f t="shared" si="516"/>
        <v>330000</v>
      </c>
      <c r="AU185" s="1248">
        <f t="shared" si="404"/>
        <v>39600</v>
      </c>
      <c r="AV185" s="1140">
        <f t="shared" si="405"/>
        <v>369600</v>
      </c>
      <c r="AW185" s="1140">
        <f t="shared" si="406"/>
        <v>3346916.9561730986</v>
      </c>
      <c r="AX185" s="1139">
        <f t="shared" si="407"/>
        <v>41836.461952163736</v>
      </c>
      <c r="AY185" s="831" t="s">
        <v>478</v>
      </c>
      <c r="AZ185" s="831">
        <f t="shared" si="408"/>
        <v>3388753.4181252625</v>
      </c>
      <c r="BA185" s="831">
        <f t="shared" si="409"/>
        <v>127078.25317969733</v>
      </c>
      <c r="BB185" s="831"/>
      <c r="BC185" s="831">
        <f t="shared" si="513"/>
        <v>33600</v>
      </c>
      <c r="BD185" s="831"/>
      <c r="BE185" s="831">
        <f t="shared" si="410"/>
        <v>3549431.6713049598</v>
      </c>
      <c r="BF185" s="831"/>
      <c r="BG185" s="831">
        <f t="shared" si="411"/>
        <v>3549431.6713049598</v>
      </c>
      <c r="BH185" s="831"/>
      <c r="BI185" s="831">
        <f t="shared" si="412"/>
        <v>3549431.6713049598</v>
      </c>
      <c r="BJ185" s="831"/>
      <c r="BK185" s="831">
        <f t="shared" si="413"/>
        <v>3549431.6713049598</v>
      </c>
      <c r="BL185" s="831"/>
      <c r="BM185" s="831">
        <f t="shared" si="414"/>
        <v>3549431.6713049598</v>
      </c>
      <c r="BN185" s="831"/>
      <c r="BO185" s="831">
        <f t="shared" si="415"/>
        <v>3549431.6713049598</v>
      </c>
      <c r="BP185" s="831">
        <f t="shared" si="518"/>
        <v>5065.3710270270276</v>
      </c>
      <c r="BQ185" s="831">
        <f t="shared" si="416"/>
        <v>3554497.0423319871</v>
      </c>
      <c r="BR185" s="831">
        <f t="shared" si="519"/>
        <v>3544.6104</v>
      </c>
      <c r="BS185" s="831">
        <f t="shared" si="417"/>
        <v>3558041.6527319872</v>
      </c>
      <c r="BT185" s="831">
        <f t="shared" si="520"/>
        <v>1609.3168000000001</v>
      </c>
      <c r="BU185" s="831">
        <f t="shared" si="418"/>
        <v>3559650.9695319873</v>
      </c>
      <c r="BV185" s="831">
        <f t="shared" si="521"/>
        <v>1163.3400930232558</v>
      </c>
      <c r="BW185" s="831">
        <f t="shared" si="419"/>
        <v>56400</v>
      </c>
      <c r="BX185" s="831">
        <f t="shared" si="420"/>
        <v>3617214.3096250105</v>
      </c>
      <c r="BY185" s="831">
        <f t="shared" si="522"/>
        <v>30549.183723443901</v>
      </c>
      <c r="BZ185" s="831">
        <f t="shared" si="421"/>
        <v>3647763.4933484546</v>
      </c>
      <c r="CA185" s="1260">
        <f t="shared" si="422"/>
        <v>3647763.4933484546</v>
      </c>
      <c r="CB185" s="1260">
        <f t="shared" si="423"/>
        <v>3471763.4933484546</v>
      </c>
      <c r="CC185" s="1260">
        <v>8000</v>
      </c>
      <c r="CD185" s="1260">
        <f t="shared" si="424"/>
        <v>176000</v>
      </c>
      <c r="CE185" s="1260">
        <f t="shared" si="425"/>
        <v>21120</v>
      </c>
      <c r="CF185" s="1260">
        <f t="shared" si="426"/>
        <v>197120</v>
      </c>
      <c r="CG185" s="1266">
        <f t="shared" si="427"/>
        <v>3668883.4933484546</v>
      </c>
      <c r="CH185" s="1141">
        <f t="shared" si="428"/>
        <v>3668883.4933484546</v>
      </c>
      <c r="CI185" s="1142">
        <f t="shared" si="429"/>
        <v>0</v>
      </c>
      <c r="CJ185" s="1141">
        <f t="shared" si="430"/>
        <v>376060.55806821655</v>
      </c>
      <c r="CK185" s="1141">
        <f t="shared" si="431"/>
        <v>128410.92226719593</v>
      </c>
      <c r="CL185" s="1143">
        <f t="shared" si="489"/>
        <v>4173354.9736838667</v>
      </c>
      <c r="CM185" s="1144">
        <f t="shared" si="432"/>
        <v>0.125</v>
      </c>
      <c r="CN185" s="1141">
        <f t="shared" si="502"/>
        <v>521669.37171048333</v>
      </c>
      <c r="CO185" s="1141">
        <f t="shared" si="433"/>
        <v>30000</v>
      </c>
      <c r="CP185" s="1141">
        <f t="shared" si="503"/>
        <v>491669.37171048333</v>
      </c>
      <c r="CQ185" s="1145">
        <f t="shared" si="434"/>
        <v>16</v>
      </c>
      <c r="CR185" s="1141">
        <f t="shared" si="504"/>
        <v>30729.335731905208</v>
      </c>
      <c r="CS185" s="1144">
        <f t="shared" si="435"/>
        <v>0.875</v>
      </c>
      <c r="CT185" s="1141">
        <f t="shared" si="436"/>
        <v>3651685.6019733832</v>
      </c>
      <c r="CU185" s="1146">
        <f t="shared" si="375"/>
        <v>28311.479604247332</v>
      </c>
      <c r="CV185" s="1146">
        <f t="shared" si="376"/>
        <v>32822.382553184398</v>
      </c>
      <c r="CW185" s="1146">
        <f t="shared" si="377"/>
        <v>42399.166182967521</v>
      </c>
      <c r="CX185" s="1146">
        <f t="shared" si="378"/>
        <v>72307.751611610773</v>
      </c>
      <c r="CY185" s="1146">
        <f t="shared" si="437"/>
        <v>296638.02838315075</v>
      </c>
      <c r="CZ185" s="1146">
        <f t="shared" si="438"/>
        <v>117378.22282441428</v>
      </c>
      <c r="DA185" s="1146">
        <f t="shared" si="439"/>
        <v>84780.62789546256</v>
      </c>
      <c r="DB185" s="1146">
        <f t="shared" si="440"/>
        <v>64521.960926968641</v>
      </c>
      <c r="DC185" s="1146"/>
      <c r="DD185" s="1146"/>
      <c r="DE185" s="1146"/>
      <c r="DF185" s="1146"/>
      <c r="DG185" s="1146"/>
      <c r="DH185" s="1146"/>
      <c r="DI185" s="1146"/>
      <c r="DJ185" s="1146"/>
      <c r="DK185" s="1146"/>
      <c r="DL185" s="1146"/>
      <c r="DM185" s="1146"/>
      <c r="DN185" s="1146"/>
      <c r="DO185" s="1146"/>
      <c r="DP185" s="1146"/>
      <c r="DQ185" s="1146"/>
      <c r="DR185" s="1146"/>
      <c r="DS185" s="1146"/>
      <c r="DT185" s="1146"/>
      <c r="DU185" s="1146"/>
      <c r="DV185" s="1146"/>
      <c r="DW185" s="1146"/>
      <c r="DX185" s="1146"/>
      <c r="DY185" s="1146"/>
      <c r="DZ185" s="1146"/>
      <c r="EA185" s="1147">
        <f t="shared" si="379"/>
        <v>0.11083804810092046</v>
      </c>
      <c r="EB185" s="1148">
        <f t="shared" si="441"/>
        <v>5.6778061171984168E-2</v>
      </c>
      <c r="EC185" s="1190">
        <f t="shared" si="484"/>
        <v>45839</v>
      </c>
      <c r="ED185" s="1031">
        <f t="shared" si="380"/>
        <v>20</v>
      </c>
      <c r="EE185" s="1191"/>
      <c r="EF185" s="1032">
        <f t="shared" si="381"/>
        <v>45904</v>
      </c>
      <c r="EG185" s="1029">
        <f t="shared" si="442"/>
        <v>22</v>
      </c>
      <c r="EH185" s="859" t="s">
        <v>490</v>
      </c>
      <c r="EI185" s="859" t="s">
        <v>480</v>
      </c>
      <c r="EJ185" s="860">
        <f t="shared" si="382"/>
        <v>16800</v>
      </c>
      <c r="EK185" s="860">
        <f t="shared" si="383"/>
        <v>369600</v>
      </c>
      <c r="EL185" s="861">
        <f t="shared" si="384"/>
        <v>0.12413861387303092</v>
      </c>
      <c r="EM185" s="1197"/>
      <c r="EN185" s="860"/>
      <c r="EO185" s="860"/>
      <c r="EP185" s="860">
        <f t="shared" si="385"/>
        <v>0</v>
      </c>
      <c r="EQ185" s="1197"/>
      <c r="ER185" s="1200"/>
      <c r="ES185" s="1197"/>
      <c r="ET185" s="1207" t="s">
        <v>666</v>
      </c>
      <c r="EU185" s="1197" t="b">
        <f t="shared" si="386"/>
        <v>1</v>
      </c>
      <c r="EV185" s="1197"/>
      <c r="EW185" s="1197"/>
      <c r="EX185" s="1197"/>
      <c r="EY185" s="1128" t="s">
        <v>587</v>
      </c>
      <c r="EZ185" s="1128" t="s">
        <v>484</v>
      </c>
      <c r="FA185" s="1169">
        <f t="shared" si="443"/>
        <v>-21120</v>
      </c>
      <c r="FI185" s="1309" t="s">
        <v>96</v>
      </c>
      <c r="FJ185" s="1243" t="s">
        <v>96</v>
      </c>
      <c r="FK185" s="1160" t="b">
        <f t="shared" si="444"/>
        <v>1</v>
      </c>
      <c r="FL185" s="1131"/>
      <c r="FM185" s="1161"/>
      <c r="FO185" s="888"/>
      <c r="FU185" s="1295"/>
      <c r="FV185" s="1295"/>
      <c r="FW185" s="1023">
        <v>0.125</v>
      </c>
      <c r="FX185" s="1162">
        <v>12458.780043570247</v>
      </c>
      <c r="FY185" s="1163">
        <v>12848.116919931817</v>
      </c>
      <c r="GA185" s="1164">
        <f t="shared" si="445"/>
        <v>4173354.9736838667</v>
      </c>
      <c r="GB185" s="1165">
        <f t="shared" si="485"/>
        <v>0.15</v>
      </c>
      <c r="GC185" s="1154">
        <f t="shared" si="446"/>
        <v>626003.24605257995</v>
      </c>
      <c r="GD185" s="1164">
        <f t="shared" si="447"/>
        <v>30000</v>
      </c>
      <c r="GE185" s="1154">
        <f t="shared" si="448"/>
        <v>596003.24605257995</v>
      </c>
      <c r="GF185" s="1060">
        <f t="shared" si="449"/>
        <v>35</v>
      </c>
      <c r="GG185" s="1166">
        <f t="shared" si="450"/>
        <v>17028.664172930858</v>
      </c>
      <c r="GI185" s="1164">
        <f t="shared" si="451"/>
        <v>4173354.9736838667</v>
      </c>
      <c r="GJ185" s="1154">
        <f t="shared" si="452"/>
        <v>417335.49736838671</v>
      </c>
      <c r="GK185" s="1154">
        <f t="shared" si="453"/>
        <v>104333.87434209668</v>
      </c>
      <c r="GL185" s="1166">
        <v>15000</v>
      </c>
      <c r="GM185" s="1154">
        <f t="shared" si="454"/>
        <v>402335.49736838671</v>
      </c>
      <c r="GN185" s="1060">
        <f t="shared" si="455"/>
        <v>35</v>
      </c>
      <c r="GO185" s="1154">
        <f t="shared" si="456"/>
        <v>11495.299924811048</v>
      </c>
      <c r="GS185" s="1010">
        <f t="shared" si="457"/>
        <v>4173354.9736838667</v>
      </c>
      <c r="GT185" s="1011">
        <f t="shared" si="458"/>
        <v>0.125</v>
      </c>
      <c r="GU185" s="1010">
        <f t="shared" si="459"/>
        <v>521669.37171048333</v>
      </c>
      <c r="GV185" s="1010">
        <f t="shared" si="460"/>
        <v>30000</v>
      </c>
      <c r="GW185" s="1010">
        <f t="shared" si="461"/>
        <v>491669.37171048333</v>
      </c>
      <c r="GX185" s="1010">
        <f t="shared" si="462"/>
        <v>16</v>
      </c>
      <c r="GY185" s="1010">
        <f t="shared" si="463"/>
        <v>30729.335731905208</v>
      </c>
      <c r="GZ185" s="1011">
        <f t="shared" si="464"/>
        <v>0.875</v>
      </c>
      <c r="HA185" s="1010">
        <f t="shared" si="465"/>
        <v>3651685.6019733832</v>
      </c>
      <c r="HB185" s="1010">
        <f t="shared" si="466"/>
        <v>28311.479604247332</v>
      </c>
      <c r="HC185" s="1010">
        <f t="shared" si="467"/>
        <v>32822.382553184398</v>
      </c>
      <c r="HD185" s="1010">
        <f t="shared" si="468"/>
        <v>42399.166182967521</v>
      </c>
      <c r="HE185" s="1010">
        <f t="shared" si="469"/>
        <v>72307.751611610773</v>
      </c>
      <c r="HG185" s="1010">
        <f t="shared" si="470"/>
        <v>4173354.9736838667</v>
      </c>
      <c r="HH185" s="1011">
        <f t="shared" si="471"/>
        <v>0.125</v>
      </c>
      <c r="HI185" s="1010">
        <f t="shared" si="472"/>
        <v>521669.37171048333</v>
      </c>
      <c r="HJ185" s="1010">
        <f t="shared" si="473"/>
        <v>30000</v>
      </c>
      <c r="HK185" s="1010">
        <f t="shared" si="474"/>
        <v>491669.37171048333</v>
      </c>
      <c r="HL185" s="1012">
        <f t="shared" si="475"/>
        <v>33</v>
      </c>
      <c r="HM185" s="1167">
        <f t="shared" si="476"/>
        <v>14899.071870014646</v>
      </c>
      <c r="HN185" s="1168">
        <f t="shared" si="477"/>
        <v>0.875</v>
      </c>
      <c r="HO185" s="1167">
        <f t="shared" si="478"/>
        <v>3651685.6019733832</v>
      </c>
      <c r="HP185" s="1146">
        <f t="shared" si="479"/>
        <v>28311.479604247332</v>
      </c>
      <c r="HQ185" s="1146">
        <f t="shared" si="480"/>
        <v>32822.382553184398</v>
      </c>
      <c r="HR185" s="1146">
        <f t="shared" si="481"/>
        <v>42399.166182967521</v>
      </c>
      <c r="HS185" s="1146">
        <f t="shared" si="482"/>
        <v>72307.751611610773</v>
      </c>
      <c r="HU185" s="1167">
        <f t="shared" si="483"/>
        <v>-15830.263861890562</v>
      </c>
      <c r="HX185" s="1154"/>
      <c r="HY185" s="1154"/>
      <c r="IB185" s="1154"/>
      <c r="IC185" s="1154"/>
      <c r="ID185" s="1154"/>
      <c r="IE185" s="1154"/>
      <c r="IG185" s="1060"/>
    </row>
    <row r="186" spans="1:241" ht="14.25" customHeight="1">
      <c r="A186" s="1186">
        <f t="shared" si="490"/>
        <v>180</v>
      </c>
      <c r="B186" s="824"/>
      <c r="C186" s="855">
        <f t="shared" ref="C186:C201" si="523">C185+1</f>
        <v>3</v>
      </c>
      <c r="D186" s="856" t="s">
        <v>524</v>
      </c>
      <c r="E186" s="857" t="str">
        <f t="shared" si="387"/>
        <v>12th Floor</v>
      </c>
      <c r="F186" s="1185"/>
      <c r="G186" s="764" t="s">
        <v>667</v>
      </c>
      <c r="H186" s="764" t="s">
        <v>493</v>
      </c>
      <c r="I186" s="764" t="s">
        <v>476</v>
      </c>
      <c r="J186" s="1139">
        <v>22</v>
      </c>
      <c r="K186" s="1142"/>
      <c r="L186" s="764" t="s">
        <v>344</v>
      </c>
      <c r="M186" s="764" t="s">
        <v>477</v>
      </c>
      <c r="N186" s="856">
        <f t="shared" si="388"/>
        <v>100909.09090909091</v>
      </c>
      <c r="O186" s="1138">
        <f t="shared" si="486"/>
        <v>2220000</v>
      </c>
      <c r="P186" s="1138">
        <f t="shared" si="491"/>
        <v>22400</v>
      </c>
      <c r="Q186" s="1138">
        <f t="shared" si="374"/>
        <v>50000</v>
      </c>
      <c r="R186" s="1138"/>
      <c r="S186" s="1138"/>
      <c r="T186" s="1138"/>
      <c r="U186" s="1138"/>
      <c r="V186" s="858"/>
      <c r="W186" s="858">
        <f t="shared" ref="W186:W189" si="524">J186*$W$5</f>
        <v>22000</v>
      </c>
      <c r="X186" s="1138"/>
      <c r="Y186" s="1138">
        <f t="shared" ref="Y186:Y201" si="525">$Y$184</f>
        <v>160000</v>
      </c>
      <c r="Z186" s="1138">
        <f t="shared" si="487"/>
        <v>75000</v>
      </c>
      <c r="AA186" s="1138">
        <f t="shared" si="488"/>
        <v>329400</v>
      </c>
      <c r="AB186" s="1138">
        <f t="shared" si="390"/>
        <v>2549400</v>
      </c>
      <c r="AC186" s="1138">
        <f t="shared" si="391"/>
        <v>63735</v>
      </c>
      <c r="AD186" s="1138">
        <f t="shared" si="392"/>
        <v>2613135</v>
      </c>
      <c r="AE186" s="1138">
        <f t="shared" si="393"/>
        <v>65328.375</v>
      </c>
      <c r="AF186" s="1138">
        <f t="shared" si="394"/>
        <v>2678463.375</v>
      </c>
      <c r="AG186" s="1138">
        <f t="shared" si="395"/>
        <v>66961.584375000006</v>
      </c>
      <c r="AH186" s="1138">
        <f t="shared" si="396"/>
        <v>2745424.9593750001</v>
      </c>
      <c r="AI186" s="1138">
        <f t="shared" si="397"/>
        <v>137271.24796875002</v>
      </c>
      <c r="AJ186" s="1138">
        <f t="shared" si="398"/>
        <v>2882696.2073437502</v>
      </c>
      <c r="AK186" s="1138">
        <f t="shared" si="399"/>
        <v>28826.962073437502</v>
      </c>
      <c r="AL186" s="1138">
        <f t="shared" si="400"/>
        <v>27537.409960060559</v>
      </c>
      <c r="AM186" s="1138"/>
      <c r="AN186" s="1138"/>
      <c r="AO186" s="1138">
        <f t="shared" si="401"/>
        <v>2939060.579377248</v>
      </c>
      <c r="AP186" s="1138">
        <f t="shared" si="402"/>
        <v>396773.17821592849</v>
      </c>
      <c r="AQ186" s="1248">
        <f t="shared" si="403"/>
        <v>3335833.7575931763</v>
      </c>
      <c r="AR186" s="1248">
        <f t="shared" si="515"/>
        <v>3005833.7575931763</v>
      </c>
      <c r="AS186" s="1248">
        <v>15000</v>
      </c>
      <c r="AT186" s="1248">
        <f t="shared" si="516"/>
        <v>330000</v>
      </c>
      <c r="AU186" s="1248">
        <f t="shared" si="404"/>
        <v>39600</v>
      </c>
      <c r="AV186" s="1140">
        <f t="shared" si="405"/>
        <v>369600</v>
      </c>
      <c r="AW186" s="1140">
        <f t="shared" si="406"/>
        <v>3375433.7575931763</v>
      </c>
      <c r="AX186" s="1139">
        <f t="shared" si="407"/>
        <v>42192.921969914707</v>
      </c>
      <c r="AY186" s="831">
        <v>13444.671373913045</v>
      </c>
      <c r="AZ186" s="831">
        <f t="shared" si="408"/>
        <v>3431071.3509370042</v>
      </c>
      <c r="BA186" s="831">
        <f t="shared" si="409"/>
        <v>128665.17566013765</v>
      </c>
      <c r="BB186" s="831"/>
      <c r="BC186" s="831">
        <f t="shared" si="513"/>
        <v>33600</v>
      </c>
      <c r="BD186" s="831">
        <v>8990.8965517241377</v>
      </c>
      <c r="BE186" s="831">
        <f t="shared" si="410"/>
        <v>3602327.4231488658</v>
      </c>
      <c r="BF186" s="831">
        <v>42723.767172413798</v>
      </c>
      <c r="BG186" s="831">
        <f t="shared" si="411"/>
        <v>3645051.1903212797</v>
      </c>
      <c r="BH186" s="831"/>
      <c r="BI186" s="831">
        <f t="shared" si="412"/>
        <v>3645051.1903212797</v>
      </c>
      <c r="BJ186" s="831"/>
      <c r="BK186" s="831">
        <f t="shared" si="413"/>
        <v>3645051.1903212797</v>
      </c>
      <c r="BL186" s="831"/>
      <c r="BM186" s="831">
        <f t="shared" si="414"/>
        <v>3645051.1903212797</v>
      </c>
      <c r="BN186" s="831"/>
      <c r="BO186" s="831">
        <f t="shared" si="415"/>
        <v>3645051.1903212797</v>
      </c>
      <c r="BP186" s="831">
        <f t="shared" si="518"/>
        <v>5065.3710270270276</v>
      </c>
      <c r="BQ186" s="831">
        <f t="shared" si="416"/>
        <v>3650116.5613483069</v>
      </c>
      <c r="BR186" s="831">
        <f t="shared" si="519"/>
        <v>3544.6104</v>
      </c>
      <c r="BS186" s="831">
        <f t="shared" si="417"/>
        <v>3653661.1717483071</v>
      </c>
      <c r="BT186" s="831">
        <f t="shared" si="520"/>
        <v>1609.3168000000001</v>
      </c>
      <c r="BU186" s="831">
        <f t="shared" si="418"/>
        <v>3655270.4885483072</v>
      </c>
      <c r="BV186" s="831">
        <f t="shared" si="521"/>
        <v>1163.3400930232558</v>
      </c>
      <c r="BW186" s="831">
        <f t="shared" si="419"/>
        <v>56400</v>
      </c>
      <c r="BX186" s="831">
        <f t="shared" si="420"/>
        <v>3712833.8286413304</v>
      </c>
      <c r="BY186" s="831">
        <f t="shared" si="522"/>
        <v>30549.183723443901</v>
      </c>
      <c r="BZ186" s="831">
        <f t="shared" si="421"/>
        <v>3743383.0123647745</v>
      </c>
      <c r="CA186" s="1260">
        <f t="shared" si="422"/>
        <v>3743383.0123647745</v>
      </c>
      <c r="CB186" s="1260">
        <f t="shared" si="423"/>
        <v>3567383.0123647745</v>
      </c>
      <c r="CC186" s="1260">
        <v>8000</v>
      </c>
      <c r="CD186" s="1260">
        <f t="shared" si="424"/>
        <v>176000</v>
      </c>
      <c r="CE186" s="1260">
        <f t="shared" si="425"/>
        <v>21120</v>
      </c>
      <c r="CF186" s="1260">
        <f t="shared" si="426"/>
        <v>197120</v>
      </c>
      <c r="CG186" s="1266">
        <f t="shared" si="427"/>
        <v>3764503.0123647745</v>
      </c>
      <c r="CH186" s="1141">
        <f t="shared" si="428"/>
        <v>3764503.0123647745</v>
      </c>
      <c r="CI186" s="1142">
        <f t="shared" si="429"/>
        <v>0</v>
      </c>
      <c r="CJ186" s="1141">
        <f t="shared" si="430"/>
        <v>385861.55876738939</v>
      </c>
      <c r="CK186" s="1141">
        <f t="shared" si="431"/>
        <v>131757.60543276713</v>
      </c>
      <c r="CL186" s="1143">
        <f t="shared" si="489"/>
        <v>4282122.1765649309</v>
      </c>
      <c r="CM186" s="1144">
        <f t="shared" si="432"/>
        <v>0.125</v>
      </c>
      <c r="CN186" s="1141">
        <f t="shared" si="502"/>
        <v>535265.27207061637</v>
      </c>
      <c r="CO186" s="1141">
        <f t="shared" si="433"/>
        <v>30000</v>
      </c>
      <c r="CP186" s="1141">
        <f t="shared" si="503"/>
        <v>505265.27207061637</v>
      </c>
      <c r="CQ186" s="1145">
        <f t="shared" si="434"/>
        <v>16</v>
      </c>
      <c r="CR186" s="1141">
        <f t="shared" si="504"/>
        <v>31579.079504413523</v>
      </c>
      <c r="CS186" s="1144">
        <f t="shared" si="435"/>
        <v>0.875</v>
      </c>
      <c r="CT186" s="1141">
        <f t="shared" si="436"/>
        <v>3746856.9044943145</v>
      </c>
      <c r="CU186" s="1146">
        <f t="shared" si="375"/>
        <v>29049.341699706732</v>
      </c>
      <c r="CV186" s="1146">
        <f t="shared" si="376"/>
        <v>33677.809125981017</v>
      </c>
      <c r="CW186" s="1146">
        <f t="shared" si="377"/>
        <v>43504.185703063617</v>
      </c>
      <c r="CX186" s="1146">
        <f t="shared" si="378"/>
        <v>74192.257468171403</v>
      </c>
      <c r="CY186" s="1146">
        <f t="shared" si="437"/>
        <v>304369.09579027066</v>
      </c>
      <c r="CZ186" s="1146">
        <f t="shared" si="438"/>
        <v>120437.36853722009</v>
      </c>
      <c r="DA186" s="1146">
        <f t="shared" si="439"/>
        <v>86990.20551654615</v>
      </c>
      <c r="DB186" s="1146">
        <f t="shared" si="440"/>
        <v>66203.551220313122</v>
      </c>
      <c r="DC186" s="1146"/>
      <c r="DD186" s="1146"/>
      <c r="DE186" s="1146"/>
      <c r="DF186" s="1146"/>
      <c r="DG186" s="1146"/>
      <c r="DH186" s="1146"/>
      <c r="DI186" s="1146"/>
      <c r="DJ186" s="1146"/>
      <c r="DK186" s="1146"/>
      <c r="DL186" s="1146"/>
      <c r="DM186" s="1146"/>
      <c r="DN186" s="1146"/>
      <c r="DO186" s="1146"/>
      <c r="DP186" s="1146"/>
      <c r="DQ186" s="1146"/>
      <c r="DR186" s="1146"/>
      <c r="DS186" s="1146"/>
      <c r="DT186" s="1146"/>
      <c r="DU186" s="1146"/>
      <c r="DV186" s="1146"/>
      <c r="DW186" s="1146"/>
      <c r="DX186" s="1146"/>
      <c r="DY186" s="1146"/>
      <c r="DZ186" s="1146"/>
      <c r="EA186" s="1147">
        <f t="shared" si="379"/>
        <v>0.10978651070318565</v>
      </c>
      <c r="EB186" s="1148">
        <f t="shared" si="441"/>
        <v>5.5256191812533065E-2</v>
      </c>
      <c r="EC186" s="1190">
        <f t="shared" si="484"/>
        <v>45839</v>
      </c>
      <c r="ED186" s="1031">
        <f t="shared" si="380"/>
        <v>20</v>
      </c>
      <c r="EE186" s="1191"/>
      <c r="EF186" s="1032">
        <f t="shared" si="381"/>
        <v>45904</v>
      </c>
      <c r="EG186" s="1029">
        <f t="shared" si="442"/>
        <v>22</v>
      </c>
      <c r="EH186" s="859" t="s">
        <v>490</v>
      </c>
      <c r="EI186" s="859" t="s">
        <v>480</v>
      </c>
      <c r="EJ186" s="860">
        <f t="shared" si="382"/>
        <v>16800</v>
      </c>
      <c r="EK186" s="860">
        <f t="shared" si="383"/>
        <v>369600</v>
      </c>
      <c r="EL186" s="861">
        <f t="shared" si="384"/>
        <v>0.12296089198756793</v>
      </c>
      <c r="EM186" s="1197"/>
      <c r="EN186" s="860"/>
      <c r="EO186" s="860"/>
      <c r="EP186" s="860">
        <f t="shared" si="385"/>
        <v>0</v>
      </c>
      <c r="EQ186" s="1197"/>
      <c r="ER186" s="1200"/>
      <c r="ES186" s="1197"/>
      <c r="ET186" s="1207" t="s">
        <v>667</v>
      </c>
      <c r="EU186" s="1197" t="b">
        <f t="shared" si="386"/>
        <v>1</v>
      </c>
      <c r="EV186" s="1197"/>
      <c r="EW186" s="1197"/>
      <c r="EX186" s="1197"/>
      <c r="EY186" s="1128" t="s">
        <v>587</v>
      </c>
      <c r="EZ186" s="1128" t="s">
        <v>611</v>
      </c>
      <c r="FA186" s="1169"/>
      <c r="FI186" s="1309" t="s">
        <v>96</v>
      </c>
      <c r="FJ186" s="1159" t="s">
        <v>96</v>
      </c>
      <c r="FK186" s="1160" t="b">
        <f t="shared" si="444"/>
        <v>1</v>
      </c>
      <c r="FL186" s="1131"/>
      <c r="FM186" s="1161"/>
      <c r="FO186" s="888"/>
      <c r="FU186" s="1295"/>
      <c r="FV186" s="1295"/>
      <c r="FW186" s="1023">
        <v>0.15</v>
      </c>
      <c r="FX186" s="1162">
        <v>15185.662271079947</v>
      </c>
      <c r="FY186" s="1163">
        <v>15660.214217051196</v>
      </c>
      <c r="GA186" s="1164">
        <f t="shared" si="445"/>
        <v>4282122.1765649309</v>
      </c>
      <c r="GB186" s="1165">
        <f t="shared" si="485"/>
        <v>0.15</v>
      </c>
      <c r="GC186" s="1154">
        <f t="shared" si="446"/>
        <v>642318.32648473966</v>
      </c>
      <c r="GD186" s="1164">
        <f t="shared" si="447"/>
        <v>30000</v>
      </c>
      <c r="GE186" s="1154">
        <f t="shared" si="448"/>
        <v>612318.32648473966</v>
      </c>
      <c r="GF186" s="1060">
        <f t="shared" si="449"/>
        <v>35</v>
      </c>
      <c r="GG186" s="1166">
        <f t="shared" si="450"/>
        <v>17494.809328135419</v>
      </c>
      <c r="GI186" s="1164">
        <f t="shared" si="451"/>
        <v>4282122.1765649309</v>
      </c>
      <c r="GJ186" s="1154">
        <f t="shared" si="452"/>
        <v>428212.21765649313</v>
      </c>
      <c r="GK186" s="1154">
        <f t="shared" si="453"/>
        <v>107053.05441412328</v>
      </c>
      <c r="GL186" s="1166">
        <v>15000</v>
      </c>
      <c r="GM186" s="1154">
        <f t="shared" si="454"/>
        <v>413212.21765649313</v>
      </c>
      <c r="GN186" s="1060">
        <f t="shared" si="455"/>
        <v>35</v>
      </c>
      <c r="GO186" s="1154">
        <f t="shared" si="456"/>
        <v>11806.063361614089</v>
      </c>
      <c r="GS186" s="1010">
        <f t="shared" si="457"/>
        <v>4282122.1765649309</v>
      </c>
      <c r="GT186" s="1011">
        <f t="shared" si="458"/>
        <v>0.125</v>
      </c>
      <c r="GU186" s="1010">
        <f t="shared" si="459"/>
        <v>535265.27207061637</v>
      </c>
      <c r="GV186" s="1010">
        <f t="shared" si="460"/>
        <v>30000</v>
      </c>
      <c r="GW186" s="1010">
        <f t="shared" si="461"/>
        <v>505265.27207061637</v>
      </c>
      <c r="GX186" s="1010">
        <f t="shared" si="462"/>
        <v>16</v>
      </c>
      <c r="GY186" s="1010">
        <f t="shared" si="463"/>
        <v>31579.079504413523</v>
      </c>
      <c r="GZ186" s="1011">
        <f t="shared" si="464"/>
        <v>0.875</v>
      </c>
      <c r="HA186" s="1010">
        <f t="shared" si="465"/>
        <v>3746856.9044943145</v>
      </c>
      <c r="HB186" s="1010">
        <f t="shared" si="466"/>
        <v>29049.341699706732</v>
      </c>
      <c r="HC186" s="1010">
        <f t="shared" si="467"/>
        <v>33677.809125981017</v>
      </c>
      <c r="HD186" s="1010">
        <f t="shared" si="468"/>
        <v>43504.185703063617</v>
      </c>
      <c r="HE186" s="1010">
        <f t="shared" si="469"/>
        <v>74192.257468171403</v>
      </c>
      <c r="HG186" s="1010">
        <f t="shared" si="470"/>
        <v>4282122.1765649309</v>
      </c>
      <c r="HH186" s="1011">
        <f t="shared" si="471"/>
        <v>0.125</v>
      </c>
      <c r="HI186" s="1010">
        <f t="shared" si="472"/>
        <v>535265.27207061637</v>
      </c>
      <c r="HJ186" s="1010">
        <f t="shared" si="473"/>
        <v>30000</v>
      </c>
      <c r="HK186" s="1010">
        <f t="shared" si="474"/>
        <v>505265.27207061637</v>
      </c>
      <c r="HL186" s="1012">
        <f t="shared" si="475"/>
        <v>33</v>
      </c>
      <c r="HM186" s="1167">
        <f t="shared" si="476"/>
        <v>15311.068850624739</v>
      </c>
      <c r="HN186" s="1168">
        <f t="shared" si="477"/>
        <v>0.875</v>
      </c>
      <c r="HO186" s="1167">
        <f t="shared" si="478"/>
        <v>3746856.9044943145</v>
      </c>
      <c r="HP186" s="1146">
        <f t="shared" si="479"/>
        <v>29049.341699706732</v>
      </c>
      <c r="HQ186" s="1146">
        <f t="shared" si="480"/>
        <v>33677.809125981017</v>
      </c>
      <c r="HR186" s="1146">
        <f t="shared" si="481"/>
        <v>43504.185703063617</v>
      </c>
      <c r="HS186" s="1146">
        <f t="shared" si="482"/>
        <v>74192.257468171403</v>
      </c>
      <c r="HU186" s="1167">
        <f t="shared" si="483"/>
        <v>-16268.010653788784</v>
      </c>
      <c r="HX186" s="1154"/>
      <c r="HY186" s="1154"/>
      <c r="IB186" s="1154"/>
      <c r="IC186" s="1154"/>
      <c r="ID186" s="1154"/>
      <c r="IE186" s="1154"/>
      <c r="IG186" s="1060"/>
    </row>
    <row r="187" spans="1:241" ht="14.25" hidden="1" customHeight="1">
      <c r="A187" s="1186">
        <f t="shared" si="490"/>
        <v>181</v>
      </c>
      <c r="B187" s="824"/>
      <c r="C187" s="855">
        <f t="shared" si="523"/>
        <v>4</v>
      </c>
      <c r="D187" s="856" t="s">
        <v>524</v>
      </c>
      <c r="E187" s="857" t="str">
        <f t="shared" si="387"/>
        <v>12th Floor</v>
      </c>
      <c r="F187" s="1185"/>
      <c r="G187" s="764" t="s">
        <v>668</v>
      </c>
      <c r="H187" s="764" t="s">
        <v>496</v>
      </c>
      <c r="I187" s="764" t="s">
        <v>476</v>
      </c>
      <c r="J187" s="1139">
        <v>22</v>
      </c>
      <c r="K187" s="1142"/>
      <c r="L187" s="764" t="s">
        <v>344</v>
      </c>
      <c r="M187" s="764" t="s">
        <v>477</v>
      </c>
      <c r="N187" s="856">
        <f t="shared" si="388"/>
        <v>100909.09090909091</v>
      </c>
      <c r="O187" s="1138">
        <f t="shared" si="486"/>
        <v>2220000</v>
      </c>
      <c r="P187" s="1138">
        <f t="shared" si="491"/>
        <v>22400</v>
      </c>
      <c r="Q187" s="1138">
        <f t="shared" si="374"/>
        <v>50000</v>
      </c>
      <c r="R187" s="1138"/>
      <c r="S187" s="1138"/>
      <c r="T187" s="1138"/>
      <c r="U187" s="1138"/>
      <c r="V187" s="858"/>
      <c r="W187" s="858">
        <f t="shared" si="524"/>
        <v>22000</v>
      </c>
      <c r="X187" s="1138"/>
      <c r="Y187" s="1138">
        <f t="shared" si="525"/>
        <v>160000</v>
      </c>
      <c r="Z187" s="1138">
        <f t="shared" si="487"/>
        <v>75000</v>
      </c>
      <c r="AA187" s="1138">
        <f t="shared" si="488"/>
        <v>329400</v>
      </c>
      <c r="AB187" s="1138">
        <f t="shared" si="390"/>
        <v>2549400</v>
      </c>
      <c r="AC187" s="1138">
        <f t="shared" si="391"/>
        <v>63735</v>
      </c>
      <c r="AD187" s="1138">
        <f t="shared" si="392"/>
        <v>2613135</v>
      </c>
      <c r="AE187" s="1138">
        <f t="shared" si="393"/>
        <v>65328.375</v>
      </c>
      <c r="AF187" s="1138">
        <f t="shared" si="394"/>
        <v>2678463.375</v>
      </c>
      <c r="AG187" s="1138">
        <f t="shared" si="395"/>
        <v>66961.584375000006</v>
      </c>
      <c r="AH187" s="1138">
        <f t="shared" si="396"/>
        <v>2745424.9593750001</v>
      </c>
      <c r="AI187" s="1138">
        <f t="shared" si="397"/>
        <v>137271.24796875002</v>
      </c>
      <c r="AJ187" s="1138">
        <f t="shared" si="398"/>
        <v>2882696.2073437502</v>
      </c>
      <c r="AK187" s="1138">
        <f t="shared" si="399"/>
        <v>28826.962073437502</v>
      </c>
      <c r="AL187" s="1138">
        <f t="shared" si="400"/>
        <v>27537.409960060559</v>
      </c>
      <c r="AM187" s="1138"/>
      <c r="AN187" s="1138"/>
      <c r="AO187" s="1138">
        <f t="shared" si="401"/>
        <v>2939060.579377248</v>
      </c>
      <c r="AP187" s="1138">
        <f t="shared" si="402"/>
        <v>396773.17821592849</v>
      </c>
      <c r="AQ187" s="1248">
        <f t="shared" si="403"/>
        <v>3335833.7575931763</v>
      </c>
      <c r="AR187" s="1248">
        <f t="shared" si="515"/>
        <v>3005833.7575931763</v>
      </c>
      <c r="AS187" s="1248">
        <v>15000</v>
      </c>
      <c r="AT187" s="1248">
        <f t="shared" si="516"/>
        <v>330000</v>
      </c>
      <c r="AU187" s="1248">
        <f t="shared" si="404"/>
        <v>39600</v>
      </c>
      <c r="AV187" s="1140">
        <f t="shared" si="405"/>
        <v>369600</v>
      </c>
      <c r="AW187" s="1140">
        <f t="shared" si="406"/>
        <v>3375433.7575931763</v>
      </c>
      <c r="AX187" s="1139">
        <f t="shared" si="407"/>
        <v>42192.921969914707</v>
      </c>
      <c r="AY187" s="831" t="s">
        <v>478</v>
      </c>
      <c r="AZ187" s="831">
        <f t="shared" si="408"/>
        <v>3417626.6795630911</v>
      </c>
      <c r="BA187" s="831">
        <f t="shared" si="409"/>
        <v>128161.00048361591</v>
      </c>
      <c r="BB187" s="831"/>
      <c r="BC187" s="831">
        <f t="shared" si="513"/>
        <v>33600</v>
      </c>
      <c r="BD187" s="831"/>
      <c r="BE187" s="831">
        <f t="shared" si="410"/>
        <v>3579387.6800467069</v>
      </c>
      <c r="BF187" s="831"/>
      <c r="BG187" s="831">
        <f t="shared" si="411"/>
        <v>3579387.6800467069</v>
      </c>
      <c r="BH187" s="831"/>
      <c r="BI187" s="831">
        <f t="shared" si="412"/>
        <v>3579387.6800467069</v>
      </c>
      <c r="BJ187" s="831"/>
      <c r="BK187" s="831">
        <f t="shared" si="413"/>
        <v>3579387.6800467069</v>
      </c>
      <c r="BL187" s="831"/>
      <c r="BM187" s="831">
        <f t="shared" si="414"/>
        <v>3579387.6800467069</v>
      </c>
      <c r="BN187" s="831"/>
      <c r="BO187" s="831">
        <f t="shared" si="415"/>
        <v>3579387.6800467069</v>
      </c>
      <c r="BP187" s="831"/>
      <c r="BQ187" s="831">
        <f t="shared" si="416"/>
        <v>3579387.6800467069</v>
      </c>
      <c r="BR187" s="831"/>
      <c r="BS187" s="831">
        <f t="shared" si="417"/>
        <v>3579387.6800467069</v>
      </c>
      <c r="BT187" s="831"/>
      <c r="BU187" s="831">
        <f t="shared" si="418"/>
        <v>3579387.6800467069</v>
      </c>
      <c r="BV187" s="831"/>
      <c r="BW187" s="831">
        <f t="shared" si="419"/>
        <v>56400</v>
      </c>
      <c r="BX187" s="831">
        <f t="shared" si="420"/>
        <v>3635787.6800467069</v>
      </c>
      <c r="BY187" s="831"/>
      <c r="BZ187" s="831">
        <f t="shared" si="421"/>
        <v>3635787.6800467069</v>
      </c>
      <c r="CA187" s="1260">
        <f t="shared" si="422"/>
        <v>3635787.6800467069</v>
      </c>
      <c r="CB187" s="1260">
        <f t="shared" si="423"/>
        <v>3635787.6800467069</v>
      </c>
      <c r="CC187" s="1260"/>
      <c r="CD187" s="1260">
        <f t="shared" si="424"/>
        <v>0</v>
      </c>
      <c r="CE187" s="1260">
        <f t="shared" si="425"/>
        <v>0</v>
      </c>
      <c r="CF187" s="1260">
        <f t="shared" si="426"/>
        <v>0</v>
      </c>
      <c r="CG187" s="1266">
        <f t="shared" si="427"/>
        <v>3635787.6800467069</v>
      </c>
      <c r="CH187" s="1141">
        <f t="shared" si="428"/>
        <v>3635787.6800467069</v>
      </c>
      <c r="CI187" s="1142">
        <f t="shared" si="429"/>
        <v>436294.52160560479</v>
      </c>
      <c r="CJ187" s="1141">
        <f t="shared" si="430"/>
        <v>372668.23720478744</v>
      </c>
      <c r="CK187" s="1141">
        <f t="shared" si="431"/>
        <v>127252.56880163476</v>
      </c>
      <c r="CL187" s="1143">
        <f t="shared" si="489"/>
        <v>4572003.007658734</v>
      </c>
      <c r="CM187" s="1144">
        <f t="shared" si="432"/>
        <v>0.125</v>
      </c>
      <c r="CN187" s="1141">
        <f t="shared" si="502"/>
        <v>571500.37595734175</v>
      </c>
      <c r="CO187" s="1141">
        <f t="shared" si="433"/>
        <v>30000</v>
      </c>
      <c r="CP187" s="1141">
        <f t="shared" si="503"/>
        <v>541500.37595734175</v>
      </c>
      <c r="CQ187" s="1145">
        <f t="shared" si="434"/>
        <v>16</v>
      </c>
      <c r="CR187" s="1141">
        <f t="shared" si="504"/>
        <v>33843.773497333859</v>
      </c>
      <c r="CS187" s="1144">
        <f t="shared" si="435"/>
        <v>0.875</v>
      </c>
      <c r="CT187" s="1141">
        <f t="shared" si="436"/>
        <v>4000502.6317013921</v>
      </c>
      <c r="CU187" s="1146">
        <f t="shared" si="375"/>
        <v>31015.854322985961</v>
      </c>
      <c r="CV187" s="1146">
        <f t="shared" si="376"/>
        <v>35957.648629927462</v>
      </c>
      <c r="CW187" s="1146">
        <f t="shared" si="377"/>
        <v>46449.227667695195</v>
      </c>
      <c r="CX187" s="1146">
        <f t="shared" si="378"/>
        <v>79214.746871510069</v>
      </c>
      <c r="CY187" s="1146">
        <f t="shared" si="437"/>
        <v>324973.54442786897</v>
      </c>
      <c r="CZ187" s="1146">
        <f t="shared" si="438"/>
        <v>128590.44849308587</v>
      </c>
      <c r="DA187" s="1146">
        <f t="shared" si="439"/>
        <v>92879.059695010001</v>
      </c>
      <c r="DB187" s="1146">
        <f t="shared" si="440"/>
        <v>70685.240358968294</v>
      </c>
      <c r="DC187" s="1146"/>
      <c r="DD187" s="1146"/>
      <c r="DE187" s="1146"/>
      <c r="DF187" s="1146"/>
      <c r="DG187" s="1146"/>
      <c r="DH187" s="1146"/>
      <c r="DI187" s="1146"/>
      <c r="DJ187" s="1146"/>
      <c r="DK187" s="1146"/>
      <c r="DL187" s="1146"/>
      <c r="DM187" s="1146"/>
      <c r="DN187" s="1146"/>
      <c r="DO187" s="1146"/>
      <c r="DP187" s="1146"/>
      <c r="DQ187" s="1146"/>
      <c r="DR187" s="1146"/>
      <c r="DS187" s="1146"/>
      <c r="DT187" s="1146"/>
      <c r="DU187" s="1146"/>
      <c r="DV187" s="1146"/>
      <c r="DW187" s="1146"/>
      <c r="DX187" s="1146"/>
      <c r="DY187" s="1146"/>
      <c r="DZ187" s="1146"/>
      <c r="EA187" s="1147">
        <f t="shared" si="379"/>
        <v>0.10978651070318565</v>
      </c>
      <c r="EB187" s="1148">
        <f t="shared" si="441"/>
        <v>0</v>
      </c>
      <c r="EC187" s="1190">
        <f t="shared" si="484"/>
        <v>45839</v>
      </c>
      <c r="ED187" s="1031">
        <f t="shared" si="380"/>
        <v>20</v>
      </c>
      <c r="EE187" s="1191"/>
      <c r="EF187" s="1032">
        <f t="shared" si="381"/>
        <v>45904</v>
      </c>
      <c r="EG187" s="1029">
        <f t="shared" si="442"/>
        <v>22</v>
      </c>
      <c r="EH187" s="859" t="s">
        <v>490</v>
      </c>
      <c r="EI187" s="859" t="s">
        <v>480</v>
      </c>
      <c r="EJ187" s="860">
        <f t="shared" si="382"/>
        <v>16800</v>
      </c>
      <c r="EK187" s="860">
        <f t="shared" si="383"/>
        <v>369600</v>
      </c>
      <c r="EL187" s="861">
        <f t="shared" si="384"/>
        <v>0.12296089198756793</v>
      </c>
      <c r="EM187" s="1197"/>
      <c r="EN187" s="860"/>
      <c r="EO187" s="860"/>
      <c r="EP187" s="860">
        <f t="shared" si="385"/>
        <v>0</v>
      </c>
      <c r="EQ187" s="1197"/>
      <c r="ER187" s="1200"/>
      <c r="ES187" s="1197"/>
      <c r="ET187" s="1207" t="s">
        <v>668</v>
      </c>
      <c r="EU187" s="1197" t="b">
        <f t="shared" si="386"/>
        <v>1</v>
      </c>
      <c r="EV187" s="1197"/>
      <c r="EW187" s="1197"/>
      <c r="EX187" s="1197"/>
      <c r="EY187" s="1128" t="s">
        <v>587</v>
      </c>
      <c r="EZ187" s="1128" t="s">
        <v>484</v>
      </c>
      <c r="FA187" s="1169">
        <f t="shared" si="443"/>
        <v>0</v>
      </c>
      <c r="FI187" s="1309" t="s">
        <v>149</v>
      </c>
      <c r="FJ187" s="1159" t="s">
        <v>149</v>
      </c>
      <c r="FK187" s="1160" t="b">
        <f t="shared" si="444"/>
        <v>1</v>
      </c>
      <c r="FL187" s="1131"/>
      <c r="FM187" s="1161"/>
      <c r="FO187" s="888"/>
      <c r="FU187" s="1295"/>
      <c r="FV187" s="1295"/>
      <c r="FW187" s="1023">
        <v>0.15</v>
      </c>
      <c r="FX187" s="1162">
        <v>15185.662271079947</v>
      </c>
      <c r="FY187" s="1163">
        <v>15660.214217051196</v>
      </c>
      <c r="GA187" s="1164">
        <f t="shared" si="445"/>
        <v>4572003.007658734</v>
      </c>
      <c r="GB187" s="1165">
        <f t="shared" si="485"/>
        <v>0.15</v>
      </c>
      <c r="GC187" s="1154">
        <f t="shared" si="446"/>
        <v>685800.4511488101</v>
      </c>
      <c r="GD187" s="1164">
        <f t="shared" si="447"/>
        <v>30000</v>
      </c>
      <c r="GE187" s="1154">
        <f t="shared" si="448"/>
        <v>655800.4511488101</v>
      </c>
      <c r="GF187" s="1060">
        <f t="shared" si="449"/>
        <v>35</v>
      </c>
      <c r="GG187" s="1166">
        <f t="shared" si="450"/>
        <v>18737.15574710886</v>
      </c>
      <c r="GI187" s="1164">
        <f t="shared" si="451"/>
        <v>4572003.007658734</v>
      </c>
      <c r="GJ187" s="1154">
        <f t="shared" si="452"/>
        <v>457200.3007658734</v>
      </c>
      <c r="GK187" s="1154">
        <f t="shared" si="453"/>
        <v>114300.07519146835</v>
      </c>
      <c r="GL187" s="1166">
        <v>15000</v>
      </c>
      <c r="GM187" s="1154">
        <f t="shared" si="454"/>
        <v>442200.3007658734</v>
      </c>
      <c r="GN187" s="1060">
        <f t="shared" si="455"/>
        <v>35</v>
      </c>
      <c r="GO187" s="1154">
        <f t="shared" si="456"/>
        <v>12634.294307596383</v>
      </c>
      <c r="GS187" s="1010">
        <f t="shared" si="457"/>
        <v>4572003.007658734</v>
      </c>
      <c r="GT187" s="1011">
        <f t="shared" si="458"/>
        <v>0.125</v>
      </c>
      <c r="GU187" s="1010">
        <f t="shared" si="459"/>
        <v>571500.37595734175</v>
      </c>
      <c r="GV187" s="1010">
        <f t="shared" si="460"/>
        <v>30000</v>
      </c>
      <c r="GW187" s="1010">
        <f t="shared" si="461"/>
        <v>541500.37595734175</v>
      </c>
      <c r="GX187" s="1010">
        <f t="shared" si="462"/>
        <v>16</v>
      </c>
      <c r="GY187" s="1010">
        <f t="shared" si="463"/>
        <v>33843.773497333859</v>
      </c>
      <c r="GZ187" s="1011">
        <f t="shared" si="464"/>
        <v>0.875</v>
      </c>
      <c r="HA187" s="1010">
        <f t="shared" si="465"/>
        <v>4000502.6317013921</v>
      </c>
      <c r="HB187" s="1010">
        <f t="shared" si="466"/>
        <v>31015.854322985961</v>
      </c>
      <c r="HC187" s="1010">
        <f t="shared" si="467"/>
        <v>35957.648629927462</v>
      </c>
      <c r="HD187" s="1010">
        <f t="shared" si="468"/>
        <v>46449.227667695195</v>
      </c>
      <c r="HE187" s="1010">
        <f t="shared" si="469"/>
        <v>79214.746871510069</v>
      </c>
      <c r="HG187" s="1010">
        <f t="shared" si="470"/>
        <v>4572003.007658734</v>
      </c>
      <c r="HH187" s="1011">
        <f t="shared" si="471"/>
        <v>0.125</v>
      </c>
      <c r="HI187" s="1010">
        <f t="shared" si="472"/>
        <v>571500.37595734175</v>
      </c>
      <c r="HJ187" s="1010">
        <f t="shared" si="473"/>
        <v>30000</v>
      </c>
      <c r="HK187" s="1010">
        <f t="shared" si="474"/>
        <v>541500.37595734175</v>
      </c>
      <c r="HL187" s="1012">
        <f t="shared" si="475"/>
        <v>33</v>
      </c>
      <c r="HM187" s="1167">
        <f t="shared" si="476"/>
        <v>16409.102301737628</v>
      </c>
      <c r="HN187" s="1168">
        <f t="shared" si="477"/>
        <v>0.875</v>
      </c>
      <c r="HO187" s="1167">
        <f t="shared" si="478"/>
        <v>4000502.6317013921</v>
      </c>
      <c r="HP187" s="1146">
        <f t="shared" si="479"/>
        <v>31015.854322985961</v>
      </c>
      <c r="HQ187" s="1146">
        <f t="shared" si="480"/>
        <v>35957.648629927462</v>
      </c>
      <c r="HR187" s="1146">
        <f t="shared" si="481"/>
        <v>46449.227667695195</v>
      </c>
      <c r="HS187" s="1146">
        <f t="shared" si="482"/>
        <v>79214.746871510069</v>
      </c>
      <c r="HU187" s="1167">
        <f t="shared" si="483"/>
        <v>-17434.671195596231</v>
      </c>
      <c r="HX187" s="1154"/>
      <c r="HY187" s="1154"/>
      <c r="IB187" s="1154"/>
      <c r="IC187" s="1154"/>
      <c r="ID187" s="1154"/>
      <c r="IE187" s="1154"/>
      <c r="IG187" s="1060"/>
    </row>
    <row r="188" spans="1:241" ht="14.25" customHeight="1">
      <c r="A188" s="1186">
        <f t="shared" si="490"/>
        <v>182</v>
      </c>
      <c r="B188" s="824"/>
      <c r="C188" s="855">
        <f t="shared" si="523"/>
        <v>5</v>
      </c>
      <c r="D188" s="856" t="s">
        <v>524</v>
      </c>
      <c r="E188" s="857" t="str">
        <f t="shared" si="387"/>
        <v>12th Floor</v>
      </c>
      <c r="F188" s="1185"/>
      <c r="G188" s="764" t="s">
        <v>669</v>
      </c>
      <c r="H188" s="764" t="s">
        <v>499</v>
      </c>
      <c r="I188" s="764" t="s">
        <v>476</v>
      </c>
      <c r="J188" s="1139">
        <v>22</v>
      </c>
      <c r="K188" s="1142"/>
      <c r="L188" s="764" t="s">
        <v>344</v>
      </c>
      <c r="M188" s="764" t="s">
        <v>477</v>
      </c>
      <c r="N188" s="856">
        <f t="shared" si="388"/>
        <v>100909.09090909091</v>
      </c>
      <c r="O188" s="1138">
        <f t="shared" si="486"/>
        <v>2220000</v>
      </c>
      <c r="P188" s="1138">
        <f t="shared" si="491"/>
        <v>22400</v>
      </c>
      <c r="Q188" s="1138">
        <f t="shared" si="374"/>
        <v>50000</v>
      </c>
      <c r="R188" s="1138"/>
      <c r="S188" s="1138"/>
      <c r="T188" s="1138"/>
      <c r="U188" s="1138"/>
      <c r="V188" s="858"/>
      <c r="W188" s="858">
        <f t="shared" si="524"/>
        <v>22000</v>
      </c>
      <c r="X188" s="1138"/>
      <c r="Y188" s="1138">
        <f t="shared" si="525"/>
        <v>160000</v>
      </c>
      <c r="Z188" s="1138">
        <f t="shared" si="487"/>
        <v>75000</v>
      </c>
      <c r="AA188" s="1138">
        <f t="shared" si="488"/>
        <v>329400</v>
      </c>
      <c r="AB188" s="1138">
        <f t="shared" si="390"/>
        <v>2549400</v>
      </c>
      <c r="AC188" s="1138">
        <f t="shared" si="391"/>
        <v>63735</v>
      </c>
      <c r="AD188" s="1138">
        <f t="shared" si="392"/>
        <v>2613135</v>
      </c>
      <c r="AE188" s="1138">
        <f t="shared" si="393"/>
        <v>65328.375</v>
      </c>
      <c r="AF188" s="1138">
        <f t="shared" si="394"/>
        <v>2678463.375</v>
      </c>
      <c r="AG188" s="1138">
        <f t="shared" si="395"/>
        <v>66961.584375000006</v>
      </c>
      <c r="AH188" s="1138">
        <f t="shared" si="396"/>
        <v>2745424.9593750001</v>
      </c>
      <c r="AI188" s="1138">
        <f t="shared" si="397"/>
        <v>137271.24796875002</v>
      </c>
      <c r="AJ188" s="1138">
        <f t="shared" si="398"/>
        <v>2882696.2073437502</v>
      </c>
      <c r="AK188" s="1138">
        <f t="shared" si="399"/>
        <v>28826.962073437502</v>
      </c>
      <c r="AL188" s="1138">
        <f t="shared" si="400"/>
        <v>27537.409960060559</v>
      </c>
      <c r="AM188" s="1138"/>
      <c r="AN188" s="1138"/>
      <c r="AO188" s="1138">
        <f t="shared" si="401"/>
        <v>2939060.579377248</v>
      </c>
      <c r="AP188" s="1138">
        <f t="shared" si="402"/>
        <v>396773.17821592849</v>
      </c>
      <c r="AQ188" s="1248">
        <f t="shared" si="403"/>
        <v>3335833.7575931763</v>
      </c>
      <c r="AR188" s="1248">
        <f t="shared" si="515"/>
        <v>3005833.7575931763</v>
      </c>
      <c r="AS188" s="1248">
        <v>15000</v>
      </c>
      <c r="AT188" s="1248">
        <f t="shared" si="516"/>
        <v>330000</v>
      </c>
      <c r="AU188" s="1248">
        <f t="shared" si="404"/>
        <v>39600</v>
      </c>
      <c r="AV188" s="1140">
        <f t="shared" si="405"/>
        <v>369600</v>
      </c>
      <c r="AW188" s="1140">
        <f t="shared" si="406"/>
        <v>3375433.7575931763</v>
      </c>
      <c r="AX188" s="1139">
        <f t="shared" si="407"/>
        <v>42192.921969914707</v>
      </c>
      <c r="AY188" s="831">
        <v>13444.671373913045</v>
      </c>
      <c r="AZ188" s="831">
        <f t="shared" si="408"/>
        <v>3431071.3509370042</v>
      </c>
      <c r="BA188" s="831">
        <f t="shared" si="409"/>
        <v>128665.17566013765</v>
      </c>
      <c r="BB188" s="831"/>
      <c r="BC188" s="831">
        <f t="shared" si="513"/>
        <v>33600</v>
      </c>
      <c r="BD188" s="831">
        <v>8990.8965517241377</v>
      </c>
      <c r="BE188" s="831">
        <f t="shared" si="410"/>
        <v>3602327.4231488658</v>
      </c>
      <c r="BF188" s="831">
        <v>42723.767172413798</v>
      </c>
      <c r="BG188" s="831">
        <f t="shared" si="411"/>
        <v>3645051.1903212797</v>
      </c>
      <c r="BH188" s="831"/>
      <c r="BI188" s="831">
        <f t="shared" si="412"/>
        <v>3645051.1903212797</v>
      </c>
      <c r="BJ188" s="831"/>
      <c r="BK188" s="831">
        <f t="shared" si="413"/>
        <v>3645051.1903212797</v>
      </c>
      <c r="BL188" s="831"/>
      <c r="BM188" s="831">
        <f t="shared" si="414"/>
        <v>3645051.1903212797</v>
      </c>
      <c r="BN188" s="831"/>
      <c r="BO188" s="831">
        <f t="shared" si="415"/>
        <v>3645051.1903212797</v>
      </c>
      <c r="BP188" s="831">
        <f>$BP$5/37</f>
        <v>5065.3710270270276</v>
      </c>
      <c r="BQ188" s="831">
        <f t="shared" si="416"/>
        <v>3650116.5613483069</v>
      </c>
      <c r="BR188" s="831">
        <f>$BR$5/42</f>
        <v>3544.6104</v>
      </c>
      <c r="BS188" s="831">
        <f t="shared" si="417"/>
        <v>3653661.1717483071</v>
      </c>
      <c r="BT188" s="831">
        <f>$BT$5/41</f>
        <v>1609.3168000000001</v>
      </c>
      <c r="BU188" s="831">
        <f t="shared" si="418"/>
        <v>3655270.4885483072</v>
      </c>
      <c r="BV188" s="831">
        <f>$BV$5/43</f>
        <v>1163.3400930232558</v>
      </c>
      <c r="BW188" s="831">
        <f t="shared" si="419"/>
        <v>56400</v>
      </c>
      <c r="BX188" s="831">
        <f t="shared" si="420"/>
        <v>3712833.8286413304</v>
      </c>
      <c r="BY188" s="831">
        <f>$BY$5/44</f>
        <v>30549.183723443901</v>
      </c>
      <c r="BZ188" s="831">
        <f t="shared" si="421"/>
        <v>3743383.0123647745</v>
      </c>
      <c r="CA188" s="1260">
        <f t="shared" si="422"/>
        <v>3743383.0123647745</v>
      </c>
      <c r="CB188" s="1260">
        <f t="shared" si="423"/>
        <v>3567383.0123647745</v>
      </c>
      <c r="CC188" s="1260">
        <v>8000</v>
      </c>
      <c r="CD188" s="1260">
        <f t="shared" si="424"/>
        <v>176000</v>
      </c>
      <c r="CE188" s="1260">
        <f t="shared" si="425"/>
        <v>21120</v>
      </c>
      <c r="CF188" s="1260">
        <f t="shared" si="426"/>
        <v>197120</v>
      </c>
      <c r="CG188" s="1266">
        <f t="shared" si="427"/>
        <v>3764503.0123647745</v>
      </c>
      <c r="CH188" s="1141">
        <f t="shared" si="428"/>
        <v>3764503.0123647745</v>
      </c>
      <c r="CI188" s="1142">
        <f t="shared" si="429"/>
        <v>0</v>
      </c>
      <c r="CJ188" s="1141">
        <f t="shared" si="430"/>
        <v>385861.55876738939</v>
      </c>
      <c r="CK188" s="1141">
        <f t="shared" si="431"/>
        <v>131757.60543276713</v>
      </c>
      <c r="CL188" s="1143">
        <f t="shared" si="489"/>
        <v>4282122.1765649309</v>
      </c>
      <c r="CM188" s="1144">
        <f t="shared" si="432"/>
        <v>0.125</v>
      </c>
      <c r="CN188" s="1141">
        <f t="shared" si="502"/>
        <v>535265.27207061637</v>
      </c>
      <c r="CO188" s="1141">
        <f t="shared" si="433"/>
        <v>30000</v>
      </c>
      <c r="CP188" s="1141">
        <f t="shared" si="503"/>
        <v>505265.27207061637</v>
      </c>
      <c r="CQ188" s="1145">
        <f t="shared" si="434"/>
        <v>16</v>
      </c>
      <c r="CR188" s="1141">
        <f t="shared" si="504"/>
        <v>31579.079504413523</v>
      </c>
      <c r="CS188" s="1144">
        <f t="shared" si="435"/>
        <v>0.875</v>
      </c>
      <c r="CT188" s="1141">
        <f t="shared" si="436"/>
        <v>3746856.9044943145</v>
      </c>
      <c r="CU188" s="1146">
        <f t="shared" si="375"/>
        <v>29049.341699706732</v>
      </c>
      <c r="CV188" s="1146">
        <f t="shared" si="376"/>
        <v>33677.809125981017</v>
      </c>
      <c r="CW188" s="1146">
        <f t="shared" si="377"/>
        <v>43504.185703063617</v>
      </c>
      <c r="CX188" s="1146">
        <f t="shared" si="378"/>
        <v>74192.257468171403</v>
      </c>
      <c r="CY188" s="1146">
        <f t="shared" si="437"/>
        <v>304369.09579027066</v>
      </c>
      <c r="CZ188" s="1146">
        <f t="shared" si="438"/>
        <v>120437.36853722009</v>
      </c>
      <c r="DA188" s="1146">
        <f t="shared" si="439"/>
        <v>86990.20551654615</v>
      </c>
      <c r="DB188" s="1146">
        <f t="shared" si="440"/>
        <v>66203.551220313122</v>
      </c>
      <c r="DC188" s="1146"/>
      <c r="DD188" s="1146"/>
      <c r="DE188" s="1146"/>
      <c r="DF188" s="1146"/>
      <c r="DG188" s="1146"/>
      <c r="DH188" s="1146"/>
      <c r="DI188" s="1146"/>
      <c r="DJ188" s="1146"/>
      <c r="DK188" s="1146"/>
      <c r="DL188" s="1146"/>
      <c r="DM188" s="1146"/>
      <c r="DN188" s="1146"/>
      <c r="DO188" s="1146"/>
      <c r="DP188" s="1146"/>
      <c r="DQ188" s="1146"/>
      <c r="DR188" s="1146"/>
      <c r="DS188" s="1146"/>
      <c r="DT188" s="1146"/>
      <c r="DU188" s="1146"/>
      <c r="DV188" s="1146"/>
      <c r="DW188" s="1146"/>
      <c r="DX188" s="1146"/>
      <c r="DY188" s="1146"/>
      <c r="DZ188" s="1146"/>
      <c r="EA188" s="1147">
        <f t="shared" si="379"/>
        <v>0.10978651070318565</v>
      </c>
      <c r="EB188" s="1148">
        <f t="shared" si="441"/>
        <v>5.5256191812533065E-2</v>
      </c>
      <c r="EC188" s="1190">
        <f t="shared" si="484"/>
        <v>45839</v>
      </c>
      <c r="ED188" s="1031">
        <f t="shared" si="380"/>
        <v>20</v>
      </c>
      <c r="EE188" s="1191"/>
      <c r="EF188" s="1032">
        <f t="shared" si="381"/>
        <v>45904</v>
      </c>
      <c r="EG188" s="1029">
        <f t="shared" si="442"/>
        <v>22</v>
      </c>
      <c r="EH188" s="859" t="s">
        <v>490</v>
      </c>
      <c r="EI188" s="859" t="s">
        <v>480</v>
      </c>
      <c r="EJ188" s="860">
        <f t="shared" si="382"/>
        <v>16800</v>
      </c>
      <c r="EK188" s="860">
        <f t="shared" si="383"/>
        <v>369600</v>
      </c>
      <c r="EL188" s="861">
        <f t="shared" si="384"/>
        <v>0.12296089198756793</v>
      </c>
      <c r="EM188" s="1197"/>
      <c r="EN188" s="860"/>
      <c r="EO188" s="860"/>
      <c r="EP188" s="860">
        <f t="shared" si="385"/>
        <v>0</v>
      </c>
      <c r="EQ188" s="1197"/>
      <c r="ER188" s="1200"/>
      <c r="ES188" s="1197"/>
      <c r="ET188" s="1207" t="s">
        <v>669</v>
      </c>
      <c r="EU188" s="1197" t="b">
        <f t="shared" si="386"/>
        <v>1</v>
      </c>
      <c r="EV188" s="1197"/>
      <c r="EW188" s="1197"/>
      <c r="EX188" s="1197"/>
      <c r="EY188" s="1128" t="s">
        <v>587</v>
      </c>
      <c r="EZ188" s="1128" t="s">
        <v>611</v>
      </c>
      <c r="FA188" s="1169"/>
      <c r="FI188" s="1309" t="s">
        <v>96</v>
      </c>
      <c r="FJ188" s="1159" t="s">
        <v>96</v>
      </c>
      <c r="FK188" s="1160" t="b">
        <f t="shared" si="444"/>
        <v>1</v>
      </c>
      <c r="FL188" s="1131"/>
      <c r="FM188" s="1161"/>
      <c r="FO188" s="888"/>
      <c r="FU188" s="1295"/>
      <c r="FV188" s="1295"/>
      <c r="FW188" s="1023">
        <v>0.15</v>
      </c>
      <c r="FX188" s="1162">
        <v>15185.662271079947</v>
      </c>
      <c r="FY188" s="1163">
        <v>15660.214217051196</v>
      </c>
      <c r="GA188" s="1164">
        <f t="shared" si="445"/>
        <v>4282122.1765649309</v>
      </c>
      <c r="GB188" s="1165">
        <f t="shared" si="485"/>
        <v>0.15</v>
      </c>
      <c r="GC188" s="1154">
        <f t="shared" si="446"/>
        <v>642318.32648473966</v>
      </c>
      <c r="GD188" s="1164">
        <f t="shared" si="447"/>
        <v>30000</v>
      </c>
      <c r="GE188" s="1154">
        <f t="shared" si="448"/>
        <v>612318.32648473966</v>
      </c>
      <c r="GF188" s="1060">
        <f t="shared" si="449"/>
        <v>35</v>
      </c>
      <c r="GG188" s="1166">
        <f t="shared" si="450"/>
        <v>17494.809328135419</v>
      </c>
      <c r="GI188" s="1164">
        <f t="shared" si="451"/>
        <v>4282122.1765649309</v>
      </c>
      <c r="GJ188" s="1154">
        <f t="shared" si="452"/>
        <v>428212.21765649313</v>
      </c>
      <c r="GK188" s="1154">
        <f t="shared" si="453"/>
        <v>107053.05441412328</v>
      </c>
      <c r="GL188" s="1166">
        <v>15000</v>
      </c>
      <c r="GM188" s="1154">
        <f t="shared" si="454"/>
        <v>413212.21765649313</v>
      </c>
      <c r="GN188" s="1060">
        <f t="shared" si="455"/>
        <v>35</v>
      </c>
      <c r="GO188" s="1154">
        <f t="shared" si="456"/>
        <v>11806.063361614089</v>
      </c>
      <c r="GS188" s="1010">
        <f t="shared" si="457"/>
        <v>4282122.1765649309</v>
      </c>
      <c r="GT188" s="1011">
        <f t="shared" si="458"/>
        <v>0.125</v>
      </c>
      <c r="GU188" s="1010">
        <f t="shared" si="459"/>
        <v>535265.27207061637</v>
      </c>
      <c r="GV188" s="1010">
        <f t="shared" si="460"/>
        <v>30000</v>
      </c>
      <c r="GW188" s="1010">
        <f t="shared" si="461"/>
        <v>505265.27207061637</v>
      </c>
      <c r="GX188" s="1010">
        <f t="shared" si="462"/>
        <v>16</v>
      </c>
      <c r="GY188" s="1010">
        <f t="shared" si="463"/>
        <v>31579.079504413523</v>
      </c>
      <c r="GZ188" s="1011">
        <f t="shared" si="464"/>
        <v>0.875</v>
      </c>
      <c r="HA188" s="1010">
        <f t="shared" si="465"/>
        <v>3746856.9044943145</v>
      </c>
      <c r="HB188" s="1010">
        <f t="shared" si="466"/>
        <v>29049.341699706732</v>
      </c>
      <c r="HC188" s="1010">
        <f t="shared" si="467"/>
        <v>33677.809125981017</v>
      </c>
      <c r="HD188" s="1010">
        <f t="shared" si="468"/>
        <v>43504.185703063617</v>
      </c>
      <c r="HE188" s="1010">
        <f t="shared" si="469"/>
        <v>74192.257468171403</v>
      </c>
      <c r="HG188" s="1010">
        <f t="shared" si="470"/>
        <v>4282122.1765649309</v>
      </c>
      <c r="HH188" s="1011">
        <f t="shared" si="471"/>
        <v>0.125</v>
      </c>
      <c r="HI188" s="1010">
        <f t="shared" si="472"/>
        <v>535265.27207061637</v>
      </c>
      <c r="HJ188" s="1010">
        <f t="shared" si="473"/>
        <v>30000</v>
      </c>
      <c r="HK188" s="1010">
        <f t="shared" si="474"/>
        <v>505265.27207061637</v>
      </c>
      <c r="HL188" s="1012">
        <f t="shared" si="475"/>
        <v>33</v>
      </c>
      <c r="HM188" s="1167">
        <f t="shared" si="476"/>
        <v>15311.068850624739</v>
      </c>
      <c r="HN188" s="1168">
        <f t="shared" si="477"/>
        <v>0.875</v>
      </c>
      <c r="HO188" s="1167">
        <f t="shared" si="478"/>
        <v>3746856.9044943145</v>
      </c>
      <c r="HP188" s="1146">
        <f t="shared" si="479"/>
        <v>29049.341699706732</v>
      </c>
      <c r="HQ188" s="1146">
        <f t="shared" si="480"/>
        <v>33677.809125981017</v>
      </c>
      <c r="HR188" s="1146">
        <f t="shared" si="481"/>
        <v>43504.185703063617</v>
      </c>
      <c r="HS188" s="1146">
        <f t="shared" si="482"/>
        <v>74192.257468171403</v>
      </c>
      <c r="HU188" s="1167">
        <f t="shared" si="483"/>
        <v>-16268.010653788784</v>
      </c>
      <c r="HX188" s="1154"/>
      <c r="HY188" s="1154"/>
      <c r="IB188" s="1154"/>
      <c r="IC188" s="1154"/>
      <c r="ID188" s="1154"/>
      <c r="IE188" s="1154"/>
      <c r="IG188" s="1060"/>
    </row>
    <row r="189" spans="1:241" ht="14.25" hidden="1" customHeight="1">
      <c r="A189" s="1186">
        <f t="shared" si="490"/>
        <v>183</v>
      </c>
      <c r="B189" s="824"/>
      <c r="C189" s="855">
        <f t="shared" si="523"/>
        <v>6</v>
      </c>
      <c r="D189" s="856" t="s">
        <v>524</v>
      </c>
      <c r="E189" s="857" t="str">
        <f t="shared" si="387"/>
        <v>12th Floor</v>
      </c>
      <c r="F189" s="1185"/>
      <c r="G189" s="764" t="s">
        <v>670</v>
      </c>
      <c r="H189" s="764" t="s">
        <v>503</v>
      </c>
      <c r="I189" s="764" t="s">
        <v>476</v>
      </c>
      <c r="J189" s="1139">
        <v>22</v>
      </c>
      <c r="K189" s="1142"/>
      <c r="L189" s="764" t="s">
        <v>344</v>
      </c>
      <c r="M189" s="764" t="s">
        <v>477</v>
      </c>
      <c r="N189" s="856">
        <f t="shared" si="388"/>
        <v>100909.09090909091</v>
      </c>
      <c r="O189" s="1138">
        <f t="shared" si="486"/>
        <v>2220000</v>
      </c>
      <c r="P189" s="1138">
        <f t="shared" si="491"/>
        <v>22400</v>
      </c>
      <c r="Q189" s="1138">
        <f t="shared" si="374"/>
        <v>50000</v>
      </c>
      <c r="R189" s="1138"/>
      <c r="S189" s="1138"/>
      <c r="T189" s="1138"/>
      <c r="U189" s="1138"/>
      <c r="V189" s="858"/>
      <c r="W189" s="858">
        <f t="shared" si="524"/>
        <v>22000</v>
      </c>
      <c r="X189" s="1138"/>
      <c r="Y189" s="1138">
        <f t="shared" si="525"/>
        <v>160000</v>
      </c>
      <c r="Z189" s="1138">
        <f t="shared" si="487"/>
        <v>75000</v>
      </c>
      <c r="AA189" s="1138">
        <f t="shared" si="488"/>
        <v>329400</v>
      </c>
      <c r="AB189" s="1138">
        <f t="shared" si="390"/>
        <v>2549400</v>
      </c>
      <c r="AC189" s="1138">
        <f t="shared" si="391"/>
        <v>63735</v>
      </c>
      <c r="AD189" s="1138">
        <f t="shared" si="392"/>
        <v>2613135</v>
      </c>
      <c r="AE189" s="1138">
        <f t="shared" si="393"/>
        <v>65328.375</v>
      </c>
      <c r="AF189" s="1138">
        <f t="shared" si="394"/>
        <v>2678463.375</v>
      </c>
      <c r="AG189" s="1138">
        <f t="shared" si="395"/>
        <v>66961.584375000006</v>
      </c>
      <c r="AH189" s="1138">
        <f t="shared" si="396"/>
        <v>2745424.9593750001</v>
      </c>
      <c r="AI189" s="1138">
        <f t="shared" si="397"/>
        <v>137271.24796875002</v>
      </c>
      <c r="AJ189" s="1138">
        <f t="shared" si="398"/>
        <v>2882696.2073437502</v>
      </c>
      <c r="AK189" s="1138">
        <f t="shared" si="399"/>
        <v>28826.962073437502</v>
      </c>
      <c r="AL189" s="1138">
        <f t="shared" si="400"/>
        <v>27537.409960060559</v>
      </c>
      <c r="AM189" s="1138"/>
      <c r="AN189" s="1138"/>
      <c r="AO189" s="1138">
        <f t="shared" si="401"/>
        <v>2939060.579377248</v>
      </c>
      <c r="AP189" s="1138">
        <f t="shared" si="402"/>
        <v>396773.17821592849</v>
      </c>
      <c r="AQ189" s="1248">
        <f t="shared" si="403"/>
        <v>3335833.7575931763</v>
      </c>
      <c r="AR189" s="1248">
        <f t="shared" si="515"/>
        <v>3005833.7575931763</v>
      </c>
      <c r="AS189" s="1248">
        <v>15000</v>
      </c>
      <c r="AT189" s="1248">
        <f t="shared" si="516"/>
        <v>330000</v>
      </c>
      <c r="AU189" s="1248">
        <f t="shared" si="404"/>
        <v>39600</v>
      </c>
      <c r="AV189" s="1140">
        <f t="shared" si="405"/>
        <v>369600</v>
      </c>
      <c r="AW189" s="1140">
        <f t="shared" si="406"/>
        <v>3375433.7575931763</v>
      </c>
      <c r="AX189" s="1139">
        <f t="shared" si="407"/>
        <v>42192.921969914707</v>
      </c>
      <c r="AY189" s="831" t="s">
        <v>478</v>
      </c>
      <c r="AZ189" s="831">
        <f t="shared" si="408"/>
        <v>3417626.6795630911</v>
      </c>
      <c r="BA189" s="831">
        <f t="shared" si="409"/>
        <v>128161.00048361591</v>
      </c>
      <c r="BB189" s="831"/>
      <c r="BC189" s="831">
        <f t="shared" si="513"/>
        <v>33600</v>
      </c>
      <c r="BD189" s="831"/>
      <c r="BE189" s="831">
        <f t="shared" si="410"/>
        <v>3579387.6800467069</v>
      </c>
      <c r="BF189" s="831"/>
      <c r="BG189" s="831">
        <f t="shared" si="411"/>
        <v>3579387.6800467069</v>
      </c>
      <c r="BH189" s="831"/>
      <c r="BI189" s="831">
        <f t="shared" si="412"/>
        <v>3579387.6800467069</v>
      </c>
      <c r="BJ189" s="831"/>
      <c r="BK189" s="831">
        <f t="shared" si="413"/>
        <v>3579387.6800467069</v>
      </c>
      <c r="BL189" s="831"/>
      <c r="BM189" s="831">
        <f t="shared" si="414"/>
        <v>3579387.6800467069</v>
      </c>
      <c r="BN189" s="831"/>
      <c r="BO189" s="831">
        <f t="shared" si="415"/>
        <v>3579387.6800467069</v>
      </c>
      <c r="BP189" s="831"/>
      <c r="BQ189" s="831">
        <f t="shared" si="416"/>
        <v>3579387.6800467069</v>
      </c>
      <c r="BR189" s="831"/>
      <c r="BS189" s="831">
        <f t="shared" si="417"/>
        <v>3579387.6800467069</v>
      </c>
      <c r="BT189" s="831"/>
      <c r="BU189" s="831">
        <f t="shared" si="418"/>
        <v>3579387.6800467069</v>
      </c>
      <c r="BV189" s="831"/>
      <c r="BW189" s="831">
        <f t="shared" si="419"/>
        <v>56400</v>
      </c>
      <c r="BX189" s="831">
        <f t="shared" si="420"/>
        <v>3635787.6800467069</v>
      </c>
      <c r="BY189" s="831"/>
      <c r="BZ189" s="831">
        <f t="shared" si="421"/>
        <v>3635787.6800467069</v>
      </c>
      <c r="CA189" s="1260">
        <f t="shared" si="422"/>
        <v>3635787.6800467069</v>
      </c>
      <c r="CB189" s="1260">
        <f t="shared" si="423"/>
        <v>3635787.6800467069</v>
      </c>
      <c r="CC189" s="1260"/>
      <c r="CD189" s="1260">
        <f t="shared" si="424"/>
        <v>0</v>
      </c>
      <c r="CE189" s="1260">
        <f t="shared" si="425"/>
        <v>0</v>
      </c>
      <c r="CF189" s="1260">
        <f t="shared" si="426"/>
        <v>0</v>
      </c>
      <c r="CG189" s="1266">
        <f t="shared" si="427"/>
        <v>3635787.6800467069</v>
      </c>
      <c r="CH189" s="1141">
        <f t="shared" si="428"/>
        <v>3635787.6800467069</v>
      </c>
      <c r="CI189" s="1142">
        <f t="shared" si="429"/>
        <v>436294.52160560479</v>
      </c>
      <c r="CJ189" s="1141">
        <f t="shared" si="430"/>
        <v>372668.23720478744</v>
      </c>
      <c r="CK189" s="1141">
        <f t="shared" si="431"/>
        <v>127252.56880163476</v>
      </c>
      <c r="CL189" s="1143">
        <f t="shared" si="489"/>
        <v>4572003.007658734</v>
      </c>
      <c r="CM189" s="1144">
        <f t="shared" si="432"/>
        <v>0.125</v>
      </c>
      <c r="CN189" s="1141">
        <f t="shared" si="502"/>
        <v>571500.37595734175</v>
      </c>
      <c r="CO189" s="1141">
        <f t="shared" si="433"/>
        <v>30000</v>
      </c>
      <c r="CP189" s="1141">
        <f t="shared" si="503"/>
        <v>541500.37595734175</v>
      </c>
      <c r="CQ189" s="1145">
        <f t="shared" si="434"/>
        <v>16</v>
      </c>
      <c r="CR189" s="1141">
        <f t="shared" si="504"/>
        <v>33843.773497333859</v>
      </c>
      <c r="CS189" s="1144">
        <f t="shared" si="435"/>
        <v>0.875</v>
      </c>
      <c r="CT189" s="1141">
        <f t="shared" si="436"/>
        <v>4000502.6317013921</v>
      </c>
      <c r="CU189" s="1146">
        <f t="shared" si="375"/>
        <v>31015.854322985961</v>
      </c>
      <c r="CV189" s="1146">
        <f t="shared" si="376"/>
        <v>35957.648629927462</v>
      </c>
      <c r="CW189" s="1146">
        <f t="shared" si="377"/>
        <v>46449.227667695195</v>
      </c>
      <c r="CX189" s="1146">
        <f t="shared" si="378"/>
        <v>79214.746871510069</v>
      </c>
      <c r="CY189" s="1146">
        <f t="shared" si="437"/>
        <v>324973.54442786897</v>
      </c>
      <c r="CZ189" s="1146">
        <f t="shared" si="438"/>
        <v>128590.44849308587</v>
      </c>
      <c r="DA189" s="1146">
        <f t="shared" si="439"/>
        <v>92879.059695010001</v>
      </c>
      <c r="DB189" s="1146">
        <f t="shared" si="440"/>
        <v>70685.240358968294</v>
      </c>
      <c r="DC189" s="1146"/>
      <c r="DD189" s="1146"/>
      <c r="DE189" s="1146"/>
      <c r="DF189" s="1146"/>
      <c r="DG189" s="1146"/>
      <c r="DH189" s="1146"/>
      <c r="DI189" s="1146"/>
      <c r="DJ189" s="1146"/>
      <c r="DK189" s="1146"/>
      <c r="DL189" s="1146"/>
      <c r="DM189" s="1146"/>
      <c r="DN189" s="1146"/>
      <c r="DO189" s="1146"/>
      <c r="DP189" s="1146"/>
      <c r="DQ189" s="1146"/>
      <c r="DR189" s="1146"/>
      <c r="DS189" s="1146"/>
      <c r="DT189" s="1146"/>
      <c r="DU189" s="1146"/>
      <c r="DV189" s="1146"/>
      <c r="DW189" s="1146"/>
      <c r="DX189" s="1146"/>
      <c r="DY189" s="1146"/>
      <c r="DZ189" s="1146"/>
      <c r="EA189" s="1147">
        <f t="shared" si="379"/>
        <v>0.10978651070318565</v>
      </c>
      <c r="EB189" s="1148">
        <f t="shared" si="441"/>
        <v>0</v>
      </c>
      <c r="EC189" s="1190">
        <f t="shared" si="484"/>
        <v>45839</v>
      </c>
      <c r="ED189" s="1031">
        <f t="shared" si="380"/>
        <v>20</v>
      </c>
      <c r="EE189" s="1191"/>
      <c r="EF189" s="1032">
        <f t="shared" si="381"/>
        <v>45904</v>
      </c>
      <c r="EG189" s="1029">
        <f t="shared" si="442"/>
        <v>22</v>
      </c>
      <c r="EH189" s="859" t="s">
        <v>490</v>
      </c>
      <c r="EI189" s="859" t="s">
        <v>480</v>
      </c>
      <c r="EJ189" s="860">
        <f t="shared" si="382"/>
        <v>16800</v>
      </c>
      <c r="EK189" s="860">
        <f t="shared" si="383"/>
        <v>369600</v>
      </c>
      <c r="EL189" s="861">
        <f t="shared" si="384"/>
        <v>0.12296089198756793</v>
      </c>
      <c r="EM189" s="1197"/>
      <c r="EN189" s="860"/>
      <c r="EO189" s="860"/>
      <c r="EP189" s="860">
        <f t="shared" si="385"/>
        <v>0</v>
      </c>
      <c r="EQ189" s="1197"/>
      <c r="ER189" s="1200"/>
      <c r="ES189" s="1197"/>
      <c r="ET189" s="1207" t="s">
        <v>670</v>
      </c>
      <c r="EU189" s="1197" t="b">
        <f t="shared" si="386"/>
        <v>1</v>
      </c>
      <c r="EV189" s="1197"/>
      <c r="EW189" s="1197"/>
      <c r="EX189" s="1197"/>
      <c r="EY189" s="1128" t="s">
        <v>587</v>
      </c>
      <c r="EZ189" s="1128" t="s">
        <v>484</v>
      </c>
      <c r="FA189" s="1169">
        <f t="shared" si="443"/>
        <v>0</v>
      </c>
      <c r="FI189" s="1309" t="s">
        <v>149</v>
      </c>
      <c r="FJ189" s="1159" t="s">
        <v>149</v>
      </c>
      <c r="FK189" s="1160" t="b">
        <f t="shared" si="444"/>
        <v>1</v>
      </c>
      <c r="FL189" s="1131"/>
      <c r="FM189" s="1161"/>
      <c r="FO189" s="888"/>
      <c r="FU189" s="1295"/>
      <c r="FV189" s="1295"/>
      <c r="FW189" s="1023">
        <v>0.15</v>
      </c>
      <c r="FX189" s="1162">
        <v>15185.662271079947</v>
      </c>
      <c r="FY189" s="1163">
        <v>15660.214217051196</v>
      </c>
      <c r="GA189" s="1164">
        <f t="shared" si="445"/>
        <v>4572003.007658734</v>
      </c>
      <c r="GB189" s="1165">
        <f t="shared" si="485"/>
        <v>0.15</v>
      </c>
      <c r="GC189" s="1154">
        <f t="shared" si="446"/>
        <v>685800.4511488101</v>
      </c>
      <c r="GD189" s="1164">
        <f t="shared" si="447"/>
        <v>30000</v>
      </c>
      <c r="GE189" s="1154">
        <f t="shared" si="448"/>
        <v>655800.4511488101</v>
      </c>
      <c r="GF189" s="1060">
        <f t="shared" si="449"/>
        <v>35</v>
      </c>
      <c r="GG189" s="1166">
        <f t="shared" si="450"/>
        <v>18737.15574710886</v>
      </c>
      <c r="GI189" s="1164">
        <f t="shared" si="451"/>
        <v>4572003.007658734</v>
      </c>
      <c r="GJ189" s="1154">
        <f t="shared" si="452"/>
        <v>457200.3007658734</v>
      </c>
      <c r="GK189" s="1154">
        <f t="shared" si="453"/>
        <v>114300.07519146835</v>
      </c>
      <c r="GL189" s="1166">
        <v>15000</v>
      </c>
      <c r="GM189" s="1154">
        <f t="shared" si="454"/>
        <v>442200.3007658734</v>
      </c>
      <c r="GN189" s="1060">
        <f t="shared" si="455"/>
        <v>35</v>
      </c>
      <c r="GO189" s="1154">
        <f t="shared" si="456"/>
        <v>12634.294307596383</v>
      </c>
      <c r="GS189" s="1010">
        <f t="shared" si="457"/>
        <v>4572003.007658734</v>
      </c>
      <c r="GT189" s="1011">
        <f t="shared" si="458"/>
        <v>0.125</v>
      </c>
      <c r="GU189" s="1010">
        <f t="shared" si="459"/>
        <v>571500.37595734175</v>
      </c>
      <c r="GV189" s="1010">
        <f t="shared" si="460"/>
        <v>30000</v>
      </c>
      <c r="GW189" s="1010">
        <f t="shared" si="461"/>
        <v>541500.37595734175</v>
      </c>
      <c r="GX189" s="1010">
        <f t="shared" si="462"/>
        <v>16</v>
      </c>
      <c r="GY189" s="1010">
        <f t="shared" si="463"/>
        <v>33843.773497333859</v>
      </c>
      <c r="GZ189" s="1011">
        <f t="shared" si="464"/>
        <v>0.875</v>
      </c>
      <c r="HA189" s="1010">
        <f t="shared" si="465"/>
        <v>4000502.6317013921</v>
      </c>
      <c r="HB189" s="1010">
        <f t="shared" si="466"/>
        <v>31015.854322985961</v>
      </c>
      <c r="HC189" s="1010">
        <f t="shared" si="467"/>
        <v>35957.648629927462</v>
      </c>
      <c r="HD189" s="1010">
        <f t="shared" si="468"/>
        <v>46449.227667695195</v>
      </c>
      <c r="HE189" s="1010">
        <f t="shared" si="469"/>
        <v>79214.746871510069</v>
      </c>
      <c r="HG189" s="1010">
        <f t="shared" si="470"/>
        <v>4572003.007658734</v>
      </c>
      <c r="HH189" s="1011">
        <f t="shared" si="471"/>
        <v>0.125</v>
      </c>
      <c r="HI189" s="1010">
        <f t="shared" si="472"/>
        <v>571500.37595734175</v>
      </c>
      <c r="HJ189" s="1010">
        <f t="shared" si="473"/>
        <v>30000</v>
      </c>
      <c r="HK189" s="1010">
        <f t="shared" si="474"/>
        <v>541500.37595734175</v>
      </c>
      <c r="HL189" s="1012">
        <f t="shared" si="475"/>
        <v>33</v>
      </c>
      <c r="HM189" s="1167">
        <f t="shared" si="476"/>
        <v>16409.102301737628</v>
      </c>
      <c r="HN189" s="1168">
        <f t="shared" si="477"/>
        <v>0.875</v>
      </c>
      <c r="HO189" s="1167">
        <f t="shared" si="478"/>
        <v>4000502.6317013921</v>
      </c>
      <c r="HP189" s="1146">
        <f t="shared" si="479"/>
        <v>31015.854322985961</v>
      </c>
      <c r="HQ189" s="1146">
        <f t="shared" si="480"/>
        <v>35957.648629927462</v>
      </c>
      <c r="HR189" s="1146">
        <f t="shared" si="481"/>
        <v>46449.227667695195</v>
      </c>
      <c r="HS189" s="1146">
        <f t="shared" si="482"/>
        <v>79214.746871510069</v>
      </c>
      <c r="HU189" s="1167">
        <f t="shared" si="483"/>
        <v>-17434.671195596231</v>
      </c>
      <c r="HX189" s="1154"/>
      <c r="HY189" s="1154"/>
      <c r="IB189" s="1154"/>
      <c r="IC189" s="1154"/>
      <c r="ID189" s="1154"/>
      <c r="IE189" s="1154"/>
      <c r="IG189" s="1060"/>
    </row>
    <row r="190" spans="1:241" ht="14.25" hidden="1" customHeight="1">
      <c r="A190" s="1186">
        <f t="shared" si="490"/>
        <v>184</v>
      </c>
      <c r="B190" s="824"/>
      <c r="C190" s="855">
        <f t="shared" si="523"/>
        <v>7</v>
      </c>
      <c r="D190" s="856" t="s">
        <v>524</v>
      </c>
      <c r="E190" s="857" t="str">
        <f t="shared" si="387"/>
        <v>12th Floor</v>
      </c>
      <c r="F190" s="1185"/>
      <c r="G190" s="764" t="s">
        <v>671</v>
      </c>
      <c r="H190" s="764" t="s">
        <v>506</v>
      </c>
      <c r="I190" s="764" t="s">
        <v>476</v>
      </c>
      <c r="J190" s="831">
        <v>22</v>
      </c>
      <c r="K190" s="1142"/>
      <c r="L190" s="764" t="s">
        <v>344</v>
      </c>
      <c r="M190" s="764" t="s">
        <v>117</v>
      </c>
      <c r="N190" s="856">
        <f t="shared" si="388"/>
        <v>100909.09090909091</v>
      </c>
      <c r="O190" s="1138">
        <f t="shared" si="486"/>
        <v>2220000</v>
      </c>
      <c r="P190" s="1138">
        <f t="shared" si="491"/>
        <v>22400</v>
      </c>
      <c r="Q190" s="1138">
        <f t="shared" si="374"/>
        <v>50000</v>
      </c>
      <c r="R190" s="1138"/>
      <c r="S190" s="1138"/>
      <c r="T190" s="1138"/>
      <c r="U190" s="1138"/>
      <c r="V190" s="858">
        <f t="shared" ref="V190:V191" si="526">J190*$V$5</f>
        <v>55000</v>
      </c>
      <c r="W190" s="1138"/>
      <c r="X190" s="1138"/>
      <c r="Y190" s="1138">
        <f t="shared" si="525"/>
        <v>160000</v>
      </c>
      <c r="Z190" s="1138">
        <f t="shared" si="487"/>
        <v>75000</v>
      </c>
      <c r="AA190" s="1138">
        <f t="shared" si="488"/>
        <v>362400</v>
      </c>
      <c r="AB190" s="1138">
        <f t="shared" si="390"/>
        <v>2582400</v>
      </c>
      <c r="AC190" s="1138">
        <f t="shared" si="391"/>
        <v>64560</v>
      </c>
      <c r="AD190" s="1138">
        <f t="shared" si="392"/>
        <v>2646960</v>
      </c>
      <c r="AE190" s="1138">
        <f t="shared" si="393"/>
        <v>66174</v>
      </c>
      <c r="AF190" s="1138">
        <f t="shared" si="394"/>
        <v>2713134</v>
      </c>
      <c r="AG190" s="1138">
        <f t="shared" si="395"/>
        <v>67828.350000000006</v>
      </c>
      <c r="AH190" s="1138">
        <f t="shared" si="396"/>
        <v>2780962.35</v>
      </c>
      <c r="AI190" s="1138">
        <f t="shared" si="397"/>
        <v>139048.11750000002</v>
      </c>
      <c r="AJ190" s="1138">
        <f t="shared" si="398"/>
        <v>2920010.4675000003</v>
      </c>
      <c r="AK190" s="1138">
        <f t="shared" si="399"/>
        <v>29200.104675000002</v>
      </c>
      <c r="AL190" s="1138">
        <f t="shared" si="400"/>
        <v>27537.409960060559</v>
      </c>
      <c r="AM190" s="1138"/>
      <c r="AN190" s="1138"/>
      <c r="AO190" s="1138">
        <f t="shared" si="401"/>
        <v>2976747.9821350607</v>
      </c>
      <c r="AP190" s="1138">
        <f t="shared" si="402"/>
        <v>401860.97758823325</v>
      </c>
      <c r="AQ190" s="1248">
        <f t="shared" si="403"/>
        <v>3378608.9597232938</v>
      </c>
      <c r="AR190" s="1248">
        <f t="shared" si="515"/>
        <v>3048608.9597232938</v>
      </c>
      <c r="AS190" s="1248">
        <v>15000</v>
      </c>
      <c r="AT190" s="1248">
        <f t="shared" si="516"/>
        <v>330000</v>
      </c>
      <c r="AU190" s="1248">
        <f t="shared" si="404"/>
        <v>39600</v>
      </c>
      <c r="AV190" s="1140">
        <f t="shared" si="405"/>
        <v>369600</v>
      </c>
      <c r="AW190" s="1140">
        <f t="shared" si="406"/>
        <v>3418208.9597232938</v>
      </c>
      <c r="AX190" s="1139">
        <f t="shared" si="407"/>
        <v>42727.611996541178</v>
      </c>
      <c r="AY190" s="831">
        <v>13444.671373913045</v>
      </c>
      <c r="AZ190" s="831">
        <f t="shared" si="408"/>
        <v>3474381.2430937481</v>
      </c>
      <c r="BA190" s="831">
        <f t="shared" si="409"/>
        <v>130289.29661601555</v>
      </c>
      <c r="BB190" s="831"/>
      <c r="BC190" s="831">
        <f t="shared" si="513"/>
        <v>33600</v>
      </c>
      <c r="BD190" s="831"/>
      <c r="BE190" s="831">
        <f t="shared" si="410"/>
        <v>3638270.5397097636</v>
      </c>
      <c r="BF190" s="831"/>
      <c r="BG190" s="831">
        <f t="shared" si="411"/>
        <v>3638270.5397097636</v>
      </c>
      <c r="BH190" s="831"/>
      <c r="BI190" s="831">
        <f t="shared" si="412"/>
        <v>3638270.5397097636</v>
      </c>
      <c r="BJ190" s="831"/>
      <c r="BK190" s="831">
        <f t="shared" si="413"/>
        <v>3638270.5397097636</v>
      </c>
      <c r="BL190" s="831"/>
      <c r="BM190" s="831">
        <f t="shared" si="414"/>
        <v>3638270.5397097636</v>
      </c>
      <c r="BN190" s="831"/>
      <c r="BO190" s="831">
        <f t="shared" si="415"/>
        <v>3638270.5397097636</v>
      </c>
      <c r="BP190" s="831"/>
      <c r="BQ190" s="831">
        <f t="shared" si="416"/>
        <v>3638270.5397097636</v>
      </c>
      <c r="BR190" s="831"/>
      <c r="BS190" s="831">
        <f t="shared" si="417"/>
        <v>3638270.5397097636</v>
      </c>
      <c r="BT190" s="831"/>
      <c r="BU190" s="831">
        <f t="shared" si="418"/>
        <v>3638270.5397097636</v>
      </c>
      <c r="BV190" s="831"/>
      <c r="BW190" s="831">
        <f t="shared" si="419"/>
        <v>56400</v>
      </c>
      <c r="BX190" s="831">
        <f t="shared" si="420"/>
        <v>3694670.5397097636</v>
      </c>
      <c r="BY190" s="831"/>
      <c r="BZ190" s="831">
        <f t="shared" si="421"/>
        <v>3694670.5397097636</v>
      </c>
      <c r="CA190" s="1260">
        <f t="shared" si="422"/>
        <v>3694670.5397097636</v>
      </c>
      <c r="CB190" s="1260">
        <f t="shared" si="423"/>
        <v>3518670.5397097636</v>
      </c>
      <c r="CC190" s="1260">
        <v>8000</v>
      </c>
      <c r="CD190" s="1260">
        <f t="shared" si="424"/>
        <v>176000</v>
      </c>
      <c r="CE190" s="1260">
        <f t="shared" si="425"/>
        <v>21120</v>
      </c>
      <c r="CF190" s="1260">
        <f t="shared" si="426"/>
        <v>197120</v>
      </c>
      <c r="CG190" s="1266">
        <f t="shared" si="427"/>
        <v>3715790.5397097636</v>
      </c>
      <c r="CH190" s="1141">
        <f t="shared" si="428"/>
        <v>3715790.5397097636</v>
      </c>
      <c r="CI190" s="1142">
        <f t="shared" si="429"/>
        <v>0</v>
      </c>
      <c r="CJ190" s="1141">
        <f t="shared" si="430"/>
        <v>380868.53032025072</v>
      </c>
      <c r="CK190" s="1141">
        <f t="shared" si="431"/>
        <v>130052.66888984173</v>
      </c>
      <c r="CL190" s="1143">
        <f t="shared" si="489"/>
        <v>4226711.738919856</v>
      </c>
      <c r="CM190" s="1144">
        <f t="shared" si="432"/>
        <v>0.125</v>
      </c>
      <c r="CN190" s="1141">
        <f t="shared" si="502"/>
        <v>528338.967364982</v>
      </c>
      <c r="CO190" s="1141">
        <f t="shared" si="433"/>
        <v>30000</v>
      </c>
      <c r="CP190" s="1141">
        <f t="shared" si="503"/>
        <v>498338.967364982</v>
      </c>
      <c r="CQ190" s="1145">
        <f t="shared" si="434"/>
        <v>16</v>
      </c>
      <c r="CR190" s="1141">
        <f t="shared" si="504"/>
        <v>31146.185460311375</v>
      </c>
      <c r="CS190" s="1144">
        <f t="shared" si="435"/>
        <v>0.875</v>
      </c>
      <c r="CT190" s="1141">
        <f t="shared" si="436"/>
        <v>3698372.7715548743</v>
      </c>
      <c r="CU190" s="1146">
        <f t="shared" si="375"/>
        <v>28673.444733083212</v>
      </c>
      <c r="CV190" s="1146">
        <f t="shared" si="376"/>
        <v>33242.020032243658</v>
      </c>
      <c r="CW190" s="1146">
        <f t="shared" si="377"/>
        <v>42941.243808880419</v>
      </c>
      <c r="CX190" s="1146">
        <f t="shared" si="378"/>
        <v>73232.21352578084</v>
      </c>
      <c r="CY190" s="1146">
        <f t="shared" si="437"/>
        <v>300430.57556409069</v>
      </c>
      <c r="CZ190" s="1146">
        <f t="shared" si="438"/>
        <v>118878.9152693542</v>
      </c>
      <c r="DA190" s="1146">
        <f t="shared" si="439"/>
        <v>85864.556793843542</v>
      </c>
      <c r="DB190" s="1146">
        <f t="shared" si="440"/>
        <v>65346.880720145746</v>
      </c>
      <c r="DC190" s="1146"/>
      <c r="DD190" s="1146"/>
      <c r="DE190" s="1146"/>
      <c r="DF190" s="1146"/>
      <c r="DG190" s="1146"/>
      <c r="DH190" s="1146"/>
      <c r="DI190" s="1146"/>
      <c r="DJ190" s="1146"/>
      <c r="DK190" s="1146"/>
      <c r="DL190" s="1146"/>
      <c r="DM190" s="1146"/>
      <c r="DN190" s="1146"/>
      <c r="DO190" s="1146"/>
      <c r="DP190" s="1146"/>
      <c r="DQ190" s="1146"/>
      <c r="DR190" s="1146"/>
      <c r="DS190" s="1146"/>
      <c r="DT190" s="1146"/>
      <c r="DU190" s="1146"/>
      <c r="DV190" s="1146"/>
      <c r="DW190" s="1146"/>
      <c r="DX190" s="1146"/>
      <c r="DY190" s="1146"/>
      <c r="DZ190" s="1146"/>
      <c r="EA190" s="1147">
        <f t="shared" si="379"/>
        <v>0.10824609005608656</v>
      </c>
      <c r="EB190" s="1148">
        <f t="shared" si="441"/>
        <v>5.6021158495918572E-2</v>
      </c>
      <c r="EC190" s="1190">
        <f t="shared" si="484"/>
        <v>45839</v>
      </c>
      <c r="ED190" s="1031">
        <f t="shared" si="380"/>
        <v>20</v>
      </c>
      <c r="EE190" s="1191"/>
      <c r="EF190" s="1032">
        <f t="shared" si="381"/>
        <v>45904</v>
      </c>
      <c r="EG190" s="1029">
        <f t="shared" si="442"/>
        <v>22</v>
      </c>
      <c r="EH190" s="859" t="s">
        <v>490</v>
      </c>
      <c r="EI190" s="859" t="s">
        <v>480</v>
      </c>
      <c r="EJ190" s="860">
        <f t="shared" si="382"/>
        <v>16800</v>
      </c>
      <c r="EK190" s="860">
        <f t="shared" si="383"/>
        <v>369600</v>
      </c>
      <c r="EL190" s="861">
        <f t="shared" si="384"/>
        <v>0.12123562086281695</v>
      </c>
      <c r="EM190" s="1197"/>
      <c r="EN190" s="860"/>
      <c r="EO190" s="860"/>
      <c r="EP190" s="860">
        <f t="shared" si="385"/>
        <v>0</v>
      </c>
      <c r="EQ190" s="1197"/>
      <c r="ER190" s="1200"/>
      <c r="ES190" s="1197"/>
      <c r="ET190" s="1207" t="s">
        <v>671</v>
      </c>
      <c r="EU190" s="1197" t="b">
        <f t="shared" si="386"/>
        <v>1</v>
      </c>
      <c r="EV190" s="1197"/>
      <c r="EW190" s="1197"/>
      <c r="EX190" s="1197"/>
      <c r="EY190" s="1128" t="s">
        <v>587</v>
      </c>
      <c r="EZ190" s="1128" t="s">
        <v>611</v>
      </c>
      <c r="FA190" s="1169"/>
      <c r="FI190" s="1309" t="s">
        <v>149</v>
      </c>
      <c r="FJ190" s="1159" t="s">
        <v>149</v>
      </c>
      <c r="FK190" s="1160" t="b">
        <f t="shared" si="444"/>
        <v>1</v>
      </c>
      <c r="FL190" s="1131"/>
      <c r="FM190" s="1161"/>
      <c r="FO190" s="888"/>
      <c r="FU190" s="1295"/>
      <c r="FV190" s="1295"/>
      <c r="FW190" s="1023">
        <v>0.15</v>
      </c>
      <c r="FX190" s="1162">
        <v>15686.697602776758</v>
      </c>
      <c r="FY190" s="1163">
        <v>16176.906902863531</v>
      </c>
      <c r="GA190" s="1164">
        <f t="shared" si="445"/>
        <v>4226711.738919856</v>
      </c>
      <c r="GB190" s="1165">
        <f t="shared" si="485"/>
        <v>0.15</v>
      </c>
      <c r="GC190" s="1154">
        <f t="shared" si="446"/>
        <v>634006.76083797833</v>
      </c>
      <c r="GD190" s="1164">
        <f t="shared" si="447"/>
        <v>30000</v>
      </c>
      <c r="GE190" s="1154">
        <f t="shared" si="448"/>
        <v>604006.76083797833</v>
      </c>
      <c r="GF190" s="1060">
        <f t="shared" si="449"/>
        <v>35</v>
      </c>
      <c r="GG190" s="1166">
        <f t="shared" si="450"/>
        <v>17257.336023942236</v>
      </c>
      <c r="GI190" s="1164">
        <f t="shared" si="451"/>
        <v>4226711.738919856</v>
      </c>
      <c r="GJ190" s="1154">
        <f t="shared" si="452"/>
        <v>422671.17389198561</v>
      </c>
      <c r="GK190" s="1154">
        <f t="shared" si="453"/>
        <v>105667.7934729964</v>
      </c>
      <c r="GL190" s="1166">
        <v>15000</v>
      </c>
      <c r="GM190" s="1154">
        <f t="shared" si="454"/>
        <v>407671.17389198561</v>
      </c>
      <c r="GN190" s="1060">
        <f t="shared" si="455"/>
        <v>35</v>
      </c>
      <c r="GO190" s="1154">
        <f t="shared" si="456"/>
        <v>11647.747825485303</v>
      </c>
      <c r="GS190" s="1010">
        <f t="shared" si="457"/>
        <v>4226711.738919856</v>
      </c>
      <c r="GT190" s="1011">
        <f t="shared" si="458"/>
        <v>0.125</v>
      </c>
      <c r="GU190" s="1010">
        <f t="shared" si="459"/>
        <v>528338.967364982</v>
      </c>
      <c r="GV190" s="1010">
        <f t="shared" si="460"/>
        <v>30000</v>
      </c>
      <c r="GW190" s="1010">
        <f t="shared" si="461"/>
        <v>498338.967364982</v>
      </c>
      <c r="GX190" s="1010">
        <f t="shared" si="462"/>
        <v>16</v>
      </c>
      <c r="GY190" s="1010">
        <f t="shared" si="463"/>
        <v>31146.185460311375</v>
      </c>
      <c r="GZ190" s="1011">
        <f t="shared" si="464"/>
        <v>0.875</v>
      </c>
      <c r="HA190" s="1010">
        <f t="shared" si="465"/>
        <v>3698372.7715548743</v>
      </c>
      <c r="HB190" s="1010">
        <f t="shared" si="466"/>
        <v>28673.444733083212</v>
      </c>
      <c r="HC190" s="1010">
        <f t="shared" si="467"/>
        <v>33242.020032243658</v>
      </c>
      <c r="HD190" s="1010">
        <f t="shared" si="468"/>
        <v>42941.243808880419</v>
      </c>
      <c r="HE190" s="1010">
        <f t="shared" si="469"/>
        <v>73232.21352578084</v>
      </c>
      <c r="HG190" s="1010">
        <f t="shared" si="470"/>
        <v>4226711.738919856</v>
      </c>
      <c r="HH190" s="1011">
        <f t="shared" si="471"/>
        <v>0.125</v>
      </c>
      <c r="HI190" s="1010">
        <f t="shared" si="472"/>
        <v>528338.967364982</v>
      </c>
      <c r="HJ190" s="1010">
        <f t="shared" si="473"/>
        <v>30000</v>
      </c>
      <c r="HK190" s="1010">
        <f t="shared" si="474"/>
        <v>498338.967364982</v>
      </c>
      <c r="HL190" s="1012">
        <f t="shared" si="475"/>
        <v>33</v>
      </c>
      <c r="HM190" s="1167">
        <f t="shared" si="476"/>
        <v>15101.180829241879</v>
      </c>
      <c r="HN190" s="1168">
        <f t="shared" si="477"/>
        <v>0.875</v>
      </c>
      <c r="HO190" s="1167">
        <f t="shared" si="478"/>
        <v>3698372.7715548743</v>
      </c>
      <c r="HP190" s="1146">
        <f t="shared" si="479"/>
        <v>28673.444733083212</v>
      </c>
      <c r="HQ190" s="1146">
        <f t="shared" si="480"/>
        <v>33242.020032243658</v>
      </c>
      <c r="HR190" s="1146">
        <f t="shared" si="481"/>
        <v>42941.243808880419</v>
      </c>
      <c r="HS190" s="1146">
        <f t="shared" si="482"/>
        <v>73232.21352578084</v>
      </c>
      <c r="HU190" s="1167">
        <f t="shared" si="483"/>
        <v>-16045.004631069496</v>
      </c>
      <c r="HX190" s="1154"/>
      <c r="HY190" s="1154"/>
      <c r="IB190" s="1154"/>
      <c r="IC190" s="1154"/>
      <c r="ID190" s="1154"/>
      <c r="IE190" s="1154"/>
      <c r="IG190" s="1060"/>
    </row>
    <row r="191" spans="1:241" ht="14.25" customHeight="1">
      <c r="A191" s="1186">
        <f t="shared" si="490"/>
        <v>185</v>
      </c>
      <c r="B191" s="824"/>
      <c r="C191" s="855">
        <f t="shared" si="523"/>
        <v>8</v>
      </c>
      <c r="D191" s="856" t="s">
        <v>524</v>
      </c>
      <c r="E191" s="857" t="str">
        <f t="shared" si="387"/>
        <v>12th Floor</v>
      </c>
      <c r="F191" s="1185"/>
      <c r="G191" s="764" t="s">
        <v>672</v>
      </c>
      <c r="H191" s="764" t="s">
        <v>508</v>
      </c>
      <c r="I191" s="764" t="s">
        <v>476</v>
      </c>
      <c r="J191" s="831">
        <v>22</v>
      </c>
      <c r="K191" s="1142"/>
      <c r="L191" s="764" t="s">
        <v>500</v>
      </c>
      <c r="M191" s="764" t="s">
        <v>117</v>
      </c>
      <c r="N191" s="856">
        <f t="shared" si="388"/>
        <v>100909.09090909091</v>
      </c>
      <c r="O191" s="1138">
        <f t="shared" si="486"/>
        <v>2220000</v>
      </c>
      <c r="P191" s="1138">
        <f t="shared" si="491"/>
        <v>22400</v>
      </c>
      <c r="Q191" s="1138">
        <f t="shared" si="374"/>
        <v>50000</v>
      </c>
      <c r="R191" s="1138"/>
      <c r="S191" s="1138"/>
      <c r="T191" s="1138"/>
      <c r="U191" s="1138"/>
      <c r="V191" s="858">
        <f t="shared" si="526"/>
        <v>55000</v>
      </c>
      <c r="W191" s="1138"/>
      <c r="X191" s="1138"/>
      <c r="Y191" s="1138">
        <f t="shared" si="525"/>
        <v>160000</v>
      </c>
      <c r="Z191" s="1138">
        <f t="shared" si="487"/>
        <v>75000</v>
      </c>
      <c r="AA191" s="1138">
        <f t="shared" si="488"/>
        <v>362400</v>
      </c>
      <c r="AB191" s="1138">
        <f t="shared" si="390"/>
        <v>2582400</v>
      </c>
      <c r="AC191" s="1138">
        <f t="shared" si="391"/>
        <v>64560</v>
      </c>
      <c r="AD191" s="1138">
        <f t="shared" si="392"/>
        <v>2646960</v>
      </c>
      <c r="AE191" s="1138">
        <f t="shared" si="393"/>
        <v>66174</v>
      </c>
      <c r="AF191" s="1138">
        <f t="shared" si="394"/>
        <v>2713134</v>
      </c>
      <c r="AG191" s="1138">
        <f t="shared" si="395"/>
        <v>67828.350000000006</v>
      </c>
      <c r="AH191" s="1138">
        <f t="shared" si="396"/>
        <v>2780962.35</v>
      </c>
      <c r="AI191" s="1138">
        <f t="shared" si="397"/>
        <v>139048.11750000002</v>
      </c>
      <c r="AJ191" s="1138">
        <f t="shared" si="398"/>
        <v>2920010.4675000003</v>
      </c>
      <c r="AK191" s="1138">
        <f t="shared" si="399"/>
        <v>29200.104675000002</v>
      </c>
      <c r="AL191" s="1138">
        <f t="shared" si="400"/>
        <v>27537.409960060559</v>
      </c>
      <c r="AM191" s="1138"/>
      <c r="AN191" s="1138"/>
      <c r="AO191" s="1138">
        <f t="shared" si="401"/>
        <v>2976747.9821350607</v>
      </c>
      <c r="AP191" s="1138">
        <f t="shared" si="402"/>
        <v>401860.97758823325</v>
      </c>
      <c r="AQ191" s="1248">
        <f t="shared" si="403"/>
        <v>3378608.9597232938</v>
      </c>
      <c r="AR191" s="1248">
        <f t="shared" si="515"/>
        <v>3048608.9597232938</v>
      </c>
      <c r="AS191" s="1248">
        <v>15000</v>
      </c>
      <c r="AT191" s="1248">
        <f t="shared" si="516"/>
        <v>330000</v>
      </c>
      <c r="AU191" s="1248">
        <f t="shared" si="404"/>
        <v>39600</v>
      </c>
      <c r="AV191" s="1140">
        <f t="shared" si="405"/>
        <v>369600</v>
      </c>
      <c r="AW191" s="1140">
        <f t="shared" si="406"/>
        <v>3418208.9597232938</v>
      </c>
      <c r="AX191" s="1139">
        <f t="shared" si="407"/>
        <v>42727.611996541178</v>
      </c>
      <c r="AY191" s="831" t="s">
        <v>478</v>
      </c>
      <c r="AZ191" s="831">
        <f t="shared" si="408"/>
        <v>3460936.571719835</v>
      </c>
      <c r="BA191" s="831">
        <f t="shared" si="409"/>
        <v>129785.12143949381</v>
      </c>
      <c r="BB191" s="831"/>
      <c r="BC191" s="831">
        <f t="shared" si="513"/>
        <v>33600</v>
      </c>
      <c r="BD191" s="831"/>
      <c r="BE191" s="831">
        <f t="shared" si="410"/>
        <v>3624321.6931593288</v>
      </c>
      <c r="BF191" s="831">
        <v>42723.767172413798</v>
      </c>
      <c r="BG191" s="831">
        <f t="shared" si="411"/>
        <v>3667045.4603317427</v>
      </c>
      <c r="BH191" s="831"/>
      <c r="BI191" s="831">
        <f t="shared" si="412"/>
        <v>3667045.4603317427</v>
      </c>
      <c r="BJ191" s="831"/>
      <c r="BK191" s="831">
        <f t="shared" si="413"/>
        <v>3667045.4603317427</v>
      </c>
      <c r="BL191" s="831"/>
      <c r="BM191" s="831">
        <f t="shared" si="414"/>
        <v>3667045.4603317427</v>
      </c>
      <c r="BN191" s="831"/>
      <c r="BO191" s="831">
        <f t="shared" si="415"/>
        <v>3667045.4603317427</v>
      </c>
      <c r="BP191" s="831">
        <f>$BP$5/37</f>
        <v>5065.3710270270276</v>
      </c>
      <c r="BQ191" s="831">
        <f t="shared" si="416"/>
        <v>3672110.8313587699</v>
      </c>
      <c r="BR191" s="831">
        <f>$BR$5/42</f>
        <v>3544.6104</v>
      </c>
      <c r="BS191" s="831">
        <f t="shared" si="417"/>
        <v>3675655.44175877</v>
      </c>
      <c r="BT191" s="831">
        <f>$BT$5/41</f>
        <v>1609.3168000000001</v>
      </c>
      <c r="BU191" s="831">
        <f t="shared" si="418"/>
        <v>3677264.7585587702</v>
      </c>
      <c r="BV191" s="831">
        <f>$BV$5/43</f>
        <v>1163.3400930232558</v>
      </c>
      <c r="BW191" s="831">
        <f t="shared" si="419"/>
        <v>56400</v>
      </c>
      <c r="BX191" s="831">
        <f t="shared" si="420"/>
        <v>3734828.0986517933</v>
      </c>
      <c r="BY191" s="831">
        <f>$BY$5/44</f>
        <v>30549.183723443901</v>
      </c>
      <c r="BZ191" s="831">
        <f t="shared" si="421"/>
        <v>3765377.2823752374</v>
      </c>
      <c r="CA191" s="1260">
        <f t="shared" si="422"/>
        <v>3765377.2823752374</v>
      </c>
      <c r="CB191" s="1260">
        <f t="shared" si="423"/>
        <v>3589377.2823752374</v>
      </c>
      <c r="CC191" s="1260">
        <v>8000</v>
      </c>
      <c r="CD191" s="1260">
        <f t="shared" si="424"/>
        <v>176000</v>
      </c>
      <c r="CE191" s="1260">
        <f t="shared" si="425"/>
        <v>21120</v>
      </c>
      <c r="CF191" s="1260">
        <f t="shared" si="426"/>
        <v>197120</v>
      </c>
      <c r="CG191" s="1266">
        <f t="shared" si="427"/>
        <v>3786497.2823752374</v>
      </c>
      <c r="CH191" s="1141">
        <f t="shared" si="428"/>
        <v>3786497.2823752374</v>
      </c>
      <c r="CI191" s="1142">
        <f t="shared" si="429"/>
        <v>0</v>
      </c>
      <c r="CJ191" s="1141">
        <f t="shared" si="430"/>
        <v>388115.97144346184</v>
      </c>
      <c r="CK191" s="1141">
        <f t="shared" si="431"/>
        <v>132527.40488313333</v>
      </c>
      <c r="CL191" s="1143">
        <f t="shared" si="489"/>
        <v>4307140.6587018324</v>
      </c>
      <c r="CM191" s="1144">
        <f t="shared" si="432"/>
        <v>0.125</v>
      </c>
      <c r="CN191" s="1141">
        <f t="shared" si="502"/>
        <v>538392.58233772905</v>
      </c>
      <c r="CO191" s="1141">
        <f t="shared" si="433"/>
        <v>30000</v>
      </c>
      <c r="CP191" s="1141">
        <f t="shared" si="503"/>
        <v>508392.58233772905</v>
      </c>
      <c r="CQ191" s="1145">
        <f t="shared" si="434"/>
        <v>16</v>
      </c>
      <c r="CR191" s="1141">
        <f t="shared" si="504"/>
        <v>31774.536396108066</v>
      </c>
      <c r="CS191" s="1144">
        <f t="shared" si="435"/>
        <v>0.875</v>
      </c>
      <c r="CT191" s="1141">
        <f t="shared" si="436"/>
        <v>3768748.0763641032</v>
      </c>
      <c r="CU191" s="1146">
        <f t="shared" si="375"/>
        <v>29219.063722207706</v>
      </c>
      <c r="CV191" s="1146">
        <f t="shared" si="376"/>
        <v>33874.573167567578</v>
      </c>
      <c r="CW191" s="1146">
        <f t="shared" si="377"/>
        <v>43758.36077047509</v>
      </c>
      <c r="CX191" s="1146">
        <f t="shared" si="378"/>
        <v>74625.728908646008</v>
      </c>
      <c r="CY191" s="1146">
        <f t="shared" si="437"/>
        <v>306147.38526265614</v>
      </c>
      <c r="CZ191" s="1146">
        <f t="shared" si="438"/>
        <v>121141.02901889765</v>
      </c>
      <c r="DA191" s="1146">
        <f t="shared" si="439"/>
        <v>87498.44951638153</v>
      </c>
      <c r="DB191" s="1146">
        <f t="shared" si="440"/>
        <v>66590.348302533122</v>
      </c>
      <c r="DC191" s="1146"/>
      <c r="DD191" s="1146"/>
      <c r="DE191" s="1146"/>
      <c r="DF191" s="1146"/>
      <c r="DG191" s="1146"/>
      <c r="DH191" s="1146"/>
      <c r="DI191" s="1146"/>
      <c r="DJ191" s="1146"/>
      <c r="DK191" s="1146"/>
      <c r="DL191" s="1146"/>
      <c r="DM191" s="1146"/>
      <c r="DN191" s="1146"/>
      <c r="DO191" s="1146"/>
      <c r="DP191" s="1146"/>
      <c r="DQ191" s="1146"/>
      <c r="DR191" s="1146"/>
      <c r="DS191" s="1146"/>
      <c r="DT191" s="1146"/>
      <c r="DU191" s="1146"/>
      <c r="DV191" s="1146"/>
      <c r="DW191" s="1146"/>
      <c r="DX191" s="1146"/>
      <c r="DY191" s="1146"/>
      <c r="DZ191" s="1146"/>
      <c r="EA191" s="1147">
        <f t="shared" si="379"/>
        <v>0.10824609005608656</v>
      </c>
      <c r="EB191" s="1148">
        <f t="shared" si="441"/>
        <v>5.4917603944257889E-2</v>
      </c>
      <c r="EC191" s="1190">
        <f t="shared" si="484"/>
        <v>45839</v>
      </c>
      <c r="ED191" s="1031">
        <f t="shared" si="380"/>
        <v>20</v>
      </c>
      <c r="EE191" s="1191"/>
      <c r="EF191" s="1032">
        <f t="shared" si="381"/>
        <v>45904</v>
      </c>
      <c r="EG191" s="1029">
        <f t="shared" si="442"/>
        <v>22</v>
      </c>
      <c r="EH191" s="859" t="s">
        <v>490</v>
      </c>
      <c r="EI191" s="859" t="s">
        <v>480</v>
      </c>
      <c r="EJ191" s="860">
        <f t="shared" si="382"/>
        <v>16800</v>
      </c>
      <c r="EK191" s="860">
        <f t="shared" si="383"/>
        <v>369600</v>
      </c>
      <c r="EL191" s="861">
        <f t="shared" si="384"/>
        <v>0.12123562086281695</v>
      </c>
      <c r="EM191" s="1197"/>
      <c r="EN191" s="860"/>
      <c r="EO191" s="860"/>
      <c r="EP191" s="860">
        <f t="shared" si="385"/>
        <v>0</v>
      </c>
      <c r="EQ191" s="1197"/>
      <c r="ER191" s="1200"/>
      <c r="ES191" s="1197"/>
      <c r="ET191" s="1207" t="s">
        <v>672</v>
      </c>
      <c r="EU191" s="1197" t="b">
        <f t="shared" si="386"/>
        <v>1</v>
      </c>
      <c r="EV191" s="1197"/>
      <c r="EW191" s="1197"/>
      <c r="EX191" s="1197"/>
      <c r="EY191" s="1128" t="s">
        <v>587</v>
      </c>
      <c r="EZ191" s="1128" t="s">
        <v>611</v>
      </c>
      <c r="FA191" s="1169"/>
      <c r="FI191" s="1309" t="s">
        <v>96</v>
      </c>
      <c r="FJ191" s="1159" t="s">
        <v>96</v>
      </c>
      <c r="FK191" s="1160" t="b">
        <f t="shared" si="444"/>
        <v>1</v>
      </c>
      <c r="FL191" s="1131"/>
      <c r="FM191" s="1161"/>
      <c r="FO191" s="888"/>
      <c r="FU191" s="1295"/>
      <c r="FV191" s="1295"/>
      <c r="FW191" s="1023">
        <v>0.15</v>
      </c>
      <c r="FX191" s="1162">
        <v>15686.697602776758</v>
      </c>
      <c r="FY191" s="1163">
        <v>16176.906902863531</v>
      </c>
      <c r="GA191" s="1164">
        <f t="shared" si="445"/>
        <v>4307140.6587018324</v>
      </c>
      <c r="GB191" s="1165">
        <f t="shared" si="485"/>
        <v>0.15</v>
      </c>
      <c r="GC191" s="1154">
        <f t="shared" si="446"/>
        <v>646071.09880527481</v>
      </c>
      <c r="GD191" s="1164">
        <f t="shared" si="447"/>
        <v>30000</v>
      </c>
      <c r="GE191" s="1154">
        <f t="shared" si="448"/>
        <v>616071.09880527481</v>
      </c>
      <c r="GF191" s="1060">
        <f t="shared" si="449"/>
        <v>35</v>
      </c>
      <c r="GG191" s="1166">
        <f t="shared" si="450"/>
        <v>17602.031394436424</v>
      </c>
      <c r="GI191" s="1164">
        <f t="shared" si="451"/>
        <v>4307140.6587018324</v>
      </c>
      <c r="GJ191" s="1154">
        <f t="shared" si="452"/>
        <v>430714.06587018329</v>
      </c>
      <c r="GK191" s="1154">
        <f t="shared" si="453"/>
        <v>107678.51646754582</v>
      </c>
      <c r="GL191" s="1166">
        <v>15000</v>
      </c>
      <c r="GM191" s="1154">
        <f t="shared" si="454"/>
        <v>415714.06587018329</v>
      </c>
      <c r="GN191" s="1060">
        <f t="shared" si="455"/>
        <v>35</v>
      </c>
      <c r="GO191" s="1154">
        <f t="shared" si="456"/>
        <v>11877.544739148094</v>
      </c>
      <c r="GS191" s="1010">
        <f t="shared" si="457"/>
        <v>4307140.6587018324</v>
      </c>
      <c r="GT191" s="1011">
        <f t="shared" si="458"/>
        <v>0.125</v>
      </c>
      <c r="GU191" s="1010">
        <f t="shared" si="459"/>
        <v>538392.58233772905</v>
      </c>
      <c r="GV191" s="1010">
        <f t="shared" si="460"/>
        <v>30000</v>
      </c>
      <c r="GW191" s="1010">
        <f t="shared" si="461"/>
        <v>508392.58233772905</v>
      </c>
      <c r="GX191" s="1010">
        <f t="shared" si="462"/>
        <v>16</v>
      </c>
      <c r="GY191" s="1010">
        <f t="shared" si="463"/>
        <v>31774.536396108066</v>
      </c>
      <c r="GZ191" s="1011">
        <f t="shared" si="464"/>
        <v>0.875</v>
      </c>
      <c r="HA191" s="1010">
        <f t="shared" si="465"/>
        <v>3768748.0763641032</v>
      </c>
      <c r="HB191" s="1010">
        <f t="shared" si="466"/>
        <v>29219.063722207706</v>
      </c>
      <c r="HC191" s="1010">
        <f t="shared" si="467"/>
        <v>33874.573167567578</v>
      </c>
      <c r="HD191" s="1010">
        <f t="shared" si="468"/>
        <v>43758.36077047509</v>
      </c>
      <c r="HE191" s="1010">
        <f t="shared" si="469"/>
        <v>74625.728908646008</v>
      </c>
      <c r="HG191" s="1010">
        <f t="shared" si="470"/>
        <v>4307140.6587018324</v>
      </c>
      <c r="HH191" s="1011">
        <f t="shared" si="471"/>
        <v>0.125</v>
      </c>
      <c r="HI191" s="1010">
        <f t="shared" si="472"/>
        <v>538392.58233772905</v>
      </c>
      <c r="HJ191" s="1010">
        <f t="shared" si="473"/>
        <v>30000</v>
      </c>
      <c r="HK191" s="1010">
        <f t="shared" si="474"/>
        <v>508392.58233772905</v>
      </c>
      <c r="HL191" s="1012">
        <f t="shared" si="475"/>
        <v>33</v>
      </c>
      <c r="HM191" s="1167">
        <f t="shared" si="476"/>
        <v>15405.835828416031</v>
      </c>
      <c r="HN191" s="1168">
        <f t="shared" si="477"/>
        <v>0.875</v>
      </c>
      <c r="HO191" s="1167">
        <f t="shared" si="478"/>
        <v>3768748.0763641032</v>
      </c>
      <c r="HP191" s="1146">
        <f t="shared" si="479"/>
        <v>29219.063722207706</v>
      </c>
      <c r="HQ191" s="1146">
        <f t="shared" si="480"/>
        <v>33874.573167567578</v>
      </c>
      <c r="HR191" s="1146">
        <f t="shared" si="481"/>
        <v>43758.36077047509</v>
      </c>
      <c r="HS191" s="1146">
        <f t="shared" si="482"/>
        <v>74625.728908646008</v>
      </c>
      <c r="HU191" s="1167">
        <f t="shared" si="483"/>
        <v>-16368.700567692034</v>
      </c>
      <c r="HX191" s="1154"/>
      <c r="HY191" s="1154"/>
      <c r="IB191" s="1154"/>
      <c r="IC191" s="1154"/>
      <c r="ID191" s="1154"/>
      <c r="IE191" s="1154"/>
      <c r="IG191" s="1060"/>
    </row>
    <row r="192" spans="1:241" ht="14.25" hidden="1" customHeight="1">
      <c r="A192" s="1186">
        <f t="shared" si="490"/>
        <v>186</v>
      </c>
      <c r="B192" s="824"/>
      <c r="C192" s="855">
        <f t="shared" si="523"/>
        <v>9</v>
      </c>
      <c r="D192" s="856" t="s">
        <v>524</v>
      </c>
      <c r="E192" s="857" t="str">
        <f t="shared" si="387"/>
        <v>12th Floor</v>
      </c>
      <c r="F192" s="1185"/>
      <c r="G192" s="764" t="s">
        <v>673</v>
      </c>
      <c r="H192" s="764" t="s">
        <v>512</v>
      </c>
      <c r="I192" s="764" t="s">
        <v>476</v>
      </c>
      <c r="J192" s="1139">
        <v>22</v>
      </c>
      <c r="K192" s="1142"/>
      <c r="L192" s="764" t="s">
        <v>500</v>
      </c>
      <c r="M192" s="764" t="s">
        <v>93</v>
      </c>
      <c r="N192" s="856">
        <f t="shared" si="388"/>
        <v>100909.09090909091</v>
      </c>
      <c r="O192" s="1138">
        <f t="shared" si="486"/>
        <v>2220000</v>
      </c>
      <c r="P192" s="1138">
        <f t="shared" si="491"/>
        <v>22400</v>
      </c>
      <c r="Q192" s="1138">
        <f t="shared" si="374"/>
        <v>50000</v>
      </c>
      <c r="R192" s="1138"/>
      <c r="S192" s="1138"/>
      <c r="T192" s="1138"/>
      <c r="U192" s="1138"/>
      <c r="V192" s="858"/>
      <c r="W192" s="1138"/>
      <c r="X192" s="1138"/>
      <c r="Y192" s="1138">
        <f t="shared" si="525"/>
        <v>160000</v>
      </c>
      <c r="Z192" s="1138">
        <f t="shared" si="487"/>
        <v>75000</v>
      </c>
      <c r="AA192" s="1138">
        <f t="shared" si="488"/>
        <v>307400</v>
      </c>
      <c r="AB192" s="1138">
        <f t="shared" si="390"/>
        <v>2527400</v>
      </c>
      <c r="AC192" s="1138">
        <f t="shared" si="391"/>
        <v>63185</v>
      </c>
      <c r="AD192" s="1138">
        <f t="shared" si="392"/>
        <v>2590585</v>
      </c>
      <c r="AE192" s="1138">
        <f t="shared" si="393"/>
        <v>64764.625</v>
      </c>
      <c r="AF192" s="1138">
        <f t="shared" si="394"/>
        <v>2655349.625</v>
      </c>
      <c r="AG192" s="1138">
        <f t="shared" si="395"/>
        <v>66383.740625000006</v>
      </c>
      <c r="AH192" s="1138">
        <f t="shared" si="396"/>
        <v>2721733.3656250001</v>
      </c>
      <c r="AI192" s="1138">
        <f t="shared" si="397"/>
        <v>136086.66828125002</v>
      </c>
      <c r="AJ192" s="1138">
        <f t="shared" si="398"/>
        <v>2857820.0339062503</v>
      </c>
      <c r="AK192" s="1138">
        <f t="shared" si="399"/>
        <v>28578.200339062503</v>
      </c>
      <c r="AL192" s="1138">
        <f t="shared" si="400"/>
        <v>27537.409960060559</v>
      </c>
      <c r="AM192" s="1138"/>
      <c r="AN192" s="1138"/>
      <c r="AO192" s="1138">
        <f t="shared" si="401"/>
        <v>2913935.6442053732</v>
      </c>
      <c r="AP192" s="1138">
        <f t="shared" si="402"/>
        <v>393381.3119677254</v>
      </c>
      <c r="AQ192" s="1248">
        <f t="shared" si="403"/>
        <v>3307316.9561730986</v>
      </c>
      <c r="AR192" s="1248">
        <f t="shared" si="515"/>
        <v>2977316.9561730986</v>
      </c>
      <c r="AS192" s="1248">
        <v>15000</v>
      </c>
      <c r="AT192" s="1248">
        <f t="shared" si="516"/>
        <v>330000</v>
      </c>
      <c r="AU192" s="1248">
        <f t="shared" si="404"/>
        <v>39600</v>
      </c>
      <c r="AV192" s="1140">
        <f t="shared" si="405"/>
        <v>369600</v>
      </c>
      <c r="AW192" s="1140">
        <f t="shared" si="406"/>
        <v>3346916.9561730986</v>
      </c>
      <c r="AX192" s="1139">
        <f t="shared" si="407"/>
        <v>41836.461952163736</v>
      </c>
      <c r="AY192" s="831" t="s">
        <v>478</v>
      </c>
      <c r="AZ192" s="831">
        <f t="shared" si="408"/>
        <v>3388753.4181252625</v>
      </c>
      <c r="BA192" s="831">
        <f t="shared" si="409"/>
        <v>127078.25317969733</v>
      </c>
      <c r="BB192" s="831"/>
      <c r="BC192" s="831">
        <f t="shared" si="513"/>
        <v>33600</v>
      </c>
      <c r="BD192" s="831"/>
      <c r="BE192" s="831">
        <f t="shared" si="410"/>
        <v>3549431.6713049598</v>
      </c>
      <c r="BF192" s="831"/>
      <c r="BG192" s="831">
        <f t="shared" si="411"/>
        <v>3549431.6713049598</v>
      </c>
      <c r="BH192" s="831"/>
      <c r="BI192" s="831">
        <f t="shared" si="412"/>
        <v>3549431.6713049598</v>
      </c>
      <c r="BJ192" s="831"/>
      <c r="BK192" s="831">
        <f t="shared" si="413"/>
        <v>3549431.6713049598</v>
      </c>
      <c r="BL192" s="831"/>
      <c r="BM192" s="831">
        <f t="shared" si="414"/>
        <v>3549431.6713049598</v>
      </c>
      <c r="BN192" s="831"/>
      <c r="BO192" s="831">
        <f t="shared" si="415"/>
        <v>3549431.6713049598</v>
      </c>
      <c r="BP192" s="831"/>
      <c r="BQ192" s="831">
        <f t="shared" si="416"/>
        <v>3549431.6713049598</v>
      </c>
      <c r="BR192" s="831"/>
      <c r="BS192" s="831">
        <f t="shared" si="417"/>
        <v>3549431.6713049598</v>
      </c>
      <c r="BT192" s="831"/>
      <c r="BU192" s="831">
        <f t="shared" si="418"/>
        <v>3549431.6713049598</v>
      </c>
      <c r="BV192" s="831"/>
      <c r="BW192" s="831">
        <f t="shared" si="419"/>
        <v>56400</v>
      </c>
      <c r="BX192" s="831">
        <f t="shared" si="420"/>
        <v>3605831.6713049598</v>
      </c>
      <c r="BY192" s="831"/>
      <c r="BZ192" s="831">
        <f t="shared" si="421"/>
        <v>3605831.6713049598</v>
      </c>
      <c r="CA192" s="1260">
        <f t="shared" si="422"/>
        <v>3605831.6713049598</v>
      </c>
      <c r="CB192" s="1260">
        <f t="shared" si="423"/>
        <v>3605831.6713049598</v>
      </c>
      <c r="CC192" s="1260"/>
      <c r="CD192" s="1260">
        <f t="shared" si="424"/>
        <v>0</v>
      </c>
      <c r="CE192" s="1260">
        <f t="shared" si="425"/>
        <v>0</v>
      </c>
      <c r="CF192" s="1260">
        <f t="shared" si="426"/>
        <v>0</v>
      </c>
      <c r="CG192" s="1266">
        <f t="shared" si="427"/>
        <v>3605831.6713049598</v>
      </c>
      <c r="CH192" s="1141">
        <f t="shared" si="428"/>
        <v>3605831.6713049598</v>
      </c>
      <c r="CI192" s="1142">
        <f t="shared" si="429"/>
        <v>432699.80055659515</v>
      </c>
      <c r="CJ192" s="1141">
        <f t="shared" si="430"/>
        <v>369597.74630875833</v>
      </c>
      <c r="CK192" s="1141">
        <f t="shared" si="431"/>
        <v>126204.1084956736</v>
      </c>
      <c r="CL192" s="1143">
        <f t="shared" si="489"/>
        <v>4534333.3266659863</v>
      </c>
      <c r="CM192" s="1144">
        <f t="shared" si="432"/>
        <v>0.125</v>
      </c>
      <c r="CN192" s="1141">
        <f t="shared" si="502"/>
        <v>566791.66583324829</v>
      </c>
      <c r="CO192" s="1141">
        <f t="shared" si="433"/>
        <v>30000</v>
      </c>
      <c r="CP192" s="1141">
        <f t="shared" si="503"/>
        <v>536791.66583324829</v>
      </c>
      <c r="CQ192" s="1145">
        <f t="shared" si="434"/>
        <v>16</v>
      </c>
      <c r="CR192" s="1141">
        <f t="shared" si="504"/>
        <v>33549.479114578018</v>
      </c>
      <c r="CS192" s="1144">
        <f t="shared" si="435"/>
        <v>0.875</v>
      </c>
      <c r="CT192" s="1141">
        <f t="shared" si="436"/>
        <v>3967541.660832738</v>
      </c>
      <c r="CU192" s="1146">
        <f t="shared" si="375"/>
        <v>30760.308266671636</v>
      </c>
      <c r="CV192" s="1146">
        <f t="shared" si="376"/>
        <v>35661.386105412559</v>
      </c>
      <c r="CW192" s="1146">
        <f t="shared" si="377"/>
        <v>46066.522847582317</v>
      </c>
      <c r="CX192" s="1146">
        <f t="shared" si="378"/>
        <v>78562.08014325719</v>
      </c>
      <c r="CY192" s="1146">
        <f t="shared" si="437"/>
        <v>322296.01999729144</v>
      </c>
      <c r="CZ192" s="1146">
        <f t="shared" si="438"/>
        <v>127530.96511887669</v>
      </c>
      <c r="DA192" s="1146">
        <f t="shared" si="439"/>
        <v>92113.809859487912</v>
      </c>
      <c r="DB192" s="1146">
        <f t="shared" si="440"/>
        <v>70102.85000385312</v>
      </c>
      <c r="DC192" s="1146"/>
      <c r="DD192" s="1146"/>
      <c r="DE192" s="1146"/>
      <c r="DF192" s="1146"/>
      <c r="DG192" s="1146"/>
      <c r="DH192" s="1146"/>
      <c r="DI192" s="1146"/>
      <c r="DJ192" s="1146"/>
      <c r="DK192" s="1146"/>
      <c r="DL192" s="1146"/>
      <c r="DM192" s="1146"/>
      <c r="DN192" s="1146"/>
      <c r="DO192" s="1146"/>
      <c r="DP192" s="1146"/>
      <c r="DQ192" s="1146"/>
      <c r="DR192" s="1146"/>
      <c r="DS192" s="1146"/>
      <c r="DT192" s="1146"/>
      <c r="DU192" s="1146"/>
      <c r="DV192" s="1146"/>
      <c r="DW192" s="1146"/>
      <c r="DX192" s="1146"/>
      <c r="DY192" s="1146"/>
      <c r="DZ192" s="1146"/>
      <c r="EA192" s="1147">
        <f t="shared" si="379"/>
        <v>0.11083804810092046</v>
      </c>
      <c r="EB192" s="1148">
        <f t="shared" si="441"/>
        <v>0</v>
      </c>
      <c r="EC192" s="1190">
        <f t="shared" si="484"/>
        <v>45839</v>
      </c>
      <c r="ED192" s="1031">
        <f t="shared" si="380"/>
        <v>20</v>
      </c>
      <c r="EE192" s="1191"/>
      <c r="EF192" s="1032">
        <f t="shared" si="381"/>
        <v>45904</v>
      </c>
      <c r="EG192" s="1029">
        <f t="shared" si="442"/>
        <v>22</v>
      </c>
      <c r="EH192" s="859" t="s">
        <v>490</v>
      </c>
      <c r="EI192" s="859" t="s">
        <v>480</v>
      </c>
      <c r="EJ192" s="860">
        <f t="shared" si="382"/>
        <v>16800</v>
      </c>
      <c r="EK192" s="860">
        <f t="shared" si="383"/>
        <v>369600</v>
      </c>
      <c r="EL192" s="861">
        <f t="shared" si="384"/>
        <v>0.12413861387303092</v>
      </c>
      <c r="EM192" s="1197"/>
      <c r="EN192" s="860"/>
      <c r="EO192" s="860"/>
      <c r="EP192" s="860">
        <f t="shared" si="385"/>
        <v>0</v>
      </c>
      <c r="EQ192" s="1197"/>
      <c r="ER192" s="1200"/>
      <c r="ES192" s="1197"/>
      <c r="ET192" s="1207" t="s">
        <v>673</v>
      </c>
      <c r="EU192" s="1197" t="b">
        <f t="shared" si="386"/>
        <v>1</v>
      </c>
      <c r="EV192" s="1197"/>
      <c r="EW192" s="1197"/>
      <c r="EX192" s="1197"/>
      <c r="EY192" s="1128" t="s">
        <v>587</v>
      </c>
      <c r="EZ192" s="1128" t="s">
        <v>484</v>
      </c>
      <c r="FA192" s="1169">
        <f t="shared" si="443"/>
        <v>0</v>
      </c>
      <c r="FI192" s="1309" t="s">
        <v>149</v>
      </c>
      <c r="FJ192" s="1159" t="s">
        <v>149</v>
      </c>
      <c r="FK192" s="1160" t="b">
        <f t="shared" si="444"/>
        <v>1</v>
      </c>
      <c r="FL192" s="1131"/>
      <c r="FM192" s="1161"/>
      <c r="FO192" s="888"/>
      <c r="FU192" s="1295"/>
      <c r="FV192" s="1295"/>
      <c r="FW192" s="1023">
        <v>0.125</v>
      </c>
      <c r="FX192" s="1162">
        <v>12458.780043570247</v>
      </c>
      <c r="FY192" s="1163">
        <v>12848.116919931817</v>
      </c>
      <c r="GA192" s="1164">
        <f t="shared" si="445"/>
        <v>4534333.3266659863</v>
      </c>
      <c r="GB192" s="1165">
        <f t="shared" si="485"/>
        <v>0.15</v>
      </c>
      <c r="GC192" s="1154">
        <f t="shared" si="446"/>
        <v>680149.99899989797</v>
      </c>
      <c r="GD192" s="1164">
        <f t="shared" si="447"/>
        <v>30000</v>
      </c>
      <c r="GE192" s="1154">
        <f t="shared" si="448"/>
        <v>650149.99899989797</v>
      </c>
      <c r="GF192" s="1060">
        <f t="shared" si="449"/>
        <v>35</v>
      </c>
      <c r="GG192" s="1166">
        <f t="shared" si="450"/>
        <v>18575.714257139942</v>
      </c>
      <c r="GI192" s="1164">
        <f t="shared" si="451"/>
        <v>4534333.3266659863</v>
      </c>
      <c r="GJ192" s="1154">
        <f t="shared" si="452"/>
        <v>453433.33266659867</v>
      </c>
      <c r="GK192" s="1154">
        <f t="shared" si="453"/>
        <v>113358.33316664967</v>
      </c>
      <c r="GL192" s="1166">
        <v>15000</v>
      </c>
      <c r="GM192" s="1154">
        <f t="shared" si="454"/>
        <v>438433.33266659867</v>
      </c>
      <c r="GN192" s="1060">
        <f t="shared" si="455"/>
        <v>35</v>
      </c>
      <c r="GO192" s="1154">
        <f t="shared" si="456"/>
        <v>12526.666647617105</v>
      </c>
      <c r="GS192" s="1010">
        <f t="shared" si="457"/>
        <v>4534333.3266659863</v>
      </c>
      <c r="GT192" s="1011">
        <f t="shared" si="458"/>
        <v>0.125</v>
      </c>
      <c r="GU192" s="1010">
        <f t="shared" si="459"/>
        <v>566791.66583324829</v>
      </c>
      <c r="GV192" s="1010">
        <f t="shared" si="460"/>
        <v>30000</v>
      </c>
      <c r="GW192" s="1010">
        <f t="shared" si="461"/>
        <v>536791.66583324829</v>
      </c>
      <c r="GX192" s="1010">
        <f t="shared" si="462"/>
        <v>16</v>
      </c>
      <c r="GY192" s="1010">
        <f t="shared" si="463"/>
        <v>33549.479114578018</v>
      </c>
      <c r="GZ192" s="1011">
        <f t="shared" si="464"/>
        <v>0.875</v>
      </c>
      <c r="HA192" s="1010">
        <f t="shared" si="465"/>
        <v>3967541.660832738</v>
      </c>
      <c r="HB192" s="1010">
        <f t="shared" si="466"/>
        <v>30760.308266671636</v>
      </c>
      <c r="HC192" s="1010">
        <f t="shared" si="467"/>
        <v>35661.386105412559</v>
      </c>
      <c r="HD192" s="1010">
        <f t="shared" si="468"/>
        <v>46066.522847582317</v>
      </c>
      <c r="HE192" s="1010">
        <f t="shared" si="469"/>
        <v>78562.08014325719</v>
      </c>
      <c r="HG192" s="1010">
        <f t="shared" si="470"/>
        <v>4534333.3266659863</v>
      </c>
      <c r="HH192" s="1011">
        <f t="shared" si="471"/>
        <v>0.125</v>
      </c>
      <c r="HI192" s="1010">
        <f t="shared" si="472"/>
        <v>566791.66583324829</v>
      </c>
      <c r="HJ192" s="1010">
        <f t="shared" si="473"/>
        <v>30000</v>
      </c>
      <c r="HK192" s="1010">
        <f t="shared" si="474"/>
        <v>536791.66583324829</v>
      </c>
      <c r="HL192" s="1012">
        <f t="shared" si="475"/>
        <v>33</v>
      </c>
      <c r="HM192" s="1167">
        <f t="shared" si="476"/>
        <v>16266.41411615904</v>
      </c>
      <c r="HN192" s="1168">
        <f t="shared" si="477"/>
        <v>0.875</v>
      </c>
      <c r="HO192" s="1167">
        <f t="shared" si="478"/>
        <v>3967541.660832738</v>
      </c>
      <c r="HP192" s="1146">
        <f t="shared" si="479"/>
        <v>30760.308266671636</v>
      </c>
      <c r="HQ192" s="1146">
        <f t="shared" si="480"/>
        <v>35661.386105412559</v>
      </c>
      <c r="HR192" s="1146">
        <f t="shared" si="481"/>
        <v>46066.522847582317</v>
      </c>
      <c r="HS192" s="1146">
        <f t="shared" si="482"/>
        <v>78562.08014325719</v>
      </c>
      <c r="HU192" s="1167">
        <f t="shared" si="483"/>
        <v>-17283.06499841898</v>
      </c>
      <c r="HX192" s="1154"/>
      <c r="HY192" s="1154"/>
      <c r="IB192" s="1154"/>
      <c r="IC192" s="1154"/>
      <c r="ID192" s="1154"/>
      <c r="IE192" s="1154"/>
      <c r="IG192" s="1060"/>
    </row>
    <row r="193" spans="1:241" ht="14.25" customHeight="1">
      <c r="A193" s="1186">
        <f t="shared" si="490"/>
        <v>187</v>
      </c>
      <c r="B193" s="824"/>
      <c r="C193" s="855">
        <f t="shared" si="523"/>
        <v>10</v>
      </c>
      <c r="D193" s="856" t="s">
        <v>524</v>
      </c>
      <c r="E193" s="857" t="str">
        <f t="shared" si="387"/>
        <v>12th Floor</v>
      </c>
      <c r="F193" s="1185"/>
      <c r="G193" s="764" t="s">
        <v>674</v>
      </c>
      <c r="H193" s="764" t="s">
        <v>516</v>
      </c>
      <c r="I193" s="764" t="s">
        <v>476</v>
      </c>
      <c r="J193" s="1139">
        <v>22</v>
      </c>
      <c r="K193" s="1142"/>
      <c r="L193" s="764" t="s">
        <v>500</v>
      </c>
      <c r="M193" s="764" t="s">
        <v>93</v>
      </c>
      <c r="N193" s="856">
        <f t="shared" si="388"/>
        <v>100909.09090909091</v>
      </c>
      <c r="O193" s="1138">
        <f t="shared" si="486"/>
        <v>2220000</v>
      </c>
      <c r="P193" s="1138">
        <f t="shared" si="491"/>
        <v>22400</v>
      </c>
      <c r="Q193" s="1138">
        <f t="shared" si="374"/>
        <v>50000</v>
      </c>
      <c r="R193" s="1138"/>
      <c r="S193" s="1138"/>
      <c r="T193" s="1138"/>
      <c r="U193" s="1138"/>
      <c r="V193" s="858"/>
      <c r="W193" s="1138"/>
      <c r="X193" s="1138"/>
      <c r="Y193" s="1138">
        <f t="shared" si="525"/>
        <v>160000</v>
      </c>
      <c r="Z193" s="1138">
        <f t="shared" si="487"/>
        <v>75000</v>
      </c>
      <c r="AA193" s="1138">
        <f t="shared" si="488"/>
        <v>307400</v>
      </c>
      <c r="AB193" s="1138">
        <f t="shared" si="390"/>
        <v>2527400</v>
      </c>
      <c r="AC193" s="1138">
        <f t="shared" si="391"/>
        <v>63185</v>
      </c>
      <c r="AD193" s="1138">
        <f t="shared" si="392"/>
        <v>2590585</v>
      </c>
      <c r="AE193" s="1138">
        <f t="shared" si="393"/>
        <v>64764.625</v>
      </c>
      <c r="AF193" s="1138">
        <f t="shared" si="394"/>
        <v>2655349.625</v>
      </c>
      <c r="AG193" s="1138">
        <f t="shared" si="395"/>
        <v>66383.740625000006</v>
      </c>
      <c r="AH193" s="1138">
        <f t="shared" si="396"/>
        <v>2721733.3656250001</v>
      </c>
      <c r="AI193" s="1138">
        <f t="shared" si="397"/>
        <v>136086.66828125002</v>
      </c>
      <c r="AJ193" s="1138">
        <f t="shared" si="398"/>
        <v>2857820.0339062503</v>
      </c>
      <c r="AK193" s="1138">
        <f t="shared" si="399"/>
        <v>28578.200339062503</v>
      </c>
      <c r="AL193" s="1138">
        <f t="shared" si="400"/>
        <v>27537.409960060559</v>
      </c>
      <c r="AM193" s="1138"/>
      <c r="AN193" s="1138"/>
      <c r="AO193" s="1138">
        <f t="shared" si="401"/>
        <v>2913935.6442053732</v>
      </c>
      <c r="AP193" s="1138">
        <f t="shared" si="402"/>
        <v>393381.3119677254</v>
      </c>
      <c r="AQ193" s="1248">
        <f t="shared" si="403"/>
        <v>3307316.9561730986</v>
      </c>
      <c r="AR193" s="1248">
        <f t="shared" si="515"/>
        <v>2977316.9561730986</v>
      </c>
      <c r="AS193" s="1248">
        <v>15000</v>
      </c>
      <c r="AT193" s="1248">
        <f t="shared" si="516"/>
        <v>330000</v>
      </c>
      <c r="AU193" s="1248">
        <f t="shared" si="404"/>
        <v>39600</v>
      </c>
      <c r="AV193" s="1140">
        <f t="shared" si="405"/>
        <v>369600</v>
      </c>
      <c r="AW193" s="1140">
        <f t="shared" si="406"/>
        <v>3346916.9561730986</v>
      </c>
      <c r="AX193" s="1139">
        <f t="shared" si="407"/>
        <v>41836.461952163736</v>
      </c>
      <c r="AY193" s="831">
        <v>13444.671373913045</v>
      </c>
      <c r="AZ193" s="831">
        <f t="shared" si="408"/>
        <v>3402198.0894991755</v>
      </c>
      <c r="BA193" s="831">
        <f t="shared" si="409"/>
        <v>127582.42835621908</v>
      </c>
      <c r="BB193" s="831"/>
      <c r="BC193" s="831">
        <f t="shared" si="513"/>
        <v>33600</v>
      </c>
      <c r="BD193" s="831">
        <v>8990.8965517241377</v>
      </c>
      <c r="BE193" s="831">
        <f t="shared" si="410"/>
        <v>3572371.4144071187</v>
      </c>
      <c r="BF193" s="831">
        <v>42723.767172413798</v>
      </c>
      <c r="BG193" s="831">
        <f t="shared" si="411"/>
        <v>3615095.1815795326</v>
      </c>
      <c r="BH193" s="831"/>
      <c r="BI193" s="831">
        <f t="shared" si="412"/>
        <v>3615095.1815795326</v>
      </c>
      <c r="BJ193" s="831"/>
      <c r="BK193" s="831">
        <f t="shared" si="413"/>
        <v>3615095.1815795326</v>
      </c>
      <c r="BL193" s="831"/>
      <c r="BM193" s="831">
        <f t="shared" si="414"/>
        <v>3615095.1815795326</v>
      </c>
      <c r="BN193" s="831"/>
      <c r="BO193" s="831">
        <f t="shared" si="415"/>
        <v>3615095.1815795326</v>
      </c>
      <c r="BP193" s="831">
        <f>$BP$5/37</f>
        <v>5065.3710270270276</v>
      </c>
      <c r="BQ193" s="831">
        <f t="shared" si="416"/>
        <v>3620160.5526065598</v>
      </c>
      <c r="BR193" s="831">
        <f>$BR$5/42</f>
        <v>3544.6104</v>
      </c>
      <c r="BS193" s="831">
        <f t="shared" si="417"/>
        <v>3623705.1630065599</v>
      </c>
      <c r="BT193" s="831">
        <f>$BT$5/41</f>
        <v>1609.3168000000001</v>
      </c>
      <c r="BU193" s="831">
        <f t="shared" si="418"/>
        <v>3625314.4798065601</v>
      </c>
      <c r="BV193" s="831">
        <f>$BV$5/43</f>
        <v>1163.3400930232558</v>
      </c>
      <c r="BW193" s="831">
        <f t="shared" si="419"/>
        <v>56400</v>
      </c>
      <c r="BX193" s="831">
        <f t="shared" si="420"/>
        <v>3682877.8198995832</v>
      </c>
      <c r="BY193" s="831">
        <f>$BY$5/44</f>
        <v>30549.183723443901</v>
      </c>
      <c r="BZ193" s="831">
        <f t="shared" si="421"/>
        <v>3713427.0036230274</v>
      </c>
      <c r="CA193" s="1260">
        <f t="shared" si="422"/>
        <v>3713427.0036230274</v>
      </c>
      <c r="CB193" s="1260">
        <f t="shared" si="423"/>
        <v>3537427.0036230274</v>
      </c>
      <c r="CC193" s="1260">
        <v>8000</v>
      </c>
      <c r="CD193" s="1260">
        <f t="shared" si="424"/>
        <v>176000</v>
      </c>
      <c r="CE193" s="1260">
        <f t="shared" si="425"/>
        <v>21120</v>
      </c>
      <c r="CF193" s="1260">
        <f t="shared" si="426"/>
        <v>197120</v>
      </c>
      <c r="CG193" s="1266">
        <f t="shared" si="427"/>
        <v>3734547.0036230274</v>
      </c>
      <c r="CH193" s="1141">
        <f t="shared" si="428"/>
        <v>3734547.0036230274</v>
      </c>
      <c r="CI193" s="1142">
        <f t="shared" si="429"/>
        <v>0</v>
      </c>
      <c r="CJ193" s="1141">
        <f t="shared" si="430"/>
        <v>382791.06787136028</v>
      </c>
      <c r="CK193" s="1141">
        <f t="shared" si="431"/>
        <v>130709.14512680598</v>
      </c>
      <c r="CL193" s="1143">
        <f t="shared" si="489"/>
        <v>4248047.2166211931</v>
      </c>
      <c r="CM193" s="1144">
        <f t="shared" si="432"/>
        <v>0.125</v>
      </c>
      <c r="CN193" s="1141">
        <f t="shared" si="502"/>
        <v>531005.90207764914</v>
      </c>
      <c r="CO193" s="1141">
        <f t="shared" si="433"/>
        <v>30000</v>
      </c>
      <c r="CP193" s="1141">
        <f t="shared" si="503"/>
        <v>501005.90207764914</v>
      </c>
      <c r="CQ193" s="1145">
        <f t="shared" si="434"/>
        <v>16</v>
      </c>
      <c r="CR193" s="1141">
        <f t="shared" si="504"/>
        <v>31312.868879853071</v>
      </c>
      <c r="CS193" s="1144">
        <f t="shared" si="435"/>
        <v>0.875</v>
      </c>
      <c r="CT193" s="1141">
        <f t="shared" si="436"/>
        <v>3717041.3145435438</v>
      </c>
      <c r="CU193" s="1146">
        <f t="shared" si="375"/>
        <v>28818.181748169922</v>
      </c>
      <c r="CV193" s="1146">
        <f t="shared" si="376"/>
        <v>33409.818174382061</v>
      </c>
      <c r="CW193" s="1146">
        <f t="shared" si="377"/>
        <v>43158.001422444613</v>
      </c>
      <c r="CX193" s="1146">
        <f t="shared" si="378"/>
        <v>73601.873051958537</v>
      </c>
      <c r="CY193" s="1146">
        <f t="shared" si="437"/>
        <v>301947.08064929093</v>
      </c>
      <c r="CZ193" s="1146">
        <f t="shared" si="438"/>
        <v>119478.98894424754</v>
      </c>
      <c r="DA193" s="1146">
        <f t="shared" si="439"/>
        <v>86297.98151025876</v>
      </c>
      <c r="DB193" s="1146">
        <f t="shared" si="440"/>
        <v>65676.736883181104</v>
      </c>
      <c r="DC193" s="1146"/>
      <c r="DD193" s="1146"/>
      <c r="DE193" s="1146"/>
      <c r="DF193" s="1146"/>
      <c r="DG193" s="1146"/>
      <c r="DH193" s="1146"/>
      <c r="DI193" s="1146"/>
      <c r="DJ193" s="1146"/>
      <c r="DK193" s="1146"/>
      <c r="DL193" s="1146"/>
      <c r="DM193" s="1146"/>
      <c r="DN193" s="1146"/>
      <c r="DO193" s="1146"/>
      <c r="DP193" s="1146"/>
      <c r="DQ193" s="1146"/>
      <c r="DR193" s="1146"/>
      <c r="DS193" s="1146"/>
      <c r="DT193" s="1146"/>
      <c r="DU193" s="1146"/>
      <c r="DV193" s="1146"/>
      <c r="DW193" s="1146"/>
      <c r="DX193" s="1146"/>
      <c r="DY193" s="1146"/>
      <c r="DZ193" s="1146"/>
      <c r="EA193" s="1147">
        <f t="shared" si="379"/>
        <v>0.11083804810092046</v>
      </c>
      <c r="EB193" s="1148">
        <f t="shared" si="441"/>
        <v>5.5724118066071748E-2</v>
      </c>
      <c r="EC193" s="1190">
        <f t="shared" si="484"/>
        <v>45839</v>
      </c>
      <c r="ED193" s="1031">
        <f t="shared" si="380"/>
        <v>20</v>
      </c>
      <c r="EE193" s="1191"/>
      <c r="EF193" s="1032">
        <f t="shared" si="381"/>
        <v>45904</v>
      </c>
      <c r="EG193" s="1029">
        <f t="shared" si="442"/>
        <v>22</v>
      </c>
      <c r="EH193" s="859" t="s">
        <v>490</v>
      </c>
      <c r="EI193" s="859" t="s">
        <v>480</v>
      </c>
      <c r="EJ193" s="860">
        <f t="shared" si="382"/>
        <v>16800</v>
      </c>
      <c r="EK193" s="860">
        <f t="shared" si="383"/>
        <v>369600</v>
      </c>
      <c r="EL193" s="861">
        <f t="shared" si="384"/>
        <v>0.12413861387303092</v>
      </c>
      <c r="EM193" s="1197"/>
      <c r="EN193" s="860"/>
      <c r="EO193" s="860"/>
      <c r="EP193" s="860">
        <f t="shared" si="385"/>
        <v>0</v>
      </c>
      <c r="EQ193" s="1197"/>
      <c r="ER193" s="1200"/>
      <c r="ES193" s="1197"/>
      <c r="ET193" s="1207" t="s">
        <v>674</v>
      </c>
      <c r="EU193" s="1197" t="b">
        <f t="shared" si="386"/>
        <v>1</v>
      </c>
      <c r="EV193" s="1197"/>
      <c r="EW193" s="1197"/>
      <c r="EX193" s="1197"/>
      <c r="EY193" s="1128" t="s">
        <v>587</v>
      </c>
      <c r="EZ193" s="1128" t="s">
        <v>611</v>
      </c>
      <c r="FA193" s="1169"/>
      <c r="FI193" s="1309" t="s">
        <v>96</v>
      </c>
      <c r="FJ193" s="1159" t="s">
        <v>96</v>
      </c>
      <c r="FK193" s="1160" t="b">
        <f t="shared" si="444"/>
        <v>1</v>
      </c>
      <c r="FL193" s="1131"/>
      <c r="FM193" s="1161"/>
      <c r="FO193" s="888"/>
      <c r="FU193" s="1295"/>
      <c r="FV193" s="1295"/>
      <c r="FW193" s="1023">
        <v>0.125</v>
      </c>
      <c r="FX193" s="1162">
        <v>12458.780043570247</v>
      </c>
      <c r="FY193" s="1163">
        <v>12848.116919931817</v>
      </c>
      <c r="GA193" s="1164">
        <f t="shared" si="445"/>
        <v>4248047.2166211931</v>
      </c>
      <c r="GB193" s="1165">
        <f t="shared" ref="GB193:GB199" si="527">FW193</f>
        <v>0.125</v>
      </c>
      <c r="GC193" s="1154">
        <f t="shared" si="446"/>
        <v>531005.90207764914</v>
      </c>
      <c r="GD193" s="1164">
        <f t="shared" si="447"/>
        <v>30000</v>
      </c>
      <c r="GE193" s="1154">
        <f t="shared" si="448"/>
        <v>501005.90207764914</v>
      </c>
      <c r="GF193" s="1060">
        <f t="shared" si="449"/>
        <v>35</v>
      </c>
      <c r="GG193" s="1166">
        <f t="shared" si="450"/>
        <v>14314.45434507569</v>
      </c>
      <c r="GI193" s="1164">
        <f t="shared" si="451"/>
        <v>4248047.2166211931</v>
      </c>
      <c r="GJ193" s="1154">
        <f t="shared" si="452"/>
        <v>424804.72166211932</v>
      </c>
      <c r="GK193" s="1154">
        <f t="shared" si="453"/>
        <v>106201.18041552983</v>
      </c>
      <c r="GL193" s="1166">
        <v>15000</v>
      </c>
      <c r="GM193" s="1154">
        <f t="shared" si="454"/>
        <v>409804.72166211932</v>
      </c>
      <c r="GN193" s="1060">
        <f t="shared" si="455"/>
        <v>35</v>
      </c>
      <c r="GO193" s="1154">
        <f t="shared" si="456"/>
        <v>11708.706333203409</v>
      </c>
      <c r="GS193" s="1010">
        <f t="shared" si="457"/>
        <v>4248047.2166211931</v>
      </c>
      <c r="GT193" s="1011">
        <f t="shared" si="458"/>
        <v>0.125</v>
      </c>
      <c r="GU193" s="1010">
        <f t="shared" si="459"/>
        <v>531005.90207764914</v>
      </c>
      <c r="GV193" s="1010">
        <f t="shared" si="460"/>
        <v>30000</v>
      </c>
      <c r="GW193" s="1010">
        <f t="shared" si="461"/>
        <v>501005.90207764914</v>
      </c>
      <c r="GX193" s="1010">
        <f t="shared" si="462"/>
        <v>16</v>
      </c>
      <c r="GY193" s="1010">
        <f t="shared" si="463"/>
        <v>31312.868879853071</v>
      </c>
      <c r="GZ193" s="1011">
        <f t="shared" si="464"/>
        <v>0.875</v>
      </c>
      <c r="HA193" s="1010">
        <f t="shared" si="465"/>
        <v>3717041.3145435438</v>
      </c>
      <c r="HB193" s="1010">
        <f t="shared" si="466"/>
        <v>28818.181748169922</v>
      </c>
      <c r="HC193" s="1010">
        <f t="shared" si="467"/>
        <v>33409.818174382061</v>
      </c>
      <c r="HD193" s="1010">
        <f t="shared" si="468"/>
        <v>43158.001422444613</v>
      </c>
      <c r="HE193" s="1010">
        <f t="shared" si="469"/>
        <v>73601.873051958537</v>
      </c>
      <c r="HG193" s="1010">
        <f t="shared" si="470"/>
        <v>4248047.2166211931</v>
      </c>
      <c r="HH193" s="1011">
        <f t="shared" si="471"/>
        <v>0.125</v>
      </c>
      <c r="HI193" s="1010">
        <f t="shared" si="472"/>
        <v>531005.90207764914</v>
      </c>
      <c r="HJ193" s="1010">
        <f t="shared" si="473"/>
        <v>30000</v>
      </c>
      <c r="HK193" s="1010">
        <f t="shared" si="474"/>
        <v>501005.90207764914</v>
      </c>
      <c r="HL193" s="1012">
        <f t="shared" si="475"/>
        <v>33</v>
      </c>
      <c r="HM193" s="1167">
        <f t="shared" si="476"/>
        <v>15181.997032656034</v>
      </c>
      <c r="HN193" s="1168">
        <f t="shared" si="477"/>
        <v>0.875</v>
      </c>
      <c r="HO193" s="1167">
        <f t="shared" si="478"/>
        <v>3717041.3145435438</v>
      </c>
      <c r="HP193" s="1146">
        <f t="shared" si="479"/>
        <v>28818.181748169922</v>
      </c>
      <c r="HQ193" s="1146">
        <f t="shared" si="480"/>
        <v>33409.818174382061</v>
      </c>
      <c r="HR193" s="1146">
        <f t="shared" si="481"/>
        <v>43158.001422444613</v>
      </c>
      <c r="HS193" s="1146">
        <f t="shared" si="482"/>
        <v>73601.873051958537</v>
      </c>
      <c r="HU193" s="1167">
        <f t="shared" si="483"/>
        <v>-16130.871847197037</v>
      </c>
      <c r="HX193" s="1154"/>
      <c r="HY193" s="1154"/>
      <c r="IB193" s="1154"/>
      <c r="IC193" s="1154"/>
      <c r="ID193" s="1154"/>
      <c r="IE193" s="1154"/>
      <c r="IG193" s="1060"/>
    </row>
    <row r="194" spans="1:241" ht="14.25" hidden="1" customHeight="1">
      <c r="A194" s="1186">
        <f t="shared" si="490"/>
        <v>188</v>
      </c>
      <c r="B194" s="824"/>
      <c r="C194" s="855">
        <f t="shared" si="523"/>
        <v>11</v>
      </c>
      <c r="D194" s="856" t="s">
        <v>524</v>
      </c>
      <c r="E194" s="857" t="str">
        <f t="shared" si="387"/>
        <v>12th Floor</v>
      </c>
      <c r="F194" s="1185"/>
      <c r="G194" s="764" t="s">
        <v>675</v>
      </c>
      <c r="H194" s="764" t="s">
        <v>517</v>
      </c>
      <c r="I194" s="764" t="s">
        <v>476</v>
      </c>
      <c r="J194" s="1139">
        <v>22</v>
      </c>
      <c r="K194" s="1142"/>
      <c r="L194" s="764" t="s">
        <v>500</v>
      </c>
      <c r="M194" s="764" t="s">
        <v>93</v>
      </c>
      <c r="N194" s="856">
        <f t="shared" si="388"/>
        <v>100909.09090909091</v>
      </c>
      <c r="O194" s="1138">
        <f t="shared" si="486"/>
        <v>2220000</v>
      </c>
      <c r="P194" s="1138">
        <f t="shared" si="491"/>
        <v>22400</v>
      </c>
      <c r="Q194" s="1138">
        <f t="shared" si="374"/>
        <v>50000</v>
      </c>
      <c r="R194" s="1138"/>
      <c r="S194" s="1138"/>
      <c r="T194" s="1138"/>
      <c r="U194" s="1138"/>
      <c r="V194" s="858"/>
      <c r="W194" s="1138"/>
      <c r="X194" s="1138"/>
      <c r="Y194" s="1138">
        <f t="shared" si="525"/>
        <v>160000</v>
      </c>
      <c r="Z194" s="1138">
        <f t="shared" si="487"/>
        <v>75000</v>
      </c>
      <c r="AA194" s="1138">
        <f t="shared" si="488"/>
        <v>307400</v>
      </c>
      <c r="AB194" s="1138">
        <f t="shared" si="390"/>
        <v>2527400</v>
      </c>
      <c r="AC194" s="1138">
        <f t="shared" si="391"/>
        <v>63185</v>
      </c>
      <c r="AD194" s="1138">
        <f t="shared" si="392"/>
        <v>2590585</v>
      </c>
      <c r="AE194" s="1138">
        <f t="shared" si="393"/>
        <v>64764.625</v>
      </c>
      <c r="AF194" s="1138">
        <f t="shared" si="394"/>
        <v>2655349.625</v>
      </c>
      <c r="AG194" s="1138">
        <f t="shared" si="395"/>
        <v>66383.740625000006</v>
      </c>
      <c r="AH194" s="1138">
        <f t="shared" si="396"/>
        <v>2721733.3656250001</v>
      </c>
      <c r="AI194" s="1138">
        <f t="shared" si="397"/>
        <v>136086.66828125002</v>
      </c>
      <c r="AJ194" s="1138">
        <f t="shared" si="398"/>
        <v>2857820.0339062503</v>
      </c>
      <c r="AK194" s="1138">
        <f t="shared" si="399"/>
        <v>28578.200339062503</v>
      </c>
      <c r="AL194" s="1138">
        <f t="shared" si="400"/>
        <v>27537.409960060559</v>
      </c>
      <c r="AM194" s="1138"/>
      <c r="AN194" s="1138"/>
      <c r="AO194" s="1138">
        <f t="shared" si="401"/>
        <v>2913935.6442053732</v>
      </c>
      <c r="AP194" s="1138">
        <f t="shared" si="402"/>
        <v>393381.3119677254</v>
      </c>
      <c r="AQ194" s="1248">
        <f t="shared" si="403"/>
        <v>3307316.9561730986</v>
      </c>
      <c r="AR194" s="1248">
        <f t="shared" si="515"/>
        <v>2977316.9561730986</v>
      </c>
      <c r="AS194" s="1248">
        <v>15000</v>
      </c>
      <c r="AT194" s="1248">
        <f t="shared" si="516"/>
        <v>330000</v>
      </c>
      <c r="AU194" s="1248">
        <f t="shared" si="404"/>
        <v>39600</v>
      </c>
      <c r="AV194" s="1140">
        <f t="shared" si="405"/>
        <v>369600</v>
      </c>
      <c r="AW194" s="1140">
        <f t="shared" si="406"/>
        <v>3346916.9561730986</v>
      </c>
      <c r="AX194" s="1139">
        <f t="shared" si="407"/>
        <v>41836.461952163736</v>
      </c>
      <c r="AY194" s="831" t="s">
        <v>478</v>
      </c>
      <c r="AZ194" s="831">
        <f t="shared" si="408"/>
        <v>3388753.4181252625</v>
      </c>
      <c r="BA194" s="831">
        <f t="shared" si="409"/>
        <v>127078.25317969733</v>
      </c>
      <c r="BB194" s="831"/>
      <c r="BC194" s="831">
        <f t="shared" si="513"/>
        <v>33600</v>
      </c>
      <c r="BD194" s="831"/>
      <c r="BE194" s="831">
        <f t="shared" si="410"/>
        <v>3549431.6713049598</v>
      </c>
      <c r="BF194" s="831"/>
      <c r="BG194" s="831">
        <f t="shared" si="411"/>
        <v>3549431.6713049598</v>
      </c>
      <c r="BH194" s="831"/>
      <c r="BI194" s="831">
        <f t="shared" si="412"/>
        <v>3549431.6713049598</v>
      </c>
      <c r="BJ194" s="831"/>
      <c r="BK194" s="831">
        <f t="shared" si="413"/>
        <v>3549431.6713049598</v>
      </c>
      <c r="BL194" s="831"/>
      <c r="BM194" s="831">
        <f t="shared" si="414"/>
        <v>3549431.6713049598</v>
      </c>
      <c r="BN194" s="831"/>
      <c r="BO194" s="831">
        <f t="shared" si="415"/>
        <v>3549431.6713049598</v>
      </c>
      <c r="BP194" s="831"/>
      <c r="BQ194" s="831">
        <f t="shared" si="416"/>
        <v>3549431.6713049598</v>
      </c>
      <c r="BR194" s="831"/>
      <c r="BS194" s="831">
        <f t="shared" si="417"/>
        <v>3549431.6713049598</v>
      </c>
      <c r="BT194" s="831"/>
      <c r="BU194" s="831">
        <f t="shared" si="418"/>
        <v>3549431.6713049598</v>
      </c>
      <c r="BV194" s="831"/>
      <c r="BW194" s="831">
        <f t="shared" si="419"/>
        <v>56400</v>
      </c>
      <c r="BX194" s="831">
        <f t="shared" si="420"/>
        <v>3605831.6713049598</v>
      </c>
      <c r="BY194" s="831"/>
      <c r="BZ194" s="831">
        <f t="shared" si="421"/>
        <v>3605831.6713049598</v>
      </c>
      <c r="CA194" s="1260">
        <f t="shared" si="422"/>
        <v>3605831.6713049598</v>
      </c>
      <c r="CB194" s="1260">
        <f t="shared" si="423"/>
        <v>3605831.6713049598</v>
      </c>
      <c r="CC194" s="1260"/>
      <c r="CD194" s="1260">
        <f t="shared" si="424"/>
        <v>0</v>
      </c>
      <c r="CE194" s="1260">
        <f t="shared" si="425"/>
        <v>0</v>
      </c>
      <c r="CF194" s="1260">
        <f t="shared" si="426"/>
        <v>0</v>
      </c>
      <c r="CG194" s="1266">
        <f t="shared" si="427"/>
        <v>3605831.6713049598</v>
      </c>
      <c r="CH194" s="1141">
        <f t="shared" si="428"/>
        <v>3605831.6713049598</v>
      </c>
      <c r="CI194" s="1142">
        <f t="shared" si="429"/>
        <v>432699.80055659515</v>
      </c>
      <c r="CJ194" s="1141">
        <f t="shared" si="430"/>
        <v>369597.74630875833</v>
      </c>
      <c r="CK194" s="1141">
        <f t="shared" si="431"/>
        <v>126204.1084956736</v>
      </c>
      <c r="CL194" s="1143">
        <f t="shared" si="489"/>
        <v>4534333.3266659863</v>
      </c>
      <c r="CM194" s="1144">
        <f t="shared" si="432"/>
        <v>0.125</v>
      </c>
      <c r="CN194" s="1141">
        <f t="shared" si="502"/>
        <v>566791.66583324829</v>
      </c>
      <c r="CO194" s="1141">
        <f t="shared" si="433"/>
        <v>30000</v>
      </c>
      <c r="CP194" s="1141">
        <f t="shared" si="503"/>
        <v>536791.66583324829</v>
      </c>
      <c r="CQ194" s="1145">
        <f t="shared" si="434"/>
        <v>16</v>
      </c>
      <c r="CR194" s="1141">
        <f t="shared" si="504"/>
        <v>33549.479114578018</v>
      </c>
      <c r="CS194" s="1144">
        <f t="shared" si="435"/>
        <v>0.875</v>
      </c>
      <c r="CT194" s="1141">
        <f t="shared" si="436"/>
        <v>3967541.660832738</v>
      </c>
      <c r="CU194" s="1146">
        <f t="shared" si="375"/>
        <v>30760.308266671636</v>
      </c>
      <c r="CV194" s="1146">
        <f t="shared" si="376"/>
        <v>35661.386105412559</v>
      </c>
      <c r="CW194" s="1146">
        <f t="shared" si="377"/>
        <v>46066.522847582317</v>
      </c>
      <c r="CX194" s="1146">
        <f t="shared" si="378"/>
        <v>78562.08014325719</v>
      </c>
      <c r="CY194" s="1146">
        <f t="shared" si="437"/>
        <v>322296.01999729144</v>
      </c>
      <c r="CZ194" s="1146">
        <f t="shared" si="438"/>
        <v>127530.96511887669</v>
      </c>
      <c r="DA194" s="1146">
        <f t="shared" si="439"/>
        <v>92113.809859487912</v>
      </c>
      <c r="DB194" s="1146">
        <f t="shared" si="440"/>
        <v>70102.85000385312</v>
      </c>
      <c r="DC194" s="1146"/>
      <c r="DD194" s="1146"/>
      <c r="DE194" s="1146"/>
      <c r="DF194" s="1146"/>
      <c r="DG194" s="1146"/>
      <c r="DH194" s="1146"/>
      <c r="DI194" s="1146"/>
      <c r="DJ194" s="1146"/>
      <c r="DK194" s="1146"/>
      <c r="DL194" s="1146"/>
      <c r="DM194" s="1146"/>
      <c r="DN194" s="1146"/>
      <c r="DO194" s="1146"/>
      <c r="DP194" s="1146"/>
      <c r="DQ194" s="1146"/>
      <c r="DR194" s="1146"/>
      <c r="DS194" s="1146"/>
      <c r="DT194" s="1146"/>
      <c r="DU194" s="1146"/>
      <c r="DV194" s="1146"/>
      <c r="DW194" s="1146"/>
      <c r="DX194" s="1146"/>
      <c r="DY194" s="1146"/>
      <c r="DZ194" s="1146"/>
      <c r="EA194" s="1147">
        <f t="shared" si="379"/>
        <v>0.11083804810092046</v>
      </c>
      <c r="EB194" s="1148">
        <f t="shared" si="441"/>
        <v>0</v>
      </c>
      <c r="EC194" s="1190">
        <f t="shared" si="484"/>
        <v>45839</v>
      </c>
      <c r="ED194" s="1031">
        <f t="shared" si="380"/>
        <v>20</v>
      </c>
      <c r="EE194" s="1191"/>
      <c r="EF194" s="1032">
        <f t="shared" si="381"/>
        <v>45904</v>
      </c>
      <c r="EG194" s="1029">
        <f t="shared" si="442"/>
        <v>22</v>
      </c>
      <c r="EH194" s="859" t="s">
        <v>490</v>
      </c>
      <c r="EI194" s="859" t="s">
        <v>480</v>
      </c>
      <c r="EJ194" s="860">
        <f t="shared" si="382"/>
        <v>16800</v>
      </c>
      <c r="EK194" s="860">
        <f t="shared" si="383"/>
        <v>369600</v>
      </c>
      <c r="EL194" s="861">
        <f t="shared" si="384"/>
        <v>0.12413861387303092</v>
      </c>
      <c r="EM194" s="1197"/>
      <c r="EN194" s="860"/>
      <c r="EO194" s="860"/>
      <c r="EP194" s="860">
        <f t="shared" si="385"/>
        <v>0</v>
      </c>
      <c r="EQ194" s="1197"/>
      <c r="ER194" s="1200"/>
      <c r="ES194" s="1197"/>
      <c r="ET194" s="1207" t="s">
        <v>675</v>
      </c>
      <c r="EU194" s="1197" t="b">
        <f t="shared" si="386"/>
        <v>1</v>
      </c>
      <c r="EV194" s="1197"/>
      <c r="EW194" s="1197"/>
      <c r="EX194" s="1197"/>
      <c r="EY194" s="1128" t="s">
        <v>587</v>
      </c>
      <c r="EZ194" s="1128" t="s">
        <v>484</v>
      </c>
      <c r="FA194" s="1169">
        <f t="shared" si="443"/>
        <v>0</v>
      </c>
      <c r="FI194" s="1309" t="s">
        <v>149</v>
      </c>
      <c r="FJ194" s="1159" t="s">
        <v>149</v>
      </c>
      <c r="FK194" s="1160" t="b">
        <f t="shared" si="444"/>
        <v>1</v>
      </c>
      <c r="FL194" s="1131"/>
      <c r="FM194" s="1161"/>
      <c r="FO194" s="888"/>
      <c r="FU194" s="1295"/>
      <c r="FV194" s="1295"/>
      <c r="FW194" s="1023">
        <v>0.125</v>
      </c>
      <c r="FX194" s="1162">
        <v>12458.780043570247</v>
      </c>
      <c r="FY194" s="1163">
        <v>12848.116919931817</v>
      </c>
      <c r="GA194" s="1164">
        <f t="shared" si="445"/>
        <v>4534333.3266659863</v>
      </c>
      <c r="GB194" s="1165">
        <f t="shared" si="527"/>
        <v>0.125</v>
      </c>
      <c r="GC194" s="1154">
        <f t="shared" si="446"/>
        <v>566791.66583324829</v>
      </c>
      <c r="GD194" s="1164">
        <f t="shared" si="447"/>
        <v>30000</v>
      </c>
      <c r="GE194" s="1154">
        <f t="shared" si="448"/>
        <v>536791.66583324829</v>
      </c>
      <c r="GF194" s="1060">
        <f t="shared" si="449"/>
        <v>35</v>
      </c>
      <c r="GG194" s="1166">
        <f t="shared" si="450"/>
        <v>15336.904738092808</v>
      </c>
      <c r="GI194" s="1164">
        <f t="shared" si="451"/>
        <v>4534333.3266659863</v>
      </c>
      <c r="GJ194" s="1154">
        <f t="shared" si="452"/>
        <v>453433.33266659867</v>
      </c>
      <c r="GK194" s="1154">
        <f t="shared" si="453"/>
        <v>113358.33316664967</v>
      </c>
      <c r="GL194" s="1166">
        <v>15000</v>
      </c>
      <c r="GM194" s="1154">
        <f t="shared" si="454"/>
        <v>438433.33266659867</v>
      </c>
      <c r="GN194" s="1060">
        <f t="shared" si="455"/>
        <v>35</v>
      </c>
      <c r="GO194" s="1154">
        <f t="shared" si="456"/>
        <v>12526.666647617105</v>
      </c>
      <c r="GS194" s="1010">
        <f t="shared" si="457"/>
        <v>4534333.3266659863</v>
      </c>
      <c r="GT194" s="1011">
        <f t="shared" si="458"/>
        <v>0.125</v>
      </c>
      <c r="GU194" s="1010">
        <f t="shared" si="459"/>
        <v>566791.66583324829</v>
      </c>
      <c r="GV194" s="1010">
        <f t="shared" si="460"/>
        <v>30000</v>
      </c>
      <c r="GW194" s="1010">
        <f t="shared" si="461"/>
        <v>536791.66583324829</v>
      </c>
      <c r="GX194" s="1010">
        <f t="shared" si="462"/>
        <v>16</v>
      </c>
      <c r="GY194" s="1010">
        <f t="shared" si="463"/>
        <v>33549.479114578018</v>
      </c>
      <c r="GZ194" s="1011">
        <f t="shared" si="464"/>
        <v>0.875</v>
      </c>
      <c r="HA194" s="1010">
        <f t="shared" si="465"/>
        <v>3967541.660832738</v>
      </c>
      <c r="HB194" s="1010">
        <f t="shared" si="466"/>
        <v>30760.308266671636</v>
      </c>
      <c r="HC194" s="1010">
        <f t="shared" si="467"/>
        <v>35661.386105412559</v>
      </c>
      <c r="HD194" s="1010">
        <f t="shared" si="468"/>
        <v>46066.522847582317</v>
      </c>
      <c r="HE194" s="1010">
        <f t="shared" si="469"/>
        <v>78562.08014325719</v>
      </c>
      <c r="HG194" s="1010">
        <f t="shared" si="470"/>
        <v>4534333.3266659863</v>
      </c>
      <c r="HH194" s="1011">
        <f t="shared" si="471"/>
        <v>0.125</v>
      </c>
      <c r="HI194" s="1010">
        <f t="shared" si="472"/>
        <v>566791.66583324829</v>
      </c>
      <c r="HJ194" s="1010">
        <f t="shared" si="473"/>
        <v>30000</v>
      </c>
      <c r="HK194" s="1010">
        <f t="shared" si="474"/>
        <v>536791.66583324829</v>
      </c>
      <c r="HL194" s="1012">
        <f t="shared" si="475"/>
        <v>33</v>
      </c>
      <c r="HM194" s="1167">
        <f t="shared" si="476"/>
        <v>16266.41411615904</v>
      </c>
      <c r="HN194" s="1168">
        <f t="shared" si="477"/>
        <v>0.875</v>
      </c>
      <c r="HO194" s="1167">
        <f t="shared" si="478"/>
        <v>3967541.660832738</v>
      </c>
      <c r="HP194" s="1146">
        <f t="shared" si="479"/>
        <v>30760.308266671636</v>
      </c>
      <c r="HQ194" s="1146">
        <f t="shared" si="480"/>
        <v>35661.386105412559</v>
      </c>
      <c r="HR194" s="1146">
        <f t="shared" si="481"/>
        <v>46066.522847582317</v>
      </c>
      <c r="HS194" s="1146">
        <f t="shared" si="482"/>
        <v>78562.08014325719</v>
      </c>
      <c r="HU194" s="1167">
        <f t="shared" si="483"/>
        <v>-17283.06499841898</v>
      </c>
      <c r="HX194" s="1154"/>
      <c r="HY194" s="1154"/>
      <c r="IB194" s="1154"/>
      <c r="IC194" s="1154"/>
      <c r="ID194" s="1154"/>
      <c r="IE194" s="1154"/>
      <c r="IG194" s="1060"/>
    </row>
    <row r="195" spans="1:241" ht="14.25" hidden="1" customHeight="1">
      <c r="A195" s="1186">
        <f t="shared" si="490"/>
        <v>189</v>
      </c>
      <c r="B195" s="824"/>
      <c r="C195" s="855">
        <f t="shared" si="523"/>
        <v>12</v>
      </c>
      <c r="D195" s="856" t="s">
        <v>524</v>
      </c>
      <c r="E195" s="857" t="str">
        <f t="shared" si="387"/>
        <v>12th Floor</v>
      </c>
      <c r="F195" s="1185"/>
      <c r="G195" s="764" t="s">
        <v>676</v>
      </c>
      <c r="H195" s="764" t="s">
        <v>520</v>
      </c>
      <c r="I195" s="764" t="s">
        <v>476</v>
      </c>
      <c r="J195" s="1139">
        <v>22</v>
      </c>
      <c r="K195" s="1142"/>
      <c r="L195" s="764" t="s">
        <v>500</v>
      </c>
      <c r="M195" s="764" t="s">
        <v>93</v>
      </c>
      <c r="N195" s="856">
        <f t="shared" si="388"/>
        <v>100909.09090909091</v>
      </c>
      <c r="O195" s="1138">
        <f t="shared" si="486"/>
        <v>2220000</v>
      </c>
      <c r="P195" s="1138">
        <f t="shared" si="491"/>
        <v>22400</v>
      </c>
      <c r="Q195" s="1138">
        <f t="shared" si="374"/>
        <v>50000</v>
      </c>
      <c r="R195" s="1138"/>
      <c r="S195" s="1138"/>
      <c r="T195" s="1138"/>
      <c r="U195" s="1138"/>
      <c r="V195" s="858"/>
      <c r="W195" s="1138"/>
      <c r="X195" s="1138"/>
      <c r="Y195" s="1138">
        <f t="shared" si="525"/>
        <v>160000</v>
      </c>
      <c r="Z195" s="1138">
        <f t="shared" si="487"/>
        <v>75000</v>
      </c>
      <c r="AA195" s="1138">
        <f t="shared" si="488"/>
        <v>307400</v>
      </c>
      <c r="AB195" s="1138">
        <f t="shared" si="390"/>
        <v>2527400</v>
      </c>
      <c r="AC195" s="1138">
        <f t="shared" si="391"/>
        <v>63185</v>
      </c>
      <c r="AD195" s="1138">
        <f t="shared" si="392"/>
        <v>2590585</v>
      </c>
      <c r="AE195" s="1138">
        <f t="shared" si="393"/>
        <v>64764.625</v>
      </c>
      <c r="AF195" s="1138">
        <f t="shared" si="394"/>
        <v>2655349.625</v>
      </c>
      <c r="AG195" s="1138">
        <f t="shared" si="395"/>
        <v>66383.740625000006</v>
      </c>
      <c r="AH195" s="1138">
        <f t="shared" si="396"/>
        <v>2721733.3656250001</v>
      </c>
      <c r="AI195" s="1138">
        <f t="shared" si="397"/>
        <v>136086.66828125002</v>
      </c>
      <c r="AJ195" s="1138">
        <f t="shared" si="398"/>
        <v>2857820.0339062503</v>
      </c>
      <c r="AK195" s="1138">
        <f t="shared" si="399"/>
        <v>28578.200339062503</v>
      </c>
      <c r="AL195" s="1138">
        <f t="shared" si="400"/>
        <v>27537.409960060559</v>
      </c>
      <c r="AM195" s="1138"/>
      <c r="AN195" s="1138"/>
      <c r="AO195" s="1138">
        <f t="shared" si="401"/>
        <v>2913935.6442053732</v>
      </c>
      <c r="AP195" s="1138">
        <f t="shared" si="402"/>
        <v>393381.3119677254</v>
      </c>
      <c r="AQ195" s="1248">
        <f t="shared" si="403"/>
        <v>3307316.9561730986</v>
      </c>
      <c r="AR195" s="1248">
        <f t="shared" si="515"/>
        <v>2977316.9561730986</v>
      </c>
      <c r="AS195" s="1248">
        <v>15000</v>
      </c>
      <c r="AT195" s="1248">
        <f t="shared" si="516"/>
        <v>330000</v>
      </c>
      <c r="AU195" s="1248">
        <f t="shared" si="404"/>
        <v>39600</v>
      </c>
      <c r="AV195" s="1140">
        <f t="shared" si="405"/>
        <v>369600</v>
      </c>
      <c r="AW195" s="1140">
        <f t="shared" si="406"/>
        <v>3346916.9561730986</v>
      </c>
      <c r="AX195" s="1139">
        <f t="shared" si="407"/>
        <v>41836.461952163736</v>
      </c>
      <c r="AY195" s="831" t="s">
        <v>478</v>
      </c>
      <c r="AZ195" s="831">
        <f t="shared" si="408"/>
        <v>3388753.4181252625</v>
      </c>
      <c r="BA195" s="831">
        <f t="shared" si="409"/>
        <v>127078.25317969733</v>
      </c>
      <c r="BB195" s="831"/>
      <c r="BC195" s="831">
        <f t="shared" si="513"/>
        <v>33600</v>
      </c>
      <c r="BD195" s="831"/>
      <c r="BE195" s="831">
        <f t="shared" si="410"/>
        <v>3549431.6713049598</v>
      </c>
      <c r="BF195" s="831"/>
      <c r="BG195" s="831">
        <f t="shared" si="411"/>
        <v>3549431.6713049598</v>
      </c>
      <c r="BH195" s="831"/>
      <c r="BI195" s="831">
        <f t="shared" si="412"/>
        <v>3549431.6713049598</v>
      </c>
      <c r="BJ195" s="831"/>
      <c r="BK195" s="831">
        <f t="shared" si="413"/>
        <v>3549431.6713049598</v>
      </c>
      <c r="BL195" s="831"/>
      <c r="BM195" s="831">
        <f t="shared" si="414"/>
        <v>3549431.6713049598</v>
      </c>
      <c r="BN195" s="831"/>
      <c r="BO195" s="831">
        <f t="shared" si="415"/>
        <v>3549431.6713049598</v>
      </c>
      <c r="BP195" s="831"/>
      <c r="BQ195" s="831">
        <f t="shared" si="416"/>
        <v>3549431.6713049598</v>
      </c>
      <c r="BR195" s="831"/>
      <c r="BS195" s="831">
        <f t="shared" si="417"/>
        <v>3549431.6713049598</v>
      </c>
      <c r="BT195" s="831"/>
      <c r="BU195" s="831">
        <f t="shared" si="418"/>
        <v>3549431.6713049598</v>
      </c>
      <c r="BV195" s="831"/>
      <c r="BW195" s="831">
        <f t="shared" si="419"/>
        <v>56400</v>
      </c>
      <c r="BX195" s="831">
        <f t="shared" si="420"/>
        <v>3605831.6713049598</v>
      </c>
      <c r="BY195" s="831"/>
      <c r="BZ195" s="831">
        <f t="shared" si="421"/>
        <v>3605831.6713049598</v>
      </c>
      <c r="CA195" s="1260">
        <f t="shared" si="422"/>
        <v>3605831.6713049598</v>
      </c>
      <c r="CB195" s="1260">
        <f t="shared" si="423"/>
        <v>3605831.6713049598</v>
      </c>
      <c r="CC195" s="1260"/>
      <c r="CD195" s="1260">
        <f t="shared" si="424"/>
        <v>0</v>
      </c>
      <c r="CE195" s="1260">
        <f t="shared" si="425"/>
        <v>0</v>
      </c>
      <c r="CF195" s="1260">
        <f t="shared" si="426"/>
        <v>0</v>
      </c>
      <c r="CG195" s="1266">
        <f t="shared" si="427"/>
        <v>3605831.6713049598</v>
      </c>
      <c r="CH195" s="1141">
        <f t="shared" si="428"/>
        <v>3605831.6713049598</v>
      </c>
      <c r="CI195" s="1142">
        <f t="shared" si="429"/>
        <v>432699.80055659515</v>
      </c>
      <c r="CJ195" s="1141">
        <f t="shared" si="430"/>
        <v>369597.74630875833</v>
      </c>
      <c r="CK195" s="1141">
        <f t="shared" si="431"/>
        <v>126204.1084956736</v>
      </c>
      <c r="CL195" s="1143">
        <f t="shared" si="489"/>
        <v>4534333.3266659863</v>
      </c>
      <c r="CM195" s="1144">
        <f t="shared" si="432"/>
        <v>0.125</v>
      </c>
      <c r="CN195" s="1141">
        <f t="shared" si="502"/>
        <v>566791.66583324829</v>
      </c>
      <c r="CO195" s="1141">
        <f t="shared" si="433"/>
        <v>30000</v>
      </c>
      <c r="CP195" s="1141">
        <f t="shared" si="503"/>
        <v>536791.66583324829</v>
      </c>
      <c r="CQ195" s="1145">
        <f t="shared" si="434"/>
        <v>16</v>
      </c>
      <c r="CR195" s="1141">
        <f t="shared" si="504"/>
        <v>33549.479114578018</v>
      </c>
      <c r="CS195" s="1144">
        <f t="shared" si="435"/>
        <v>0.875</v>
      </c>
      <c r="CT195" s="1141">
        <f t="shared" si="436"/>
        <v>3967541.660832738</v>
      </c>
      <c r="CU195" s="1146">
        <f t="shared" si="375"/>
        <v>30760.308266671636</v>
      </c>
      <c r="CV195" s="1146">
        <f t="shared" si="376"/>
        <v>35661.386105412559</v>
      </c>
      <c r="CW195" s="1146">
        <f t="shared" si="377"/>
        <v>46066.522847582317</v>
      </c>
      <c r="CX195" s="1146">
        <f t="shared" si="378"/>
        <v>78562.08014325719</v>
      </c>
      <c r="CY195" s="1146">
        <f t="shared" si="437"/>
        <v>322296.01999729144</v>
      </c>
      <c r="CZ195" s="1146">
        <f t="shared" si="438"/>
        <v>127530.96511887669</v>
      </c>
      <c r="DA195" s="1146">
        <f t="shared" si="439"/>
        <v>92113.809859487912</v>
      </c>
      <c r="DB195" s="1146">
        <f t="shared" si="440"/>
        <v>70102.85000385312</v>
      </c>
      <c r="DC195" s="1146"/>
      <c r="DD195" s="1146"/>
      <c r="DE195" s="1146"/>
      <c r="DF195" s="1146"/>
      <c r="DG195" s="1146"/>
      <c r="DH195" s="1146"/>
      <c r="DI195" s="1146"/>
      <c r="DJ195" s="1146"/>
      <c r="DK195" s="1146"/>
      <c r="DL195" s="1146"/>
      <c r="DM195" s="1146"/>
      <c r="DN195" s="1146"/>
      <c r="DO195" s="1146"/>
      <c r="DP195" s="1146"/>
      <c r="DQ195" s="1146"/>
      <c r="DR195" s="1146"/>
      <c r="DS195" s="1146"/>
      <c r="DT195" s="1146"/>
      <c r="DU195" s="1146"/>
      <c r="DV195" s="1146"/>
      <c r="DW195" s="1146"/>
      <c r="DX195" s="1146"/>
      <c r="DY195" s="1146"/>
      <c r="DZ195" s="1146"/>
      <c r="EA195" s="1147">
        <f t="shared" si="379"/>
        <v>0.11083804810092046</v>
      </c>
      <c r="EB195" s="1148">
        <f t="shared" si="441"/>
        <v>0</v>
      </c>
      <c r="EC195" s="1190">
        <f t="shared" si="484"/>
        <v>45839</v>
      </c>
      <c r="ED195" s="1031">
        <f t="shared" si="380"/>
        <v>20</v>
      </c>
      <c r="EE195" s="1191"/>
      <c r="EF195" s="1032">
        <f t="shared" si="381"/>
        <v>45904</v>
      </c>
      <c r="EG195" s="1029">
        <f t="shared" si="442"/>
        <v>22</v>
      </c>
      <c r="EH195" s="859" t="s">
        <v>490</v>
      </c>
      <c r="EI195" s="859" t="s">
        <v>480</v>
      </c>
      <c r="EJ195" s="860">
        <f t="shared" si="382"/>
        <v>16800</v>
      </c>
      <c r="EK195" s="860">
        <f t="shared" si="383"/>
        <v>369600</v>
      </c>
      <c r="EL195" s="861">
        <f t="shared" si="384"/>
        <v>0.12413861387303092</v>
      </c>
      <c r="EM195" s="1197"/>
      <c r="EN195" s="860"/>
      <c r="EO195" s="860"/>
      <c r="EP195" s="860">
        <f t="shared" si="385"/>
        <v>0</v>
      </c>
      <c r="EQ195" s="1197"/>
      <c r="ER195" s="1200"/>
      <c r="ES195" s="1197"/>
      <c r="ET195" s="1207" t="s">
        <v>676</v>
      </c>
      <c r="EU195" s="1197" t="b">
        <f t="shared" si="386"/>
        <v>1</v>
      </c>
      <c r="EV195" s="1197"/>
      <c r="EW195" s="1197"/>
      <c r="EX195" s="1197"/>
      <c r="EY195" s="1128" t="s">
        <v>587</v>
      </c>
      <c r="EZ195" s="1128" t="s">
        <v>484</v>
      </c>
      <c r="FA195" s="1169">
        <f t="shared" si="443"/>
        <v>0</v>
      </c>
      <c r="FI195" s="1309" t="s">
        <v>149</v>
      </c>
      <c r="FJ195" s="1159" t="s">
        <v>149</v>
      </c>
      <c r="FK195" s="1160" t="b">
        <f t="shared" si="444"/>
        <v>1</v>
      </c>
      <c r="FL195" s="1131"/>
      <c r="FM195" s="1161"/>
      <c r="FO195" s="888"/>
      <c r="FU195" s="1295"/>
      <c r="FV195" s="1295"/>
      <c r="FW195" s="1023">
        <v>0.125</v>
      </c>
      <c r="FX195" s="1162">
        <v>12458.780043570247</v>
      </c>
      <c r="FY195" s="1163">
        <v>12848.116919931817</v>
      </c>
      <c r="GA195" s="1164">
        <f t="shared" si="445"/>
        <v>4534333.3266659863</v>
      </c>
      <c r="GB195" s="1165">
        <f t="shared" si="527"/>
        <v>0.125</v>
      </c>
      <c r="GC195" s="1154">
        <f t="shared" si="446"/>
        <v>566791.66583324829</v>
      </c>
      <c r="GD195" s="1164">
        <f t="shared" si="447"/>
        <v>30000</v>
      </c>
      <c r="GE195" s="1154">
        <f t="shared" si="448"/>
        <v>536791.66583324829</v>
      </c>
      <c r="GF195" s="1060">
        <f t="shared" si="449"/>
        <v>35</v>
      </c>
      <c r="GG195" s="1166">
        <f t="shared" si="450"/>
        <v>15336.904738092808</v>
      </c>
      <c r="GI195" s="1164">
        <f t="shared" si="451"/>
        <v>4534333.3266659863</v>
      </c>
      <c r="GJ195" s="1154">
        <f t="shared" si="452"/>
        <v>453433.33266659867</v>
      </c>
      <c r="GK195" s="1154">
        <f t="shared" si="453"/>
        <v>113358.33316664967</v>
      </c>
      <c r="GL195" s="1166">
        <v>15000</v>
      </c>
      <c r="GM195" s="1154">
        <f t="shared" si="454"/>
        <v>438433.33266659867</v>
      </c>
      <c r="GN195" s="1060">
        <f t="shared" si="455"/>
        <v>35</v>
      </c>
      <c r="GO195" s="1154">
        <f t="shared" si="456"/>
        <v>12526.666647617105</v>
      </c>
      <c r="GS195" s="1010">
        <f t="shared" si="457"/>
        <v>4534333.3266659863</v>
      </c>
      <c r="GT195" s="1011">
        <f t="shared" si="458"/>
        <v>0.125</v>
      </c>
      <c r="GU195" s="1010">
        <f t="shared" si="459"/>
        <v>566791.66583324829</v>
      </c>
      <c r="GV195" s="1010">
        <f t="shared" si="460"/>
        <v>30000</v>
      </c>
      <c r="GW195" s="1010">
        <f t="shared" si="461"/>
        <v>536791.66583324829</v>
      </c>
      <c r="GX195" s="1010">
        <f t="shared" si="462"/>
        <v>16</v>
      </c>
      <c r="GY195" s="1010">
        <f t="shared" si="463"/>
        <v>33549.479114578018</v>
      </c>
      <c r="GZ195" s="1011">
        <f t="shared" si="464"/>
        <v>0.875</v>
      </c>
      <c r="HA195" s="1010">
        <f t="shared" si="465"/>
        <v>3967541.660832738</v>
      </c>
      <c r="HB195" s="1010">
        <f t="shared" si="466"/>
        <v>30760.308266671636</v>
      </c>
      <c r="HC195" s="1010">
        <f t="shared" si="467"/>
        <v>35661.386105412559</v>
      </c>
      <c r="HD195" s="1010">
        <f t="shared" si="468"/>
        <v>46066.522847582317</v>
      </c>
      <c r="HE195" s="1010">
        <f t="shared" si="469"/>
        <v>78562.08014325719</v>
      </c>
      <c r="HG195" s="1010">
        <f t="shared" si="470"/>
        <v>4534333.3266659863</v>
      </c>
      <c r="HH195" s="1011">
        <f t="shared" si="471"/>
        <v>0.125</v>
      </c>
      <c r="HI195" s="1010">
        <f t="shared" si="472"/>
        <v>566791.66583324829</v>
      </c>
      <c r="HJ195" s="1010">
        <f t="shared" si="473"/>
        <v>30000</v>
      </c>
      <c r="HK195" s="1010">
        <f t="shared" si="474"/>
        <v>536791.66583324829</v>
      </c>
      <c r="HL195" s="1012">
        <f t="shared" si="475"/>
        <v>33</v>
      </c>
      <c r="HM195" s="1167">
        <f t="shared" si="476"/>
        <v>16266.41411615904</v>
      </c>
      <c r="HN195" s="1168">
        <f t="shared" si="477"/>
        <v>0.875</v>
      </c>
      <c r="HO195" s="1167">
        <f t="shared" si="478"/>
        <v>3967541.660832738</v>
      </c>
      <c r="HP195" s="1146">
        <f t="shared" si="479"/>
        <v>30760.308266671636</v>
      </c>
      <c r="HQ195" s="1146">
        <f t="shared" si="480"/>
        <v>35661.386105412559</v>
      </c>
      <c r="HR195" s="1146">
        <f t="shared" si="481"/>
        <v>46066.522847582317</v>
      </c>
      <c r="HS195" s="1146">
        <f t="shared" si="482"/>
        <v>78562.08014325719</v>
      </c>
      <c r="HU195" s="1167">
        <f t="shared" si="483"/>
        <v>-17283.06499841898</v>
      </c>
      <c r="HX195" s="1154"/>
      <c r="HY195" s="1154"/>
      <c r="IB195" s="1154"/>
      <c r="IC195" s="1154"/>
      <c r="ID195" s="1154"/>
      <c r="IE195" s="1154"/>
      <c r="IG195" s="1060"/>
    </row>
    <row r="196" spans="1:241" ht="14.25" customHeight="1">
      <c r="A196" s="1186">
        <f t="shared" si="490"/>
        <v>190</v>
      </c>
      <c r="B196" s="824"/>
      <c r="C196" s="855">
        <f t="shared" si="523"/>
        <v>13</v>
      </c>
      <c r="D196" s="856" t="s">
        <v>524</v>
      </c>
      <c r="E196" s="857" t="str">
        <f t="shared" si="387"/>
        <v>12th Floor</v>
      </c>
      <c r="F196" s="1185"/>
      <c r="G196" s="764" t="s">
        <v>677</v>
      </c>
      <c r="H196" s="764" t="s">
        <v>525</v>
      </c>
      <c r="I196" s="764" t="s">
        <v>476</v>
      </c>
      <c r="J196" s="1139">
        <v>22</v>
      </c>
      <c r="K196" s="1142"/>
      <c r="L196" s="764" t="s">
        <v>500</v>
      </c>
      <c r="M196" s="764" t="s">
        <v>93</v>
      </c>
      <c r="N196" s="856">
        <f t="shared" si="388"/>
        <v>100909.09090909091</v>
      </c>
      <c r="O196" s="1138">
        <f t="shared" si="486"/>
        <v>2220000</v>
      </c>
      <c r="P196" s="1138">
        <f t="shared" si="491"/>
        <v>22400</v>
      </c>
      <c r="Q196" s="1138">
        <f t="shared" si="374"/>
        <v>50000</v>
      </c>
      <c r="R196" s="1138"/>
      <c r="S196" s="1138"/>
      <c r="T196" s="1138"/>
      <c r="U196" s="1138"/>
      <c r="V196" s="858"/>
      <c r="W196" s="1138"/>
      <c r="X196" s="1138"/>
      <c r="Y196" s="1138">
        <f t="shared" si="525"/>
        <v>160000</v>
      </c>
      <c r="Z196" s="1138">
        <f t="shared" si="487"/>
        <v>75000</v>
      </c>
      <c r="AA196" s="1138">
        <f t="shared" si="488"/>
        <v>307400</v>
      </c>
      <c r="AB196" s="1138">
        <f t="shared" si="390"/>
        <v>2527400</v>
      </c>
      <c r="AC196" s="1138">
        <f t="shared" si="391"/>
        <v>63185</v>
      </c>
      <c r="AD196" s="1138">
        <f t="shared" si="392"/>
        <v>2590585</v>
      </c>
      <c r="AE196" s="1138">
        <f t="shared" si="393"/>
        <v>64764.625</v>
      </c>
      <c r="AF196" s="1138">
        <f t="shared" si="394"/>
        <v>2655349.625</v>
      </c>
      <c r="AG196" s="1138">
        <f t="shared" si="395"/>
        <v>66383.740625000006</v>
      </c>
      <c r="AH196" s="1138">
        <f t="shared" si="396"/>
        <v>2721733.3656250001</v>
      </c>
      <c r="AI196" s="1138">
        <f t="shared" si="397"/>
        <v>136086.66828125002</v>
      </c>
      <c r="AJ196" s="1138">
        <f t="shared" si="398"/>
        <v>2857820.0339062503</v>
      </c>
      <c r="AK196" s="1138">
        <f t="shared" si="399"/>
        <v>28578.200339062503</v>
      </c>
      <c r="AL196" s="1138">
        <f t="shared" si="400"/>
        <v>27537.409960060559</v>
      </c>
      <c r="AM196" s="1138"/>
      <c r="AN196" s="1138">
        <v>27150</v>
      </c>
      <c r="AO196" s="1138">
        <f t="shared" si="401"/>
        <v>2941085.6442053732</v>
      </c>
      <c r="AP196" s="1138">
        <f t="shared" si="402"/>
        <v>397046.5619677254</v>
      </c>
      <c r="AQ196" s="1248">
        <f t="shared" si="403"/>
        <v>3338132.2061730986</v>
      </c>
      <c r="AR196" s="1248">
        <f t="shared" si="515"/>
        <v>3008132.2061730986</v>
      </c>
      <c r="AS196" s="1248">
        <v>15000</v>
      </c>
      <c r="AT196" s="1248">
        <f t="shared" si="516"/>
        <v>330000</v>
      </c>
      <c r="AU196" s="1248">
        <f t="shared" si="404"/>
        <v>39600</v>
      </c>
      <c r="AV196" s="1140">
        <f t="shared" si="405"/>
        <v>369600</v>
      </c>
      <c r="AW196" s="1140">
        <f t="shared" si="406"/>
        <v>3377732.2061730986</v>
      </c>
      <c r="AX196" s="1139">
        <f t="shared" si="407"/>
        <v>42221.652577163739</v>
      </c>
      <c r="AY196" s="831">
        <v>13444.671373913045</v>
      </c>
      <c r="AZ196" s="831">
        <f t="shared" si="408"/>
        <v>3433398.5301241754</v>
      </c>
      <c r="BA196" s="831">
        <f t="shared" si="409"/>
        <v>128752.44487965657</v>
      </c>
      <c r="BB196" s="831"/>
      <c r="BC196" s="831">
        <f t="shared" si="513"/>
        <v>33600</v>
      </c>
      <c r="BD196" s="831">
        <v>8990.8965517241377</v>
      </c>
      <c r="BE196" s="831">
        <f t="shared" si="410"/>
        <v>3604741.8715555561</v>
      </c>
      <c r="BF196" s="831"/>
      <c r="BG196" s="831">
        <f t="shared" si="411"/>
        <v>3604741.8715555561</v>
      </c>
      <c r="BH196" s="831"/>
      <c r="BI196" s="831">
        <f t="shared" si="412"/>
        <v>3604741.8715555561</v>
      </c>
      <c r="BJ196" s="831"/>
      <c r="BK196" s="831">
        <f t="shared" si="413"/>
        <v>3604741.8715555561</v>
      </c>
      <c r="BL196" s="831"/>
      <c r="BM196" s="831">
        <f t="shared" si="414"/>
        <v>3604741.8715555561</v>
      </c>
      <c r="BN196" s="831"/>
      <c r="BO196" s="831">
        <f t="shared" si="415"/>
        <v>3604741.8715555561</v>
      </c>
      <c r="BP196" s="831"/>
      <c r="BQ196" s="831">
        <f t="shared" si="416"/>
        <v>3604741.8715555561</v>
      </c>
      <c r="BR196" s="831">
        <f>$BR$5/42</f>
        <v>3544.6104</v>
      </c>
      <c r="BS196" s="831">
        <f t="shared" si="417"/>
        <v>3608286.4819555562</v>
      </c>
      <c r="BT196" s="831">
        <f>$BT$5/41</f>
        <v>1609.3168000000001</v>
      </c>
      <c r="BU196" s="831">
        <f t="shared" si="418"/>
        <v>3609895.7987555563</v>
      </c>
      <c r="BV196" s="831">
        <f>$BV$5/43</f>
        <v>1163.3400930232558</v>
      </c>
      <c r="BW196" s="831">
        <f t="shared" si="419"/>
        <v>56400</v>
      </c>
      <c r="BX196" s="831">
        <f t="shared" si="420"/>
        <v>3667459.1388485795</v>
      </c>
      <c r="BY196" s="831">
        <f>$BY$5/44</f>
        <v>30549.183723443901</v>
      </c>
      <c r="BZ196" s="831">
        <f t="shared" si="421"/>
        <v>3698008.3225720236</v>
      </c>
      <c r="CA196" s="1260">
        <f t="shared" si="422"/>
        <v>3698008.3225720236</v>
      </c>
      <c r="CB196" s="1260">
        <f t="shared" si="423"/>
        <v>3522008.3225720236</v>
      </c>
      <c r="CC196" s="1260">
        <v>8000</v>
      </c>
      <c r="CD196" s="1260">
        <f t="shared" si="424"/>
        <v>176000</v>
      </c>
      <c r="CE196" s="1260">
        <f t="shared" si="425"/>
        <v>21120</v>
      </c>
      <c r="CF196" s="1260">
        <f t="shared" si="426"/>
        <v>197120</v>
      </c>
      <c r="CG196" s="1266">
        <f t="shared" si="427"/>
        <v>3719128.3225720236</v>
      </c>
      <c r="CH196" s="1141">
        <f t="shared" si="428"/>
        <v>3719128.3225720236</v>
      </c>
      <c r="CI196" s="1142">
        <f t="shared" si="429"/>
        <v>0</v>
      </c>
      <c r="CJ196" s="1141">
        <f t="shared" si="430"/>
        <v>381210.65306363237</v>
      </c>
      <c r="CK196" s="1141">
        <f t="shared" si="431"/>
        <v>130169.49129002084</v>
      </c>
      <c r="CL196" s="1143">
        <f t="shared" si="489"/>
        <v>4230508.4669256769</v>
      </c>
      <c r="CM196" s="1144">
        <f t="shared" si="432"/>
        <v>0.125</v>
      </c>
      <c r="CN196" s="1141">
        <f t="shared" si="502"/>
        <v>528813.55836570961</v>
      </c>
      <c r="CO196" s="1141">
        <f t="shared" si="433"/>
        <v>30000</v>
      </c>
      <c r="CP196" s="1141">
        <f t="shared" si="503"/>
        <v>498813.55836570961</v>
      </c>
      <c r="CQ196" s="1145">
        <f t="shared" si="434"/>
        <v>16</v>
      </c>
      <c r="CR196" s="1141">
        <f t="shared" si="504"/>
        <v>31175.847397856851</v>
      </c>
      <c r="CS196" s="1144">
        <f t="shared" si="435"/>
        <v>0.875</v>
      </c>
      <c r="CT196" s="1141">
        <f t="shared" si="436"/>
        <v>3701694.9085599673</v>
      </c>
      <c r="CU196" s="1146">
        <f t="shared" si="375"/>
        <v>28699.201225923498</v>
      </c>
      <c r="CV196" s="1146">
        <f t="shared" si="376"/>
        <v>33271.880338841882</v>
      </c>
      <c r="CW196" s="1146">
        <f t="shared" si="377"/>
        <v>42979.816636422147</v>
      </c>
      <c r="CX196" s="1146">
        <f t="shared" si="378"/>
        <v>73297.995820196942</v>
      </c>
      <c r="CY196" s="1146">
        <f t="shared" si="437"/>
        <v>300700.44331247435</v>
      </c>
      <c r="CZ196" s="1146">
        <f t="shared" si="438"/>
        <v>118985.70062278834</v>
      </c>
      <c r="DA196" s="1146">
        <f t="shared" si="439"/>
        <v>85941.686342207278</v>
      </c>
      <c r="DB196" s="1146">
        <f t="shared" si="440"/>
        <v>65405.579857311553</v>
      </c>
      <c r="DC196" s="1146"/>
      <c r="DD196" s="1146"/>
      <c r="DE196" s="1146"/>
      <c r="DF196" s="1146"/>
      <c r="DG196" s="1146"/>
      <c r="DH196" s="1146"/>
      <c r="DI196" s="1146"/>
      <c r="DJ196" s="1146"/>
      <c r="DK196" s="1146"/>
      <c r="DL196" s="1146"/>
      <c r="DM196" s="1146"/>
      <c r="DN196" s="1146"/>
      <c r="DO196" s="1146"/>
      <c r="DP196" s="1146"/>
      <c r="DQ196" s="1146"/>
      <c r="DR196" s="1146"/>
      <c r="DS196" s="1146"/>
      <c r="DT196" s="1146"/>
      <c r="DU196" s="1146"/>
      <c r="DV196" s="1146"/>
      <c r="DW196" s="1146"/>
      <c r="DX196" s="1146"/>
      <c r="DY196" s="1146"/>
      <c r="DZ196" s="1146"/>
      <c r="EA196" s="1147">
        <f t="shared" si="379"/>
        <v>0.10970262521135038</v>
      </c>
      <c r="EB196" s="1148">
        <f t="shared" si="441"/>
        <v>5.5968067632517347E-2</v>
      </c>
      <c r="EC196" s="1190">
        <f t="shared" si="484"/>
        <v>45839</v>
      </c>
      <c r="ED196" s="1031">
        <f t="shared" si="380"/>
        <v>20</v>
      </c>
      <c r="EE196" s="1191"/>
      <c r="EF196" s="1032">
        <f t="shared" si="381"/>
        <v>45904</v>
      </c>
      <c r="EG196" s="1029">
        <f t="shared" si="442"/>
        <v>22</v>
      </c>
      <c r="EH196" s="859" t="s">
        <v>490</v>
      </c>
      <c r="EI196" s="859" t="s">
        <v>480</v>
      </c>
      <c r="EJ196" s="860">
        <f t="shared" si="382"/>
        <v>16800</v>
      </c>
      <c r="EK196" s="860">
        <f t="shared" si="383"/>
        <v>369600</v>
      </c>
      <c r="EL196" s="861">
        <f t="shared" si="384"/>
        <v>0.12286694023671242</v>
      </c>
      <c r="EM196" s="1197"/>
      <c r="EN196" s="860"/>
      <c r="EO196" s="860"/>
      <c r="EP196" s="860">
        <f t="shared" si="385"/>
        <v>0</v>
      </c>
      <c r="EQ196" s="1197"/>
      <c r="ER196" s="1200"/>
      <c r="ES196" s="1197"/>
      <c r="ET196" s="1207" t="s">
        <v>677</v>
      </c>
      <c r="EU196" s="1197" t="b">
        <f t="shared" si="386"/>
        <v>1</v>
      </c>
      <c r="EV196" s="1197"/>
      <c r="EW196" s="1197"/>
      <c r="EX196" s="1197"/>
      <c r="EY196" s="1128" t="s">
        <v>587</v>
      </c>
      <c r="EZ196" s="1128" t="s">
        <v>611</v>
      </c>
      <c r="FA196" s="1169"/>
      <c r="FI196" s="1309" t="s">
        <v>96</v>
      </c>
      <c r="FJ196" s="1159" t="s">
        <v>96</v>
      </c>
      <c r="FK196" s="1160" t="b">
        <f t="shared" si="444"/>
        <v>1</v>
      </c>
      <c r="FL196" s="1131"/>
      <c r="FM196" s="1161"/>
      <c r="FO196" s="888"/>
      <c r="FU196" s="1295"/>
      <c r="FV196" s="1295"/>
      <c r="FW196" s="1023">
        <v>0.125</v>
      </c>
      <c r="FX196" s="1162">
        <v>12458.780043570247</v>
      </c>
      <c r="FY196" s="1163">
        <v>12848.116919931817</v>
      </c>
      <c r="GA196" s="1164">
        <f t="shared" si="445"/>
        <v>4230508.4669256769</v>
      </c>
      <c r="GB196" s="1165">
        <f t="shared" si="527"/>
        <v>0.125</v>
      </c>
      <c r="GC196" s="1154">
        <f t="shared" si="446"/>
        <v>528813.55836570961</v>
      </c>
      <c r="GD196" s="1164">
        <f t="shared" si="447"/>
        <v>30000</v>
      </c>
      <c r="GE196" s="1154">
        <f t="shared" si="448"/>
        <v>498813.55836570961</v>
      </c>
      <c r="GF196" s="1060">
        <f t="shared" si="449"/>
        <v>35</v>
      </c>
      <c r="GG196" s="1166">
        <f t="shared" si="450"/>
        <v>14251.81595330599</v>
      </c>
      <c r="GI196" s="1164">
        <f t="shared" si="451"/>
        <v>4230508.4669256769</v>
      </c>
      <c r="GJ196" s="1154">
        <f t="shared" si="452"/>
        <v>423050.84669256769</v>
      </c>
      <c r="GK196" s="1154">
        <f t="shared" si="453"/>
        <v>105762.71167314192</v>
      </c>
      <c r="GL196" s="1166">
        <v>15000</v>
      </c>
      <c r="GM196" s="1154">
        <f t="shared" si="454"/>
        <v>408050.84669256769</v>
      </c>
      <c r="GN196" s="1060">
        <f t="shared" si="455"/>
        <v>35</v>
      </c>
      <c r="GO196" s="1154">
        <f t="shared" si="456"/>
        <v>11658.595619787648</v>
      </c>
      <c r="GS196" s="1010">
        <f t="shared" si="457"/>
        <v>4230508.4669256769</v>
      </c>
      <c r="GT196" s="1011">
        <f t="shared" si="458"/>
        <v>0.125</v>
      </c>
      <c r="GU196" s="1010">
        <f t="shared" si="459"/>
        <v>528813.55836570961</v>
      </c>
      <c r="GV196" s="1010">
        <f t="shared" si="460"/>
        <v>30000</v>
      </c>
      <c r="GW196" s="1010">
        <f t="shared" si="461"/>
        <v>498813.55836570961</v>
      </c>
      <c r="GX196" s="1010">
        <f t="shared" si="462"/>
        <v>16</v>
      </c>
      <c r="GY196" s="1010">
        <f t="shared" si="463"/>
        <v>31175.847397856851</v>
      </c>
      <c r="GZ196" s="1011">
        <f t="shared" si="464"/>
        <v>0.875</v>
      </c>
      <c r="HA196" s="1010">
        <f t="shared" si="465"/>
        <v>3701694.9085599673</v>
      </c>
      <c r="HB196" s="1010">
        <f t="shared" si="466"/>
        <v>28699.201225923498</v>
      </c>
      <c r="HC196" s="1010">
        <f t="shared" si="467"/>
        <v>33271.880338841882</v>
      </c>
      <c r="HD196" s="1010">
        <f t="shared" si="468"/>
        <v>42979.816636422147</v>
      </c>
      <c r="HE196" s="1010">
        <f t="shared" si="469"/>
        <v>73297.995820196942</v>
      </c>
      <c r="HG196" s="1010">
        <f t="shared" si="470"/>
        <v>4230508.4669256769</v>
      </c>
      <c r="HH196" s="1011">
        <f t="shared" si="471"/>
        <v>0.125</v>
      </c>
      <c r="HI196" s="1010">
        <f t="shared" si="472"/>
        <v>528813.55836570961</v>
      </c>
      <c r="HJ196" s="1010">
        <f t="shared" si="473"/>
        <v>30000</v>
      </c>
      <c r="HK196" s="1010">
        <f t="shared" si="474"/>
        <v>498813.55836570961</v>
      </c>
      <c r="HL196" s="1012">
        <f t="shared" si="475"/>
        <v>33</v>
      </c>
      <c r="HM196" s="1167">
        <f t="shared" si="476"/>
        <v>15115.562374718473</v>
      </c>
      <c r="HN196" s="1168">
        <f t="shared" si="477"/>
        <v>0.875</v>
      </c>
      <c r="HO196" s="1167">
        <f t="shared" si="478"/>
        <v>3701694.9085599673</v>
      </c>
      <c r="HP196" s="1146">
        <f t="shared" si="479"/>
        <v>28699.201225923498</v>
      </c>
      <c r="HQ196" s="1146">
        <f t="shared" si="480"/>
        <v>33271.880338841882</v>
      </c>
      <c r="HR196" s="1146">
        <f t="shared" si="481"/>
        <v>42979.816636422147</v>
      </c>
      <c r="HS196" s="1146">
        <f t="shared" si="482"/>
        <v>73297.995820196942</v>
      </c>
      <c r="HU196" s="1167">
        <f t="shared" si="483"/>
        <v>-16060.285023138378</v>
      </c>
      <c r="HX196" s="1154"/>
      <c r="HY196" s="1154"/>
      <c r="IB196" s="1154"/>
      <c r="IC196" s="1154"/>
      <c r="ID196" s="1154"/>
      <c r="IE196" s="1154"/>
      <c r="IG196" s="1060"/>
    </row>
    <row r="197" spans="1:241" ht="14.25" hidden="1" customHeight="1">
      <c r="A197" s="1186">
        <f t="shared" si="490"/>
        <v>191</v>
      </c>
      <c r="B197" s="824"/>
      <c r="C197" s="855">
        <f t="shared" si="523"/>
        <v>14</v>
      </c>
      <c r="D197" s="856" t="s">
        <v>524</v>
      </c>
      <c r="E197" s="857" t="str">
        <f t="shared" si="387"/>
        <v>12th Floor</v>
      </c>
      <c r="F197" s="1185"/>
      <c r="G197" s="764" t="s">
        <v>678</v>
      </c>
      <c r="H197" s="764" t="s">
        <v>529</v>
      </c>
      <c r="I197" s="764" t="s">
        <v>476</v>
      </c>
      <c r="J197" s="1139">
        <v>22</v>
      </c>
      <c r="K197" s="1142"/>
      <c r="L197" s="764" t="s">
        <v>500</v>
      </c>
      <c r="M197" s="764" t="s">
        <v>93</v>
      </c>
      <c r="N197" s="856">
        <f t="shared" si="388"/>
        <v>100909.09090909091</v>
      </c>
      <c r="O197" s="1138">
        <f t="shared" si="486"/>
        <v>2220000</v>
      </c>
      <c r="P197" s="1138">
        <f t="shared" si="491"/>
        <v>22400</v>
      </c>
      <c r="Q197" s="1138">
        <f t="shared" si="374"/>
        <v>50000</v>
      </c>
      <c r="R197" s="1138"/>
      <c r="S197" s="1138"/>
      <c r="T197" s="1138"/>
      <c r="U197" s="1138"/>
      <c r="V197" s="858"/>
      <c r="W197" s="1138"/>
      <c r="X197" s="1138"/>
      <c r="Y197" s="1138">
        <f t="shared" si="525"/>
        <v>160000</v>
      </c>
      <c r="Z197" s="1138">
        <f t="shared" si="487"/>
        <v>75000</v>
      </c>
      <c r="AA197" s="1138">
        <f t="shared" si="488"/>
        <v>307400</v>
      </c>
      <c r="AB197" s="1138">
        <f t="shared" si="390"/>
        <v>2527400</v>
      </c>
      <c r="AC197" s="1138">
        <f t="shared" si="391"/>
        <v>63185</v>
      </c>
      <c r="AD197" s="1138">
        <f t="shared" si="392"/>
        <v>2590585</v>
      </c>
      <c r="AE197" s="1138">
        <f t="shared" si="393"/>
        <v>64764.625</v>
      </c>
      <c r="AF197" s="1138">
        <f t="shared" si="394"/>
        <v>2655349.625</v>
      </c>
      <c r="AG197" s="1138">
        <f t="shared" si="395"/>
        <v>66383.740625000006</v>
      </c>
      <c r="AH197" s="1138">
        <f t="shared" si="396"/>
        <v>2721733.3656250001</v>
      </c>
      <c r="AI197" s="1138">
        <f t="shared" si="397"/>
        <v>136086.66828125002</v>
      </c>
      <c r="AJ197" s="1138">
        <f t="shared" si="398"/>
        <v>2857820.0339062503</v>
      </c>
      <c r="AK197" s="1138">
        <f t="shared" si="399"/>
        <v>28578.200339062503</v>
      </c>
      <c r="AL197" s="1138">
        <f t="shared" si="400"/>
        <v>27537.409960060559</v>
      </c>
      <c r="AM197" s="1138"/>
      <c r="AN197" s="1138"/>
      <c r="AO197" s="1138">
        <f t="shared" si="401"/>
        <v>2913935.6442053732</v>
      </c>
      <c r="AP197" s="1138">
        <f t="shared" si="402"/>
        <v>393381.3119677254</v>
      </c>
      <c r="AQ197" s="1248">
        <f t="shared" si="403"/>
        <v>3307316.9561730986</v>
      </c>
      <c r="AR197" s="1248">
        <f t="shared" si="515"/>
        <v>2977316.9561730986</v>
      </c>
      <c r="AS197" s="1248">
        <v>15000</v>
      </c>
      <c r="AT197" s="1248">
        <f t="shared" si="516"/>
        <v>330000</v>
      </c>
      <c r="AU197" s="1248">
        <f t="shared" si="404"/>
        <v>39600</v>
      </c>
      <c r="AV197" s="1140">
        <f t="shared" si="405"/>
        <v>369600</v>
      </c>
      <c r="AW197" s="1140">
        <f t="shared" si="406"/>
        <v>3346916.9561730986</v>
      </c>
      <c r="AX197" s="1139">
        <f t="shared" si="407"/>
        <v>41836.461952163736</v>
      </c>
      <c r="AY197" s="831" t="s">
        <v>478</v>
      </c>
      <c r="AZ197" s="831">
        <f t="shared" si="408"/>
        <v>3388753.4181252625</v>
      </c>
      <c r="BA197" s="831">
        <f t="shared" si="409"/>
        <v>127078.25317969733</v>
      </c>
      <c r="BB197" s="831"/>
      <c r="BC197" s="831">
        <f t="shared" si="513"/>
        <v>33600</v>
      </c>
      <c r="BD197" s="831"/>
      <c r="BE197" s="831">
        <f t="shared" si="410"/>
        <v>3549431.6713049598</v>
      </c>
      <c r="BF197" s="831"/>
      <c r="BG197" s="831">
        <f t="shared" si="411"/>
        <v>3549431.6713049598</v>
      </c>
      <c r="BH197" s="831"/>
      <c r="BI197" s="831">
        <f t="shared" si="412"/>
        <v>3549431.6713049598</v>
      </c>
      <c r="BJ197" s="831"/>
      <c r="BK197" s="831">
        <f t="shared" si="413"/>
        <v>3549431.6713049598</v>
      </c>
      <c r="BL197" s="831"/>
      <c r="BM197" s="831">
        <f t="shared" si="414"/>
        <v>3549431.6713049598</v>
      </c>
      <c r="BN197" s="831"/>
      <c r="BO197" s="831">
        <f t="shared" si="415"/>
        <v>3549431.6713049598</v>
      </c>
      <c r="BP197" s="831"/>
      <c r="BQ197" s="831">
        <f t="shared" si="416"/>
        <v>3549431.6713049598</v>
      </c>
      <c r="BR197" s="831"/>
      <c r="BS197" s="831">
        <f t="shared" si="417"/>
        <v>3549431.6713049598</v>
      </c>
      <c r="BT197" s="831"/>
      <c r="BU197" s="831">
        <f t="shared" si="418"/>
        <v>3549431.6713049598</v>
      </c>
      <c r="BV197" s="831"/>
      <c r="BW197" s="831">
        <f t="shared" si="419"/>
        <v>56400</v>
      </c>
      <c r="BX197" s="831">
        <f t="shared" si="420"/>
        <v>3605831.6713049598</v>
      </c>
      <c r="BY197" s="831"/>
      <c r="BZ197" s="831">
        <f t="shared" si="421"/>
        <v>3605831.6713049598</v>
      </c>
      <c r="CA197" s="1260">
        <f t="shared" si="422"/>
        <v>3605831.6713049598</v>
      </c>
      <c r="CB197" s="1260">
        <f t="shared" si="423"/>
        <v>3605831.6713049598</v>
      </c>
      <c r="CC197" s="1260"/>
      <c r="CD197" s="1260">
        <f t="shared" si="424"/>
        <v>0</v>
      </c>
      <c r="CE197" s="1260">
        <f t="shared" si="425"/>
        <v>0</v>
      </c>
      <c r="CF197" s="1260">
        <f t="shared" si="426"/>
        <v>0</v>
      </c>
      <c r="CG197" s="1266">
        <f t="shared" si="427"/>
        <v>3605831.6713049598</v>
      </c>
      <c r="CH197" s="1141">
        <f t="shared" si="428"/>
        <v>3605831.6713049598</v>
      </c>
      <c r="CI197" s="1142">
        <f t="shared" si="429"/>
        <v>432699.80055659515</v>
      </c>
      <c r="CJ197" s="1141">
        <f t="shared" si="430"/>
        <v>369597.74630875833</v>
      </c>
      <c r="CK197" s="1141">
        <f t="shared" si="431"/>
        <v>126204.1084956736</v>
      </c>
      <c r="CL197" s="1143">
        <f t="shared" si="489"/>
        <v>4534333.3266659863</v>
      </c>
      <c r="CM197" s="1144">
        <f t="shared" si="432"/>
        <v>0.125</v>
      </c>
      <c r="CN197" s="1141">
        <f t="shared" si="502"/>
        <v>566791.66583324829</v>
      </c>
      <c r="CO197" s="1141">
        <f t="shared" si="433"/>
        <v>30000</v>
      </c>
      <c r="CP197" s="1141">
        <f t="shared" si="503"/>
        <v>536791.66583324829</v>
      </c>
      <c r="CQ197" s="1145">
        <f t="shared" si="434"/>
        <v>16</v>
      </c>
      <c r="CR197" s="1141">
        <f t="shared" si="504"/>
        <v>33549.479114578018</v>
      </c>
      <c r="CS197" s="1144">
        <f t="shared" si="435"/>
        <v>0.875</v>
      </c>
      <c r="CT197" s="1141">
        <f t="shared" si="436"/>
        <v>3967541.660832738</v>
      </c>
      <c r="CU197" s="1146">
        <f t="shared" si="375"/>
        <v>30760.308266671636</v>
      </c>
      <c r="CV197" s="1146">
        <f t="shared" si="376"/>
        <v>35661.386105412559</v>
      </c>
      <c r="CW197" s="1146">
        <f t="shared" si="377"/>
        <v>46066.522847582317</v>
      </c>
      <c r="CX197" s="1146">
        <f t="shared" si="378"/>
        <v>78562.08014325719</v>
      </c>
      <c r="CY197" s="1146">
        <f t="shared" si="437"/>
        <v>322296.01999729144</v>
      </c>
      <c r="CZ197" s="1146">
        <f t="shared" si="438"/>
        <v>127530.96511887669</v>
      </c>
      <c r="DA197" s="1146">
        <f t="shared" si="439"/>
        <v>92113.809859487912</v>
      </c>
      <c r="DB197" s="1146">
        <f t="shared" si="440"/>
        <v>70102.85000385312</v>
      </c>
      <c r="DC197" s="1146"/>
      <c r="DD197" s="1146"/>
      <c r="DE197" s="1146"/>
      <c r="DF197" s="1146"/>
      <c r="DG197" s="1146"/>
      <c r="DH197" s="1146"/>
      <c r="DI197" s="1146"/>
      <c r="DJ197" s="1146"/>
      <c r="DK197" s="1146"/>
      <c r="DL197" s="1146"/>
      <c r="DM197" s="1146"/>
      <c r="DN197" s="1146"/>
      <c r="DO197" s="1146"/>
      <c r="DP197" s="1146"/>
      <c r="DQ197" s="1146"/>
      <c r="DR197" s="1146"/>
      <c r="DS197" s="1146"/>
      <c r="DT197" s="1146"/>
      <c r="DU197" s="1146"/>
      <c r="DV197" s="1146"/>
      <c r="DW197" s="1146"/>
      <c r="DX197" s="1146"/>
      <c r="DY197" s="1146"/>
      <c r="DZ197" s="1146"/>
      <c r="EA197" s="1147">
        <f t="shared" si="379"/>
        <v>0.11083804810092046</v>
      </c>
      <c r="EB197" s="1148">
        <f t="shared" si="441"/>
        <v>0</v>
      </c>
      <c r="EC197" s="1190">
        <f t="shared" si="484"/>
        <v>45839</v>
      </c>
      <c r="ED197" s="1031">
        <f t="shared" si="380"/>
        <v>20</v>
      </c>
      <c r="EE197" s="1191"/>
      <c r="EF197" s="1032">
        <f t="shared" si="381"/>
        <v>45904</v>
      </c>
      <c r="EG197" s="1029">
        <f t="shared" si="442"/>
        <v>22</v>
      </c>
      <c r="EH197" s="859" t="s">
        <v>490</v>
      </c>
      <c r="EI197" s="859" t="s">
        <v>480</v>
      </c>
      <c r="EJ197" s="860">
        <f t="shared" si="382"/>
        <v>16800</v>
      </c>
      <c r="EK197" s="860">
        <f t="shared" si="383"/>
        <v>369600</v>
      </c>
      <c r="EL197" s="861">
        <f t="shared" si="384"/>
        <v>0.12413861387303092</v>
      </c>
      <c r="EM197" s="1197"/>
      <c r="EN197" s="860"/>
      <c r="EO197" s="860"/>
      <c r="EP197" s="860">
        <f t="shared" si="385"/>
        <v>0</v>
      </c>
      <c r="EQ197" s="1197"/>
      <c r="ER197" s="1200"/>
      <c r="ES197" s="1197"/>
      <c r="ET197" s="1207" t="s">
        <v>678</v>
      </c>
      <c r="EU197" s="1197" t="b">
        <f t="shared" si="386"/>
        <v>1</v>
      </c>
      <c r="EV197" s="1197"/>
      <c r="EW197" s="1197"/>
      <c r="EX197" s="1197"/>
      <c r="EY197" s="1128" t="s">
        <v>587</v>
      </c>
      <c r="EZ197" s="1128" t="s">
        <v>484</v>
      </c>
      <c r="FA197" s="1169">
        <f t="shared" si="443"/>
        <v>0</v>
      </c>
      <c r="FI197" s="1309" t="s">
        <v>149</v>
      </c>
      <c r="FJ197" s="1159" t="s">
        <v>149</v>
      </c>
      <c r="FK197" s="1160" t="b">
        <f t="shared" si="444"/>
        <v>1</v>
      </c>
      <c r="FL197" s="1131"/>
      <c r="FM197" s="1161"/>
      <c r="FO197" s="888"/>
      <c r="FU197" s="1295"/>
      <c r="FV197" s="1295"/>
      <c r="FW197" s="1023">
        <v>0.125</v>
      </c>
      <c r="FX197" s="1162">
        <v>12458.780043570247</v>
      </c>
      <c r="FY197" s="1163">
        <v>12848.116919931817</v>
      </c>
      <c r="GA197" s="1164">
        <f t="shared" si="445"/>
        <v>4534333.3266659863</v>
      </c>
      <c r="GB197" s="1165">
        <f t="shared" si="527"/>
        <v>0.125</v>
      </c>
      <c r="GC197" s="1154">
        <f t="shared" si="446"/>
        <v>566791.66583324829</v>
      </c>
      <c r="GD197" s="1164">
        <f t="shared" si="447"/>
        <v>30000</v>
      </c>
      <c r="GE197" s="1154">
        <f t="shared" si="448"/>
        <v>536791.66583324829</v>
      </c>
      <c r="GF197" s="1060">
        <f t="shared" si="449"/>
        <v>35</v>
      </c>
      <c r="GG197" s="1166">
        <f t="shared" si="450"/>
        <v>15336.904738092808</v>
      </c>
      <c r="GI197" s="1164">
        <f t="shared" si="451"/>
        <v>4534333.3266659863</v>
      </c>
      <c r="GJ197" s="1154">
        <f t="shared" si="452"/>
        <v>453433.33266659867</v>
      </c>
      <c r="GK197" s="1154">
        <f t="shared" si="453"/>
        <v>113358.33316664967</v>
      </c>
      <c r="GL197" s="1166">
        <v>15000</v>
      </c>
      <c r="GM197" s="1154">
        <f t="shared" si="454"/>
        <v>438433.33266659867</v>
      </c>
      <c r="GN197" s="1060">
        <f t="shared" si="455"/>
        <v>35</v>
      </c>
      <c r="GO197" s="1154">
        <f t="shared" si="456"/>
        <v>12526.666647617105</v>
      </c>
      <c r="GS197" s="1010">
        <f t="shared" si="457"/>
        <v>4534333.3266659863</v>
      </c>
      <c r="GT197" s="1011">
        <f t="shared" si="458"/>
        <v>0.125</v>
      </c>
      <c r="GU197" s="1010">
        <f t="shared" si="459"/>
        <v>566791.66583324829</v>
      </c>
      <c r="GV197" s="1010">
        <f t="shared" si="460"/>
        <v>30000</v>
      </c>
      <c r="GW197" s="1010">
        <f t="shared" si="461"/>
        <v>536791.66583324829</v>
      </c>
      <c r="GX197" s="1010">
        <f t="shared" si="462"/>
        <v>16</v>
      </c>
      <c r="GY197" s="1010">
        <f t="shared" si="463"/>
        <v>33549.479114578018</v>
      </c>
      <c r="GZ197" s="1011">
        <f t="shared" si="464"/>
        <v>0.875</v>
      </c>
      <c r="HA197" s="1010">
        <f t="shared" si="465"/>
        <v>3967541.660832738</v>
      </c>
      <c r="HB197" s="1010">
        <f t="shared" si="466"/>
        <v>30760.308266671636</v>
      </c>
      <c r="HC197" s="1010">
        <f t="shared" si="467"/>
        <v>35661.386105412559</v>
      </c>
      <c r="HD197" s="1010">
        <f t="shared" si="468"/>
        <v>46066.522847582317</v>
      </c>
      <c r="HE197" s="1010">
        <f t="shared" si="469"/>
        <v>78562.08014325719</v>
      </c>
      <c r="HG197" s="1010">
        <f t="shared" si="470"/>
        <v>4534333.3266659863</v>
      </c>
      <c r="HH197" s="1011">
        <f t="shared" si="471"/>
        <v>0.125</v>
      </c>
      <c r="HI197" s="1010">
        <f t="shared" si="472"/>
        <v>566791.66583324829</v>
      </c>
      <c r="HJ197" s="1010">
        <f t="shared" si="473"/>
        <v>30000</v>
      </c>
      <c r="HK197" s="1010">
        <f t="shared" si="474"/>
        <v>536791.66583324829</v>
      </c>
      <c r="HL197" s="1012">
        <f t="shared" si="475"/>
        <v>33</v>
      </c>
      <c r="HM197" s="1167">
        <f t="shared" si="476"/>
        <v>16266.41411615904</v>
      </c>
      <c r="HN197" s="1168">
        <f t="shared" si="477"/>
        <v>0.875</v>
      </c>
      <c r="HO197" s="1167">
        <f t="shared" si="478"/>
        <v>3967541.660832738</v>
      </c>
      <c r="HP197" s="1146">
        <f t="shared" si="479"/>
        <v>30760.308266671636</v>
      </c>
      <c r="HQ197" s="1146">
        <f t="shared" si="480"/>
        <v>35661.386105412559</v>
      </c>
      <c r="HR197" s="1146">
        <f t="shared" si="481"/>
        <v>46066.522847582317</v>
      </c>
      <c r="HS197" s="1146">
        <f t="shared" si="482"/>
        <v>78562.08014325719</v>
      </c>
      <c r="HU197" s="1167">
        <f t="shared" si="483"/>
        <v>-17283.06499841898</v>
      </c>
      <c r="HX197" s="1154"/>
      <c r="HY197" s="1154"/>
      <c r="IB197" s="1154"/>
      <c r="IC197" s="1154"/>
      <c r="ID197" s="1154"/>
      <c r="IE197" s="1154"/>
      <c r="IG197" s="1060"/>
    </row>
    <row r="198" spans="1:241" ht="14.25" hidden="1" customHeight="1">
      <c r="A198" s="1186">
        <f t="shared" si="490"/>
        <v>192</v>
      </c>
      <c r="B198" s="824"/>
      <c r="C198" s="855">
        <f t="shared" si="523"/>
        <v>15</v>
      </c>
      <c r="D198" s="856" t="s">
        <v>524</v>
      </c>
      <c r="E198" s="857" t="str">
        <f t="shared" si="387"/>
        <v>12th Floor</v>
      </c>
      <c r="F198" s="1185"/>
      <c r="G198" s="764" t="s">
        <v>679</v>
      </c>
      <c r="H198" s="764" t="s">
        <v>533</v>
      </c>
      <c r="I198" s="764" t="s">
        <v>476</v>
      </c>
      <c r="J198" s="1139">
        <v>22</v>
      </c>
      <c r="K198" s="1142"/>
      <c r="L198" s="764" t="s">
        <v>500</v>
      </c>
      <c r="M198" s="764" t="s">
        <v>93</v>
      </c>
      <c r="N198" s="856">
        <f t="shared" si="388"/>
        <v>100909.09090909091</v>
      </c>
      <c r="O198" s="1138">
        <f t="shared" si="486"/>
        <v>2220000</v>
      </c>
      <c r="P198" s="1138">
        <f t="shared" si="491"/>
        <v>22400</v>
      </c>
      <c r="Q198" s="1138">
        <f t="shared" si="374"/>
        <v>50000</v>
      </c>
      <c r="R198" s="1138"/>
      <c r="S198" s="1138"/>
      <c r="T198" s="1138"/>
      <c r="U198" s="1138"/>
      <c r="V198" s="858"/>
      <c r="W198" s="1138"/>
      <c r="X198" s="1138"/>
      <c r="Y198" s="1138">
        <f t="shared" si="525"/>
        <v>160000</v>
      </c>
      <c r="Z198" s="1138">
        <f t="shared" si="487"/>
        <v>75000</v>
      </c>
      <c r="AA198" s="1138">
        <f t="shared" si="488"/>
        <v>307400</v>
      </c>
      <c r="AB198" s="1138">
        <f t="shared" si="390"/>
        <v>2527400</v>
      </c>
      <c r="AC198" s="1138">
        <f t="shared" si="391"/>
        <v>63185</v>
      </c>
      <c r="AD198" s="1138">
        <f t="shared" si="392"/>
        <v>2590585</v>
      </c>
      <c r="AE198" s="1138">
        <f t="shared" si="393"/>
        <v>64764.625</v>
      </c>
      <c r="AF198" s="1138">
        <f t="shared" si="394"/>
        <v>2655349.625</v>
      </c>
      <c r="AG198" s="1138">
        <f t="shared" si="395"/>
        <v>66383.740625000006</v>
      </c>
      <c r="AH198" s="1138">
        <f t="shared" si="396"/>
        <v>2721733.3656250001</v>
      </c>
      <c r="AI198" s="1138">
        <f t="shared" si="397"/>
        <v>136086.66828125002</v>
      </c>
      <c r="AJ198" s="1138">
        <f t="shared" si="398"/>
        <v>2857820.0339062503</v>
      </c>
      <c r="AK198" s="1138">
        <f t="shared" si="399"/>
        <v>28578.200339062503</v>
      </c>
      <c r="AL198" s="1138">
        <f t="shared" si="400"/>
        <v>27537.409960060559</v>
      </c>
      <c r="AM198" s="1138"/>
      <c r="AN198" s="1138"/>
      <c r="AO198" s="1138">
        <f t="shared" si="401"/>
        <v>2913935.6442053732</v>
      </c>
      <c r="AP198" s="1138">
        <f t="shared" si="402"/>
        <v>393381.3119677254</v>
      </c>
      <c r="AQ198" s="1248">
        <f t="shared" si="403"/>
        <v>3307316.9561730986</v>
      </c>
      <c r="AR198" s="1248">
        <f t="shared" si="515"/>
        <v>2977316.9561730986</v>
      </c>
      <c r="AS198" s="1248">
        <v>15000</v>
      </c>
      <c r="AT198" s="1248">
        <f t="shared" si="516"/>
        <v>330000</v>
      </c>
      <c r="AU198" s="1248">
        <f t="shared" si="404"/>
        <v>39600</v>
      </c>
      <c r="AV198" s="1140">
        <f t="shared" si="405"/>
        <v>369600</v>
      </c>
      <c r="AW198" s="1140">
        <f t="shared" si="406"/>
        <v>3346916.9561730986</v>
      </c>
      <c r="AX198" s="1139">
        <f t="shared" si="407"/>
        <v>41836.461952163736</v>
      </c>
      <c r="AY198" s="831" t="s">
        <v>478</v>
      </c>
      <c r="AZ198" s="831">
        <f t="shared" si="408"/>
        <v>3388753.4181252625</v>
      </c>
      <c r="BA198" s="831">
        <f t="shared" si="409"/>
        <v>127078.25317969733</v>
      </c>
      <c r="BB198" s="831"/>
      <c r="BC198" s="831">
        <f t="shared" si="513"/>
        <v>33600</v>
      </c>
      <c r="BD198" s="831"/>
      <c r="BE198" s="831">
        <f t="shared" si="410"/>
        <v>3549431.6713049598</v>
      </c>
      <c r="BF198" s="831"/>
      <c r="BG198" s="831">
        <f t="shared" si="411"/>
        <v>3549431.6713049598</v>
      </c>
      <c r="BH198" s="831"/>
      <c r="BI198" s="831">
        <f t="shared" si="412"/>
        <v>3549431.6713049598</v>
      </c>
      <c r="BJ198" s="831"/>
      <c r="BK198" s="831">
        <f t="shared" si="413"/>
        <v>3549431.6713049598</v>
      </c>
      <c r="BL198" s="831"/>
      <c r="BM198" s="831">
        <f t="shared" si="414"/>
        <v>3549431.6713049598</v>
      </c>
      <c r="BN198" s="831"/>
      <c r="BO198" s="831">
        <f t="shared" si="415"/>
        <v>3549431.6713049598</v>
      </c>
      <c r="BP198" s="831"/>
      <c r="BQ198" s="831">
        <f t="shared" si="416"/>
        <v>3549431.6713049598</v>
      </c>
      <c r="BR198" s="831"/>
      <c r="BS198" s="831">
        <f t="shared" si="417"/>
        <v>3549431.6713049598</v>
      </c>
      <c r="BT198" s="831"/>
      <c r="BU198" s="831">
        <f t="shared" si="418"/>
        <v>3549431.6713049598</v>
      </c>
      <c r="BV198" s="831"/>
      <c r="BW198" s="831">
        <f t="shared" si="419"/>
        <v>56400</v>
      </c>
      <c r="BX198" s="831">
        <f t="shared" si="420"/>
        <v>3605831.6713049598</v>
      </c>
      <c r="BY198" s="831"/>
      <c r="BZ198" s="831">
        <f t="shared" si="421"/>
        <v>3605831.6713049598</v>
      </c>
      <c r="CA198" s="1260">
        <f t="shared" si="422"/>
        <v>3605831.6713049598</v>
      </c>
      <c r="CB198" s="1260">
        <f t="shared" si="423"/>
        <v>3605831.6713049598</v>
      </c>
      <c r="CC198" s="1260"/>
      <c r="CD198" s="1260">
        <f t="shared" si="424"/>
        <v>0</v>
      </c>
      <c r="CE198" s="1260">
        <f t="shared" si="425"/>
        <v>0</v>
      </c>
      <c r="CF198" s="1260">
        <f t="shared" si="426"/>
        <v>0</v>
      </c>
      <c r="CG198" s="1266">
        <f t="shared" si="427"/>
        <v>3605831.6713049598</v>
      </c>
      <c r="CH198" s="1141">
        <f t="shared" si="428"/>
        <v>3605831.6713049598</v>
      </c>
      <c r="CI198" s="1142">
        <f t="shared" si="429"/>
        <v>432699.80055659515</v>
      </c>
      <c r="CJ198" s="1141">
        <f t="shared" si="430"/>
        <v>369597.74630875833</v>
      </c>
      <c r="CK198" s="1141">
        <f t="shared" si="431"/>
        <v>126204.1084956736</v>
      </c>
      <c r="CL198" s="1143">
        <f t="shared" si="489"/>
        <v>4534333.3266659863</v>
      </c>
      <c r="CM198" s="1144">
        <f t="shared" si="432"/>
        <v>0.125</v>
      </c>
      <c r="CN198" s="1141">
        <f t="shared" si="502"/>
        <v>566791.66583324829</v>
      </c>
      <c r="CO198" s="1141">
        <f t="shared" si="433"/>
        <v>30000</v>
      </c>
      <c r="CP198" s="1141">
        <f t="shared" si="503"/>
        <v>536791.66583324829</v>
      </c>
      <c r="CQ198" s="1145">
        <f t="shared" si="434"/>
        <v>16</v>
      </c>
      <c r="CR198" s="1141">
        <f t="shared" si="504"/>
        <v>33549.479114578018</v>
      </c>
      <c r="CS198" s="1144">
        <f t="shared" si="435"/>
        <v>0.875</v>
      </c>
      <c r="CT198" s="1141">
        <f t="shared" si="436"/>
        <v>3967541.660832738</v>
      </c>
      <c r="CU198" s="1146">
        <f t="shared" si="375"/>
        <v>30760.308266671636</v>
      </c>
      <c r="CV198" s="1146">
        <f t="shared" si="376"/>
        <v>35661.386105412559</v>
      </c>
      <c r="CW198" s="1146">
        <f t="shared" si="377"/>
        <v>46066.522847582317</v>
      </c>
      <c r="CX198" s="1146">
        <f t="shared" si="378"/>
        <v>78562.08014325719</v>
      </c>
      <c r="CY198" s="1146">
        <f t="shared" si="437"/>
        <v>322296.01999729144</v>
      </c>
      <c r="CZ198" s="1146">
        <f t="shared" si="438"/>
        <v>127530.96511887669</v>
      </c>
      <c r="DA198" s="1146">
        <f t="shared" si="439"/>
        <v>92113.809859487912</v>
      </c>
      <c r="DB198" s="1146">
        <f t="shared" si="440"/>
        <v>70102.85000385312</v>
      </c>
      <c r="DC198" s="1146"/>
      <c r="DD198" s="1146"/>
      <c r="DE198" s="1146"/>
      <c r="DF198" s="1146"/>
      <c r="DG198" s="1146"/>
      <c r="DH198" s="1146"/>
      <c r="DI198" s="1146"/>
      <c r="DJ198" s="1146"/>
      <c r="DK198" s="1146"/>
      <c r="DL198" s="1146"/>
      <c r="DM198" s="1146"/>
      <c r="DN198" s="1146"/>
      <c r="DO198" s="1146"/>
      <c r="DP198" s="1146"/>
      <c r="DQ198" s="1146"/>
      <c r="DR198" s="1146"/>
      <c r="DS198" s="1146"/>
      <c r="DT198" s="1146"/>
      <c r="DU198" s="1146"/>
      <c r="DV198" s="1146"/>
      <c r="DW198" s="1146"/>
      <c r="DX198" s="1146"/>
      <c r="DY198" s="1146"/>
      <c r="DZ198" s="1146"/>
      <c r="EA198" s="1147">
        <f t="shared" si="379"/>
        <v>0.11083804810092046</v>
      </c>
      <c r="EB198" s="1148">
        <f t="shared" si="441"/>
        <v>0</v>
      </c>
      <c r="EC198" s="1190">
        <f t="shared" si="484"/>
        <v>45839</v>
      </c>
      <c r="ED198" s="1031">
        <f t="shared" si="380"/>
        <v>20</v>
      </c>
      <c r="EE198" s="1191"/>
      <c r="EF198" s="1032">
        <f t="shared" si="381"/>
        <v>45904</v>
      </c>
      <c r="EG198" s="1029">
        <f t="shared" si="442"/>
        <v>22</v>
      </c>
      <c r="EH198" s="859" t="s">
        <v>490</v>
      </c>
      <c r="EI198" s="859" t="s">
        <v>480</v>
      </c>
      <c r="EJ198" s="860">
        <f t="shared" si="382"/>
        <v>16800</v>
      </c>
      <c r="EK198" s="860">
        <f t="shared" si="383"/>
        <v>369600</v>
      </c>
      <c r="EL198" s="861">
        <f t="shared" si="384"/>
        <v>0.12413861387303092</v>
      </c>
      <c r="EM198" s="1197"/>
      <c r="EN198" s="860"/>
      <c r="EO198" s="860"/>
      <c r="EP198" s="860">
        <f t="shared" si="385"/>
        <v>0</v>
      </c>
      <c r="EQ198" s="1197"/>
      <c r="ER198" s="1200"/>
      <c r="ES198" s="1197"/>
      <c r="ET198" s="1207" t="s">
        <v>679</v>
      </c>
      <c r="EU198" s="1197" t="b">
        <f t="shared" si="386"/>
        <v>1</v>
      </c>
      <c r="EV198" s="1197"/>
      <c r="EW198" s="1197"/>
      <c r="EX198" s="1197"/>
      <c r="EY198" s="1128" t="s">
        <v>587</v>
      </c>
      <c r="EZ198" s="1128" t="s">
        <v>484</v>
      </c>
      <c r="FA198" s="1169">
        <f t="shared" si="443"/>
        <v>0</v>
      </c>
      <c r="FI198" s="1309" t="s">
        <v>149</v>
      </c>
      <c r="FJ198" s="1159" t="s">
        <v>149</v>
      </c>
      <c r="FK198" s="1160" t="b">
        <f t="shared" si="444"/>
        <v>1</v>
      </c>
      <c r="FL198" s="1131"/>
      <c r="FM198" s="1161"/>
      <c r="FO198" s="888"/>
      <c r="FU198" s="1295"/>
      <c r="FV198" s="1295"/>
      <c r="FW198" s="1023">
        <v>0.125</v>
      </c>
      <c r="FX198" s="1162">
        <v>12458.780043570247</v>
      </c>
      <c r="FY198" s="1163">
        <v>12848.116919931817</v>
      </c>
      <c r="GA198" s="1164">
        <f t="shared" si="445"/>
        <v>4534333.3266659863</v>
      </c>
      <c r="GB198" s="1165">
        <f t="shared" si="527"/>
        <v>0.125</v>
      </c>
      <c r="GC198" s="1154">
        <f t="shared" si="446"/>
        <v>566791.66583324829</v>
      </c>
      <c r="GD198" s="1164">
        <f t="shared" si="447"/>
        <v>30000</v>
      </c>
      <c r="GE198" s="1154">
        <f t="shared" si="448"/>
        <v>536791.66583324829</v>
      </c>
      <c r="GF198" s="1060">
        <f t="shared" si="449"/>
        <v>35</v>
      </c>
      <c r="GG198" s="1166">
        <f t="shared" si="450"/>
        <v>15336.904738092808</v>
      </c>
      <c r="GI198" s="1164">
        <f t="shared" si="451"/>
        <v>4534333.3266659863</v>
      </c>
      <c r="GJ198" s="1154">
        <f t="shared" si="452"/>
        <v>453433.33266659867</v>
      </c>
      <c r="GK198" s="1154">
        <f t="shared" si="453"/>
        <v>113358.33316664967</v>
      </c>
      <c r="GL198" s="1166">
        <v>15000</v>
      </c>
      <c r="GM198" s="1154">
        <f t="shared" si="454"/>
        <v>438433.33266659867</v>
      </c>
      <c r="GN198" s="1060">
        <f t="shared" si="455"/>
        <v>35</v>
      </c>
      <c r="GO198" s="1154">
        <f t="shared" si="456"/>
        <v>12526.666647617105</v>
      </c>
      <c r="GS198" s="1010">
        <f t="shared" si="457"/>
        <v>4534333.3266659863</v>
      </c>
      <c r="GT198" s="1011">
        <f t="shared" si="458"/>
        <v>0.125</v>
      </c>
      <c r="GU198" s="1010">
        <f t="shared" si="459"/>
        <v>566791.66583324829</v>
      </c>
      <c r="GV198" s="1010">
        <f t="shared" si="460"/>
        <v>30000</v>
      </c>
      <c r="GW198" s="1010">
        <f t="shared" si="461"/>
        <v>536791.66583324829</v>
      </c>
      <c r="GX198" s="1010">
        <f t="shared" si="462"/>
        <v>16</v>
      </c>
      <c r="GY198" s="1010">
        <f t="shared" si="463"/>
        <v>33549.479114578018</v>
      </c>
      <c r="GZ198" s="1011">
        <f t="shared" si="464"/>
        <v>0.875</v>
      </c>
      <c r="HA198" s="1010">
        <f t="shared" si="465"/>
        <v>3967541.660832738</v>
      </c>
      <c r="HB198" s="1010">
        <f t="shared" si="466"/>
        <v>30760.308266671636</v>
      </c>
      <c r="HC198" s="1010">
        <f t="shared" si="467"/>
        <v>35661.386105412559</v>
      </c>
      <c r="HD198" s="1010">
        <f t="shared" si="468"/>
        <v>46066.522847582317</v>
      </c>
      <c r="HE198" s="1010">
        <f t="shared" si="469"/>
        <v>78562.08014325719</v>
      </c>
      <c r="HG198" s="1010">
        <f t="shared" si="470"/>
        <v>4534333.3266659863</v>
      </c>
      <c r="HH198" s="1011">
        <f t="shared" si="471"/>
        <v>0.125</v>
      </c>
      <c r="HI198" s="1010">
        <f t="shared" si="472"/>
        <v>566791.66583324829</v>
      </c>
      <c r="HJ198" s="1010">
        <f t="shared" si="473"/>
        <v>30000</v>
      </c>
      <c r="HK198" s="1010">
        <f t="shared" si="474"/>
        <v>536791.66583324829</v>
      </c>
      <c r="HL198" s="1012">
        <f t="shared" si="475"/>
        <v>33</v>
      </c>
      <c r="HM198" s="1167">
        <f t="shared" si="476"/>
        <v>16266.41411615904</v>
      </c>
      <c r="HN198" s="1168">
        <f t="shared" si="477"/>
        <v>0.875</v>
      </c>
      <c r="HO198" s="1167">
        <f t="shared" si="478"/>
        <v>3967541.660832738</v>
      </c>
      <c r="HP198" s="1146">
        <f t="shared" si="479"/>
        <v>30760.308266671636</v>
      </c>
      <c r="HQ198" s="1146">
        <f t="shared" si="480"/>
        <v>35661.386105412559</v>
      </c>
      <c r="HR198" s="1146">
        <f t="shared" si="481"/>
        <v>46066.522847582317</v>
      </c>
      <c r="HS198" s="1146">
        <f t="shared" si="482"/>
        <v>78562.08014325719</v>
      </c>
      <c r="HU198" s="1167">
        <f t="shared" si="483"/>
        <v>-17283.06499841898</v>
      </c>
      <c r="HX198" s="1154"/>
      <c r="HY198" s="1154"/>
      <c r="IB198" s="1154"/>
      <c r="IC198" s="1154"/>
      <c r="ID198" s="1154"/>
      <c r="IE198" s="1154"/>
      <c r="IG198" s="1060"/>
    </row>
    <row r="199" spans="1:241" ht="14.25" hidden="1" customHeight="1">
      <c r="A199" s="1186">
        <f t="shared" si="490"/>
        <v>193</v>
      </c>
      <c r="B199" s="824"/>
      <c r="C199" s="855">
        <f t="shared" si="523"/>
        <v>16</v>
      </c>
      <c r="D199" s="856" t="s">
        <v>524</v>
      </c>
      <c r="E199" s="857" t="str">
        <f t="shared" si="387"/>
        <v>12th Floor</v>
      </c>
      <c r="F199" s="1185"/>
      <c r="G199" s="764" t="s">
        <v>680</v>
      </c>
      <c r="H199" s="764" t="s">
        <v>550</v>
      </c>
      <c r="I199" s="764" t="s">
        <v>476</v>
      </c>
      <c r="J199" s="1139">
        <v>22</v>
      </c>
      <c r="K199" s="1142"/>
      <c r="L199" s="764" t="s">
        <v>500</v>
      </c>
      <c r="M199" s="764" t="s">
        <v>93</v>
      </c>
      <c r="N199" s="856">
        <f t="shared" si="388"/>
        <v>100909.09090909091</v>
      </c>
      <c r="O199" s="1138">
        <f t="shared" si="486"/>
        <v>2220000</v>
      </c>
      <c r="P199" s="1138">
        <f t="shared" si="491"/>
        <v>22400</v>
      </c>
      <c r="Q199" s="1138">
        <f t="shared" ref="Q199:Q219" si="528">$Q$5</f>
        <v>50000</v>
      </c>
      <c r="R199" s="1138"/>
      <c r="S199" s="1138"/>
      <c r="T199" s="1138"/>
      <c r="U199" s="1138"/>
      <c r="V199" s="858"/>
      <c r="W199" s="1138"/>
      <c r="X199" s="1138"/>
      <c r="Y199" s="1138">
        <f t="shared" si="525"/>
        <v>160000</v>
      </c>
      <c r="Z199" s="1138">
        <f t="shared" si="487"/>
        <v>75000</v>
      </c>
      <c r="AA199" s="1138">
        <f t="shared" si="488"/>
        <v>307400</v>
      </c>
      <c r="AB199" s="1138">
        <f t="shared" si="390"/>
        <v>2527400</v>
      </c>
      <c r="AC199" s="1138">
        <f t="shared" si="391"/>
        <v>63185</v>
      </c>
      <c r="AD199" s="1138">
        <f t="shared" si="392"/>
        <v>2590585</v>
      </c>
      <c r="AE199" s="1138">
        <f t="shared" si="393"/>
        <v>64764.625</v>
      </c>
      <c r="AF199" s="1138">
        <f t="shared" si="394"/>
        <v>2655349.625</v>
      </c>
      <c r="AG199" s="1138">
        <f t="shared" si="395"/>
        <v>66383.740625000006</v>
      </c>
      <c r="AH199" s="1138">
        <f t="shared" si="396"/>
        <v>2721733.3656250001</v>
      </c>
      <c r="AI199" s="1138">
        <f t="shared" si="397"/>
        <v>136086.66828125002</v>
      </c>
      <c r="AJ199" s="1138">
        <f t="shared" si="398"/>
        <v>2857820.0339062503</v>
      </c>
      <c r="AK199" s="1138">
        <f t="shared" si="399"/>
        <v>28578.200339062503</v>
      </c>
      <c r="AL199" s="1138">
        <f t="shared" si="400"/>
        <v>27537.409960060559</v>
      </c>
      <c r="AM199" s="1138"/>
      <c r="AN199" s="1138"/>
      <c r="AO199" s="1138">
        <f t="shared" si="401"/>
        <v>2913935.6442053732</v>
      </c>
      <c r="AP199" s="1138">
        <f t="shared" si="402"/>
        <v>393381.3119677254</v>
      </c>
      <c r="AQ199" s="1248">
        <f t="shared" si="403"/>
        <v>3307316.9561730986</v>
      </c>
      <c r="AR199" s="1248">
        <f t="shared" si="515"/>
        <v>2977316.9561730986</v>
      </c>
      <c r="AS199" s="1248">
        <v>15000</v>
      </c>
      <c r="AT199" s="1248">
        <f t="shared" si="516"/>
        <v>330000</v>
      </c>
      <c r="AU199" s="1248">
        <f t="shared" si="404"/>
        <v>39600</v>
      </c>
      <c r="AV199" s="1140">
        <f t="shared" si="405"/>
        <v>369600</v>
      </c>
      <c r="AW199" s="1140">
        <f t="shared" si="406"/>
        <v>3346916.9561730986</v>
      </c>
      <c r="AX199" s="1139">
        <f t="shared" si="407"/>
        <v>41836.461952163736</v>
      </c>
      <c r="AY199" s="831" t="s">
        <v>478</v>
      </c>
      <c r="AZ199" s="831">
        <f t="shared" si="408"/>
        <v>3388753.4181252625</v>
      </c>
      <c r="BA199" s="831">
        <f t="shared" si="409"/>
        <v>127078.25317969733</v>
      </c>
      <c r="BB199" s="831"/>
      <c r="BC199" s="831">
        <f t="shared" si="513"/>
        <v>33600</v>
      </c>
      <c r="BD199" s="831"/>
      <c r="BE199" s="831">
        <f t="shared" si="410"/>
        <v>3549431.6713049598</v>
      </c>
      <c r="BF199" s="831"/>
      <c r="BG199" s="831">
        <f t="shared" si="411"/>
        <v>3549431.6713049598</v>
      </c>
      <c r="BH199" s="831"/>
      <c r="BI199" s="831">
        <f t="shared" si="412"/>
        <v>3549431.6713049598</v>
      </c>
      <c r="BJ199" s="831"/>
      <c r="BK199" s="831">
        <f t="shared" si="413"/>
        <v>3549431.6713049598</v>
      </c>
      <c r="BL199" s="831"/>
      <c r="BM199" s="831">
        <f t="shared" si="414"/>
        <v>3549431.6713049598</v>
      </c>
      <c r="BN199" s="831"/>
      <c r="BO199" s="831">
        <f t="shared" si="415"/>
        <v>3549431.6713049598</v>
      </c>
      <c r="BP199" s="831"/>
      <c r="BQ199" s="831">
        <f t="shared" si="416"/>
        <v>3549431.6713049598</v>
      </c>
      <c r="BR199" s="831"/>
      <c r="BS199" s="831">
        <f t="shared" si="417"/>
        <v>3549431.6713049598</v>
      </c>
      <c r="BT199" s="831"/>
      <c r="BU199" s="831">
        <f t="shared" si="418"/>
        <v>3549431.6713049598</v>
      </c>
      <c r="BV199" s="831"/>
      <c r="BW199" s="831">
        <f t="shared" si="419"/>
        <v>56400</v>
      </c>
      <c r="BX199" s="831">
        <f t="shared" si="420"/>
        <v>3605831.6713049598</v>
      </c>
      <c r="BY199" s="831"/>
      <c r="BZ199" s="831">
        <f t="shared" si="421"/>
        <v>3605831.6713049598</v>
      </c>
      <c r="CA199" s="1260">
        <f t="shared" si="422"/>
        <v>3605831.6713049598</v>
      </c>
      <c r="CB199" s="1260">
        <f t="shared" si="423"/>
        <v>3605831.6713049598</v>
      </c>
      <c r="CC199" s="1260"/>
      <c r="CD199" s="1260">
        <f t="shared" si="424"/>
        <v>0</v>
      </c>
      <c r="CE199" s="1260">
        <f t="shared" si="425"/>
        <v>0</v>
      </c>
      <c r="CF199" s="1260">
        <f t="shared" si="426"/>
        <v>0</v>
      </c>
      <c r="CG199" s="1266">
        <f t="shared" si="427"/>
        <v>3605831.6713049598</v>
      </c>
      <c r="CH199" s="1141">
        <f t="shared" si="428"/>
        <v>3605831.6713049598</v>
      </c>
      <c r="CI199" s="1142">
        <f t="shared" si="429"/>
        <v>432699.80055659515</v>
      </c>
      <c r="CJ199" s="1141">
        <f t="shared" si="430"/>
        <v>369597.74630875833</v>
      </c>
      <c r="CK199" s="1141">
        <f t="shared" si="431"/>
        <v>126204.1084956736</v>
      </c>
      <c r="CL199" s="1143">
        <f t="shared" si="489"/>
        <v>4534333.3266659863</v>
      </c>
      <c r="CM199" s="1144">
        <f t="shared" si="432"/>
        <v>0.125</v>
      </c>
      <c r="CN199" s="1141">
        <f t="shared" si="502"/>
        <v>566791.66583324829</v>
      </c>
      <c r="CO199" s="1141">
        <f t="shared" si="433"/>
        <v>30000</v>
      </c>
      <c r="CP199" s="1141">
        <f t="shared" si="503"/>
        <v>536791.66583324829</v>
      </c>
      <c r="CQ199" s="1145">
        <f t="shared" si="434"/>
        <v>16</v>
      </c>
      <c r="CR199" s="1141">
        <f t="shared" si="504"/>
        <v>33549.479114578018</v>
      </c>
      <c r="CS199" s="1144">
        <f t="shared" si="435"/>
        <v>0.875</v>
      </c>
      <c r="CT199" s="1141">
        <f t="shared" si="436"/>
        <v>3967541.660832738</v>
      </c>
      <c r="CU199" s="1146">
        <f t="shared" ref="CU199:CU219" si="529">-PMT($CU$5/12,240,CT199,0)</f>
        <v>30760.308266671636</v>
      </c>
      <c r="CV199" s="1146">
        <f t="shared" ref="CV199:CV219" si="530">-PMT($CU$5/12,180,CT199,0)</f>
        <v>35661.386105412559</v>
      </c>
      <c r="CW199" s="1146">
        <f t="shared" ref="CW199:CW219" si="531">-PMT($CU$5/12,120,CT199,0)</f>
        <v>46066.522847582317</v>
      </c>
      <c r="CX199" s="1146">
        <f t="shared" ref="CX199:CX219" si="532">-PMT($CU$5/12,60,CT199,0)</f>
        <v>78562.08014325719</v>
      </c>
      <c r="CY199" s="1146">
        <f t="shared" si="437"/>
        <v>322296.01999729144</v>
      </c>
      <c r="CZ199" s="1146">
        <f t="shared" si="438"/>
        <v>127530.96511887669</v>
      </c>
      <c r="DA199" s="1146">
        <f t="shared" si="439"/>
        <v>92113.809859487912</v>
      </c>
      <c r="DB199" s="1146">
        <f t="shared" si="440"/>
        <v>70102.85000385312</v>
      </c>
      <c r="DC199" s="1146"/>
      <c r="DD199" s="1146"/>
      <c r="DE199" s="1146"/>
      <c r="DF199" s="1146"/>
      <c r="DG199" s="1146"/>
      <c r="DH199" s="1146"/>
      <c r="DI199" s="1146"/>
      <c r="DJ199" s="1146"/>
      <c r="DK199" s="1146"/>
      <c r="DL199" s="1146"/>
      <c r="DM199" s="1146"/>
      <c r="DN199" s="1146"/>
      <c r="DO199" s="1146"/>
      <c r="DP199" s="1146"/>
      <c r="DQ199" s="1146"/>
      <c r="DR199" s="1146"/>
      <c r="DS199" s="1146"/>
      <c r="DT199" s="1146"/>
      <c r="DU199" s="1146"/>
      <c r="DV199" s="1146"/>
      <c r="DW199" s="1146"/>
      <c r="DX199" s="1146"/>
      <c r="DY199" s="1146"/>
      <c r="DZ199" s="1146"/>
      <c r="EA199" s="1147">
        <f t="shared" ref="EA199:EA219" si="533">AT199/AR199</f>
        <v>0.11083804810092046</v>
      </c>
      <c r="EB199" s="1148">
        <f t="shared" si="441"/>
        <v>0</v>
      </c>
      <c r="EC199" s="1190">
        <f t="shared" si="484"/>
        <v>45839</v>
      </c>
      <c r="ED199" s="1031">
        <f t="shared" ref="ED199:ED219" si="534">(YEAR(EC199)-YEAR($ED$5))*12+MONTH(EC199)-MONTH($ED$5)</f>
        <v>20</v>
      </c>
      <c r="EE199" s="1191"/>
      <c r="EF199" s="1032">
        <f t="shared" ref="EF199:EF219" si="535">EC199+65</f>
        <v>45904</v>
      </c>
      <c r="EG199" s="1029">
        <f t="shared" si="442"/>
        <v>22</v>
      </c>
      <c r="EH199" s="859" t="s">
        <v>490</v>
      </c>
      <c r="EI199" s="859" t="s">
        <v>480</v>
      </c>
      <c r="EJ199" s="860">
        <f t="shared" ref="EJ199:EJ219" si="536">EK199/J199</f>
        <v>16800</v>
      </c>
      <c r="EK199" s="860">
        <f t="shared" ref="EK199:EK219" si="537">AV199</f>
        <v>369600</v>
      </c>
      <c r="EL199" s="861">
        <f t="shared" ref="EL199:EL219" si="538">AV199/AR199</f>
        <v>0.12413861387303092</v>
      </c>
      <c r="EM199" s="1197"/>
      <c r="EN199" s="860"/>
      <c r="EO199" s="860"/>
      <c r="EP199" s="860">
        <f t="shared" ref="EP199:EP219" si="539">EN199-EO199</f>
        <v>0</v>
      </c>
      <c r="EQ199" s="1197"/>
      <c r="ER199" s="1200"/>
      <c r="ES199" s="1197"/>
      <c r="ET199" s="1207" t="s">
        <v>680</v>
      </c>
      <c r="EU199" s="1197" t="b">
        <f t="shared" ref="EU199:EU219" si="540">G199=ET199</f>
        <v>1</v>
      </c>
      <c r="EV199" s="1197"/>
      <c r="EW199" s="1197"/>
      <c r="EX199" s="1197"/>
      <c r="EY199" s="1128" t="s">
        <v>587</v>
      </c>
      <c r="EZ199" s="1128" t="s">
        <v>484</v>
      </c>
      <c r="FA199" s="1169">
        <f t="shared" si="443"/>
        <v>0</v>
      </c>
      <c r="FI199" s="1309" t="s">
        <v>149</v>
      </c>
      <c r="FJ199" s="1159" t="s">
        <v>149</v>
      </c>
      <c r="FK199" s="1160" t="b">
        <f t="shared" si="444"/>
        <v>1</v>
      </c>
      <c r="FL199" s="1131"/>
      <c r="FM199" s="1161"/>
      <c r="FO199" s="888"/>
      <c r="FU199" s="1295"/>
      <c r="FV199" s="1295"/>
      <c r="FW199" s="1023">
        <v>0.125</v>
      </c>
      <c r="FX199" s="1162">
        <v>12458.780043570247</v>
      </c>
      <c r="FY199" s="1163">
        <v>12848.116919931817</v>
      </c>
      <c r="GA199" s="1164">
        <f t="shared" si="445"/>
        <v>4534333.3266659863</v>
      </c>
      <c r="GB199" s="1165">
        <f t="shared" si="527"/>
        <v>0.125</v>
      </c>
      <c r="GC199" s="1154">
        <f t="shared" si="446"/>
        <v>566791.66583324829</v>
      </c>
      <c r="GD199" s="1164">
        <f t="shared" si="447"/>
        <v>30000</v>
      </c>
      <c r="GE199" s="1154">
        <f t="shared" si="448"/>
        <v>536791.66583324829</v>
      </c>
      <c r="GF199" s="1060">
        <f t="shared" si="449"/>
        <v>35</v>
      </c>
      <c r="GG199" s="1166">
        <f t="shared" si="450"/>
        <v>15336.904738092808</v>
      </c>
      <c r="GI199" s="1164">
        <f t="shared" si="451"/>
        <v>4534333.3266659863</v>
      </c>
      <c r="GJ199" s="1154">
        <f t="shared" si="452"/>
        <v>453433.33266659867</v>
      </c>
      <c r="GK199" s="1154">
        <f t="shared" si="453"/>
        <v>113358.33316664967</v>
      </c>
      <c r="GL199" s="1166">
        <v>15000</v>
      </c>
      <c r="GM199" s="1154">
        <f t="shared" si="454"/>
        <v>438433.33266659867</v>
      </c>
      <c r="GN199" s="1060">
        <f t="shared" si="455"/>
        <v>35</v>
      </c>
      <c r="GO199" s="1154">
        <f t="shared" si="456"/>
        <v>12526.666647617105</v>
      </c>
      <c r="GS199" s="1010">
        <f t="shared" si="457"/>
        <v>4534333.3266659863</v>
      </c>
      <c r="GT199" s="1011">
        <f t="shared" si="458"/>
        <v>0.125</v>
      </c>
      <c r="GU199" s="1010">
        <f t="shared" si="459"/>
        <v>566791.66583324829</v>
      </c>
      <c r="GV199" s="1010">
        <f t="shared" si="460"/>
        <v>30000</v>
      </c>
      <c r="GW199" s="1010">
        <f t="shared" si="461"/>
        <v>536791.66583324829</v>
      </c>
      <c r="GX199" s="1010">
        <f t="shared" si="462"/>
        <v>16</v>
      </c>
      <c r="GY199" s="1010">
        <f t="shared" si="463"/>
        <v>33549.479114578018</v>
      </c>
      <c r="GZ199" s="1011">
        <f t="shared" si="464"/>
        <v>0.875</v>
      </c>
      <c r="HA199" s="1010">
        <f t="shared" si="465"/>
        <v>3967541.660832738</v>
      </c>
      <c r="HB199" s="1010">
        <f t="shared" si="466"/>
        <v>30760.308266671636</v>
      </c>
      <c r="HC199" s="1010">
        <f t="shared" si="467"/>
        <v>35661.386105412559</v>
      </c>
      <c r="HD199" s="1010">
        <f t="shared" si="468"/>
        <v>46066.522847582317</v>
      </c>
      <c r="HE199" s="1010">
        <f t="shared" si="469"/>
        <v>78562.08014325719</v>
      </c>
      <c r="HG199" s="1010">
        <f t="shared" si="470"/>
        <v>4534333.3266659863</v>
      </c>
      <c r="HH199" s="1011">
        <f t="shared" si="471"/>
        <v>0.125</v>
      </c>
      <c r="HI199" s="1010">
        <f t="shared" si="472"/>
        <v>566791.66583324829</v>
      </c>
      <c r="HJ199" s="1010">
        <f t="shared" si="473"/>
        <v>30000</v>
      </c>
      <c r="HK199" s="1010">
        <f t="shared" si="474"/>
        <v>536791.66583324829</v>
      </c>
      <c r="HL199" s="1012">
        <f t="shared" si="475"/>
        <v>33</v>
      </c>
      <c r="HM199" s="1167">
        <f t="shared" si="476"/>
        <v>16266.41411615904</v>
      </c>
      <c r="HN199" s="1168">
        <f t="shared" si="477"/>
        <v>0.875</v>
      </c>
      <c r="HO199" s="1167">
        <f t="shared" si="478"/>
        <v>3967541.660832738</v>
      </c>
      <c r="HP199" s="1146">
        <f t="shared" si="479"/>
        <v>30760.308266671636</v>
      </c>
      <c r="HQ199" s="1146">
        <f t="shared" si="480"/>
        <v>35661.386105412559</v>
      </c>
      <c r="HR199" s="1146">
        <f t="shared" si="481"/>
        <v>46066.522847582317</v>
      </c>
      <c r="HS199" s="1146">
        <f t="shared" si="482"/>
        <v>78562.08014325719</v>
      </c>
      <c r="HU199" s="1167">
        <f t="shared" si="483"/>
        <v>-17283.06499841898</v>
      </c>
      <c r="HX199" s="1154"/>
      <c r="HY199" s="1154"/>
      <c r="IB199" s="1154"/>
      <c r="IC199" s="1154"/>
      <c r="ID199" s="1154"/>
      <c r="IE199" s="1154"/>
      <c r="IG199" s="1060"/>
    </row>
    <row r="200" spans="1:241" ht="14.25" hidden="1" customHeight="1">
      <c r="A200" s="1186">
        <f t="shared" si="490"/>
        <v>194</v>
      </c>
      <c r="B200" s="824"/>
      <c r="C200" s="855">
        <f t="shared" si="523"/>
        <v>17</v>
      </c>
      <c r="D200" s="856" t="s">
        <v>524</v>
      </c>
      <c r="E200" s="857" t="str">
        <f t="shared" ref="E200:E201" si="541">D200</f>
        <v>12th Floor</v>
      </c>
      <c r="F200" s="1185"/>
      <c r="G200" s="764" t="s">
        <v>681</v>
      </c>
      <c r="H200" s="764" t="s">
        <v>552</v>
      </c>
      <c r="I200" s="764" t="s">
        <v>476</v>
      </c>
      <c r="J200" s="1139">
        <v>22</v>
      </c>
      <c r="K200" s="1142"/>
      <c r="L200" s="764" t="s">
        <v>500</v>
      </c>
      <c r="M200" s="764" t="s">
        <v>93</v>
      </c>
      <c r="N200" s="856">
        <f t="shared" ref="N200:N219" si="542">$N$5</f>
        <v>100909.09090909091</v>
      </c>
      <c r="O200" s="1138">
        <f t="shared" si="486"/>
        <v>2220000</v>
      </c>
      <c r="P200" s="1138">
        <f t="shared" si="491"/>
        <v>22400</v>
      </c>
      <c r="Q200" s="1138">
        <f t="shared" si="528"/>
        <v>50000</v>
      </c>
      <c r="R200" s="1138"/>
      <c r="S200" s="1138"/>
      <c r="T200" s="1138"/>
      <c r="U200" s="1138"/>
      <c r="V200" s="858"/>
      <c r="W200" s="858"/>
      <c r="X200" s="1138"/>
      <c r="Y200" s="1138">
        <f t="shared" si="525"/>
        <v>160000</v>
      </c>
      <c r="Z200" s="1138">
        <f t="shared" si="487"/>
        <v>75000</v>
      </c>
      <c r="AA200" s="1138">
        <f t="shared" si="488"/>
        <v>307400</v>
      </c>
      <c r="AB200" s="1138">
        <f t="shared" ref="AB200:AB219" si="543">O200+AA200</f>
        <v>2527400</v>
      </c>
      <c r="AC200" s="1138">
        <f t="shared" ref="AC200:AC219" si="544">AB200*$AC$5</f>
        <v>63185</v>
      </c>
      <c r="AD200" s="1138">
        <f t="shared" ref="AD200:AD219" si="545">AB200+AC200</f>
        <v>2590585</v>
      </c>
      <c r="AE200" s="1138">
        <f t="shared" ref="AE200:AE219" si="546">AD200*$AE$5</f>
        <v>64764.625</v>
      </c>
      <c r="AF200" s="1138">
        <f t="shared" ref="AF200:AF219" si="547">AD200+AE200</f>
        <v>2655349.625</v>
      </c>
      <c r="AG200" s="1138">
        <f t="shared" ref="AG200:AG219" si="548">AF200*$AG$5</f>
        <v>66383.740625000006</v>
      </c>
      <c r="AH200" s="1138">
        <f t="shared" ref="AH200:AH219" si="549">AF200+AG200</f>
        <v>2721733.3656250001</v>
      </c>
      <c r="AI200" s="1138">
        <f t="shared" ref="AI200:AI219" si="550">AH200*$AI$5</f>
        <v>136086.66828125002</v>
      </c>
      <c r="AJ200" s="1138">
        <f t="shared" ref="AJ200:AJ219" si="551">AH200+AI200</f>
        <v>2857820.0339062503</v>
      </c>
      <c r="AK200" s="1138">
        <f t="shared" ref="AK200:AK219" si="552">AJ200*$AK$5</f>
        <v>28578.200339062503</v>
      </c>
      <c r="AL200" s="1138">
        <f t="shared" ref="AL200:AL219" si="553">$AL$5</f>
        <v>27537.409960060559</v>
      </c>
      <c r="AM200" s="1138"/>
      <c r="AN200" s="1138"/>
      <c r="AO200" s="1138">
        <f t="shared" ref="AO200:AO219" si="554">AJ200+AK200+AL200+AM200+AN200</f>
        <v>2913935.6442053732</v>
      </c>
      <c r="AP200" s="1138">
        <f t="shared" ref="AP200:AP219" si="555">AO200*$AP$5</f>
        <v>393381.3119677254</v>
      </c>
      <c r="AQ200" s="1248">
        <f t="shared" ref="AQ200:AQ219" si="556">AO200+AP200</f>
        <v>3307316.9561730986</v>
      </c>
      <c r="AR200" s="1248">
        <f t="shared" si="515"/>
        <v>2977316.9561730986</v>
      </c>
      <c r="AS200" s="1248">
        <v>15000</v>
      </c>
      <c r="AT200" s="1248">
        <f t="shared" si="516"/>
        <v>330000</v>
      </c>
      <c r="AU200" s="1248">
        <f t="shared" ref="AU200:AU219" si="557">AT200*$AU$5</f>
        <v>39600</v>
      </c>
      <c r="AV200" s="1140">
        <f t="shared" ref="AV200:AV219" si="558">AT200+AU200</f>
        <v>369600</v>
      </c>
      <c r="AW200" s="1140">
        <f t="shared" ref="AW200:AW219" si="559">AQ200+AU200</f>
        <v>3346916.9561730986</v>
      </c>
      <c r="AX200" s="1139">
        <f t="shared" ref="AX200:AX219" si="560">AW200*$AX$5</f>
        <v>41836.461952163736</v>
      </c>
      <c r="AY200" s="831" t="s">
        <v>478</v>
      </c>
      <c r="AZ200" s="831">
        <f t="shared" ref="AZ200:AZ219" si="561">AW200+AX200+AY200</f>
        <v>3388753.4181252625</v>
      </c>
      <c r="BA200" s="831">
        <f t="shared" ref="BA200:BA218" si="562">AZ200*$BA$5</f>
        <v>127078.25317969733</v>
      </c>
      <c r="BB200" s="831"/>
      <c r="BC200" s="831">
        <f t="shared" si="513"/>
        <v>33600</v>
      </c>
      <c r="BD200" s="831"/>
      <c r="BE200" s="831">
        <f t="shared" ref="BE200:BE219" si="563">AZ200+BA200+BB200+BC200+BD200</f>
        <v>3549431.6713049598</v>
      </c>
      <c r="BF200" s="831"/>
      <c r="BG200" s="831">
        <f t="shared" ref="BG200:BG219" si="564">BE200+BF200</f>
        <v>3549431.6713049598</v>
      </c>
      <c r="BH200" s="831"/>
      <c r="BI200" s="831">
        <f t="shared" ref="BI200:BI219" si="565">BG200+BH200</f>
        <v>3549431.6713049598</v>
      </c>
      <c r="BJ200" s="831"/>
      <c r="BK200" s="831">
        <f t="shared" ref="BK200:BK219" si="566">BI200+BJ200</f>
        <v>3549431.6713049598</v>
      </c>
      <c r="BL200" s="831"/>
      <c r="BM200" s="831">
        <f t="shared" ref="BM200:BM219" si="567">BK200+BL200</f>
        <v>3549431.6713049598</v>
      </c>
      <c r="BN200" s="831"/>
      <c r="BO200" s="831">
        <f t="shared" ref="BO200:BO219" si="568">BM200+BN200</f>
        <v>3549431.6713049598</v>
      </c>
      <c r="BP200" s="831"/>
      <c r="BQ200" s="831">
        <f t="shared" ref="BQ200:BQ219" si="569">BO200+BP200</f>
        <v>3549431.6713049598</v>
      </c>
      <c r="BR200" s="831"/>
      <c r="BS200" s="831">
        <f t="shared" ref="BS200:BS219" si="570">BQ200+BR200</f>
        <v>3549431.6713049598</v>
      </c>
      <c r="BT200" s="831"/>
      <c r="BU200" s="831">
        <f t="shared" ref="BU200:BU219" si="571">BS200+BT200</f>
        <v>3549431.6713049598</v>
      </c>
      <c r="BV200" s="831"/>
      <c r="BW200" s="831">
        <f t="shared" ref="BW200:BW219" si="572">$BW$2+$BW$3-BC200</f>
        <v>56400</v>
      </c>
      <c r="BX200" s="831">
        <f t="shared" ref="BX200:BX219" si="573">SUM(BU200:BW200)</f>
        <v>3605831.6713049598</v>
      </c>
      <c r="BY200" s="831"/>
      <c r="BZ200" s="831">
        <f t="shared" ref="BZ200:BZ219" si="574">BX200+BY200</f>
        <v>3605831.6713049598</v>
      </c>
      <c r="CA200" s="1260">
        <f t="shared" ref="CA200:CA219" si="575">BZ200</f>
        <v>3605831.6713049598</v>
      </c>
      <c r="CB200" s="1260">
        <f t="shared" ref="CB200:CB219" si="576">CA200-CD200</f>
        <v>3605831.6713049598</v>
      </c>
      <c r="CC200" s="1260"/>
      <c r="CD200" s="1260">
        <f t="shared" ref="CD200:CD219" si="577">CC200*J200</f>
        <v>0</v>
      </c>
      <c r="CE200" s="1260">
        <f t="shared" ref="CE200:CE219" si="578">CD200*$CE$5</f>
        <v>0</v>
      </c>
      <c r="CF200" s="1260">
        <f t="shared" ref="CF200:CF219" si="579">CD200+CE200</f>
        <v>0</v>
      </c>
      <c r="CG200" s="1266">
        <f t="shared" ref="CG200:CG219" si="580">CA200+CE200</f>
        <v>3605831.6713049598</v>
      </c>
      <c r="CH200" s="1141">
        <f t="shared" ref="CH200:CH219" si="581">CG200</f>
        <v>3605831.6713049598</v>
      </c>
      <c r="CI200" s="1142">
        <f t="shared" ref="CI200:CI219" si="582">IF(CB200&lt;=$CB$3,0,12%*CB200)</f>
        <v>432699.80055659515</v>
      </c>
      <c r="CJ200" s="1141">
        <f t="shared" ref="CJ200:CJ219" si="583">CH200*CJ$5</f>
        <v>369597.74630875833</v>
      </c>
      <c r="CK200" s="1141">
        <f t="shared" ref="CK200:CK219" si="584">CH200*CK$5</f>
        <v>126204.1084956736</v>
      </c>
      <c r="CL200" s="1143">
        <f t="shared" si="489"/>
        <v>4534333.3266659863</v>
      </c>
      <c r="CM200" s="1144">
        <f t="shared" ref="CM200:CM219" si="585">$CM$5</f>
        <v>0.125</v>
      </c>
      <c r="CN200" s="1141">
        <f t="shared" si="502"/>
        <v>566791.66583324829</v>
      </c>
      <c r="CO200" s="1141">
        <f t="shared" ref="CO200:CO219" si="586">$CO$5</f>
        <v>30000</v>
      </c>
      <c r="CP200" s="1141">
        <f t="shared" si="503"/>
        <v>536791.66583324829</v>
      </c>
      <c r="CQ200" s="1145">
        <f t="shared" ref="CQ200:CQ219" si="587">VLOOKUP(E200,$IF$6:$IH$19,3,FALSE)</f>
        <v>16</v>
      </c>
      <c r="CR200" s="1141">
        <f t="shared" si="504"/>
        <v>33549.479114578018</v>
      </c>
      <c r="CS200" s="1144">
        <f t="shared" ref="CS200:CS219" si="588">100%-CM200</f>
        <v>0.875</v>
      </c>
      <c r="CT200" s="1141">
        <f t="shared" ref="CT200:CT219" si="589">CL200*CS200</f>
        <v>3967541.660832738</v>
      </c>
      <c r="CU200" s="1146">
        <f t="shared" si="529"/>
        <v>30760.308266671636</v>
      </c>
      <c r="CV200" s="1146">
        <f t="shared" si="530"/>
        <v>35661.386105412559</v>
      </c>
      <c r="CW200" s="1146">
        <f t="shared" si="531"/>
        <v>46066.522847582317</v>
      </c>
      <c r="CX200" s="1146">
        <f t="shared" si="532"/>
        <v>78562.08014325719</v>
      </c>
      <c r="CY200" s="1146">
        <f t="shared" ref="CY200:CY219" si="590">(CL200*80%)*$CY$5</f>
        <v>322296.01999729144</v>
      </c>
      <c r="CZ200" s="1146">
        <f t="shared" ref="CZ200:CZ219" si="591">(CL200*80%)*$CZ$5</f>
        <v>127530.96511887669</v>
      </c>
      <c r="DA200" s="1146">
        <f t="shared" ref="DA200:DA219" si="592">(CL200*80%)*$DA$5</f>
        <v>92113.809859487912</v>
      </c>
      <c r="DB200" s="1146">
        <f t="shared" ref="DB200:DB219" si="593">(CL200*80%)*$DB$5</f>
        <v>70102.85000385312</v>
      </c>
      <c r="DC200" s="1146"/>
      <c r="DD200" s="1146"/>
      <c r="DE200" s="1146"/>
      <c r="DF200" s="1146"/>
      <c r="DG200" s="1146"/>
      <c r="DH200" s="1146"/>
      <c r="DI200" s="1146"/>
      <c r="DJ200" s="1146"/>
      <c r="DK200" s="1146"/>
      <c r="DL200" s="1146"/>
      <c r="DM200" s="1146"/>
      <c r="DN200" s="1146"/>
      <c r="DO200" s="1146"/>
      <c r="DP200" s="1146"/>
      <c r="DQ200" s="1146"/>
      <c r="DR200" s="1146"/>
      <c r="DS200" s="1146"/>
      <c r="DT200" s="1146"/>
      <c r="DU200" s="1146"/>
      <c r="DV200" s="1146"/>
      <c r="DW200" s="1146"/>
      <c r="DX200" s="1146"/>
      <c r="DY200" s="1146"/>
      <c r="DZ200" s="1146"/>
      <c r="EA200" s="1147">
        <f t="shared" si="533"/>
        <v>0.11083804810092046</v>
      </c>
      <c r="EB200" s="1148">
        <f t="shared" ref="EB200:EB219" si="594">CF200/CB200</f>
        <v>0</v>
      </c>
      <c r="EC200" s="1190">
        <f t="shared" si="484"/>
        <v>45839</v>
      </c>
      <c r="ED200" s="1031">
        <f t="shared" si="534"/>
        <v>20</v>
      </c>
      <c r="EE200" s="1191"/>
      <c r="EF200" s="1032">
        <f t="shared" si="535"/>
        <v>45904</v>
      </c>
      <c r="EG200" s="1029">
        <f t="shared" ref="EG200:EG219" si="595">(YEAR(EF200)-YEAR($EG$5))*12+MONTH(EF200)-MONTH($EG$5)+$EG$4+$EG$3</f>
        <v>22</v>
      </c>
      <c r="EH200" s="859" t="s">
        <v>490</v>
      </c>
      <c r="EI200" s="859" t="s">
        <v>480</v>
      </c>
      <c r="EJ200" s="860">
        <f t="shared" si="536"/>
        <v>16800</v>
      </c>
      <c r="EK200" s="860">
        <f t="shared" si="537"/>
        <v>369600</v>
      </c>
      <c r="EL200" s="861">
        <f t="shared" si="538"/>
        <v>0.12413861387303092</v>
      </c>
      <c r="EM200" s="1197"/>
      <c r="EN200" s="860"/>
      <c r="EO200" s="860"/>
      <c r="EP200" s="860">
        <f t="shared" si="539"/>
        <v>0</v>
      </c>
      <c r="EQ200" s="1197"/>
      <c r="ER200" s="1200"/>
      <c r="ES200" s="1197"/>
      <c r="ET200" s="1207" t="s">
        <v>681</v>
      </c>
      <c r="EU200" s="1197" t="b">
        <f t="shared" si="540"/>
        <v>1</v>
      </c>
      <c r="EV200" s="1197"/>
      <c r="EW200" s="1197"/>
      <c r="EX200" s="1197"/>
      <c r="EY200" s="1128" t="s">
        <v>587</v>
      </c>
      <c r="EZ200" s="1128" t="s">
        <v>484</v>
      </c>
      <c r="FA200" s="1169">
        <f t="shared" ref="FA200:FA218" si="596">CA200-CH200</f>
        <v>0</v>
      </c>
      <c r="FI200" s="1309" t="s">
        <v>149</v>
      </c>
      <c r="FJ200" s="1159" t="s">
        <v>149</v>
      </c>
      <c r="FK200" s="1160" t="b">
        <f t="shared" ref="FK200:FK219" si="597">FI200=FJ200</f>
        <v>1</v>
      </c>
      <c r="FL200" s="1131"/>
      <c r="FM200" s="1161"/>
      <c r="FO200" s="888"/>
      <c r="FU200" s="1295"/>
      <c r="FV200" s="1295"/>
      <c r="FW200" s="1023">
        <v>0.15</v>
      </c>
      <c r="FX200" s="1162">
        <v>15041.445143193387</v>
      </c>
      <c r="FY200" s="1163">
        <v>15511.490303918181</v>
      </c>
      <c r="GA200" s="1164">
        <f t="shared" ref="GA200:GA219" si="598">CL200</f>
        <v>4534333.3266659863</v>
      </c>
      <c r="GB200" s="1165">
        <f t="shared" ref="GB200:GB219" si="599">$GB$5</f>
        <v>0.15</v>
      </c>
      <c r="GC200" s="1154">
        <f t="shared" ref="GC200:GC219" si="600">GA200*GB200</f>
        <v>680149.99899989797</v>
      </c>
      <c r="GD200" s="1164">
        <f t="shared" ref="GD200:GD219" si="601">CO200</f>
        <v>30000</v>
      </c>
      <c r="GE200" s="1154">
        <f t="shared" ref="GE200:GE219" si="602">GC200-GD200</f>
        <v>650149.99899989797</v>
      </c>
      <c r="GF200" s="1060">
        <f t="shared" ref="GF200:GF219" si="603">$GF$5</f>
        <v>35</v>
      </c>
      <c r="GG200" s="1166">
        <f t="shared" ref="GG200:GG219" si="604">GE200/GF200</f>
        <v>18575.714257139942</v>
      </c>
      <c r="GI200" s="1164">
        <f t="shared" ref="GI200:GI219" si="605">GA200</f>
        <v>4534333.3266659863</v>
      </c>
      <c r="GJ200" s="1154">
        <f t="shared" ref="GJ200:GJ219" si="606">GI200*$GJ$5</f>
        <v>453433.33266659867</v>
      </c>
      <c r="GK200" s="1154">
        <f t="shared" ref="GK200:GK219" si="607">GI200*$GK$5</f>
        <v>113358.33316664967</v>
      </c>
      <c r="GL200" s="1166">
        <v>15000</v>
      </c>
      <c r="GM200" s="1154">
        <f t="shared" ref="GM200:GM219" si="608">GJ200-GL200</f>
        <v>438433.33266659867</v>
      </c>
      <c r="GN200" s="1060">
        <f t="shared" ref="GN200:GN219" si="609">$GN$5</f>
        <v>35</v>
      </c>
      <c r="GO200" s="1154">
        <f t="shared" ref="GO200:GO219" si="610">GM200/GN200</f>
        <v>12526.666647617105</v>
      </c>
      <c r="GS200" s="1010">
        <f t="shared" ref="GS200:GS219" si="611">CL200</f>
        <v>4534333.3266659863</v>
      </c>
      <c r="GT200" s="1011">
        <f t="shared" ref="GT200:GT219" si="612">CM200</f>
        <v>0.125</v>
      </c>
      <c r="GU200" s="1010">
        <f t="shared" ref="GU200:GU219" si="613">CN200</f>
        <v>566791.66583324829</v>
      </c>
      <c r="GV200" s="1010">
        <f t="shared" ref="GV200:GV219" si="614">CO200</f>
        <v>30000</v>
      </c>
      <c r="GW200" s="1010">
        <f t="shared" ref="GW200:GW219" si="615">CP200</f>
        <v>536791.66583324829</v>
      </c>
      <c r="GX200" s="1010">
        <f t="shared" ref="GX200:GX219" si="616">CQ200</f>
        <v>16</v>
      </c>
      <c r="GY200" s="1010">
        <f t="shared" ref="GY200:GY219" si="617">CR200</f>
        <v>33549.479114578018</v>
      </c>
      <c r="GZ200" s="1011">
        <f t="shared" ref="GZ200:GZ219" si="618">CS200</f>
        <v>0.875</v>
      </c>
      <c r="HA200" s="1010">
        <f t="shared" ref="HA200:HA219" si="619">CT200</f>
        <v>3967541.660832738</v>
      </c>
      <c r="HB200" s="1010">
        <f t="shared" ref="HB200:HB219" si="620">CU200</f>
        <v>30760.308266671636</v>
      </c>
      <c r="HC200" s="1010">
        <f t="shared" ref="HC200:HC219" si="621">CV200</f>
        <v>35661.386105412559</v>
      </c>
      <c r="HD200" s="1010">
        <f t="shared" ref="HD200:HD219" si="622">CW200</f>
        <v>46066.522847582317</v>
      </c>
      <c r="HE200" s="1010">
        <f t="shared" ref="HE200:HE219" si="623">CX200</f>
        <v>78562.08014325719</v>
      </c>
      <c r="HG200" s="1010">
        <f t="shared" ref="HG200:HG219" si="624">GS200</f>
        <v>4534333.3266659863</v>
      </c>
      <c r="HH200" s="1011">
        <f t="shared" ref="HH200:HH219" si="625">GT200</f>
        <v>0.125</v>
      </c>
      <c r="HI200" s="1010">
        <f t="shared" ref="HI200:HI219" si="626">GU200</f>
        <v>566791.66583324829</v>
      </c>
      <c r="HJ200" s="1010">
        <f t="shared" ref="HJ200:HJ219" si="627">GV200</f>
        <v>30000</v>
      </c>
      <c r="HK200" s="1010">
        <f t="shared" ref="HK200:HK219" si="628">GW200</f>
        <v>536791.66583324829</v>
      </c>
      <c r="HL200" s="1012">
        <f t="shared" ref="HL200:HL219" si="629">$HL$5</f>
        <v>33</v>
      </c>
      <c r="HM200" s="1167">
        <f t="shared" ref="HM200:HM219" si="630">HK200/HL200</f>
        <v>16266.41411615904</v>
      </c>
      <c r="HN200" s="1168">
        <f t="shared" ref="HN200:HN219" si="631">100%-HH200</f>
        <v>0.875</v>
      </c>
      <c r="HO200" s="1167">
        <f t="shared" ref="HO200:HO219" si="632">HG200*HN200</f>
        <v>3967541.660832738</v>
      </c>
      <c r="HP200" s="1146">
        <f t="shared" ref="HP200:HP219" si="633">-PMT(7%/12,240,HO200,0)</f>
        <v>30760.308266671636</v>
      </c>
      <c r="HQ200" s="1146">
        <f t="shared" ref="HQ200:HQ219" si="634">-PMT(7%/12,180,HO200,0)</f>
        <v>35661.386105412559</v>
      </c>
      <c r="HR200" s="1146">
        <f t="shared" ref="HR200:HR219" si="635">-PMT(7%/12,120,HO200,0)</f>
        <v>46066.522847582317</v>
      </c>
      <c r="HS200" s="1146">
        <f t="shared" ref="HS200:HS219" si="636">-PMT(7%/12,60,HO200,0)</f>
        <v>78562.08014325719</v>
      </c>
      <c r="HU200" s="1167">
        <f t="shared" ref="HU200:HU218" si="637">HM200-GY200</f>
        <v>-17283.06499841898</v>
      </c>
      <c r="HX200" s="1154"/>
      <c r="HY200" s="1154"/>
      <c r="IB200" s="1154"/>
      <c r="IC200" s="1154"/>
      <c r="ID200" s="1154"/>
      <c r="IE200" s="1154"/>
      <c r="IG200" s="1060"/>
    </row>
    <row r="201" spans="1:241" ht="14.25" hidden="1" customHeight="1">
      <c r="A201" s="1186">
        <f t="shared" si="490"/>
        <v>195</v>
      </c>
      <c r="B201" s="824"/>
      <c r="C201" s="855">
        <f t="shared" si="523"/>
        <v>18</v>
      </c>
      <c r="D201" s="856" t="s">
        <v>524</v>
      </c>
      <c r="E201" s="857" t="str">
        <f t="shared" si="541"/>
        <v>12th Floor</v>
      </c>
      <c r="F201" s="1185"/>
      <c r="G201" s="764" t="s">
        <v>682</v>
      </c>
      <c r="H201" s="764" t="s">
        <v>552</v>
      </c>
      <c r="I201" s="764" t="s">
        <v>476</v>
      </c>
      <c r="J201" s="831">
        <v>22</v>
      </c>
      <c r="K201" s="1142"/>
      <c r="L201" s="764" t="s">
        <v>500</v>
      </c>
      <c r="M201" s="764" t="s">
        <v>117</v>
      </c>
      <c r="N201" s="856">
        <f t="shared" si="542"/>
        <v>100909.09090909091</v>
      </c>
      <c r="O201" s="1138">
        <f t="shared" si="486"/>
        <v>2220000</v>
      </c>
      <c r="P201" s="1138">
        <f t="shared" si="491"/>
        <v>22400</v>
      </c>
      <c r="Q201" s="1138">
        <f t="shared" si="528"/>
        <v>50000</v>
      </c>
      <c r="R201" s="1138"/>
      <c r="S201" s="1138"/>
      <c r="T201" s="1138"/>
      <c r="U201" s="1138"/>
      <c r="V201" s="858">
        <f>J201*$V$5</f>
        <v>55000</v>
      </c>
      <c r="W201" s="858"/>
      <c r="X201" s="1138"/>
      <c r="Y201" s="1138">
        <f t="shared" si="525"/>
        <v>160000</v>
      </c>
      <c r="Z201" s="1138">
        <f t="shared" si="487"/>
        <v>75000</v>
      </c>
      <c r="AA201" s="1138">
        <f t="shared" si="488"/>
        <v>362400</v>
      </c>
      <c r="AB201" s="1138">
        <f t="shared" si="543"/>
        <v>2582400</v>
      </c>
      <c r="AC201" s="1138">
        <f t="shared" si="544"/>
        <v>64560</v>
      </c>
      <c r="AD201" s="1138">
        <f t="shared" si="545"/>
        <v>2646960</v>
      </c>
      <c r="AE201" s="1138">
        <f t="shared" si="546"/>
        <v>66174</v>
      </c>
      <c r="AF201" s="1138">
        <f t="shared" si="547"/>
        <v>2713134</v>
      </c>
      <c r="AG201" s="1138">
        <f t="shared" si="548"/>
        <v>67828.350000000006</v>
      </c>
      <c r="AH201" s="1138">
        <f t="shared" si="549"/>
        <v>2780962.35</v>
      </c>
      <c r="AI201" s="1138">
        <f t="shared" si="550"/>
        <v>139048.11750000002</v>
      </c>
      <c r="AJ201" s="1138">
        <f t="shared" si="551"/>
        <v>2920010.4675000003</v>
      </c>
      <c r="AK201" s="1138">
        <f t="shared" si="552"/>
        <v>29200.104675000002</v>
      </c>
      <c r="AL201" s="1138">
        <f t="shared" si="553"/>
        <v>27537.409960060559</v>
      </c>
      <c r="AM201" s="1138"/>
      <c r="AN201" s="1138"/>
      <c r="AO201" s="1138">
        <f t="shared" si="554"/>
        <v>2976747.9821350607</v>
      </c>
      <c r="AP201" s="1138">
        <f t="shared" si="555"/>
        <v>401860.97758823325</v>
      </c>
      <c r="AQ201" s="1248">
        <f t="shared" si="556"/>
        <v>3378608.9597232938</v>
      </c>
      <c r="AR201" s="1248">
        <f t="shared" si="515"/>
        <v>3048608.9597232938</v>
      </c>
      <c r="AS201" s="1248">
        <v>15000</v>
      </c>
      <c r="AT201" s="1248">
        <f t="shared" si="516"/>
        <v>330000</v>
      </c>
      <c r="AU201" s="1248">
        <f t="shared" si="557"/>
        <v>39600</v>
      </c>
      <c r="AV201" s="1140">
        <f t="shared" si="558"/>
        <v>369600</v>
      </c>
      <c r="AW201" s="1140">
        <f t="shared" si="559"/>
        <v>3418208.9597232938</v>
      </c>
      <c r="AX201" s="1139">
        <f t="shared" si="560"/>
        <v>42727.611996541178</v>
      </c>
      <c r="AY201" s="831" t="s">
        <v>478</v>
      </c>
      <c r="AZ201" s="831">
        <f t="shared" si="561"/>
        <v>3460936.571719835</v>
      </c>
      <c r="BA201" s="831">
        <f t="shared" si="562"/>
        <v>129785.12143949381</v>
      </c>
      <c r="BB201" s="831"/>
      <c r="BC201" s="831">
        <f t="shared" si="513"/>
        <v>33600</v>
      </c>
      <c r="BD201" s="831"/>
      <c r="BE201" s="831">
        <f t="shared" si="563"/>
        <v>3624321.6931593288</v>
      </c>
      <c r="BF201" s="831"/>
      <c r="BG201" s="831">
        <f t="shared" si="564"/>
        <v>3624321.6931593288</v>
      </c>
      <c r="BH201" s="831"/>
      <c r="BI201" s="831">
        <f t="shared" si="565"/>
        <v>3624321.6931593288</v>
      </c>
      <c r="BJ201" s="831"/>
      <c r="BK201" s="831">
        <f t="shared" si="566"/>
        <v>3624321.6931593288</v>
      </c>
      <c r="BL201" s="831"/>
      <c r="BM201" s="831">
        <f t="shared" si="567"/>
        <v>3624321.6931593288</v>
      </c>
      <c r="BN201" s="831"/>
      <c r="BO201" s="831">
        <f t="shared" si="568"/>
        <v>3624321.6931593288</v>
      </c>
      <c r="BP201" s="831"/>
      <c r="BQ201" s="831">
        <f t="shared" si="569"/>
        <v>3624321.6931593288</v>
      </c>
      <c r="BR201" s="831"/>
      <c r="BS201" s="831">
        <f t="shared" si="570"/>
        <v>3624321.6931593288</v>
      </c>
      <c r="BT201" s="831"/>
      <c r="BU201" s="831">
        <f t="shared" si="571"/>
        <v>3624321.6931593288</v>
      </c>
      <c r="BV201" s="831"/>
      <c r="BW201" s="831">
        <f t="shared" si="572"/>
        <v>56400</v>
      </c>
      <c r="BX201" s="831">
        <f t="shared" si="573"/>
        <v>3680721.6931593288</v>
      </c>
      <c r="BY201" s="831"/>
      <c r="BZ201" s="831">
        <f t="shared" si="574"/>
        <v>3680721.6931593288</v>
      </c>
      <c r="CA201" s="1260">
        <f t="shared" si="575"/>
        <v>3680721.6931593288</v>
      </c>
      <c r="CB201" s="1260">
        <f t="shared" si="576"/>
        <v>3504721.6931593288</v>
      </c>
      <c r="CC201" s="1260">
        <v>8000</v>
      </c>
      <c r="CD201" s="1260">
        <f t="shared" si="577"/>
        <v>176000</v>
      </c>
      <c r="CE201" s="1260">
        <f t="shared" si="578"/>
        <v>21120</v>
      </c>
      <c r="CF201" s="1260">
        <f t="shared" si="579"/>
        <v>197120</v>
      </c>
      <c r="CG201" s="1266">
        <f t="shared" si="580"/>
        <v>3701841.6931593288</v>
      </c>
      <c r="CH201" s="1141">
        <f t="shared" si="581"/>
        <v>3701841.6931593288</v>
      </c>
      <c r="CI201" s="1142">
        <f t="shared" si="582"/>
        <v>0</v>
      </c>
      <c r="CJ201" s="1141">
        <f t="shared" si="583"/>
        <v>379438.77354883117</v>
      </c>
      <c r="CK201" s="1141">
        <f t="shared" si="584"/>
        <v>129564.45926057652</v>
      </c>
      <c r="CL201" s="1143">
        <f t="shared" si="489"/>
        <v>4210844.9259687364</v>
      </c>
      <c r="CM201" s="1144">
        <f t="shared" si="585"/>
        <v>0.125</v>
      </c>
      <c r="CN201" s="1141">
        <f t="shared" si="502"/>
        <v>526355.61574609205</v>
      </c>
      <c r="CO201" s="1141">
        <f t="shared" si="586"/>
        <v>30000</v>
      </c>
      <c r="CP201" s="1141">
        <f t="shared" si="503"/>
        <v>496355.61574609205</v>
      </c>
      <c r="CQ201" s="1145">
        <f t="shared" si="587"/>
        <v>16</v>
      </c>
      <c r="CR201" s="1141">
        <f t="shared" si="504"/>
        <v>31022.225984130753</v>
      </c>
      <c r="CS201" s="1144">
        <f t="shared" si="588"/>
        <v>0.875</v>
      </c>
      <c r="CT201" s="1141">
        <f t="shared" si="589"/>
        <v>3684489.3102226444</v>
      </c>
      <c r="CU201" s="1146">
        <f t="shared" si="529"/>
        <v>28565.806405147374</v>
      </c>
      <c r="CV201" s="1146">
        <f t="shared" si="530"/>
        <v>33117.231556816711</v>
      </c>
      <c r="CW201" s="1146">
        <f t="shared" si="531"/>
        <v>42780.045050722838</v>
      </c>
      <c r="CX201" s="1146">
        <f t="shared" si="532"/>
        <v>72957.304351514089</v>
      </c>
      <c r="CY201" s="1146">
        <f t="shared" si="590"/>
        <v>299302.77787129354</v>
      </c>
      <c r="CZ201" s="1146">
        <f t="shared" si="591"/>
        <v>118432.65121613233</v>
      </c>
      <c r="DA201" s="1146">
        <f t="shared" si="592"/>
        <v>85542.226588726015</v>
      </c>
      <c r="DB201" s="1146">
        <f t="shared" si="593"/>
        <v>65101.57259473508</v>
      </c>
      <c r="DC201" s="1146"/>
      <c r="DD201" s="1146"/>
      <c r="DE201" s="1146"/>
      <c r="DF201" s="1146"/>
      <c r="DG201" s="1146"/>
      <c r="DH201" s="1146"/>
      <c r="DI201" s="1146"/>
      <c r="DJ201" s="1146"/>
      <c r="DK201" s="1146"/>
      <c r="DL201" s="1146"/>
      <c r="DM201" s="1146"/>
      <c r="DN201" s="1146"/>
      <c r="DO201" s="1146"/>
      <c r="DP201" s="1146"/>
      <c r="DQ201" s="1146"/>
      <c r="DR201" s="1146"/>
      <c r="DS201" s="1146"/>
      <c r="DT201" s="1146"/>
      <c r="DU201" s="1146"/>
      <c r="DV201" s="1146"/>
      <c r="DW201" s="1146"/>
      <c r="DX201" s="1146"/>
      <c r="DY201" s="1146"/>
      <c r="DZ201" s="1146"/>
      <c r="EA201" s="1147">
        <f t="shared" si="533"/>
        <v>0.10824609005608656</v>
      </c>
      <c r="EB201" s="1148">
        <f t="shared" si="594"/>
        <v>5.6244123573277606E-2</v>
      </c>
      <c r="EC201" s="1190">
        <f t="shared" ref="EC201:EC219" si="638">$EC$7</f>
        <v>45839</v>
      </c>
      <c r="ED201" s="1031">
        <f t="shared" si="534"/>
        <v>20</v>
      </c>
      <c r="EE201" s="1191"/>
      <c r="EF201" s="1032">
        <f t="shared" si="535"/>
        <v>45904</v>
      </c>
      <c r="EG201" s="1029">
        <f t="shared" si="595"/>
        <v>22</v>
      </c>
      <c r="EH201" s="859" t="s">
        <v>490</v>
      </c>
      <c r="EI201" s="859" t="s">
        <v>480</v>
      </c>
      <c r="EJ201" s="860">
        <f t="shared" si="536"/>
        <v>16800</v>
      </c>
      <c r="EK201" s="860">
        <f t="shared" si="537"/>
        <v>369600</v>
      </c>
      <c r="EL201" s="861">
        <f t="shared" si="538"/>
        <v>0.12123562086281695</v>
      </c>
      <c r="EM201" s="1197"/>
      <c r="EN201" s="860"/>
      <c r="EO201" s="860"/>
      <c r="EP201" s="860">
        <f t="shared" si="539"/>
        <v>0</v>
      </c>
      <c r="EQ201" s="1197"/>
      <c r="ER201" s="1200"/>
      <c r="ES201" s="1197"/>
      <c r="ET201" s="1207" t="s">
        <v>682</v>
      </c>
      <c r="EU201" s="1197" t="b">
        <f t="shared" si="540"/>
        <v>1</v>
      </c>
      <c r="EV201" s="1197"/>
      <c r="EW201" s="1197"/>
      <c r="EX201" s="1197"/>
      <c r="EY201" s="1128" t="s">
        <v>587</v>
      </c>
      <c r="EZ201" s="1128" t="s">
        <v>611</v>
      </c>
      <c r="FA201" s="1169"/>
      <c r="FI201" s="1309" t="s">
        <v>149</v>
      </c>
      <c r="FJ201" s="1159" t="s">
        <v>149</v>
      </c>
      <c r="FK201" s="1160" t="b">
        <f t="shared" si="597"/>
        <v>1</v>
      </c>
      <c r="FL201" s="1131"/>
      <c r="FM201" s="1161"/>
      <c r="FO201" s="888"/>
      <c r="FU201" s="1295"/>
      <c r="FV201" s="1295"/>
      <c r="FW201" s="1023">
        <v>0.15</v>
      </c>
      <c r="FX201" s="1162">
        <v>15686.697602776758</v>
      </c>
      <c r="FY201" s="1163">
        <v>16176.906902863531</v>
      </c>
      <c r="GA201" s="1164">
        <f t="shared" si="598"/>
        <v>4210844.9259687364</v>
      </c>
      <c r="GB201" s="1165">
        <f t="shared" si="599"/>
        <v>0.15</v>
      </c>
      <c r="GC201" s="1154">
        <f t="shared" si="600"/>
        <v>631626.73889531044</v>
      </c>
      <c r="GD201" s="1164">
        <f t="shared" si="601"/>
        <v>30000</v>
      </c>
      <c r="GE201" s="1154">
        <f t="shared" si="602"/>
        <v>601626.73889531044</v>
      </c>
      <c r="GF201" s="1060">
        <f t="shared" si="603"/>
        <v>35</v>
      </c>
      <c r="GG201" s="1166">
        <f t="shared" si="604"/>
        <v>17189.335397008868</v>
      </c>
      <c r="GI201" s="1164">
        <f t="shared" si="605"/>
        <v>4210844.9259687364</v>
      </c>
      <c r="GJ201" s="1154">
        <f t="shared" si="606"/>
        <v>421084.49259687366</v>
      </c>
      <c r="GK201" s="1154">
        <f t="shared" si="607"/>
        <v>105271.12314921842</v>
      </c>
      <c r="GL201" s="1166">
        <v>15000</v>
      </c>
      <c r="GM201" s="1154">
        <f t="shared" si="608"/>
        <v>406084.49259687366</v>
      </c>
      <c r="GN201" s="1060">
        <f t="shared" si="609"/>
        <v>35</v>
      </c>
      <c r="GO201" s="1154">
        <f t="shared" si="610"/>
        <v>11602.414074196391</v>
      </c>
      <c r="GS201" s="1010">
        <f t="shared" si="611"/>
        <v>4210844.9259687364</v>
      </c>
      <c r="GT201" s="1011">
        <f t="shared" si="612"/>
        <v>0.125</v>
      </c>
      <c r="GU201" s="1010">
        <f t="shared" si="613"/>
        <v>526355.61574609205</v>
      </c>
      <c r="GV201" s="1010">
        <f t="shared" si="614"/>
        <v>30000</v>
      </c>
      <c r="GW201" s="1010">
        <f t="shared" si="615"/>
        <v>496355.61574609205</v>
      </c>
      <c r="GX201" s="1010">
        <f t="shared" si="616"/>
        <v>16</v>
      </c>
      <c r="GY201" s="1010">
        <f t="shared" si="617"/>
        <v>31022.225984130753</v>
      </c>
      <c r="GZ201" s="1011">
        <f t="shared" si="618"/>
        <v>0.875</v>
      </c>
      <c r="HA201" s="1010">
        <f t="shared" si="619"/>
        <v>3684489.3102226444</v>
      </c>
      <c r="HB201" s="1010">
        <f t="shared" si="620"/>
        <v>28565.806405147374</v>
      </c>
      <c r="HC201" s="1010">
        <f t="shared" si="621"/>
        <v>33117.231556816711</v>
      </c>
      <c r="HD201" s="1010">
        <f t="shared" si="622"/>
        <v>42780.045050722838</v>
      </c>
      <c r="HE201" s="1010">
        <f t="shared" si="623"/>
        <v>72957.304351514089</v>
      </c>
      <c r="HG201" s="1010">
        <f t="shared" si="624"/>
        <v>4210844.9259687364</v>
      </c>
      <c r="HH201" s="1011">
        <f t="shared" si="625"/>
        <v>0.125</v>
      </c>
      <c r="HI201" s="1010">
        <f t="shared" si="626"/>
        <v>526355.61574609205</v>
      </c>
      <c r="HJ201" s="1010">
        <f t="shared" si="627"/>
        <v>30000</v>
      </c>
      <c r="HK201" s="1010">
        <f t="shared" si="628"/>
        <v>496355.61574609205</v>
      </c>
      <c r="HL201" s="1012">
        <f t="shared" si="629"/>
        <v>33</v>
      </c>
      <c r="HM201" s="1167">
        <f t="shared" si="630"/>
        <v>15041.079265033093</v>
      </c>
      <c r="HN201" s="1168">
        <f t="shared" si="631"/>
        <v>0.875</v>
      </c>
      <c r="HO201" s="1167">
        <f t="shared" si="632"/>
        <v>3684489.3102226444</v>
      </c>
      <c r="HP201" s="1146">
        <f t="shared" si="633"/>
        <v>28565.806405147374</v>
      </c>
      <c r="HQ201" s="1146">
        <f t="shared" si="634"/>
        <v>33117.231556816711</v>
      </c>
      <c r="HR201" s="1146">
        <f t="shared" si="635"/>
        <v>42780.045050722838</v>
      </c>
      <c r="HS201" s="1146">
        <f t="shared" si="636"/>
        <v>72957.304351514089</v>
      </c>
      <c r="HU201" s="1167">
        <f t="shared" si="637"/>
        <v>-15981.14671909766</v>
      </c>
      <c r="HX201" s="1154"/>
      <c r="HY201" s="1154"/>
      <c r="IB201" s="1154"/>
      <c r="IC201" s="1154"/>
      <c r="ID201" s="1154"/>
      <c r="IE201" s="1154"/>
      <c r="IG201" s="1060"/>
    </row>
    <row r="202" spans="1:241" ht="14.25" hidden="1" customHeight="1">
      <c r="A202" s="1186">
        <f t="shared" si="490"/>
        <v>196</v>
      </c>
      <c r="B202" s="824"/>
      <c r="C202" s="855">
        <v>1</v>
      </c>
      <c r="D202" s="856" t="s">
        <v>683</v>
      </c>
      <c r="E202" s="857" t="s">
        <v>528</v>
      </c>
      <c r="F202" s="1185"/>
      <c r="G202" s="764" t="s">
        <v>684</v>
      </c>
      <c r="H202" s="764" t="s">
        <v>475</v>
      </c>
      <c r="I202" s="764" t="s">
        <v>476</v>
      </c>
      <c r="J202" s="1139">
        <v>22</v>
      </c>
      <c r="K202" s="1142"/>
      <c r="L202" s="764" t="s">
        <v>344</v>
      </c>
      <c r="M202" s="764" t="s">
        <v>477</v>
      </c>
      <c r="N202" s="856">
        <f t="shared" si="542"/>
        <v>100909.09090909091</v>
      </c>
      <c r="O202" s="1138">
        <f t="shared" si="486"/>
        <v>2220000</v>
      </c>
      <c r="P202" s="1138">
        <f t="shared" si="491"/>
        <v>22400</v>
      </c>
      <c r="Q202" s="1138">
        <f t="shared" si="528"/>
        <v>50000</v>
      </c>
      <c r="R202" s="1138"/>
      <c r="S202" s="1138"/>
      <c r="T202" s="1138"/>
      <c r="U202" s="1138"/>
      <c r="V202" s="858"/>
      <c r="W202" s="858">
        <f>J202*$W$5</f>
        <v>22000</v>
      </c>
      <c r="X202" s="1138"/>
      <c r="Y202" s="1138">
        <f>Y201+Y5</f>
        <v>180000</v>
      </c>
      <c r="Z202" s="1138">
        <f t="shared" si="487"/>
        <v>75000</v>
      </c>
      <c r="AA202" s="1138">
        <f t="shared" si="488"/>
        <v>349400</v>
      </c>
      <c r="AB202" s="1138">
        <f t="shared" si="543"/>
        <v>2569400</v>
      </c>
      <c r="AC202" s="1138">
        <f t="shared" si="544"/>
        <v>64235</v>
      </c>
      <c r="AD202" s="1138">
        <f t="shared" si="545"/>
        <v>2633635</v>
      </c>
      <c r="AE202" s="1138">
        <f t="shared" si="546"/>
        <v>65840.875</v>
      </c>
      <c r="AF202" s="1138">
        <f t="shared" si="547"/>
        <v>2699475.875</v>
      </c>
      <c r="AG202" s="1138">
        <f t="shared" si="548"/>
        <v>67486.896875000006</v>
      </c>
      <c r="AH202" s="1138">
        <f t="shared" si="549"/>
        <v>2766962.7718750001</v>
      </c>
      <c r="AI202" s="1138">
        <f t="shared" si="550"/>
        <v>138348.13859375002</v>
      </c>
      <c r="AJ202" s="1138">
        <f t="shared" si="551"/>
        <v>2905310.9104687502</v>
      </c>
      <c r="AK202" s="1138">
        <f t="shared" si="552"/>
        <v>29053.109104687501</v>
      </c>
      <c r="AL202" s="1138">
        <f t="shared" si="553"/>
        <v>27537.409960060559</v>
      </c>
      <c r="AM202" s="1138"/>
      <c r="AN202" s="1138"/>
      <c r="AO202" s="1138">
        <f t="shared" si="554"/>
        <v>2961901.4295334979</v>
      </c>
      <c r="AP202" s="1138">
        <f t="shared" si="555"/>
        <v>399856.69298702222</v>
      </c>
      <c r="AQ202" s="1248">
        <f t="shared" si="556"/>
        <v>3361758.1225205204</v>
      </c>
      <c r="AR202" s="1248">
        <f t="shared" si="515"/>
        <v>3031758.1225205204</v>
      </c>
      <c r="AS202" s="1248">
        <v>15000</v>
      </c>
      <c r="AT202" s="1248">
        <f t="shared" si="516"/>
        <v>330000</v>
      </c>
      <c r="AU202" s="1248">
        <f t="shared" si="557"/>
        <v>39600</v>
      </c>
      <c r="AV202" s="1140">
        <f t="shared" si="558"/>
        <v>369600</v>
      </c>
      <c r="AW202" s="1140">
        <f t="shared" si="559"/>
        <v>3401358.1225205204</v>
      </c>
      <c r="AX202" s="1139">
        <f t="shared" si="560"/>
        <v>42516.976531506509</v>
      </c>
      <c r="AY202" s="831" t="s">
        <v>478</v>
      </c>
      <c r="AZ202" s="831">
        <f t="shared" si="561"/>
        <v>3443875.0990520269</v>
      </c>
      <c r="BA202" s="831">
        <f t="shared" si="562"/>
        <v>129145.316214451</v>
      </c>
      <c r="BB202" s="831"/>
      <c r="BC202" s="831">
        <f t="shared" si="513"/>
        <v>33600</v>
      </c>
      <c r="BD202" s="831"/>
      <c r="BE202" s="831">
        <f t="shared" si="563"/>
        <v>3606620.415266478</v>
      </c>
      <c r="BF202" s="831"/>
      <c r="BG202" s="831">
        <f t="shared" si="564"/>
        <v>3606620.415266478</v>
      </c>
      <c r="BH202" s="831"/>
      <c r="BI202" s="831">
        <f t="shared" si="565"/>
        <v>3606620.415266478</v>
      </c>
      <c r="BJ202" s="831"/>
      <c r="BK202" s="831">
        <f t="shared" si="566"/>
        <v>3606620.415266478</v>
      </c>
      <c r="BL202" s="831"/>
      <c r="BM202" s="831">
        <f t="shared" si="567"/>
        <v>3606620.415266478</v>
      </c>
      <c r="BN202" s="831"/>
      <c r="BO202" s="831">
        <f t="shared" si="568"/>
        <v>3606620.415266478</v>
      </c>
      <c r="BP202" s="831"/>
      <c r="BQ202" s="831">
        <f t="shared" si="569"/>
        <v>3606620.415266478</v>
      </c>
      <c r="BR202" s="831"/>
      <c r="BS202" s="831">
        <f t="shared" si="570"/>
        <v>3606620.415266478</v>
      </c>
      <c r="BT202" s="831"/>
      <c r="BU202" s="831">
        <f t="shared" si="571"/>
        <v>3606620.415266478</v>
      </c>
      <c r="BV202" s="831"/>
      <c r="BW202" s="831">
        <f t="shared" si="572"/>
        <v>56400</v>
      </c>
      <c r="BX202" s="831">
        <f t="shared" si="573"/>
        <v>3663020.415266478</v>
      </c>
      <c r="BY202" s="831"/>
      <c r="BZ202" s="831">
        <f t="shared" si="574"/>
        <v>3663020.415266478</v>
      </c>
      <c r="CA202" s="1260">
        <f t="shared" si="575"/>
        <v>3663020.415266478</v>
      </c>
      <c r="CB202" s="1260">
        <f t="shared" si="576"/>
        <v>3487020.415266478</v>
      </c>
      <c r="CC202" s="1260">
        <v>8000</v>
      </c>
      <c r="CD202" s="1260">
        <f t="shared" si="577"/>
        <v>176000</v>
      </c>
      <c r="CE202" s="1260">
        <f t="shared" si="578"/>
        <v>21120</v>
      </c>
      <c r="CF202" s="1260">
        <f t="shared" si="579"/>
        <v>197120</v>
      </c>
      <c r="CG202" s="1266">
        <f t="shared" si="580"/>
        <v>3684140.415266478</v>
      </c>
      <c r="CH202" s="1141">
        <f t="shared" si="581"/>
        <v>3684140.415266478</v>
      </c>
      <c r="CI202" s="1142">
        <f t="shared" si="582"/>
        <v>0</v>
      </c>
      <c r="CJ202" s="1141">
        <f t="shared" si="583"/>
        <v>377624.39256481396</v>
      </c>
      <c r="CK202" s="1141">
        <f t="shared" si="584"/>
        <v>128944.91453432674</v>
      </c>
      <c r="CL202" s="1143">
        <f t="shared" si="489"/>
        <v>4190709.7223656187</v>
      </c>
      <c r="CM202" s="1144">
        <f t="shared" si="585"/>
        <v>0.125</v>
      </c>
      <c r="CN202" s="1141">
        <f t="shared" si="502"/>
        <v>523838.71529570234</v>
      </c>
      <c r="CO202" s="1141">
        <f t="shared" si="586"/>
        <v>30000</v>
      </c>
      <c r="CP202" s="1141">
        <f t="shared" si="503"/>
        <v>493838.71529570234</v>
      </c>
      <c r="CQ202" s="1145">
        <f t="shared" si="587"/>
        <v>17</v>
      </c>
      <c r="CR202" s="1141">
        <f t="shared" si="504"/>
        <v>29049.336193864845</v>
      </c>
      <c r="CS202" s="1144">
        <f t="shared" si="588"/>
        <v>0.875</v>
      </c>
      <c r="CT202" s="1141">
        <f t="shared" si="589"/>
        <v>3666871.0070699165</v>
      </c>
      <c r="CU202" s="1146">
        <f t="shared" si="529"/>
        <v>28429.21188833017</v>
      </c>
      <c r="CV202" s="1146">
        <f t="shared" si="530"/>
        <v>32958.873267235511</v>
      </c>
      <c r="CW202" s="1146">
        <f t="shared" si="531"/>
        <v>42575.481612175252</v>
      </c>
      <c r="CX202" s="1146">
        <f t="shared" si="532"/>
        <v>72608.440832842854</v>
      </c>
      <c r="CY202" s="1146">
        <f t="shared" si="590"/>
        <v>297871.58710616914</v>
      </c>
      <c r="CZ202" s="1146">
        <f t="shared" si="591"/>
        <v>117866.33600210311</v>
      </c>
      <c r="DA202" s="1146">
        <f t="shared" si="592"/>
        <v>85133.185130465281</v>
      </c>
      <c r="DB202" s="1146">
        <f t="shared" si="593"/>
        <v>64790.273213702523</v>
      </c>
      <c r="DC202" s="1146"/>
      <c r="DD202" s="1146"/>
      <c r="DE202" s="1146"/>
      <c r="DF202" s="1146"/>
      <c r="DG202" s="1146"/>
      <c r="DH202" s="1146"/>
      <c r="DI202" s="1146"/>
      <c r="DJ202" s="1146"/>
      <c r="DK202" s="1146"/>
      <c r="DL202" s="1146"/>
      <c r="DM202" s="1146"/>
      <c r="DN202" s="1146"/>
      <c r="DO202" s="1146"/>
      <c r="DP202" s="1146"/>
      <c r="DQ202" s="1146"/>
      <c r="DR202" s="1146"/>
      <c r="DS202" s="1146"/>
      <c r="DT202" s="1146"/>
      <c r="DU202" s="1146"/>
      <c r="DV202" s="1146"/>
      <c r="DW202" s="1146"/>
      <c r="DX202" s="1146"/>
      <c r="DY202" s="1146"/>
      <c r="DZ202" s="1146"/>
      <c r="EA202" s="1147">
        <f t="shared" si="533"/>
        <v>0.1088477334483554</v>
      </c>
      <c r="EB202" s="1148">
        <f t="shared" si="594"/>
        <v>5.6529637491364124E-2</v>
      </c>
      <c r="EC202" s="1190">
        <f t="shared" si="638"/>
        <v>45839</v>
      </c>
      <c r="ED202" s="1031">
        <f t="shared" si="534"/>
        <v>20</v>
      </c>
      <c r="EE202" s="1191"/>
      <c r="EF202" s="1032">
        <f t="shared" si="535"/>
        <v>45904</v>
      </c>
      <c r="EG202" s="1029">
        <f t="shared" si="595"/>
        <v>22</v>
      </c>
      <c r="EH202" s="859" t="s">
        <v>490</v>
      </c>
      <c r="EI202" s="859" t="s">
        <v>480</v>
      </c>
      <c r="EJ202" s="860">
        <f t="shared" si="536"/>
        <v>16800</v>
      </c>
      <c r="EK202" s="860">
        <f t="shared" si="537"/>
        <v>369600</v>
      </c>
      <c r="EL202" s="861">
        <f t="shared" si="538"/>
        <v>0.12190946146215804</v>
      </c>
      <c r="EM202" s="1197"/>
      <c r="EN202" s="860"/>
      <c r="EO202" s="860"/>
      <c r="EP202" s="860">
        <f t="shared" si="539"/>
        <v>0</v>
      </c>
      <c r="EQ202" s="1197"/>
      <c r="ER202" s="1200"/>
      <c r="ES202" s="1197"/>
      <c r="ET202" s="1207" t="s">
        <v>684</v>
      </c>
      <c r="EU202" s="1197" t="b">
        <f t="shared" si="540"/>
        <v>1</v>
      </c>
      <c r="EV202" s="1197"/>
      <c r="EW202" s="1197"/>
      <c r="EX202" s="1197"/>
      <c r="EY202" s="1128" t="s">
        <v>587</v>
      </c>
      <c r="EZ202" s="1128" t="s">
        <v>611</v>
      </c>
      <c r="FA202" s="1169"/>
      <c r="FI202" s="1309" t="s">
        <v>149</v>
      </c>
      <c r="FJ202" s="1159" t="s">
        <v>149</v>
      </c>
      <c r="FK202" s="1160" t="b">
        <f t="shared" si="597"/>
        <v>1</v>
      </c>
      <c r="FL202" s="1131"/>
      <c r="FM202" s="1161"/>
      <c r="FU202" s="1295"/>
      <c r="FV202" s="1295"/>
      <c r="FW202" s="1023">
        <v>0.15</v>
      </c>
      <c r="FX202" s="1162">
        <v>15316.76875097682</v>
      </c>
      <c r="FY202" s="1163">
        <v>15795.417774444846</v>
      </c>
      <c r="GA202" s="1164">
        <f t="shared" si="598"/>
        <v>4190709.7223656187</v>
      </c>
      <c r="GB202" s="1165">
        <f t="shared" si="599"/>
        <v>0.15</v>
      </c>
      <c r="GC202" s="1154">
        <f t="shared" si="600"/>
        <v>628606.45835484273</v>
      </c>
      <c r="GD202" s="1164">
        <f t="shared" si="601"/>
        <v>30000</v>
      </c>
      <c r="GE202" s="1154">
        <f t="shared" si="602"/>
        <v>598606.45835484273</v>
      </c>
      <c r="GF202" s="1060">
        <f t="shared" si="603"/>
        <v>35</v>
      </c>
      <c r="GG202" s="1166">
        <f t="shared" si="604"/>
        <v>17103.041667281221</v>
      </c>
      <c r="GI202" s="1164">
        <f t="shared" si="605"/>
        <v>4190709.7223656187</v>
      </c>
      <c r="GJ202" s="1154">
        <f t="shared" si="606"/>
        <v>419070.97223656188</v>
      </c>
      <c r="GK202" s="1154">
        <f t="shared" si="607"/>
        <v>104767.74305914047</v>
      </c>
      <c r="GL202" s="1166">
        <v>15000</v>
      </c>
      <c r="GM202" s="1154">
        <f t="shared" si="608"/>
        <v>404070.97223656188</v>
      </c>
      <c r="GN202" s="1060">
        <f t="shared" si="609"/>
        <v>35</v>
      </c>
      <c r="GO202" s="1154">
        <f t="shared" si="610"/>
        <v>11544.884921044626</v>
      </c>
      <c r="GS202" s="1010">
        <f t="shared" si="611"/>
        <v>4190709.7223656187</v>
      </c>
      <c r="GT202" s="1011">
        <f t="shared" si="612"/>
        <v>0.125</v>
      </c>
      <c r="GU202" s="1010">
        <f t="shared" si="613"/>
        <v>523838.71529570234</v>
      </c>
      <c r="GV202" s="1010">
        <f t="shared" si="614"/>
        <v>30000</v>
      </c>
      <c r="GW202" s="1010">
        <f t="shared" si="615"/>
        <v>493838.71529570234</v>
      </c>
      <c r="GX202" s="1010">
        <f t="shared" si="616"/>
        <v>17</v>
      </c>
      <c r="GY202" s="1010">
        <f t="shared" si="617"/>
        <v>29049.336193864845</v>
      </c>
      <c r="GZ202" s="1011">
        <f t="shared" si="618"/>
        <v>0.875</v>
      </c>
      <c r="HA202" s="1010">
        <f t="shared" si="619"/>
        <v>3666871.0070699165</v>
      </c>
      <c r="HB202" s="1010">
        <f t="shared" si="620"/>
        <v>28429.21188833017</v>
      </c>
      <c r="HC202" s="1010">
        <f t="shared" si="621"/>
        <v>32958.873267235511</v>
      </c>
      <c r="HD202" s="1010">
        <f t="shared" si="622"/>
        <v>42575.481612175252</v>
      </c>
      <c r="HE202" s="1010">
        <f t="shared" si="623"/>
        <v>72608.440832842854</v>
      </c>
      <c r="HG202" s="1010">
        <f t="shared" si="624"/>
        <v>4190709.7223656187</v>
      </c>
      <c r="HH202" s="1011">
        <f t="shared" si="625"/>
        <v>0.125</v>
      </c>
      <c r="HI202" s="1010">
        <f t="shared" si="626"/>
        <v>523838.71529570234</v>
      </c>
      <c r="HJ202" s="1010">
        <f t="shared" si="627"/>
        <v>30000</v>
      </c>
      <c r="HK202" s="1010">
        <f t="shared" si="628"/>
        <v>493838.71529570234</v>
      </c>
      <c r="HL202" s="1012">
        <f t="shared" si="629"/>
        <v>33</v>
      </c>
      <c r="HM202" s="1167">
        <f t="shared" si="630"/>
        <v>14964.809554415222</v>
      </c>
      <c r="HN202" s="1168">
        <f t="shared" si="631"/>
        <v>0.875</v>
      </c>
      <c r="HO202" s="1167">
        <f t="shared" si="632"/>
        <v>3666871.0070699165</v>
      </c>
      <c r="HP202" s="1146">
        <f t="shared" si="633"/>
        <v>28429.21188833017</v>
      </c>
      <c r="HQ202" s="1146">
        <f t="shared" si="634"/>
        <v>32958.873267235511</v>
      </c>
      <c r="HR202" s="1146">
        <f t="shared" si="635"/>
        <v>42575.481612175252</v>
      </c>
      <c r="HS202" s="1146">
        <f t="shared" si="636"/>
        <v>72608.440832842854</v>
      </c>
      <c r="HU202" s="1167">
        <f t="shared" si="637"/>
        <v>-14084.526639449623</v>
      </c>
      <c r="HX202" s="1154"/>
      <c r="HY202" s="1154"/>
      <c r="IB202" s="1154"/>
      <c r="IC202" s="1154"/>
      <c r="ID202" s="1154"/>
      <c r="IE202" s="1154"/>
      <c r="IG202" s="1060"/>
    </row>
    <row r="203" spans="1:241" ht="14.25" hidden="1" customHeight="1">
      <c r="A203" s="1186">
        <f t="shared" si="490"/>
        <v>197</v>
      </c>
      <c r="B203" s="824"/>
      <c r="C203" s="855">
        <f>C202+1</f>
        <v>2</v>
      </c>
      <c r="D203" s="856" t="s">
        <v>683</v>
      </c>
      <c r="E203" s="857" t="s">
        <v>528</v>
      </c>
      <c r="F203" s="1185"/>
      <c r="G203" s="764" t="s">
        <v>685</v>
      </c>
      <c r="H203" s="764" t="s">
        <v>489</v>
      </c>
      <c r="I203" s="764" t="s">
        <v>476</v>
      </c>
      <c r="J203" s="1139">
        <v>22</v>
      </c>
      <c r="K203" s="1142"/>
      <c r="L203" s="764" t="s">
        <v>344</v>
      </c>
      <c r="M203" s="764" t="s">
        <v>93</v>
      </c>
      <c r="N203" s="856">
        <f t="shared" si="542"/>
        <v>100909.09090909091</v>
      </c>
      <c r="O203" s="1138">
        <f t="shared" si="486"/>
        <v>2220000</v>
      </c>
      <c r="P203" s="1138">
        <f t="shared" si="491"/>
        <v>22400</v>
      </c>
      <c r="Q203" s="1138">
        <f t="shared" si="528"/>
        <v>50000</v>
      </c>
      <c r="R203" s="1138"/>
      <c r="S203" s="1138"/>
      <c r="T203" s="1138"/>
      <c r="U203" s="1138"/>
      <c r="V203" s="858"/>
      <c r="W203" s="858"/>
      <c r="X203" s="1138"/>
      <c r="Y203" s="1138">
        <f>$Y$202</f>
        <v>180000</v>
      </c>
      <c r="Z203" s="1138">
        <f t="shared" si="487"/>
        <v>75000</v>
      </c>
      <c r="AA203" s="1138">
        <f t="shared" si="488"/>
        <v>327400</v>
      </c>
      <c r="AB203" s="1138">
        <f t="shared" si="543"/>
        <v>2547400</v>
      </c>
      <c r="AC203" s="1138">
        <f t="shared" si="544"/>
        <v>63685</v>
      </c>
      <c r="AD203" s="1138">
        <f t="shared" si="545"/>
        <v>2611085</v>
      </c>
      <c r="AE203" s="1138">
        <f t="shared" si="546"/>
        <v>65277.125</v>
      </c>
      <c r="AF203" s="1138">
        <f t="shared" si="547"/>
        <v>2676362.125</v>
      </c>
      <c r="AG203" s="1138">
        <f t="shared" si="548"/>
        <v>66909.053125000006</v>
      </c>
      <c r="AH203" s="1138">
        <f t="shared" si="549"/>
        <v>2743271.1781250001</v>
      </c>
      <c r="AI203" s="1138">
        <f t="shared" si="550"/>
        <v>137163.55890625002</v>
      </c>
      <c r="AJ203" s="1138">
        <f t="shared" si="551"/>
        <v>2880434.7370312503</v>
      </c>
      <c r="AK203" s="1138">
        <f t="shared" si="552"/>
        <v>28804.347370312502</v>
      </c>
      <c r="AL203" s="1138">
        <f t="shared" si="553"/>
        <v>27537.409960060559</v>
      </c>
      <c r="AM203" s="1138"/>
      <c r="AN203" s="1138"/>
      <c r="AO203" s="1138">
        <f t="shared" si="554"/>
        <v>2936776.4943616232</v>
      </c>
      <c r="AP203" s="1138">
        <f t="shared" si="555"/>
        <v>396464.82673881913</v>
      </c>
      <c r="AQ203" s="1248">
        <f t="shared" si="556"/>
        <v>3333241.3211004422</v>
      </c>
      <c r="AR203" s="1248">
        <f t="shared" si="515"/>
        <v>3003241.3211004422</v>
      </c>
      <c r="AS203" s="1248">
        <v>15000</v>
      </c>
      <c r="AT203" s="1248">
        <f t="shared" si="516"/>
        <v>330000</v>
      </c>
      <c r="AU203" s="1248">
        <f t="shared" si="557"/>
        <v>39600</v>
      </c>
      <c r="AV203" s="1140">
        <f t="shared" si="558"/>
        <v>369600</v>
      </c>
      <c r="AW203" s="1140">
        <f t="shared" si="559"/>
        <v>3372841.3211004422</v>
      </c>
      <c r="AX203" s="1139">
        <f t="shared" si="560"/>
        <v>42160.51651375553</v>
      </c>
      <c r="AY203" s="831" t="s">
        <v>478</v>
      </c>
      <c r="AZ203" s="831">
        <f t="shared" si="561"/>
        <v>3415001.8376141977</v>
      </c>
      <c r="BA203" s="831">
        <f t="shared" si="562"/>
        <v>128062.56891053241</v>
      </c>
      <c r="BB203" s="831"/>
      <c r="BC203" s="831">
        <f t="shared" si="513"/>
        <v>33600</v>
      </c>
      <c r="BD203" s="831"/>
      <c r="BE203" s="831">
        <f t="shared" si="563"/>
        <v>3576664.4065247304</v>
      </c>
      <c r="BF203" s="831"/>
      <c r="BG203" s="831">
        <f t="shared" si="564"/>
        <v>3576664.4065247304</v>
      </c>
      <c r="BH203" s="831"/>
      <c r="BI203" s="831">
        <f t="shared" si="565"/>
        <v>3576664.4065247304</v>
      </c>
      <c r="BJ203" s="831"/>
      <c r="BK203" s="831">
        <f t="shared" si="566"/>
        <v>3576664.4065247304</v>
      </c>
      <c r="BL203" s="831"/>
      <c r="BM203" s="831">
        <f t="shared" si="567"/>
        <v>3576664.4065247304</v>
      </c>
      <c r="BN203" s="831"/>
      <c r="BO203" s="831">
        <f t="shared" si="568"/>
        <v>3576664.4065247304</v>
      </c>
      <c r="BP203" s="831"/>
      <c r="BQ203" s="831">
        <f t="shared" si="569"/>
        <v>3576664.4065247304</v>
      </c>
      <c r="BR203" s="831"/>
      <c r="BS203" s="831">
        <f t="shared" si="570"/>
        <v>3576664.4065247304</v>
      </c>
      <c r="BT203" s="831"/>
      <c r="BU203" s="831">
        <f t="shared" si="571"/>
        <v>3576664.4065247304</v>
      </c>
      <c r="BV203" s="831"/>
      <c r="BW203" s="831">
        <f t="shared" si="572"/>
        <v>56400</v>
      </c>
      <c r="BX203" s="831">
        <f t="shared" si="573"/>
        <v>3633064.4065247304</v>
      </c>
      <c r="BY203" s="831"/>
      <c r="BZ203" s="831">
        <f t="shared" si="574"/>
        <v>3633064.4065247304</v>
      </c>
      <c r="CA203" s="1260">
        <f t="shared" si="575"/>
        <v>3633064.4065247304</v>
      </c>
      <c r="CB203" s="1260">
        <f t="shared" si="576"/>
        <v>3633064.4065247304</v>
      </c>
      <c r="CC203" s="1260"/>
      <c r="CD203" s="1260">
        <f t="shared" si="577"/>
        <v>0</v>
      </c>
      <c r="CE203" s="1260">
        <f t="shared" si="578"/>
        <v>0</v>
      </c>
      <c r="CF203" s="1260">
        <f t="shared" si="579"/>
        <v>0</v>
      </c>
      <c r="CG203" s="1266">
        <f t="shared" si="580"/>
        <v>3633064.4065247304</v>
      </c>
      <c r="CH203" s="1141">
        <f t="shared" si="581"/>
        <v>3633064.4065247304</v>
      </c>
      <c r="CI203" s="1142">
        <f t="shared" si="582"/>
        <v>435967.72878296761</v>
      </c>
      <c r="CJ203" s="1141">
        <f t="shared" si="583"/>
        <v>372389.10166878486</v>
      </c>
      <c r="CK203" s="1141">
        <f t="shared" si="584"/>
        <v>127157.25422836558</v>
      </c>
      <c r="CL203" s="1143">
        <f t="shared" si="489"/>
        <v>4568578.4912048485</v>
      </c>
      <c r="CM203" s="1144">
        <f t="shared" si="585"/>
        <v>0.125</v>
      </c>
      <c r="CN203" s="1141">
        <f t="shared" si="502"/>
        <v>571072.31140060606</v>
      </c>
      <c r="CO203" s="1141">
        <f t="shared" si="586"/>
        <v>30000</v>
      </c>
      <c r="CP203" s="1141">
        <f t="shared" si="503"/>
        <v>541072.31140060606</v>
      </c>
      <c r="CQ203" s="1145">
        <f t="shared" si="587"/>
        <v>17</v>
      </c>
      <c r="CR203" s="1141">
        <f t="shared" si="504"/>
        <v>31827.783023565062</v>
      </c>
      <c r="CS203" s="1144">
        <f t="shared" si="588"/>
        <v>0.875</v>
      </c>
      <c r="CT203" s="1141">
        <f t="shared" si="589"/>
        <v>3997506.1798042422</v>
      </c>
      <c r="CU203" s="1146">
        <f t="shared" si="529"/>
        <v>30992.622863321027</v>
      </c>
      <c r="CV203" s="1146">
        <f t="shared" si="530"/>
        <v>35930.715673153383</v>
      </c>
      <c r="CW203" s="1146">
        <f t="shared" si="531"/>
        <v>46414.436320412213</v>
      </c>
      <c r="CX203" s="1146">
        <f t="shared" si="532"/>
        <v>79155.413532578008</v>
      </c>
      <c r="CY203" s="1146">
        <f t="shared" si="590"/>
        <v>324730.13311599835</v>
      </c>
      <c r="CZ203" s="1146">
        <f t="shared" si="591"/>
        <v>128494.13182270326</v>
      </c>
      <c r="DA203" s="1146">
        <f t="shared" si="592"/>
        <v>92809.491528144383</v>
      </c>
      <c r="DB203" s="1146">
        <f t="shared" si="593"/>
        <v>70632.295781230569</v>
      </c>
      <c r="DC203" s="1146"/>
      <c r="DD203" s="1146"/>
      <c r="DE203" s="1146"/>
      <c r="DF203" s="1146"/>
      <c r="DG203" s="1146"/>
      <c r="DH203" s="1146"/>
      <c r="DI203" s="1146"/>
      <c r="DJ203" s="1146"/>
      <c r="DK203" s="1146"/>
      <c r="DL203" s="1146"/>
      <c r="DM203" s="1146"/>
      <c r="DN203" s="1146"/>
      <c r="DO203" s="1146"/>
      <c r="DP203" s="1146"/>
      <c r="DQ203" s="1146"/>
      <c r="DR203" s="1146"/>
      <c r="DS203" s="1146"/>
      <c r="DT203" s="1146"/>
      <c r="DU203" s="1146"/>
      <c r="DV203" s="1146"/>
      <c r="DW203" s="1146"/>
      <c r="DX203" s="1146"/>
      <c r="DY203" s="1146"/>
      <c r="DZ203" s="1146"/>
      <c r="EA203" s="1147">
        <f t="shared" si="533"/>
        <v>0.10988127982971478</v>
      </c>
      <c r="EB203" s="1148">
        <f t="shared" si="594"/>
        <v>0</v>
      </c>
      <c r="EC203" s="1190">
        <f t="shared" si="638"/>
        <v>45839</v>
      </c>
      <c r="ED203" s="1031">
        <f t="shared" si="534"/>
        <v>20</v>
      </c>
      <c r="EE203" s="1191"/>
      <c r="EF203" s="1032">
        <f t="shared" si="535"/>
        <v>45904</v>
      </c>
      <c r="EG203" s="1029">
        <f t="shared" si="595"/>
        <v>22</v>
      </c>
      <c r="EH203" s="859" t="s">
        <v>490</v>
      </c>
      <c r="EI203" s="859" t="s">
        <v>480</v>
      </c>
      <c r="EJ203" s="860">
        <f t="shared" si="536"/>
        <v>16800</v>
      </c>
      <c r="EK203" s="860">
        <f t="shared" si="537"/>
        <v>369600</v>
      </c>
      <c r="EL203" s="861">
        <f t="shared" si="538"/>
        <v>0.12306703340928056</v>
      </c>
      <c r="EM203" s="1197"/>
      <c r="EN203" s="860"/>
      <c r="EO203" s="860"/>
      <c r="EP203" s="860">
        <f t="shared" si="539"/>
        <v>0</v>
      </c>
      <c r="EQ203" s="1197"/>
      <c r="ER203" s="1200"/>
      <c r="ES203" s="1197"/>
      <c r="ET203" s="1207" t="s">
        <v>685</v>
      </c>
      <c r="EU203" s="1197" t="b">
        <f t="shared" si="540"/>
        <v>1</v>
      </c>
      <c r="EV203" s="1197"/>
      <c r="EW203" s="1197"/>
      <c r="EX203" s="1197"/>
      <c r="EY203" s="1128" t="s">
        <v>587</v>
      </c>
      <c r="EZ203" s="1128" t="s">
        <v>484</v>
      </c>
      <c r="FA203" s="1169">
        <f t="shared" si="596"/>
        <v>0</v>
      </c>
      <c r="FI203" s="1309" t="s">
        <v>149</v>
      </c>
      <c r="FJ203" s="1159" t="s">
        <v>149</v>
      </c>
      <c r="FK203" s="1160" t="b">
        <f t="shared" si="597"/>
        <v>1</v>
      </c>
      <c r="FL203" s="1131"/>
      <c r="FM203" s="1161"/>
      <c r="FO203" s="888"/>
      <c r="FU203" s="1295"/>
      <c r="FV203" s="1295"/>
      <c r="FW203" s="1023">
        <v>0.15</v>
      </c>
      <c r="FX203" s="1162">
        <v>15172.551623090261</v>
      </c>
      <c r="FY203" s="1163">
        <v>15646.693861311833</v>
      </c>
      <c r="GA203" s="1164">
        <f t="shared" si="598"/>
        <v>4568578.4912048485</v>
      </c>
      <c r="GB203" s="1165">
        <f t="shared" si="599"/>
        <v>0.15</v>
      </c>
      <c r="GC203" s="1154">
        <f t="shared" si="600"/>
        <v>685286.77368072723</v>
      </c>
      <c r="GD203" s="1164">
        <f t="shared" si="601"/>
        <v>30000</v>
      </c>
      <c r="GE203" s="1154">
        <f t="shared" si="602"/>
        <v>655286.77368072723</v>
      </c>
      <c r="GF203" s="1060">
        <f t="shared" si="603"/>
        <v>35</v>
      </c>
      <c r="GG203" s="1166">
        <f t="shared" si="604"/>
        <v>18722.47924802078</v>
      </c>
      <c r="GI203" s="1164">
        <f t="shared" si="605"/>
        <v>4568578.4912048485</v>
      </c>
      <c r="GJ203" s="1154">
        <f t="shared" si="606"/>
        <v>456857.8491204849</v>
      </c>
      <c r="GK203" s="1154">
        <f t="shared" si="607"/>
        <v>114214.46228012122</v>
      </c>
      <c r="GL203" s="1166">
        <v>15000</v>
      </c>
      <c r="GM203" s="1154">
        <f t="shared" si="608"/>
        <v>441857.8491204849</v>
      </c>
      <c r="GN203" s="1060">
        <f t="shared" si="609"/>
        <v>35</v>
      </c>
      <c r="GO203" s="1154">
        <f t="shared" si="610"/>
        <v>12624.509974870996</v>
      </c>
      <c r="GS203" s="1010">
        <f t="shared" si="611"/>
        <v>4568578.4912048485</v>
      </c>
      <c r="GT203" s="1011">
        <f t="shared" si="612"/>
        <v>0.125</v>
      </c>
      <c r="GU203" s="1010">
        <f t="shared" si="613"/>
        <v>571072.31140060606</v>
      </c>
      <c r="GV203" s="1010">
        <f t="shared" si="614"/>
        <v>30000</v>
      </c>
      <c r="GW203" s="1010">
        <f t="shared" si="615"/>
        <v>541072.31140060606</v>
      </c>
      <c r="GX203" s="1010">
        <f t="shared" si="616"/>
        <v>17</v>
      </c>
      <c r="GY203" s="1010">
        <f t="shared" si="617"/>
        <v>31827.783023565062</v>
      </c>
      <c r="GZ203" s="1011">
        <f t="shared" si="618"/>
        <v>0.875</v>
      </c>
      <c r="HA203" s="1010">
        <f t="shared" si="619"/>
        <v>3997506.1798042422</v>
      </c>
      <c r="HB203" s="1010">
        <f t="shared" si="620"/>
        <v>30992.622863321027</v>
      </c>
      <c r="HC203" s="1010">
        <f t="shared" si="621"/>
        <v>35930.715673153383</v>
      </c>
      <c r="HD203" s="1010">
        <f t="shared" si="622"/>
        <v>46414.436320412213</v>
      </c>
      <c r="HE203" s="1010">
        <f t="shared" si="623"/>
        <v>79155.413532578008</v>
      </c>
      <c r="HG203" s="1010">
        <f t="shared" si="624"/>
        <v>4568578.4912048485</v>
      </c>
      <c r="HH203" s="1011">
        <f t="shared" si="625"/>
        <v>0.125</v>
      </c>
      <c r="HI203" s="1010">
        <f t="shared" si="626"/>
        <v>571072.31140060606</v>
      </c>
      <c r="HJ203" s="1010">
        <f t="shared" si="627"/>
        <v>30000</v>
      </c>
      <c r="HK203" s="1010">
        <f t="shared" si="628"/>
        <v>541072.31140060606</v>
      </c>
      <c r="HL203" s="1012">
        <f t="shared" si="629"/>
        <v>33</v>
      </c>
      <c r="HM203" s="1167">
        <f t="shared" si="630"/>
        <v>16396.130648503215</v>
      </c>
      <c r="HN203" s="1168">
        <f t="shared" si="631"/>
        <v>0.875</v>
      </c>
      <c r="HO203" s="1167">
        <f t="shared" si="632"/>
        <v>3997506.1798042422</v>
      </c>
      <c r="HP203" s="1146">
        <f t="shared" si="633"/>
        <v>30992.622863321027</v>
      </c>
      <c r="HQ203" s="1146">
        <f t="shared" si="634"/>
        <v>35930.715673153383</v>
      </c>
      <c r="HR203" s="1146">
        <f t="shared" si="635"/>
        <v>46414.436320412213</v>
      </c>
      <c r="HS203" s="1146">
        <f t="shared" si="636"/>
        <v>79155.413532578008</v>
      </c>
      <c r="HU203" s="1167">
        <f t="shared" si="637"/>
        <v>-15431.652375061847</v>
      </c>
      <c r="HX203" s="1154"/>
      <c r="HY203" s="1154"/>
      <c r="IB203" s="1154"/>
      <c r="IC203" s="1154"/>
      <c r="ID203" s="1154"/>
      <c r="IE203" s="1154"/>
      <c r="IG203" s="1060"/>
    </row>
    <row r="204" spans="1:241" ht="14.25" hidden="1" customHeight="1">
      <c r="A204" s="1186">
        <f t="shared" si="490"/>
        <v>198</v>
      </c>
      <c r="B204" s="824"/>
      <c r="C204" s="855">
        <f t="shared" ref="C204:C219" si="639">C203+1</f>
        <v>3</v>
      </c>
      <c r="D204" s="856" t="s">
        <v>683</v>
      </c>
      <c r="E204" s="857" t="s">
        <v>528</v>
      </c>
      <c r="F204" s="1185"/>
      <c r="G204" s="764" t="s">
        <v>686</v>
      </c>
      <c r="H204" s="764" t="s">
        <v>493</v>
      </c>
      <c r="I204" s="764" t="s">
        <v>476</v>
      </c>
      <c r="J204" s="1139">
        <v>22</v>
      </c>
      <c r="K204" s="1142"/>
      <c r="L204" s="764" t="s">
        <v>344</v>
      </c>
      <c r="M204" s="764" t="s">
        <v>477</v>
      </c>
      <c r="N204" s="856">
        <f t="shared" si="542"/>
        <v>100909.09090909091</v>
      </c>
      <c r="O204" s="1138">
        <f t="shared" si="486"/>
        <v>2220000</v>
      </c>
      <c r="P204" s="1138">
        <f t="shared" si="491"/>
        <v>22400</v>
      </c>
      <c r="Q204" s="1138">
        <f t="shared" si="528"/>
        <v>50000</v>
      </c>
      <c r="R204" s="1138"/>
      <c r="S204" s="1138"/>
      <c r="T204" s="1138"/>
      <c r="U204" s="1138"/>
      <c r="V204" s="858"/>
      <c r="W204" s="858">
        <f t="shared" ref="W204:W207" si="640">J204*$W$5</f>
        <v>22000</v>
      </c>
      <c r="X204" s="1138"/>
      <c r="Y204" s="1138">
        <f t="shared" ref="Y204:Y219" si="641">$Y$202</f>
        <v>180000</v>
      </c>
      <c r="Z204" s="1138">
        <f t="shared" si="487"/>
        <v>75000</v>
      </c>
      <c r="AA204" s="1138">
        <f t="shared" si="488"/>
        <v>349400</v>
      </c>
      <c r="AB204" s="1138">
        <f t="shared" si="543"/>
        <v>2569400</v>
      </c>
      <c r="AC204" s="1138">
        <f t="shared" si="544"/>
        <v>64235</v>
      </c>
      <c r="AD204" s="1138">
        <f t="shared" si="545"/>
        <v>2633635</v>
      </c>
      <c r="AE204" s="1138">
        <f t="shared" si="546"/>
        <v>65840.875</v>
      </c>
      <c r="AF204" s="1138">
        <f t="shared" si="547"/>
        <v>2699475.875</v>
      </c>
      <c r="AG204" s="1138">
        <f t="shared" si="548"/>
        <v>67486.896875000006</v>
      </c>
      <c r="AH204" s="1138">
        <f t="shared" si="549"/>
        <v>2766962.7718750001</v>
      </c>
      <c r="AI204" s="1138">
        <f t="shared" si="550"/>
        <v>138348.13859375002</v>
      </c>
      <c r="AJ204" s="1138">
        <f t="shared" si="551"/>
        <v>2905310.9104687502</v>
      </c>
      <c r="AK204" s="1138">
        <f t="shared" si="552"/>
        <v>29053.109104687501</v>
      </c>
      <c r="AL204" s="1138">
        <f t="shared" si="553"/>
        <v>27537.409960060559</v>
      </c>
      <c r="AM204" s="1138"/>
      <c r="AN204" s="1138"/>
      <c r="AO204" s="1138">
        <f t="shared" si="554"/>
        <v>2961901.4295334979</v>
      </c>
      <c r="AP204" s="1138">
        <f t="shared" si="555"/>
        <v>399856.69298702222</v>
      </c>
      <c r="AQ204" s="1248">
        <f t="shared" si="556"/>
        <v>3361758.1225205204</v>
      </c>
      <c r="AR204" s="1248">
        <f t="shared" si="515"/>
        <v>3031758.1225205204</v>
      </c>
      <c r="AS204" s="1248">
        <v>15000</v>
      </c>
      <c r="AT204" s="1248">
        <f t="shared" si="516"/>
        <v>330000</v>
      </c>
      <c r="AU204" s="1248">
        <f t="shared" si="557"/>
        <v>39600</v>
      </c>
      <c r="AV204" s="1140">
        <f t="shared" si="558"/>
        <v>369600</v>
      </c>
      <c r="AW204" s="1140">
        <f t="shared" si="559"/>
        <v>3401358.1225205204</v>
      </c>
      <c r="AX204" s="1139">
        <f t="shared" si="560"/>
        <v>42516.976531506509</v>
      </c>
      <c r="AY204" s="831" t="s">
        <v>478</v>
      </c>
      <c r="AZ204" s="831">
        <f t="shared" si="561"/>
        <v>3443875.0990520269</v>
      </c>
      <c r="BA204" s="831">
        <f t="shared" si="562"/>
        <v>129145.316214451</v>
      </c>
      <c r="BB204" s="831"/>
      <c r="BC204" s="831">
        <f t="shared" si="513"/>
        <v>33600</v>
      </c>
      <c r="BD204" s="831"/>
      <c r="BE204" s="831">
        <f t="shared" si="563"/>
        <v>3606620.415266478</v>
      </c>
      <c r="BF204" s="831"/>
      <c r="BG204" s="831">
        <f t="shared" si="564"/>
        <v>3606620.415266478</v>
      </c>
      <c r="BH204" s="831"/>
      <c r="BI204" s="831">
        <f t="shared" si="565"/>
        <v>3606620.415266478</v>
      </c>
      <c r="BJ204" s="831"/>
      <c r="BK204" s="831">
        <f t="shared" si="566"/>
        <v>3606620.415266478</v>
      </c>
      <c r="BL204" s="831"/>
      <c r="BM204" s="831">
        <f t="shared" si="567"/>
        <v>3606620.415266478</v>
      </c>
      <c r="BN204" s="831"/>
      <c r="BO204" s="831">
        <f t="shared" si="568"/>
        <v>3606620.415266478</v>
      </c>
      <c r="BP204" s="831"/>
      <c r="BQ204" s="831">
        <f t="shared" si="569"/>
        <v>3606620.415266478</v>
      </c>
      <c r="BR204" s="831"/>
      <c r="BS204" s="831">
        <f t="shared" si="570"/>
        <v>3606620.415266478</v>
      </c>
      <c r="BT204" s="831"/>
      <c r="BU204" s="831">
        <f t="shared" si="571"/>
        <v>3606620.415266478</v>
      </c>
      <c r="BV204" s="831"/>
      <c r="BW204" s="831">
        <f t="shared" si="572"/>
        <v>56400</v>
      </c>
      <c r="BX204" s="831">
        <f t="shared" si="573"/>
        <v>3663020.415266478</v>
      </c>
      <c r="BY204" s="831"/>
      <c r="BZ204" s="831">
        <f t="shared" si="574"/>
        <v>3663020.415266478</v>
      </c>
      <c r="CA204" s="1260">
        <f t="shared" si="575"/>
        <v>3663020.415266478</v>
      </c>
      <c r="CB204" s="1260">
        <f t="shared" si="576"/>
        <v>3487020.415266478</v>
      </c>
      <c r="CC204" s="1260">
        <v>8000</v>
      </c>
      <c r="CD204" s="1260">
        <f t="shared" si="577"/>
        <v>176000</v>
      </c>
      <c r="CE204" s="1260">
        <f t="shared" si="578"/>
        <v>21120</v>
      </c>
      <c r="CF204" s="1260">
        <f t="shared" si="579"/>
        <v>197120</v>
      </c>
      <c r="CG204" s="1266">
        <f t="shared" si="580"/>
        <v>3684140.415266478</v>
      </c>
      <c r="CH204" s="1141">
        <f t="shared" si="581"/>
        <v>3684140.415266478</v>
      </c>
      <c r="CI204" s="1142">
        <f t="shared" si="582"/>
        <v>0</v>
      </c>
      <c r="CJ204" s="1141">
        <f t="shared" si="583"/>
        <v>377624.39256481396</v>
      </c>
      <c r="CK204" s="1141">
        <f t="shared" si="584"/>
        <v>128944.91453432674</v>
      </c>
      <c r="CL204" s="1143">
        <f t="shared" si="489"/>
        <v>4190709.7223656187</v>
      </c>
      <c r="CM204" s="1144">
        <f t="shared" si="585"/>
        <v>0.125</v>
      </c>
      <c r="CN204" s="1141">
        <f t="shared" si="502"/>
        <v>523838.71529570234</v>
      </c>
      <c r="CO204" s="1141">
        <f t="shared" si="586"/>
        <v>30000</v>
      </c>
      <c r="CP204" s="1141">
        <f t="shared" si="503"/>
        <v>493838.71529570234</v>
      </c>
      <c r="CQ204" s="1145">
        <f t="shared" si="587"/>
        <v>17</v>
      </c>
      <c r="CR204" s="1141">
        <f t="shared" si="504"/>
        <v>29049.336193864845</v>
      </c>
      <c r="CS204" s="1144">
        <f t="shared" si="588"/>
        <v>0.875</v>
      </c>
      <c r="CT204" s="1141">
        <f t="shared" si="589"/>
        <v>3666871.0070699165</v>
      </c>
      <c r="CU204" s="1146">
        <f t="shared" si="529"/>
        <v>28429.21188833017</v>
      </c>
      <c r="CV204" s="1146">
        <f t="shared" si="530"/>
        <v>32958.873267235511</v>
      </c>
      <c r="CW204" s="1146">
        <f t="shared" si="531"/>
        <v>42575.481612175252</v>
      </c>
      <c r="CX204" s="1146">
        <f t="shared" si="532"/>
        <v>72608.440832842854</v>
      </c>
      <c r="CY204" s="1146">
        <f t="shared" si="590"/>
        <v>297871.58710616914</v>
      </c>
      <c r="CZ204" s="1146">
        <f t="shared" si="591"/>
        <v>117866.33600210311</v>
      </c>
      <c r="DA204" s="1146">
        <f t="shared" si="592"/>
        <v>85133.185130465281</v>
      </c>
      <c r="DB204" s="1146">
        <f t="shared" si="593"/>
        <v>64790.273213702523</v>
      </c>
      <c r="DC204" s="1146"/>
      <c r="DD204" s="1146"/>
      <c r="DE204" s="1146"/>
      <c r="DF204" s="1146"/>
      <c r="DG204" s="1146"/>
      <c r="DH204" s="1146"/>
      <c r="DI204" s="1146"/>
      <c r="DJ204" s="1146"/>
      <c r="DK204" s="1146"/>
      <c r="DL204" s="1146"/>
      <c r="DM204" s="1146"/>
      <c r="DN204" s="1146"/>
      <c r="DO204" s="1146"/>
      <c r="DP204" s="1146"/>
      <c r="DQ204" s="1146"/>
      <c r="DR204" s="1146"/>
      <c r="DS204" s="1146"/>
      <c r="DT204" s="1146"/>
      <c r="DU204" s="1146"/>
      <c r="DV204" s="1146"/>
      <c r="DW204" s="1146"/>
      <c r="DX204" s="1146"/>
      <c r="DY204" s="1146"/>
      <c r="DZ204" s="1146"/>
      <c r="EA204" s="1147">
        <f t="shared" si="533"/>
        <v>0.1088477334483554</v>
      </c>
      <c r="EB204" s="1148">
        <f t="shared" si="594"/>
        <v>5.6529637491364124E-2</v>
      </c>
      <c r="EC204" s="1190">
        <f t="shared" si="638"/>
        <v>45839</v>
      </c>
      <c r="ED204" s="1031">
        <f t="shared" si="534"/>
        <v>20</v>
      </c>
      <c r="EE204" s="1191"/>
      <c r="EF204" s="1032">
        <f t="shared" si="535"/>
        <v>45904</v>
      </c>
      <c r="EG204" s="1029">
        <f t="shared" si="595"/>
        <v>22</v>
      </c>
      <c r="EH204" s="859" t="s">
        <v>490</v>
      </c>
      <c r="EI204" s="859" t="s">
        <v>480</v>
      </c>
      <c r="EJ204" s="860">
        <f t="shared" si="536"/>
        <v>16800</v>
      </c>
      <c r="EK204" s="860">
        <f t="shared" si="537"/>
        <v>369600</v>
      </c>
      <c r="EL204" s="861">
        <f t="shared" si="538"/>
        <v>0.12190946146215804</v>
      </c>
      <c r="EM204" s="1197"/>
      <c r="EN204" s="860"/>
      <c r="EO204" s="860"/>
      <c r="EP204" s="860">
        <f t="shared" si="539"/>
        <v>0</v>
      </c>
      <c r="EQ204" s="1197"/>
      <c r="ER204" s="1200"/>
      <c r="ES204" s="1197"/>
      <c r="ET204" s="1207" t="s">
        <v>686</v>
      </c>
      <c r="EU204" s="1197" t="b">
        <f t="shared" si="540"/>
        <v>1</v>
      </c>
      <c r="EV204" s="1197"/>
      <c r="EW204" s="1197"/>
      <c r="EX204" s="1197"/>
      <c r="EY204" s="1128" t="s">
        <v>587</v>
      </c>
      <c r="EZ204" s="1128" t="s">
        <v>611</v>
      </c>
      <c r="FA204" s="1169"/>
      <c r="FI204" s="1309" t="s">
        <v>149</v>
      </c>
      <c r="FJ204" s="1159" t="s">
        <v>149</v>
      </c>
      <c r="FK204" s="1160" t="b">
        <f t="shared" si="597"/>
        <v>1</v>
      </c>
      <c r="FL204" s="1131"/>
      <c r="FM204" s="1161"/>
      <c r="FO204" s="888"/>
      <c r="FU204" s="1295"/>
      <c r="FV204" s="1295"/>
      <c r="FW204" s="1023">
        <v>0.15</v>
      </c>
      <c r="FX204" s="1162">
        <v>15316.76875097682</v>
      </c>
      <c r="FY204" s="1163">
        <v>15795.417774444846</v>
      </c>
      <c r="GA204" s="1164">
        <f t="shared" si="598"/>
        <v>4190709.7223656187</v>
      </c>
      <c r="GB204" s="1165">
        <f t="shared" si="599"/>
        <v>0.15</v>
      </c>
      <c r="GC204" s="1154">
        <f t="shared" si="600"/>
        <v>628606.45835484273</v>
      </c>
      <c r="GD204" s="1164">
        <f t="shared" si="601"/>
        <v>30000</v>
      </c>
      <c r="GE204" s="1154">
        <f t="shared" si="602"/>
        <v>598606.45835484273</v>
      </c>
      <c r="GF204" s="1060">
        <f t="shared" si="603"/>
        <v>35</v>
      </c>
      <c r="GG204" s="1166">
        <f t="shared" si="604"/>
        <v>17103.041667281221</v>
      </c>
      <c r="GI204" s="1164">
        <f t="shared" si="605"/>
        <v>4190709.7223656187</v>
      </c>
      <c r="GJ204" s="1154">
        <f t="shared" si="606"/>
        <v>419070.97223656188</v>
      </c>
      <c r="GK204" s="1154">
        <f t="shared" si="607"/>
        <v>104767.74305914047</v>
      </c>
      <c r="GL204" s="1166">
        <v>15000</v>
      </c>
      <c r="GM204" s="1154">
        <f t="shared" si="608"/>
        <v>404070.97223656188</v>
      </c>
      <c r="GN204" s="1060">
        <f t="shared" si="609"/>
        <v>35</v>
      </c>
      <c r="GO204" s="1154">
        <f t="shared" si="610"/>
        <v>11544.884921044626</v>
      </c>
      <c r="GS204" s="1010">
        <f t="shared" si="611"/>
        <v>4190709.7223656187</v>
      </c>
      <c r="GT204" s="1011">
        <f t="shared" si="612"/>
        <v>0.125</v>
      </c>
      <c r="GU204" s="1010">
        <f t="shared" si="613"/>
        <v>523838.71529570234</v>
      </c>
      <c r="GV204" s="1010">
        <f t="shared" si="614"/>
        <v>30000</v>
      </c>
      <c r="GW204" s="1010">
        <f t="shared" si="615"/>
        <v>493838.71529570234</v>
      </c>
      <c r="GX204" s="1010">
        <f t="shared" si="616"/>
        <v>17</v>
      </c>
      <c r="GY204" s="1010">
        <f t="shared" si="617"/>
        <v>29049.336193864845</v>
      </c>
      <c r="GZ204" s="1011">
        <f t="shared" si="618"/>
        <v>0.875</v>
      </c>
      <c r="HA204" s="1010">
        <f t="shared" si="619"/>
        <v>3666871.0070699165</v>
      </c>
      <c r="HB204" s="1010">
        <f t="shared" si="620"/>
        <v>28429.21188833017</v>
      </c>
      <c r="HC204" s="1010">
        <f t="shared" si="621"/>
        <v>32958.873267235511</v>
      </c>
      <c r="HD204" s="1010">
        <f t="shared" si="622"/>
        <v>42575.481612175252</v>
      </c>
      <c r="HE204" s="1010">
        <f t="shared" si="623"/>
        <v>72608.440832842854</v>
      </c>
      <c r="HG204" s="1010">
        <f t="shared" si="624"/>
        <v>4190709.7223656187</v>
      </c>
      <c r="HH204" s="1011">
        <f t="shared" si="625"/>
        <v>0.125</v>
      </c>
      <c r="HI204" s="1010">
        <f t="shared" si="626"/>
        <v>523838.71529570234</v>
      </c>
      <c r="HJ204" s="1010">
        <f t="shared" si="627"/>
        <v>30000</v>
      </c>
      <c r="HK204" s="1010">
        <f t="shared" si="628"/>
        <v>493838.71529570234</v>
      </c>
      <c r="HL204" s="1012">
        <f t="shared" si="629"/>
        <v>33</v>
      </c>
      <c r="HM204" s="1167">
        <f t="shared" si="630"/>
        <v>14964.809554415222</v>
      </c>
      <c r="HN204" s="1168">
        <f t="shared" si="631"/>
        <v>0.875</v>
      </c>
      <c r="HO204" s="1167">
        <f t="shared" si="632"/>
        <v>3666871.0070699165</v>
      </c>
      <c r="HP204" s="1146">
        <f t="shared" si="633"/>
        <v>28429.21188833017</v>
      </c>
      <c r="HQ204" s="1146">
        <f t="shared" si="634"/>
        <v>32958.873267235511</v>
      </c>
      <c r="HR204" s="1146">
        <f t="shared" si="635"/>
        <v>42575.481612175252</v>
      </c>
      <c r="HS204" s="1146">
        <f t="shared" si="636"/>
        <v>72608.440832842854</v>
      </c>
      <c r="HU204" s="1167">
        <f t="shared" si="637"/>
        <v>-14084.526639449623</v>
      </c>
      <c r="HX204" s="1154"/>
      <c r="HY204" s="1154"/>
      <c r="IB204" s="1154"/>
      <c r="IC204" s="1154"/>
      <c r="ID204" s="1154"/>
      <c r="IE204" s="1154"/>
      <c r="IG204" s="1060"/>
    </row>
    <row r="205" spans="1:241" ht="14.25" hidden="1" customHeight="1">
      <c r="A205" s="1186">
        <f t="shared" si="490"/>
        <v>199</v>
      </c>
      <c r="B205" s="824"/>
      <c r="C205" s="855">
        <f t="shared" si="639"/>
        <v>4</v>
      </c>
      <c r="D205" s="856" t="s">
        <v>683</v>
      </c>
      <c r="E205" s="857" t="s">
        <v>528</v>
      </c>
      <c r="F205" s="1185"/>
      <c r="G205" s="764" t="s">
        <v>687</v>
      </c>
      <c r="H205" s="764" t="s">
        <v>496</v>
      </c>
      <c r="I205" s="764" t="s">
        <v>476</v>
      </c>
      <c r="J205" s="1139">
        <v>22</v>
      </c>
      <c r="K205" s="1142"/>
      <c r="L205" s="764" t="s">
        <v>344</v>
      </c>
      <c r="M205" s="764" t="s">
        <v>477</v>
      </c>
      <c r="N205" s="856">
        <f t="shared" si="542"/>
        <v>100909.09090909091</v>
      </c>
      <c r="O205" s="1138">
        <f t="shared" si="486"/>
        <v>2220000</v>
      </c>
      <c r="P205" s="1138">
        <f t="shared" si="491"/>
        <v>22400</v>
      </c>
      <c r="Q205" s="1138">
        <f t="shared" si="528"/>
        <v>50000</v>
      </c>
      <c r="R205" s="1138"/>
      <c r="S205" s="1138"/>
      <c r="T205" s="1138"/>
      <c r="U205" s="1138"/>
      <c r="V205" s="858"/>
      <c r="W205" s="858">
        <f t="shared" si="640"/>
        <v>22000</v>
      </c>
      <c r="X205" s="1138"/>
      <c r="Y205" s="1138">
        <f t="shared" si="641"/>
        <v>180000</v>
      </c>
      <c r="Z205" s="1138">
        <f t="shared" si="487"/>
        <v>75000</v>
      </c>
      <c r="AA205" s="1138">
        <f t="shared" si="488"/>
        <v>349400</v>
      </c>
      <c r="AB205" s="1138">
        <f t="shared" si="543"/>
        <v>2569400</v>
      </c>
      <c r="AC205" s="1138">
        <f t="shared" si="544"/>
        <v>64235</v>
      </c>
      <c r="AD205" s="1138">
        <f t="shared" si="545"/>
        <v>2633635</v>
      </c>
      <c r="AE205" s="1138">
        <f t="shared" si="546"/>
        <v>65840.875</v>
      </c>
      <c r="AF205" s="1138">
        <f t="shared" si="547"/>
        <v>2699475.875</v>
      </c>
      <c r="AG205" s="1138">
        <f t="shared" si="548"/>
        <v>67486.896875000006</v>
      </c>
      <c r="AH205" s="1138">
        <f t="shared" si="549"/>
        <v>2766962.7718750001</v>
      </c>
      <c r="AI205" s="1138">
        <f t="shared" si="550"/>
        <v>138348.13859375002</v>
      </c>
      <c r="AJ205" s="1138">
        <f t="shared" si="551"/>
        <v>2905310.9104687502</v>
      </c>
      <c r="AK205" s="1138">
        <f t="shared" si="552"/>
        <v>29053.109104687501</v>
      </c>
      <c r="AL205" s="1138">
        <f t="shared" si="553"/>
        <v>27537.409960060559</v>
      </c>
      <c r="AM205" s="1138"/>
      <c r="AN205" s="1138"/>
      <c r="AO205" s="1138">
        <f t="shared" si="554"/>
        <v>2961901.4295334979</v>
      </c>
      <c r="AP205" s="1138">
        <f t="shared" si="555"/>
        <v>399856.69298702222</v>
      </c>
      <c r="AQ205" s="1248">
        <f t="shared" si="556"/>
        <v>3361758.1225205204</v>
      </c>
      <c r="AR205" s="1248">
        <f t="shared" si="515"/>
        <v>3031758.1225205204</v>
      </c>
      <c r="AS205" s="1248">
        <v>15000</v>
      </c>
      <c r="AT205" s="1248">
        <f t="shared" si="516"/>
        <v>330000</v>
      </c>
      <c r="AU205" s="1248">
        <f t="shared" si="557"/>
        <v>39600</v>
      </c>
      <c r="AV205" s="1140">
        <f t="shared" si="558"/>
        <v>369600</v>
      </c>
      <c r="AW205" s="1140">
        <f t="shared" si="559"/>
        <v>3401358.1225205204</v>
      </c>
      <c r="AX205" s="1139">
        <f t="shared" si="560"/>
        <v>42516.976531506509</v>
      </c>
      <c r="AY205" s="831" t="s">
        <v>478</v>
      </c>
      <c r="AZ205" s="831">
        <f t="shared" si="561"/>
        <v>3443875.0990520269</v>
      </c>
      <c r="BA205" s="831">
        <f t="shared" si="562"/>
        <v>129145.316214451</v>
      </c>
      <c r="BB205" s="831"/>
      <c r="BC205" s="831">
        <f t="shared" si="513"/>
        <v>33600</v>
      </c>
      <c r="BD205" s="831"/>
      <c r="BE205" s="831">
        <f t="shared" si="563"/>
        <v>3606620.415266478</v>
      </c>
      <c r="BF205" s="831"/>
      <c r="BG205" s="831">
        <f t="shared" si="564"/>
        <v>3606620.415266478</v>
      </c>
      <c r="BH205" s="831"/>
      <c r="BI205" s="831">
        <f t="shared" si="565"/>
        <v>3606620.415266478</v>
      </c>
      <c r="BJ205" s="831"/>
      <c r="BK205" s="831">
        <f t="shared" si="566"/>
        <v>3606620.415266478</v>
      </c>
      <c r="BL205" s="831"/>
      <c r="BM205" s="831">
        <f t="shared" si="567"/>
        <v>3606620.415266478</v>
      </c>
      <c r="BN205" s="831"/>
      <c r="BO205" s="831">
        <f t="shared" si="568"/>
        <v>3606620.415266478</v>
      </c>
      <c r="BP205" s="831"/>
      <c r="BQ205" s="831">
        <f t="shared" si="569"/>
        <v>3606620.415266478</v>
      </c>
      <c r="BR205" s="831"/>
      <c r="BS205" s="831">
        <f t="shared" si="570"/>
        <v>3606620.415266478</v>
      </c>
      <c r="BT205" s="831"/>
      <c r="BU205" s="831">
        <f t="shared" si="571"/>
        <v>3606620.415266478</v>
      </c>
      <c r="BV205" s="831"/>
      <c r="BW205" s="831">
        <f t="shared" si="572"/>
        <v>56400</v>
      </c>
      <c r="BX205" s="831">
        <f t="shared" si="573"/>
        <v>3663020.415266478</v>
      </c>
      <c r="BY205" s="831"/>
      <c r="BZ205" s="831">
        <f t="shared" si="574"/>
        <v>3663020.415266478</v>
      </c>
      <c r="CA205" s="1260">
        <f t="shared" si="575"/>
        <v>3663020.415266478</v>
      </c>
      <c r="CB205" s="1260">
        <f t="shared" si="576"/>
        <v>3487020.415266478</v>
      </c>
      <c r="CC205" s="1260">
        <v>8000</v>
      </c>
      <c r="CD205" s="1260">
        <f t="shared" si="577"/>
        <v>176000</v>
      </c>
      <c r="CE205" s="1260">
        <f t="shared" si="578"/>
        <v>21120</v>
      </c>
      <c r="CF205" s="1260">
        <f t="shared" si="579"/>
        <v>197120</v>
      </c>
      <c r="CG205" s="1266">
        <f t="shared" si="580"/>
        <v>3684140.415266478</v>
      </c>
      <c r="CH205" s="1141">
        <f t="shared" si="581"/>
        <v>3684140.415266478</v>
      </c>
      <c r="CI205" s="1142">
        <f t="shared" si="582"/>
        <v>0</v>
      </c>
      <c r="CJ205" s="1141">
        <f t="shared" si="583"/>
        <v>377624.39256481396</v>
      </c>
      <c r="CK205" s="1141">
        <f t="shared" si="584"/>
        <v>128944.91453432674</v>
      </c>
      <c r="CL205" s="1143">
        <f t="shared" si="489"/>
        <v>4190709.7223656187</v>
      </c>
      <c r="CM205" s="1144">
        <f t="shared" si="585"/>
        <v>0.125</v>
      </c>
      <c r="CN205" s="1141">
        <f t="shared" si="502"/>
        <v>523838.71529570234</v>
      </c>
      <c r="CO205" s="1141">
        <f t="shared" si="586"/>
        <v>30000</v>
      </c>
      <c r="CP205" s="1141">
        <f t="shared" si="503"/>
        <v>493838.71529570234</v>
      </c>
      <c r="CQ205" s="1145">
        <f t="shared" si="587"/>
        <v>17</v>
      </c>
      <c r="CR205" s="1141">
        <f t="shared" si="504"/>
        <v>29049.336193864845</v>
      </c>
      <c r="CS205" s="1144">
        <f t="shared" si="588"/>
        <v>0.875</v>
      </c>
      <c r="CT205" s="1141">
        <f t="shared" si="589"/>
        <v>3666871.0070699165</v>
      </c>
      <c r="CU205" s="1146">
        <f t="shared" si="529"/>
        <v>28429.21188833017</v>
      </c>
      <c r="CV205" s="1146">
        <f t="shared" si="530"/>
        <v>32958.873267235511</v>
      </c>
      <c r="CW205" s="1146">
        <f t="shared" si="531"/>
        <v>42575.481612175252</v>
      </c>
      <c r="CX205" s="1146">
        <f t="shared" si="532"/>
        <v>72608.440832842854</v>
      </c>
      <c r="CY205" s="1146">
        <f t="shared" si="590"/>
        <v>297871.58710616914</v>
      </c>
      <c r="CZ205" s="1146">
        <f t="shared" si="591"/>
        <v>117866.33600210311</v>
      </c>
      <c r="DA205" s="1146">
        <f t="shared" si="592"/>
        <v>85133.185130465281</v>
      </c>
      <c r="DB205" s="1146">
        <f t="shared" si="593"/>
        <v>64790.273213702523</v>
      </c>
      <c r="DC205" s="1146"/>
      <c r="DD205" s="1146"/>
      <c r="DE205" s="1146"/>
      <c r="DF205" s="1146"/>
      <c r="DG205" s="1146"/>
      <c r="DH205" s="1146"/>
      <c r="DI205" s="1146"/>
      <c r="DJ205" s="1146"/>
      <c r="DK205" s="1146"/>
      <c r="DL205" s="1146"/>
      <c r="DM205" s="1146"/>
      <c r="DN205" s="1146"/>
      <c r="DO205" s="1146"/>
      <c r="DP205" s="1146"/>
      <c r="DQ205" s="1146"/>
      <c r="DR205" s="1146"/>
      <c r="DS205" s="1146"/>
      <c r="DT205" s="1146"/>
      <c r="DU205" s="1146"/>
      <c r="DV205" s="1146"/>
      <c r="DW205" s="1146"/>
      <c r="DX205" s="1146"/>
      <c r="DY205" s="1146"/>
      <c r="DZ205" s="1146"/>
      <c r="EA205" s="1147">
        <f t="shared" si="533"/>
        <v>0.1088477334483554</v>
      </c>
      <c r="EB205" s="1148">
        <f t="shared" si="594"/>
        <v>5.6529637491364124E-2</v>
      </c>
      <c r="EC205" s="1190">
        <f t="shared" si="638"/>
        <v>45839</v>
      </c>
      <c r="ED205" s="1031">
        <f t="shared" si="534"/>
        <v>20</v>
      </c>
      <c r="EE205" s="1191"/>
      <c r="EF205" s="1032">
        <f t="shared" si="535"/>
        <v>45904</v>
      </c>
      <c r="EG205" s="1029">
        <f t="shared" si="595"/>
        <v>22</v>
      </c>
      <c r="EH205" s="859" t="s">
        <v>490</v>
      </c>
      <c r="EI205" s="859" t="s">
        <v>480</v>
      </c>
      <c r="EJ205" s="860">
        <f t="shared" si="536"/>
        <v>16800</v>
      </c>
      <c r="EK205" s="860">
        <f t="shared" si="537"/>
        <v>369600</v>
      </c>
      <c r="EL205" s="861">
        <f t="shared" si="538"/>
        <v>0.12190946146215804</v>
      </c>
      <c r="EM205" s="1197"/>
      <c r="EN205" s="860"/>
      <c r="EO205" s="860"/>
      <c r="EP205" s="860">
        <f t="shared" si="539"/>
        <v>0</v>
      </c>
      <c r="EQ205" s="1197"/>
      <c r="ER205" s="1200"/>
      <c r="ES205" s="1197"/>
      <c r="ET205" s="1207" t="s">
        <v>687</v>
      </c>
      <c r="EU205" s="1197" t="b">
        <f t="shared" si="540"/>
        <v>1</v>
      </c>
      <c r="EV205" s="1197"/>
      <c r="EW205" s="1197"/>
      <c r="EX205" s="1197"/>
      <c r="EY205" s="1128" t="s">
        <v>587</v>
      </c>
      <c r="EZ205" s="1128" t="s">
        <v>611</v>
      </c>
      <c r="FA205" s="1169"/>
      <c r="FI205" s="1309" t="s">
        <v>149</v>
      </c>
      <c r="FJ205" s="1159" t="s">
        <v>149</v>
      </c>
      <c r="FK205" s="1160" t="b">
        <f t="shared" si="597"/>
        <v>1</v>
      </c>
      <c r="FL205" s="1131"/>
      <c r="FM205" s="1161"/>
      <c r="FO205" s="888"/>
      <c r="FU205" s="1295"/>
      <c r="FV205" s="1295"/>
      <c r="FW205" s="1023">
        <v>0.15</v>
      </c>
      <c r="FX205" s="1162">
        <v>15316.76875097682</v>
      </c>
      <c r="FY205" s="1163">
        <v>15795.417774444846</v>
      </c>
      <c r="GA205" s="1164">
        <f t="shared" si="598"/>
        <v>4190709.7223656187</v>
      </c>
      <c r="GB205" s="1165">
        <f t="shared" si="599"/>
        <v>0.15</v>
      </c>
      <c r="GC205" s="1154">
        <f t="shared" si="600"/>
        <v>628606.45835484273</v>
      </c>
      <c r="GD205" s="1164">
        <f t="shared" si="601"/>
        <v>30000</v>
      </c>
      <c r="GE205" s="1154">
        <f t="shared" si="602"/>
        <v>598606.45835484273</v>
      </c>
      <c r="GF205" s="1060">
        <f t="shared" si="603"/>
        <v>35</v>
      </c>
      <c r="GG205" s="1166">
        <f t="shared" si="604"/>
        <v>17103.041667281221</v>
      </c>
      <c r="GI205" s="1164">
        <f t="shared" si="605"/>
        <v>4190709.7223656187</v>
      </c>
      <c r="GJ205" s="1154">
        <f t="shared" si="606"/>
        <v>419070.97223656188</v>
      </c>
      <c r="GK205" s="1154">
        <f t="shared" si="607"/>
        <v>104767.74305914047</v>
      </c>
      <c r="GL205" s="1166">
        <v>15000</v>
      </c>
      <c r="GM205" s="1154">
        <f t="shared" si="608"/>
        <v>404070.97223656188</v>
      </c>
      <c r="GN205" s="1060">
        <f t="shared" si="609"/>
        <v>35</v>
      </c>
      <c r="GO205" s="1154">
        <f t="shared" si="610"/>
        <v>11544.884921044626</v>
      </c>
      <c r="GS205" s="1010">
        <f t="shared" si="611"/>
        <v>4190709.7223656187</v>
      </c>
      <c r="GT205" s="1011">
        <f t="shared" si="612"/>
        <v>0.125</v>
      </c>
      <c r="GU205" s="1010">
        <f t="shared" si="613"/>
        <v>523838.71529570234</v>
      </c>
      <c r="GV205" s="1010">
        <f t="shared" si="614"/>
        <v>30000</v>
      </c>
      <c r="GW205" s="1010">
        <f t="shared" si="615"/>
        <v>493838.71529570234</v>
      </c>
      <c r="GX205" s="1010">
        <f t="shared" si="616"/>
        <v>17</v>
      </c>
      <c r="GY205" s="1010">
        <f t="shared" si="617"/>
        <v>29049.336193864845</v>
      </c>
      <c r="GZ205" s="1011">
        <f t="shared" si="618"/>
        <v>0.875</v>
      </c>
      <c r="HA205" s="1010">
        <f t="shared" si="619"/>
        <v>3666871.0070699165</v>
      </c>
      <c r="HB205" s="1010">
        <f t="shared" si="620"/>
        <v>28429.21188833017</v>
      </c>
      <c r="HC205" s="1010">
        <f t="shared" si="621"/>
        <v>32958.873267235511</v>
      </c>
      <c r="HD205" s="1010">
        <f t="shared" si="622"/>
        <v>42575.481612175252</v>
      </c>
      <c r="HE205" s="1010">
        <f t="shared" si="623"/>
        <v>72608.440832842854</v>
      </c>
      <c r="HG205" s="1010">
        <f t="shared" si="624"/>
        <v>4190709.7223656187</v>
      </c>
      <c r="HH205" s="1011">
        <f t="shared" si="625"/>
        <v>0.125</v>
      </c>
      <c r="HI205" s="1010">
        <f t="shared" si="626"/>
        <v>523838.71529570234</v>
      </c>
      <c r="HJ205" s="1010">
        <f t="shared" si="627"/>
        <v>30000</v>
      </c>
      <c r="HK205" s="1010">
        <f t="shared" si="628"/>
        <v>493838.71529570234</v>
      </c>
      <c r="HL205" s="1012">
        <f t="shared" si="629"/>
        <v>33</v>
      </c>
      <c r="HM205" s="1167">
        <f t="shared" si="630"/>
        <v>14964.809554415222</v>
      </c>
      <c r="HN205" s="1168">
        <f t="shared" si="631"/>
        <v>0.875</v>
      </c>
      <c r="HO205" s="1167">
        <f t="shared" si="632"/>
        <v>3666871.0070699165</v>
      </c>
      <c r="HP205" s="1146">
        <f t="shared" si="633"/>
        <v>28429.21188833017</v>
      </c>
      <c r="HQ205" s="1146">
        <f t="shared" si="634"/>
        <v>32958.873267235511</v>
      </c>
      <c r="HR205" s="1146">
        <f t="shared" si="635"/>
        <v>42575.481612175252</v>
      </c>
      <c r="HS205" s="1146">
        <f t="shared" si="636"/>
        <v>72608.440832842854</v>
      </c>
      <c r="HU205" s="1167">
        <f t="shared" si="637"/>
        <v>-14084.526639449623</v>
      </c>
      <c r="HX205" s="1154"/>
      <c r="HY205" s="1154"/>
      <c r="IB205" s="1154"/>
      <c r="IC205" s="1154"/>
      <c r="ID205" s="1154"/>
      <c r="IE205" s="1154"/>
      <c r="IG205" s="1060"/>
    </row>
    <row r="206" spans="1:241" ht="14.25" customHeight="1">
      <c r="A206" s="1186">
        <f t="shared" si="490"/>
        <v>200</v>
      </c>
      <c r="B206" s="824"/>
      <c r="C206" s="855">
        <f t="shared" si="639"/>
        <v>5</v>
      </c>
      <c r="D206" s="856" t="s">
        <v>683</v>
      </c>
      <c r="E206" s="857" t="s">
        <v>528</v>
      </c>
      <c r="F206" s="1185"/>
      <c r="G206" s="764" t="s">
        <v>688</v>
      </c>
      <c r="H206" s="764" t="s">
        <v>499</v>
      </c>
      <c r="I206" s="764" t="s">
        <v>476</v>
      </c>
      <c r="J206" s="1139">
        <v>22</v>
      </c>
      <c r="K206" s="1142"/>
      <c r="L206" s="764" t="s">
        <v>344</v>
      </c>
      <c r="M206" s="764" t="s">
        <v>477</v>
      </c>
      <c r="N206" s="856">
        <f t="shared" si="542"/>
        <v>100909.09090909091</v>
      </c>
      <c r="O206" s="1138">
        <f t="shared" ref="O206:O219" si="642">J206*N206</f>
        <v>2220000</v>
      </c>
      <c r="P206" s="1138">
        <f t="shared" si="491"/>
        <v>22400</v>
      </c>
      <c r="Q206" s="1138">
        <f t="shared" si="528"/>
        <v>50000</v>
      </c>
      <c r="R206" s="1138"/>
      <c r="S206" s="1138"/>
      <c r="T206" s="1138"/>
      <c r="U206" s="1138"/>
      <c r="V206" s="858"/>
      <c r="W206" s="858">
        <f t="shared" si="640"/>
        <v>22000</v>
      </c>
      <c r="X206" s="1138"/>
      <c r="Y206" s="1138">
        <f t="shared" si="641"/>
        <v>180000</v>
      </c>
      <c r="Z206" s="1138">
        <f t="shared" ref="Z206:Z219" si="643">$Z$5</f>
        <v>75000</v>
      </c>
      <c r="AA206" s="1138">
        <f t="shared" ref="AA206:AA216" si="644">SUM(P206:Z206)</f>
        <v>349400</v>
      </c>
      <c r="AB206" s="1138">
        <f t="shared" si="543"/>
        <v>2569400</v>
      </c>
      <c r="AC206" s="1138">
        <f t="shared" si="544"/>
        <v>64235</v>
      </c>
      <c r="AD206" s="1138">
        <f t="shared" si="545"/>
        <v>2633635</v>
      </c>
      <c r="AE206" s="1138">
        <f t="shared" si="546"/>
        <v>65840.875</v>
      </c>
      <c r="AF206" s="1138">
        <f t="shared" si="547"/>
        <v>2699475.875</v>
      </c>
      <c r="AG206" s="1138">
        <f t="shared" si="548"/>
        <v>67486.896875000006</v>
      </c>
      <c r="AH206" s="1138">
        <f t="shared" si="549"/>
        <v>2766962.7718750001</v>
      </c>
      <c r="AI206" s="1138">
        <f t="shared" si="550"/>
        <v>138348.13859375002</v>
      </c>
      <c r="AJ206" s="1138">
        <f t="shared" si="551"/>
        <v>2905310.9104687502</v>
      </c>
      <c r="AK206" s="1138">
        <f t="shared" si="552"/>
        <v>29053.109104687501</v>
      </c>
      <c r="AL206" s="1138">
        <f t="shared" si="553"/>
        <v>27537.409960060559</v>
      </c>
      <c r="AM206" s="1138"/>
      <c r="AN206" s="1138"/>
      <c r="AO206" s="1138">
        <f t="shared" si="554"/>
        <v>2961901.4295334979</v>
      </c>
      <c r="AP206" s="1138">
        <f t="shared" si="555"/>
        <v>399856.69298702222</v>
      </c>
      <c r="AQ206" s="1248">
        <f t="shared" si="556"/>
        <v>3361758.1225205204</v>
      </c>
      <c r="AR206" s="1248">
        <f t="shared" si="515"/>
        <v>3031758.1225205204</v>
      </c>
      <c r="AS206" s="1248">
        <v>15000</v>
      </c>
      <c r="AT206" s="1248">
        <f t="shared" si="516"/>
        <v>330000</v>
      </c>
      <c r="AU206" s="1248">
        <f t="shared" si="557"/>
        <v>39600</v>
      </c>
      <c r="AV206" s="1140">
        <f t="shared" si="558"/>
        <v>369600</v>
      </c>
      <c r="AW206" s="1140">
        <f t="shared" si="559"/>
        <v>3401358.1225205204</v>
      </c>
      <c r="AX206" s="1139">
        <f t="shared" si="560"/>
        <v>42516.976531506509</v>
      </c>
      <c r="AY206" s="831">
        <v>13444.671373913045</v>
      </c>
      <c r="AZ206" s="831">
        <f t="shared" si="561"/>
        <v>3457319.7704259399</v>
      </c>
      <c r="BA206" s="831">
        <f t="shared" si="562"/>
        <v>129649.49139097275</v>
      </c>
      <c r="BB206" s="831"/>
      <c r="BC206" s="831">
        <f t="shared" si="513"/>
        <v>33600</v>
      </c>
      <c r="BD206" s="831">
        <v>8990.8965517241377</v>
      </c>
      <c r="BE206" s="831">
        <f t="shared" si="563"/>
        <v>3629560.1583686369</v>
      </c>
      <c r="BF206" s="831">
        <v>42723.767172413798</v>
      </c>
      <c r="BG206" s="831">
        <f t="shared" si="564"/>
        <v>3672283.9255410507</v>
      </c>
      <c r="BH206" s="831"/>
      <c r="BI206" s="831">
        <f t="shared" si="565"/>
        <v>3672283.9255410507</v>
      </c>
      <c r="BJ206" s="831"/>
      <c r="BK206" s="831">
        <f t="shared" si="566"/>
        <v>3672283.9255410507</v>
      </c>
      <c r="BL206" s="831"/>
      <c r="BM206" s="831">
        <f t="shared" si="567"/>
        <v>3672283.9255410507</v>
      </c>
      <c r="BN206" s="831"/>
      <c r="BO206" s="831">
        <f t="shared" si="568"/>
        <v>3672283.9255410507</v>
      </c>
      <c r="BP206" s="831">
        <f t="shared" ref="BP206:BP207" si="645">$BP$5/37</f>
        <v>5065.3710270270276</v>
      </c>
      <c r="BQ206" s="831">
        <f t="shared" si="569"/>
        <v>3677349.296568078</v>
      </c>
      <c r="BR206" s="831">
        <f t="shared" ref="BR206:BR207" si="646">$BR$5/42</f>
        <v>3544.6104</v>
      </c>
      <c r="BS206" s="831">
        <f t="shared" si="570"/>
        <v>3680893.9069680781</v>
      </c>
      <c r="BT206" s="831">
        <f t="shared" ref="BT206:BT207" si="647">$BT$5/41</f>
        <v>1609.3168000000001</v>
      </c>
      <c r="BU206" s="831">
        <f t="shared" si="571"/>
        <v>3682503.2237680783</v>
      </c>
      <c r="BV206" s="831">
        <f t="shared" ref="BV206:BV207" si="648">$BV$5/43</f>
        <v>1163.3400930232558</v>
      </c>
      <c r="BW206" s="831">
        <f t="shared" si="572"/>
        <v>56400</v>
      </c>
      <c r="BX206" s="831">
        <f t="shared" si="573"/>
        <v>3740066.5638611014</v>
      </c>
      <c r="BY206" s="831">
        <f t="shared" ref="BY206:BY207" si="649">$BY$5/44</f>
        <v>30549.183723443901</v>
      </c>
      <c r="BZ206" s="831">
        <f t="shared" si="574"/>
        <v>3770615.7475845455</v>
      </c>
      <c r="CA206" s="1260">
        <f t="shared" si="575"/>
        <v>3770615.7475845455</v>
      </c>
      <c r="CB206" s="1260">
        <f t="shared" si="576"/>
        <v>3594615.7475845455</v>
      </c>
      <c r="CC206" s="1260">
        <v>8000</v>
      </c>
      <c r="CD206" s="1260">
        <f t="shared" si="577"/>
        <v>176000</v>
      </c>
      <c r="CE206" s="1260">
        <f t="shared" si="578"/>
        <v>21120</v>
      </c>
      <c r="CF206" s="1260">
        <f t="shared" si="579"/>
        <v>197120</v>
      </c>
      <c r="CG206" s="1266">
        <f t="shared" si="580"/>
        <v>3791735.7475845455</v>
      </c>
      <c r="CH206" s="1141">
        <f t="shared" si="581"/>
        <v>3791735.7475845455</v>
      </c>
      <c r="CI206" s="1142">
        <f t="shared" si="582"/>
        <v>0</v>
      </c>
      <c r="CJ206" s="1141">
        <f t="shared" si="583"/>
        <v>388652.91412741592</v>
      </c>
      <c r="CK206" s="1141">
        <f t="shared" si="584"/>
        <v>132710.75116545911</v>
      </c>
      <c r="CL206" s="1143">
        <f t="shared" ref="CL206:CL219" si="650">SUM(CH206:CK206)</f>
        <v>4313099.4128774209</v>
      </c>
      <c r="CM206" s="1144">
        <f t="shared" si="585"/>
        <v>0.125</v>
      </c>
      <c r="CN206" s="1141">
        <f t="shared" si="502"/>
        <v>539137.42660967761</v>
      </c>
      <c r="CO206" s="1141">
        <f t="shared" si="586"/>
        <v>30000</v>
      </c>
      <c r="CP206" s="1141">
        <f t="shared" si="503"/>
        <v>509137.42660967761</v>
      </c>
      <c r="CQ206" s="1145">
        <f t="shared" si="587"/>
        <v>17</v>
      </c>
      <c r="CR206" s="1141">
        <f t="shared" si="504"/>
        <v>29949.260388804567</v>
      </c>
      <c r="CS206" s="1144">
        <f t="shared" si="588"/>
        <v>0.875</v>
      </c>
      <c r="CT206" s="1141">
        <f t="shared" si="589"/>
        <v>3773961.9862677432</v>
      </c>
      <c r="CU206" s="1146">
        <f t="shared" si="529"/>
        <v>29259.48711019475</v>
      </c>
      <c r="CV206" s="1146">
        <f t="shared" si="530"/>
        <v>33921.437263798267</v>
      </c>
      <c r="CW206" s="1146">
        <f t="shared" si="531"/>
        <v>43818.898685444547</v>
      </c>
      <c r="CX206" s="1146">
        <f t="shared" si="532"/>
        <v>74728.970573819475</v>
      </c>
      <c r="CY206" s="1146">
        <f t="shared" si="590"/>
        <v>306570.92773661588</v>
      </c>
      <c r="CZ206" s="1146">
        <f t="shared" si="591"/>
        <v>121308.62271264968</v>
      </c>
      <c r="DA206" s="1146">
        <f t="shared" si="592"/>
        <v>87619.500067716523</v>
      </c>
      <c r="DB206" s="1146">
        <f t="shared" si="593"/>
        <v>66682.4733449786</v>
      </c>
      <c r="DC206" s="1146"/>
      <c r="DD206" s="1146"/>
      <c r="DE206" s="1146"/>
      <c r="DF206" s="1146"/>
      <c r="DG206" s="1146"/>
      <c r="DH206" s="1146"/>
      <c r="DI206" s="1146"/>
      <c r="DJ206" s="1146"/>
      <c r="DK206" s="1146"/>
      <c r="DL206" s="1146"/>
      <c r="DM206" s="1146"/>
      <c r="DN206" s="1146"/>
      <c r="DO206" s="1146"/>
      <c r="DP206" s="1146"/>
      <c r="DQ206" s="1146"/>
      <c r="DR206" s="1146"/>
      <c r="DS206" s="1146"/>
      <c r="DT206" s="1146"/>
      <c r="DU206" s="1146"/>
      <c r="DV206" s="1146"/>
      <c r="DW206" s="1146"/>
      <c r="DX206" s="1146"/>
      <c r="DY206" s="1146"/>
      <c r="DZ206" s="1146"/>
      <c r="EA206" s="1147">
        <f t="shared" si="533"/>
        <v>0.1088477334483554</v>
      </c>
      <c r="EB206" s="1148">
        <f t="shared" si="594"/>
        <v>5.4837572036025732E-2</v>
      </c>
      <c r="EC206" s="1190">
        <f t="shared" si="638"/>
        <v>45839</v>
      </c>
      <c r="ED206" s="1031">
        <f t="shared" si="534"/>
        <v>20</v>
      </c>
      <c r="EE206" s="1191"/>
      <c r="EF206" s="1032">
        <f t="shared" si="535"/>
        <v>45904</v>
      </c>
      <c r="EG206" s="1029">
        <f t="shared" si="595"/>
        <v>22</v>
      </c>
      <c r="EH206" s="859" t="s">
        <v>490</v>
      </c>
      <c r="EI206" s="859" t="s">
        <v>480</v>
      </c>
      <c r="EJ206" s="860">
        <f t="shared" si="536"/>
        <v>16800</v>
      </c>
      <c r="EK206" s="860">
        <f t="shared" si="537"/>
        <v>369600</v>
      </c>
      <c r="EL206" s="861">
        <f t="shared" si="538"/>
        <v>0.12190946146215804</v>
      </c>
      <c r="EM206" s="1197"/>
      <c r="EN206" s="860"/>
      <c r="EO206" s="860"/>
      <c r="EP206" s="860">
        <f t="shared" si="539"/>
        <v>0</v>
      </c>
      <c r="EQ206" s="1197"/>
      <c r="ER206" s="1200"/>
      <c r="ES206" s="1197"/>
      <c r="ET206" s="1207" t="s">
        <v>688</v>
      </c>
      <c r="EU206" s="1197" t="b">
        <f t="shared" si="540"/>
        <v>1</v>
      </c>
      <c r="EV206" s="1197"/>
      <c r="EW206" s="1197"/>
      <c r="EX206" s="1197"/>
      <c r="EY206" s="1128" t="s">
        <v>587</v>
      </c>
      <c r="EZ206" s="1128" t="s">
        <v>611</v>
      </c>
      <c r="FA206" s="1169"/>
      <c r="FI206" s="1309" t="s">
        <v>96</v>
      </c>
      <c r="FJ206" s="1159" t="s">
        <v>96</v>
      </c>
      <c r="FK206" s="1160" t="b">
        <f t="shared" si="597"/>
        <v>1</v>
      </c>
      <c r="FL206" s="1131"/>
      <c r="FM206" s="1161"/>
      <c r="FO206" s="888"/>
      <c r="FU206" s="1295"/>
      <c r="FV206" s="1295"/>
      <c r="FW206" s="1023">
        <v>0.15</v>
      </c>
      <c r="FX206" s="1162">
        <v>15316.76875097682</v>
      </c>
      <c r="FY206" s="1163">
        <v>15795.417774444846</v>
      </c>
      <c r="GA206" s="1164">
        <f t="shared" si="598"/>
        <v>4313099.4128774209</v>
      </c>
      <c r="GB206" s="1165">
        <f t="shared" si="599"/>
        <v>0.15</v>
      </c>
      <c r="GC206" s="1154">
        <f t="shared" si="600"/>
        <v>646964.91193161311</v>
      </c>
      <c r="GD206" s="1164">
        <f t="shared" si="601"/>
        <v>30000</v>
      </c>
      <c r="GE206" s="1154">
        <f t="shared" si="602"/>
        <v>616964.91193161311</v>
      </c>
      <c r="GF206" s="1060">
        <f t="shared" si="603"/>
        <v>35</v>
      </c>
      <c r="GG206" s="1166">
        <f t="shared" si="604"/>
        <v>17627.568912331804</v>
      </c>
      <c r="GI206" s="1164">
        <f t="shared" si="605"/>
        <v>4313099.4128774209</v>
      </c>
      <c r="GJ206" s="1154">
        <f t="shared" si="606"/>
        <v>431309.94128774211</v>
      </c>
      <c r="GK206" s="1154">
        <f t="shared" si="607"/>
        <v>107827.48532193553</v>
      </c>
      <c r="GL206" s="1166">
        <v>15000</v>
      </c>
      <c r="GM206" s="1154">
        <f t="shared" si="608"/>
        <v>416309.94128774211</v>
      </c>
      <c r="GN206" s="1060">
        <f t="shared" si="609"/>
        <v>35</v>
      </c>
      <c r="GO206" s="1154">
        <f t="shared" si="610"/>
        <v>11894.569751078347</v>
      </c>
      <c r="GS206" s="1010">
        <f t="shared" si="611"/>
        <v>4313099.4128774209</v>
      </c>
      <c r="GT206" s="1011">
        <f t="shared" si="612"/>
        <v>0.125</v>
      </c>
      <c r="GU206" s="1010">
        <f t="shared" si="613"/>
        <v>539137.42660967761</v>
      </c>
      <c r="GV206" s="1010">
        <f t="shared" si="614"/>
        <v>30000</v>
      </c>
      <c r="GW206" s="1010">
        <f t="shared" si="615"/>
        <v>509137.42660967761</v>
      </c>
      <c r="GX206" s="1010">
        <f t="shared" si="616"/>
        <v>17</v>
      </c>
      <c r="GY206" s="1010">
        <f t="shared" si="617"/>
        <v>29949.260388804567</v>
      </c>
      <c r="GZ206" s="1011">
        <f t="shared" si="618"/>
        <v>0.875</v>
      </c>
      <c r="HA206" s="1010">
        <f t="shared" si="619"/>
        <v>3773961.9862677432</v>
      </c>
      <c r="HB206" s="1010">
        <f t="shared" si="620"/>
        <v>29259.48711019475</v>
      </c>
      <c r="HC206" s="1010">
        <f t="shared" si="621"/>
        <v>33921.437263798267</v>
      </c>
      <c r="HD206" s="1010">
        <f t="shared" si="622"/>
        <v>43818.898685444547</v>
      </c>
      <c r="HE206" s="1010">
        <f t="shared" si="623"/>
        <v>74728.970573819475</v>
      </c>
      <c r="HG206" s="1010">
        <f t="shared" si="624"/>
        <v>4313099.4128774209</v>
      </c>
      <c r="HH206" s="1011">
        <f t="shared" si="625"/>
        <v>0.125</v>
      </c>
      <c r="HI206" s="1010">
        <f t="shared" si="626"/>
        <v>539137.42660967761</v>
      </c>
      <c r="HJ206" s="1010">
        <f t="shared" si="627"/>
        <v>30000</v>
      </c>
      <c r="HK206" s="1010">
        <f t="shared" si="628"/>
        <v>509137.42660967761</v>
      </c>
      <c r="HL206" s="1012">
        <f t="shared" si="629"/>
        <v>33</v>
      </c>
      <c r="HM206" s="1167">
        <f t="shared" si="630"/>
        <v>15428.406866959927</v>
      </c>
      <c r="HN206" s="1168">
        <f t="shared" si="631"/>
        <v>0.875</v>
      </c>
      <c r="HO206" s="1167">
        <f t="shared" si="632"/>
        <v>3773961.9862677432</v>
      </c>
      <c r="HP206" s="1146">
        <f t="shared" si="633"/>
        <v>29259.48711019475</v>
      </c>
      <c r="HQ206" s="1146">
        <f t="shared" si="634"/>
        <v>33921.437263798267</v>
      </c>
      <c r="HR206" s="1146">
        <f t="shared" si="635"/>
        <v>43818.898685444547</v>
      </c>
      <c r="HS206" s="1146">
        <f t="shared" si="636"/>
        <v>74728.970573819475</v>
      </c>
      <c r="HU206" s="1167">
        <f t="shared" si="637"/>
        <v>-14520.85352184464</v>
      </c>
      <c r="HX206" s="1154"/>
      <c r="HY206" s="1154"/>
      <c r="IB206" s="1154"/>
      <c r="IC206" s="1154"/>
      <c r="ID206" s="1154"/>
      <c r="IE206" s="1154"/>
      <c r="IG206" s="1060"/>
    </row>
    <row r="207" spans="1:241" ht="14.25" customHeight="1">
      <c r="A207" s="1186">
        <f t="shared" ref="A207:A219" si="651">A206+1</f>
        <v>201</v>
      </c>
      <c r="B207" s="824"/>
      <c r="C207" s="855">
        <f t="shared" si="639"/>
        <v>6</v>
      </c>
      <c r="D207" s="856" t="s">
        <v>683</v>
      </c>
      <c r="E207" s="857" t="s">
        <v>528</v>
      </c>
      <c r="F207" s="1185"/>
      <c r="G207" s="764" t="s">
        <v>689</v>
      </c>
      <c r="H207" s="764" t="s">
        <v>503</v>
      </c>
      <c r="I207" s="764" t="s">
        <v>476</v>
      </c>
      <c r="J207" s="1139">
        <v>22</v>
      </c>
      <c r="K207" s="1142"/>
      <c r="L207" s="764" t="s">
        <v>344</v>
      </c>
      <c r="M207" s="764" t="s">
        <v>477</v>
      </c>
      <c r="N207" s="856">
        <f t="shared" si="542"/>
        <v>100909.09090909091</v>
      </c>
      <c r="O207" s="1138">
        <f t="shared" si="642"/>
        <v>2220000</v>
      </c>
      <c r="P207" s="1138">
        <f t="shared" ref="P207:P219" si="652">$P$13</f>
        <v>22400</v>
      </c>
      <c r="Q207" s="1138">
        <f t="shared" si="528"/>
        <v>50000</v>
      </c>
      <c r="R207" s="1138"/>
      <c r="S207" s="1138"/>
      <c r="T207" s="1138"/>
      <c r="U207" s="1138"/>
      <c r="V207" s="858"/>
      <c r="W207" s="858">
        <f t="shared" si="640"/>
        <v>22000</v>
      </c>
      <c r="X207" s="1138"/>
      <c r="Y207" s="1138">
        <f t="shared" si="641"/>
        <v>180000</v>
      </c>
      <c r="Z207" s="1138">
        <f t="shared" si="643"/>
        <v>75000</v>
      </c>
      <c r="AA207" s="1138">
        <f t="shared" si="644"/>
        <v>349400</v>
      </c>
      <c r="AB207" s="1138">
        <f t="shared" si="543"/>
        <v>2569400</v>
      </c>
      <c r="AC207" s="1138">
        <f t="shared" si="544"/>
        <v>64235</v>
      </c>
      <c r="AD207" s="1138">
        <f t="shared" si="545"/>
        <v>2633635</v>
      </c>
      <c r="AE207" s="1138">
        <f t="shared" si="546"/>
        <v>65840.875</v>
      </c>
      <c r="AF207" s="1138">
        <f t="shared" si="547"/>
        <v>2699475.875</v>
      </c>
      <c r="AG207" s="1138">
        <f t="shared" si="548"/>
        <v>67486.896875000006</v>
      </c>
      <c r="AH207" s="1138">
        <f t="shared" si="549"/>
        <v>2766962.7718750001</v>
      </c>
      <c r="AI207" s="1138">
        <f t="shared" si="550"/>
        <v>138348.13859375002</v>
      </c>
      <c r="AJ207" s="1138">
        <f t="shared" si="551"/>
        <v>2905310.9104687502</v>
      </c>
      <c r="AK207" s="1138">
        <f t="shared" si="552"/>
        <v>29053.109104687501</v>
      </c>
      <c r="AL207" s="1138">
        <f t="shared" si="553"/>
        <v>27537.409960060559</v>
      </c>
      <c r="AM207" s="1138"/>
      <c r="AN207" s="1138"/>
      <c r="AO207" s="1138">
        <f t="shared" si="554"/>
        <v>2961901.4295334979</v>
      </c>
      <c r="AP207" s="1138">
        <f t="shared" si="555"/>
        <v>399856.69298702222</v>
      </c>
      <c r="AQ207" s="1248">
        <f t="shared" si="556"/>
        <v>3361758.1225205204</v>
      </c>
      <c r="AR207" s="1248">
        <f t="shared" si="515"/>
        <v>3031758.1225205204</v>
      </c>
      <c r="AS207" s="1248">
        <v>15000</v>
      </c>
      <c r="AT207" s="1248">
        <f t="shared" si="516"/>
        <v>330000</v>
      </c>
      <c r="AU207" s="1248">
        <f t="shared" si="557"/>
        <v>39600</v>
      </c>
      <c r="AV207" s="1140">
        <f t="shared" si="558"/>
        <v>369600</v>
      </c>
      <c r="AW207" s="1140">
        <f t="shared" si="559"/>
        <v>3401358.1225205204</v>
      </c>
      <c r="AX207" s="1139">
        <f t="shared" si="560"/>
        <v>42516.976531506509</v>
      </c>
      <c r="AY207" s="831">
        <v>13444.671373913045</v>
      </c>
      <c r="AZ207" s="831">
        <f t="shared" si="561"/>
        <v>3457319.7704259399</v>
      </c>
      <c r="BA207" s="831">
        <f t="shared" si="562"/>
        <v>129649.49139097275</v>
      </c>
      <c r="BB207" s="831"/>
      <c r="BC207" s="831">
        <f t="shared" si="513"/>
        <v>33600</v>
      </c>
      <c r="BD207" s="831">
        <v>8990.8965517241377</v>
      </c>
      <c r="BE207" s="831">
        <f t="shared" si="563"/>
        <v>3629560.1583686369</v>
      </c>
      <c r="BF207" s="831">
        <v>42723.767172413798</v>
      </c>
      <c r="BG207" s="831">
        <f t="shared" si="564"/>
        <v>3672283.9255410507</v>
      </c>
      <c r="BH207" s="831"/>
      <c r="BI207" s="831">
        <f t="shared" si="565"/>
        <v>3672283.9255410507</v>
      </c>
      <c r="BJ207" s="831"/>
      <c r="BK207" s="831">
        <f t="shared" si="566"/>
        <v>3672283.9255410507</v>
      </c>
      <c r="BL207" s="831"/>
      <c r="BM207" s="831">
        <f t="shared" si="567"/>
        <v>3672283.9255410507</v>
      </c>
      <c r="BN207" s="831"/>
      <c r="BO207" s="831">
        <f t="shared" si="568"/>
        <v>3672283.9255410507</v>
      </c>
      <c r="BP207" s="831">
        <f t="shared" si="645"/>
        <v>5065.3710270270276</v>
      </c>
      <c r="BQ207" s="831">
        <f t="shared" si="569"/>
        <v>3677349.296568078</v>
      </c>
      <c r="BR207" s="831">
        <f t="shared" si="646"/>
        <v>3544.6104</v>
      </c>
      <c r="BS207" s="831">
        <f t="shared" si="570"/>
        <v>3680893.9069680781</v>
      </c>
      <c r="BT207" s="831">
        <f t="shared" si="647"/>
        <v>1609.3168000000001</v>
      </c>
      <c r="BU207" s="831">
        <f t="shared" si="571"/>
        <v>3682503.2237680783</v>
      </c>
      <c r="BV207" s="831">
        <f t="shared" si="648"/>
        <v>1163.3400930232558</v>
      </c>
      <c r="BW207" s="831">
        <f t="shared" si="572"/>
        <v>56400</v>
      </c>
      <c r="BX207" s="831">
        <f t="shared" si="573"/>
        <v>3740066.5638611014</v>
      </c>
      <c r="BY207" s="831">
        <f t="shared" si="649"/>
        <v>30549.183723443901</v>
      </c>
      <c r="BZ207" s="831">
        <f t="shared" si="574"/>
        <v>3770615.7475845455</v>
      </c>
      <c r="CA207" s="1260">
        <f t="shared" si="575"/>
        <v>3770615.7475845455</v>
      </c>
      <c r="CB207" s="1260">
        <f t="shared" si="576"/>
        <v>3594615.7475845455</v>
      </c>
      <c r="CC207" s="1260">
        <v>8000</v>
      </c>
      <c r="CD207" s="1260">
        <f t="shared" si="577"/>
        <v>176000</v>
      </c>
      <c r="CE207" s="1260">
        <f t="shared" si="578"/>
        <v>21120</v>
      </c>
      <c r="CF207" s="1260">
        <f t="shared" si="579"/>
        <v>197120</v>
      </c>
      <c r="CG207" s="1266">
        <f t="shared" si="580"/>
        <v>3791735.7475845455</v>
      </c>
      <c r="CH207" s="1141">
        <f t="shared" si="581"/>
        <v>3791735.7475845455</v>
      </c>
      <c r="CI207" s="1142">
        <f t="shared" si="582"/>
        <v>0</v>
      </c>
      <c r="CJ207" s="1141">
        <f t="shared" si="583"/>
        <v>388652.91412741592</v>
      </c>
      <c r="CK207" s="1141">
        <f t="shared" si="584"/>
        <v>132710.75116545911</v>
      </c>
      <c r="CL207" s="1143">
        <f t="shared" si="650"/>
        <v>4313099.4128774209</v>
      </c>
      <c r="CM207" s="1144">
        <f t="shared" si="585"/>
        <v>0.125</v>
      </c>
      <c r="CN207" s="1141">
        <f t="shared" si="502"/>
        <v>539137.42660967761</v>
      </c>
      <c r="CO207" s="1141">
        <f t="shared" si="586"/>
        <v>30000</v>
      </c>
      <c r="CP207" s="1141">
        <f t="shared" si="503"/>
        <v>509137.42660967761</v>
      </c>
      <c r="CQ207" s="1145">
        <f t="shared" si="587"/>
        <v>17</v>
      </c>
      <c r="CR207" s="1141">
        <f t="shared" si="504"/>
        <v>29949.260388804567</v>
      </c>
      <c r="CS207" s="1144">
        <f t="shared" si="588"/>
        <v>0.875</v>
      </c>
      <c r="CT207" s="1141">
        <f t="shared" si="589"/>
        <v>3773961.9862677432</v>
      </c>
      <c r="CU207" s="1146">
        <f t="shared" si="529"/>
        <v>29259.48711019475</v>
      </c>
      <c r="CV207" s="1146">
        <f t="shared" si="530"/>
        <v>33921.437263798267</v>
      </c>
      <c r="CW207" s="1146">
        <f t="shared" si="531"/>
        <v>43818.898685444547</v>
      </c>
      <c r="CX207" s="1146">
        <f t="shared" si="532"/>
        <v>74728.970573819475</v>
      </c>
      <c r="CY207" s="1146">
        <f t="shared" si="590"/>
        <v>306570.92773661588</v>
      </c>
      <c r="CZ207" s="1146">
        <f t="shared" si="591"/>
        <v>121308.62271264968</v>
      </c>
      <c r="DA207" s="1146">
        <f t="shared" si="592"/>
        <v>87619.500067716523</v>
      </c>
      <c r="DB207" s="1146">
        <f t="shared" si="593"/>
        <v>66682.4733449786</v>
      </c>
      <c r="DC207" s="1146"/>
      <c r="DD207" s="1146"/>
      <c r="DE207" s="1146"/>
      <c r="DF207" s="1146"/>
      <c r="DG207" s="1146"/>
      <c r="DH207" s="1146"/>
      <c r="DI207" s="1146"/>
      <c r="DJ207" s="1146"/>
      <c r="DK207" s="1146"/>
      <c r="DL207" s="1146"/>
      <c r="DM207" s="1146"/>
      <c r="DN207" s="1146"/>
      <c r="DO207" s="1146"/>
      <c r="DP207" s="1146"/>
      <c r="DQ207" s="1146"/>
      <c r="DR207" s="1146"/>
      <c r="DS207" s="1146"/>
      <c r="DT207" s="1146"/>
      <c r="DU207" s="1146"/>
      <c r="DV207" s="1146"/>
      <c r="DW207" s="1146"/>
      <c r="DX207" s="1146"/>
      <c r="DY207" s="1146"/>
      <c r="DZ207" s="1146"/>
      <c r="EA207" s="1147">
        <f t="shared" si="533"/>
        <v>0.1088477334483554</v>
      </c>
      <c r="EB207" s="1148">
        <f t="shared" si="594"/>
        <v>5.4837572036025732E-2</v>
      </c>
      <c r="EC207" s="1190">
        <f t="shared" si="638"/>
        <v>45839</v>
      </c>
      <c r="ED207" s="1031">
        <f t="shared" si="534"/>
        <v>20</v>
      </c>
      <c r="EE207" s="1191"/>
      <c r="EF207" s="1032">
        <f t="shared" si="535"/>
        <v>45904</v>
      </c>
      <c r="EG207" s="1029">
        <f t="shared" si="595"/>
        <v>22</v>
      </c>
      <c r="EH207" s="859" t="s">
        <v>490</v>
      </c>
      <c r="EI207" s="859" t="s">
        <v>480</v>
      </c>
      <c r="EJ207" s="860">
        <f t="shared" si="536"/>
        <v>16800</v>
      </c>
      <c r="EK207" s="860">
        <f t="shared" si="537"/>
        <v>369600</v>
      </c>
      <c r="EL207" s="861">
        <f t="shared" si="538"/>
        <v>0.12190946146215804</v>
      </c>
      <c r="EM207" s="1197"/>
      <c r="EN207" s="860"/>
      <c r="EO207" s="860"/>
      <c r="EP207" s="860">
        <f t="shared" si="539"/>
        <v>0</v>
      </c>
      <c r="EQ207" s="1197"/>
      <c r="ER207" s="1200"/>
      <c r="ES207" s="1197"/>
      <c r="ET207" s="1207" t="s">
        <v>689</v>
      </c>
      <c r="EU207" s="1197" t="b">
        <f t="shared" si="540"/>
        <v>1</v>
      </c>
      <c r="EV207" s="1197"/>
      <c r="EW207" s="1197"/>
      <c r="EX207" s="1197"/>
      <c r="EY207" s="1128" t="s">
        <v>587</v>
      </c>
      <c r="EZ207" s="1128" t="s">
        <v>611</v>
      </c>
      <c r="FA207" s="1169"/>
      <c r="FI207" s="1309" t="s">
        <v>96</v>
      </c>
      <c r="FJ207" s="1159" t="s">
        <v>96</v>
      </c>
      <c r="FK207" s="1160" t="b">
        <f t="shared" si="597"/>
        <v>1</v>
      </c>
      <c r="FL207" s="1131"/>
      <c r="FM207" s="1161"/>
      <c r="FO207" s="888"/>
      <c r="FU207" s="1295"/>
      <c r="FV207" s="1295"/>
      <c r="FW207" s="1023">
        <v>0.15</v>
      </c>
      <c r="FX207" s="1162">
        <v>15316.76875097682</v>
      </c>
      <c r="FY207" s="1163">
        <v>15795.417774444846</v>
      </c>
      <c r="GA207" s="1164">
        <f t="shared" si="598"/>
        <v>4313099.4128774209</v>
      </c>
      <c r="GB207" s="1165">
        <f t="shared" si="599"/>
        <v>0.15</v>
      </c>
      <c r="GC207" s="1154">
        <f t="shared" si="600"/>
        <v>646964.91193161311</v>
      </c>
      <c r="GD207" s="1164">
        <f t="shared" si="601"/>
        <v>30000</v>
      </c>
      <c r="GE207" s="1154">
        <f t="shared" si="602"/>
        <v>616964.91193161311</v>
      </c>
      <c r="GF207" s="1060">
        <f t="shared" si="603"/>
        <v>35</v>
      </c>
      <c r="GG207" s="1166">
        <f t="shared" si="604"/>
        <v>17627.568912331804</v>
      </c>
      <c r="GI207" s="1164">
        <f t="shared" si="605"/>
        <v>4313099.4128774209</v>
      </c>
      <c r="GJ207" s="1154">
        <f t="shared" si="606"/>
        <v>431309.94128774211</v>
      </c>
      <c r="GK207" s="1154">
        <f t="shared" si="607"/>
        <v>107827.48532193553</v>
      </c>
      <c r="GL207" s="1166">
        <v>15000</v>
      </c>
      <c r="GM207" s="1154">
        <f t="shared" si="608"/>
        <v>416309.94128774211</v>
      </c>
      <c r="GN207" s="1060">
        <f t="shared" si="609"/>
        <v>35</v>
      </c>
      <c r="GO207" s="1154">
        <f t="shared" si="610"/>
        <v>11894.569751078347</v>
      </c>
      <c r="GS207" s="1010">
        <f t="shared" si="611"/>
        <v>4313099.4128774209</v>
      </c>
      <c r="GT207" s="1011">
        <f t="shared" si="612"/>
        <v>0.125</v>
      </c>
      <c r="GU207" s="1010">
        <f t="shared" si="613"/>
        <v>539137.42660967761</v>
      </c>
      <c r="GV207" s="1010">
        <f t="shared" si="614"/>
        <v>30000</v>
      </c>
      <c r="GW207" s="1010">
        <f t="shared" si="615"/>
        <v>509137.42660967761</v>
      </c>
      <c r="GX207" s="1010">
        <f t="shared" si="616"/>
        <v>17</v>
      </c>
      <c r="GY207" s="1010">
        <f t="shared" si="617"/>
        <v>29949.260388804567</v>
      </c>
      <c r="GZ207" s="1011">
        <f t="shared" si="618"/>
        <v>0.875</v>
      </c>
      <c r="HA207" s="1010">
        <f t="shared" si="619"/>
        <v>3773961.9862677432</v>
      </c>
      <c r="HB207" s="1010">
        <f t="shared" si="620"/>
        <v>29259.48711019475</v>
      </c>
      <c r="HC207" s="1010">
        <f t="shared" si="621"/>
        <v>33921.437263798267</v>
      </c>
      <c r="HD207" s="1010">
        <f t="shared" si="622"/>
        <v>43818.898685444547</v>
      </c>
      <c r="HE207" s="1010">
        <f t="shared" si="623"/>
        <v>74728.970573819475</v>
      </c>
      <c r="HG207" s="1010">
        <f t="shared" si="624"/>
        <v>4313099.4128774209</v>
      </c>
      <c r="HH207" s="1011">
        <f t="shared" si="625"/>
        <v>0.125</v>
      </c>
      <c r="HI207" s="1010">
        <f t="shared" si="626"/>
        <v>539137.42660967761</v>
      </c>
      <c r="HJ207" s="1010">
        <f t="shared" si="627"/>
        <v>30000</v>
      </c>
      <c r="HK207" s="1010">
        <f t="shared" si="628"/>
        <v>509137.42660967761</v>
      </c>
      <c r="HL207" s="1012">
        <f t="shared" si="629"/>
        <v>33</v>
      </c>
      <c r="HM207" s="1167">
        <f t="shared" si="630"/>
        <v>15428.406866959927</v>
      </c>
      <c r="HN207" s="1168">
        <f t="shared" si="631"/>
        <v>0.875</v>
      </c>
      <c r="HO207" s="1167">
        <f t="shared" si="632"/>
        <v>3773961.9862677432</v>
      </c>
      <c r="HP207" s="1146">
        <f t="shared" si="633"/>
        <v>29259.48711019475</v>
      </c>
      <c r="HQ207" s="1146">
        <f t="shared" si="634"/>
        <v>33921.437263798267</v>
      </c>
      <c r="HR207" s="1146">
        <f t="shared" si="635"/>
        <v>43818.898685444547</v>
      </c>
      <c r="HS207" s="1146">
        <f t="shared" si="636"/>
        <v>74728.970573819475</v>
      </c>
      <c r="HU207" s="1167">
        <f t="shared" si="637"/>
        <v>-14520.85352184464</v>
      </c>
      <c r="HX207" s="1154"/>
      <c r="HY207" s="1154"/>
      <c r="IB207" s="1154"/>
      <c r="IC207" s="1154"/>
      <c r="ID207" s="1154"/>
      <c r="IE207" s="1154"/>
      <c r="IG207" s="1060"/>
    </row>
    <row r="208" spans="1:241" ht="14.25" hidden="1" customHeight="1">
      <c r="A208" s="1186">
        <f t="shared" si="651"/>
        <v>202</v>
      </c>
      <c r="B208" s="824"/>
      <c r="C208" s="855">
        <f t="shared" si="639"/>
        <v>7</v>
      </c>
      <c r="D208" s="856" t="s">
        <v>683</v>
      </c>
      <c r="E208" s="857" t="s">
        <v>528</v>
      </c>
      <c r="F208" s="1185"/>
      <c r="G208" s="764" t="s">
        <v>690</v>
      </c>
      <c r="H208" s="764" t="s">
        <v>506</v>
      </c>
      <c r="I208" s="764" t="s">
        <v>476</v>
      </c>
      <c r="J208" s="831">
        <v>22</v>
      </c>
      <c r="K208" s="1142"/>
      <c r="L208" s="764" t="s">
        <v>344</v>
      </c>
      <c r="M208" s="764" t="s">
        <v>117</v>
      </c>
      <c r="N208" s="856">
        <f t="shared" si="542"/>
        <v>100909.09090909091</v>
      </c>
      <c r="O208" s="1138">
        <f t="shared" si="642"/>
        <v>2220000</v>
      </c>
      <c r="P208" s="1138">
        <f t="shared" si="652"/>
        <v>22400</v>
      </c>
      <c r="Q208" s="1138">
        <f t="shared" si="528"/>
        <v>50000</v>
      </c>
      <c r="R208" s="1138"/>
      <c r="S208" s="1138"/>
      <c r="T208" s="1138"/>
      <c r="U208" s="1138"/>
      <c r="V208" s="858">
        <f t="shared" ref="V208:V209" si="653">J208*$V$5</f>
        <v>55000</v>
      </c>
      <c r="W208" s="1138"/>
      <c r="X208" s="1138"/>
      <c r="Y208" s="1138">
        <f t="shared" si="641"/>
        <v>180000</v>
      </c>
      <c r="Z208" s="1138">
        <f t="shared" si="643"/>
        <v>75000</v>
      </c>
      <c r="AA208" s="1138">
        <f t="shared" si="644"/>
        <v>382400</v>
      </c>
      <c r="AB208" s="1138">
        <f t="shared" si="543"/>
        <v>2602400</v>
      </c>
      <c r="AC208" s="1138">
        <f t="shared" si="544"/>
        <v>65060</v>
      </c>
      <c r="AD208" s="1138">
        <f t="shared" si="545"/>
        <v>2667460</v>
      </c>
      <c r="AE208" s="1138">
        <f t="shared" si="546"/>
        <v>66686.5</v>
      </c>
      <c r="AF208" s="1138">
        <f t="shared" si="547"/>
        <v>2734146.5</v>
      </c>
      <c r="AG208" s="1138">
        <f t="shared" si="548"/>
        <v>68353.662500000006</v>
      </c>
      <c r="AH208" s="1138">
        <f t="shared" si="549"/>
        <v>2802500.1625000001</v>
      </c>
      <c r="AI208" s="1138">
        <f t="shared" si="550"/>
        <v>140125.00812500002</v>
      </c>
      <c r="AJ208" s="1138">
        <f t="shared" si="551"/>
        <v>2942625.1706250003</v>
      </c>
      <c r="AK208" s="1138">
        <f t="shared" si="552"/>
        <v>29426.251706250005</v>
      </c>
      <c r="AL208" s="1138">
        <f t="shared" si="553"/>
        <v>27537.409960060559</v>
      </c>
      <c r="AM208" s="1138"/>
      <c r="AN208" s="1138"/>
      <c r="AO208" s="1138">
        <f t="shared" si="554"/>
        <v>2999588.8322913107</v>
      </c>
      <c r="AP208" s="1138">
        <f t="shared" si="555"/>
        <v>404944.49235932698</v>
      </c>
      <c r="AQ208" s="1248">
        <f t="shared" si="556"/>
        <v>3404533.3246506378</v>
      </c>
      <c r="AR208" s="1248">
        <f t="shared" si="515"/>
        <v>3074533.3246506378</v>
      </c>
      <c r="AS208" s="1248">
        <v>15000</v>
      </c>
      <c r="AT208" s="1248">
        <f t="shared" si="516"/>
        <v>330000</v>
      </c>
      <c r="AU208" s="1248">
        <f t="shared" si="557"/>
        <v>39600</v>
      </c>
      <c r="AV208" s="1140">
        <f t="shared" si="558"/>
        <v>369600</v>
      </c>
      <c r="AW208" s="1140">
        <f t="shared" si="559"/>
        <v>3444133.3246506378</v>
      </c>
      <c r="AX208" s="1139">
        <f t="shared" si="560"/>
        <v>43051.666558132973</v>
      </c>
      <c r="AY208" s="831" t="s">
        <v>478</v>
      </c>
      <c r="AZ208" s="831">
        <f t="shared" si="561"/>
        <v>3487184.9912087708</v>
      </c>
      <c r="BA208" s="831">
        <f t="shared" si="562"/>
        <v>130769.43717032889</v>
      </c>
      <c r="BB208" s="831"/>
      <c r="BC208" s="831">
        <f t="shared" si="513"/>
        <v>33600</v>
      </c>
      <c r="BD208" s="831"/>
      <c r="BE208" s="831">
        <f t="shared" si="563"/>
        <v>3651554.4283790998</v>
      </c>
      <c r="BF208" s="831"/>
      <c r="BG208" s="831">
        <f t="shared" si="564"/>
        <v>3651554.4283790998</v>
      </c>
      <c r="BH208" s="831"/>
      <c r="BI208" s="831">
        <f t="shared" si="565"/>
        <v>3651554.4283790998</v>
      </c>
      <c r="BJ208" s="831"/>
      <c r="BK208" s="831">
        <f t="shared" si="566"/>
        <v>3651554.4283790998</v>
      </c>
      <c r="BL208" s="831"/>
      <c r="BM208" s="831">
        <f t="shared" si="567"/>
        <v>3651554.4283790998</v>
      </c>
      <c r="BN208" s="831"/>
      <c r="BO208" s="831">
        <f t="shared" si="568"/>
        <v>3651554.4283790998</v>
      </c>
      <c r="BP208" s="831"/>
      <c r="BQ208" s="831">
        <f t="shared" si="569"/>
        <v>3651554.4283790998</v>
      </c>
      <c r="BR208" s="831"/>
      <c r="BS208" s="831">
        <f t="shared" si="570"/>
        <v>3651554.4283790998</v>
      </c>
      <c r="BT208" s="831"/>
      <c r="BU208" s="831">
        <f t="shared" si="571"/>
        <v>3651554.4283790998</v>
      </c>
      <c r="BV208" s="831"/>
      <c r="BW208" s="831">
        <f t="shared" si="572"/>
        <v>56400</v>
      </c>
      <c r="BX208" s="831">
        <f t="shared" si="573"/>
        <v>3707954.4283790998</v>
      </c>
      <c r="BY208" s="831"/>
      <c r="BZ208" s="831">
        <f t="shared" si="574"/>
        <v>3707954.4283790998</v>
      </c>
      <c r="CA208" s="1260">
        <f t="shared" si="575"/>
        <v>3707954.4283790998</v>
      </c>
      <c r="CB208" s="1260">
        <f t="shared" si="576"/>
        <v>3531954.4283790998</v>
      </c>
      <c r="CC208" s="1260">
        <v>8000</v>
      </c>
      <c r="CD208" s="1260">
        <f t="shared" si="577"/>
        <v>176000</v>
      </c>
      <c r="CE208" s="1260">
        <f t="shared" si="578"/>
        <v>21120</v>
      </c>
      <c r="CF208" s="1260">
        <f t="shared" si="579"/>
        <v>197120</v>
      </c>
      <c r="CG208" s="1266">
        <f t="shared" si="580"/>
        <v>3729074.4283790998</v>
      </c>
      <c r="CH208" s="1141">
        <f t="shared" si="581"/>
        <v>3729074.4283790998</v>
      </c>
      <c r="CI208" s="1142">
        <f t="shared" si="582"/>
        <v>0</v>
      </c>
      <c r="CJ208" s="1141">
        <f t="shared" si="583"/>
        <v>382230.1289088577</v>
      </c>
      <c r="CK208" s="1141">
        <f t="shared" si="584"/>
        <v>130517.60499326851</v>
      </c>
      <c r="CL208" s="1143">
        <f t="shared" si="650"/>
        <v>4241822.1622812264</v>
      </c>
      <c r="CM208" s="1144">
        <f t="shared" si="585"/>
        <v>0.125</v>
      </c>
      <c r="CN208" s="1141">
        <f t="shared" si="502"/>
        <v>530227.7702851533</v>
      </c>
      <c r="CO208" s="1141">
        <f t="shared" si="586"/>
        <v>30000</v>
      </c>
      <c r="CP208" s="1141">
        <f t="shared" si="503"/>
        <v>500227.7702851533</v>
      </c>
      <c r="CQ208" s="1145">
        <f t="shared" si="587"/>
        <v>17</v>
      </c>
      <c r="CR208" s="1141">
        <f t="shared" si="504"/>
        <v>29425.162957950193</v>
      </c>
      <c r="CS208" s="1144">
        <f t="shared" si="588"/>
        <v>0.875</v>
      </c>
      <c r="CT208" s="1141">
        <f t="shared" si="589"/>
        <v>3711594.3919960731</v>
      </c>
      <c r="CU208" s="1146">
        <f t="shared" si="529"/>
        <v>28775.951815635395</v>
      </c>
      <c r="CV208" s="1146">
        <f t="shared" si="530"/>
        <v>33360.859694633953</v>
      </c>
      <c r="CW208" s="1146">
        <f t="shared" si="531"/>
        <v>43094.758033103768</v>
      </c>
      <c r="CX208" s="1146">
        <f t="shared" si="532"/>
        <v>73494.017457162176</v>
      </c>
      <c r="CY208" s="1146">
        <f t="shared" si="590"/>
        <v>301504.60981763876</v>
      </c>
      <c r="CZ208" s="1146">
        <f t="shared" si="591"/>
        <v>119303.90539156194</v>
      </c>
      <c r="DA208" s="1146">
        <f t="shared" si="592"/>
        <v>86171.521139896387</v>
      </c>
      <c r="DB208" s="1146">
        <f t="shared" si="593"/>
        <v>65580.494719400565</v>
      </c>
      <c r="DC208" s="1146"/>
      <c r="DD208" s="1146"/>
      <c r="DE208" s="1146"/>
      <c r="DF208" s="1146"/>
      <c r="DG208" s="1146"/>
      <c r="DH208" s="1146"/>
      <c r="DI208" s="1146"/>
      <c r="DJ208" s="1146"/>
      <c r="DK208" s="1146"/>
      <c r="DL208" s="1146"/>
      <c r="DM208" s="1146"/>
      <c r="DN208" s="1146"/>
      <c r="DO208" s="1146"/>
      <c r="DP208" s="1146"/>
      <c r="DQ208" s="1146"/>
      <c r="DR208" s="1146"/>
      <c r="DS208" s="1146"/>
      <c r="DT208" s="1146"/>
      <c r="DU208" s="1146"/>
      <c r="DV208" s="1146"/>
      <c r="DW208" s="1146"/>
      <c r="DX208" s="1146"/>
      <c r="DY208" s="1146"/>
      <c r="DZ208" s="1146"/>
      <c r="EA208" s="1147">
        <f t="shared" si="533"/>
        <v>0.10733336254779356</v>
      </c>
      <c r="EB208" s="1148">
        <f t="shared" si="594"/>
        <v>5.5810459618660248E-2</v>
      </c>
      <c r="EC208" s="1190">
        <f t="shared" si="638"/>
        <v>45839</v>
      </c>
      <c r="ED208" s="1031">
        <f t="shared" si="534"/>
        <v>20</v>
      </c>
      <c r="EE208" s="1191"/>
      <c r="EF208" s="1032">
        <f t="shared" si="535"/>
        <v>45904</v>
      </c>
      <c r="EG208" s="1029">
        <f t="shared" si="595"/>
        <v>22</v>
      </c>
      <c r="EH208" s="859" t="s">
        <v>490</v>
      </c>
      <c r="EI208" s="859" t="s">
        <v>480</v>
      </c>
      <c r="EJ208" s="860">
        <f t="shared" si="536"/>
        <v>16800</v>
      </c>
      <c r="EK208" s="860">
        <f t="shared" si="537"/>
        <v>369600</v>
      </c>
      <c r="EL208" s="861">
        <f t="shared" si="538"/>
        <v>0.12021336605352879</v>
      </c>
      <c r="EM208" s="1197"/>
      <c r="EN208" s="860"/>
      <c r="EO208" s="860"/>
      <c r="EP208" s="860">
        <f t="shared" si="539"/>
        <v>0</v>
      </c>
      <c r="EQ208" s="1197"/>
      <c r="ER208" s="1200"/>
      <c r="ES208" s="1197"/>
      <c r="ET208" s="1207" t="s">
        <v>690</v>
      </c>
      <c r="EU208" s="1197" t="b">
        <f t="shared" si="540"/>
        <v>1</v>
      </c>
      <c r="EV208" s="1197"/>
      <c r="EW208" s="1197"/>
      <c r="EX208" s="1197"/>
      <c r="EY208" s="1128" t="s">
        <v>587</v>
      </c>
      <c r="EZ208" s="1128" t="s">
        <v>611</v>
      </c>
      <c r="FA208" s="1169"/>
      <c r="FI208" s="1309" t="s">
        <v>149</v>
      </c>
      <c r="FJ208" s="1159" t="s">
        <v>149</v>
      </c>
      <c r="FK208" s="1160" t="b">
        <f t="shared" si="597"/>
        <v>1</v>
      </c>
      <c r="FL208" s="1131"/>
      <c r="FM208" s="1161"/>
      <c r="FO208" s="888"/>
      <c r="FU208" s="1295"/>
      <c r="FV208" s="1295"/>
      <c r="FW208" s="1023">
        <v>0.15</v>
      </c>
      <c r="FX208" s="1162">
        <v>15817.804082673632</v>
      </c>
      <c r="FY208" s="1163">
        <v>16312.110460257183</v>
      </c>
      <c r="GA208" s="1164">
        <f t="shared" si="598"/>
        <v>4241822.1622812264</v>
      </c>
      <c r="GB208" s="1165">
        <f t="shared" si="599"/>
        <v>0.15</v>
      </c>
      <c r="GC208" s="1154">
        <f t="shared" si="600"/>
        <v>636273.32434218389</v>
      </c>
      <c r="GD208" s="1164">
        <f t="shared" si="601"/>
        <v>30000</v>
      </c>
      <c r="GE208" s="1154">
        <f t="shared" si="602"/>
        <v>606273.32434218389</v>
      </c>
      <c r="GF208" s="1060">
        <f t="shared" si="603"/>
        <v>35</v>
      </c>
      <c r="GG208" s="1166">
        <f t="shared" si="604"/>
        <v>17322.094981205253</v>
      </c>
      <c r="GI208" s="1164">
        <f t="shared" si="605"/>
        <v>4241822.1622812264</v>
      </c>
      <c r="GJ208" s="1154">
        <f t="shared" si="606"/>
        <v>424182.21622812265</v>
      </c>
      <c r="GK208" s="1154">
        <f t="shared" si="607"/>
        <v>106045.55405703066</v>
      </c>
      <c r="GL208" s="1166">
        <v>15000</v>
      </c>
      <c r="GM208" s="1154">
        <f t="shared" si="608"/>
        <v>409182.21622812265</v>
      </c>
      <c r="GN208" s="1060">
        <f t="shared" si="609"/>
        <v>35</v>
      </c>
      <c r="GO208" s="1154">
        <f t="shared" si="610"/>
        <v>11690.920463660646</v>
      </c>
      <c r="GS208" s="1010">
        <f t="shared" si="611"/>
        <v>4241822.1622812264</v>
      </c>
      <c r="GT208" s="1011">
        <f t="shared" si="612"/>
        <v>0.125</v>
      </c>
      <c r="GU208" s="1010">
        <f t="shared" si="613"/>
        <v>530227.7702851533</v>
      </c>
      <c r="GV208" s="1010">
        <f t="shared" si="614"/>
        <v>30000</v>
      </c>
      <c r="GW208" s="1010">
        <f t="shared" si="615"/>
        <v>500227.7702851533</v>
      </c>
      <c r="GX208" s="1010">
        <f t="shared" si="616"/>
        <v>17</v>
      </c>
      <c r="GY208" s="1010">
        <f t="shared" si="617"/>
        <v>29425.162957950193</v>
      </c>
      <c r="GZ208" s="1011">
        <f t="shared" si="618"/>
        <v>0.875</v>
      </c>
      <c r="HA208" s="1010">
        <f t="shared" si="619"/>
        <v>3711594.3919960731</v>
      </c>
      <c r="HB208" s="1010">
        <f t="shared" si="620"/>
        <v>28775.951815635395</v>
      </c>
      <c r="HC208" s="1010">
        <f t="shared" si="621"/>
        <v>33360.859694633953</v>
      </c>
      <c r="HD208" s="1010">
        <f t="shared" si="622"/>
        <v>43094.758033103768</v>
      </c>
      <c r="HE208" s="1010">
        <f t="shared" si="623"/>
        <v>73494.017457162176</v>
      </c>
      <c r="HG208" s="1010">
        <f t="shared" si="624"/>
        <v>4241822.1622812264</v>
      </c>
      <c r="HH208" s="1011">
        <f t="shared" si="625"/>
        <v>0.125</v>
      </c>
      <c r="HI208" s="1010">
        <f t="shared" si="626"/>
        <v>530227.7702851533</v>
      </c>
      <c r="HJ208" s="1010">
        <f t="shared" si="627"/>
        <v>30000</v>
      </c>
      <c r="HK208" s="1010">
        <f t="shared" si="628"/>
        <v>500227.7702851533</v>
      </c>
      <c r="HL208" s="1012">
        <f t="shared" si="629"/>
        <v>33</v>
      </c>
      <c r="HM208" s="1167">
        <f t="shared" si="630"/>
        <v>15158.417281368282</v>
      </c>
      <c r="HN208" s="1168">
        <f t="shared" si="631"/>
        <v>0.875</v>
      </c>
      <c r="HO208" s="1167">
        <f t="shared" si="632"/>
        <v>3711594.3919960731</v>
      </c>
      <c r="HP208" s="1146">
        <f t="shared" si="633"/>
        <v>28775.951815635395</v>
      </c>
      <c r="HQ208" s="1146">
        <f t="shared" si="634"/>
        <v>33360.859694633953</v>
      </c>
      <c r="HR208" s="1146">
        <f t="shared" si="635"/>
        <v>43094.758033103768</v>
      </c>
      <c r="HS208" s="1146">
        <f t="shared" si="636"/>
        <v>73494.017457162176</v>
      </c>
      <c r="HU208" s="1167">
        <f t="shared" si="637"/>
        <v>-14266.745676581912</v>
      </c>
      <c r="HX208" s="1154"/>
      <c r="HY208" s="1154"/>
      <c r="IB208" s="1154"/>
      <c r="IC208" s="1154"/>
      <c r="ID208" s="1154"/>
      <c r="IE208" s="1154"/>
      <c r="IG208" s="1060"/>
    </row>
    <row r="209" spans="1:241" ht="14.25" hidden="1" customHeight="1">
      <c r="A209" s="1186">
        <f t="shared" si="651"/>
        <v>203</v>
      </c>
      <c r="B209" s="824"/>
      <c r="C209" s="855">
        <f t="shared" si="639"/>
        <v>8</v>
      </c>
      <c r="D209" s="856" t="s">
        <v>683</v>
      </c>
      <c r="E209" s="857" t="s">
        <v>528</v>
      </c>
      <c r="F209" s="1185"/>
      <c r="G209" s="764" t="s">
        <v>691</v>
      </c>
      <c r="H209" s="764" t="s">
        <v>508</v>
      </c>
      <c r="I209" s="764" t="s">
        <v>476</v>
      </c>
      <c r="J209" s="831">
        <v>22</v>
      </c>
      <c r="K209" s="1142"/>
      <c r="L209" s="764" t="s">
        <v>500</v>
      </c>
      <c r="M209" s="764" t="s">
        <v>117</v>
      </c>
      <c r="N209" s="856">
        <f t="shared" si="542"/>
        <v>100909.09090909091</v>
      </c>
      <c r="O209" s="1138">
        <f t="shared" si="642"/>
        <v>2220000</v>
      </c>
      <c r="P209" s="1138">
        <f t="shared" si="652"/>
        <v>22400</v>
      </c>
      <c r="Q209" s="1138">
        <f t="shared" si="528"/>
        <v>50000</v>
      </c>
      <c r="R209" s="1138"/>
      <c r="S209" s="1138"/>
      <c r="T209" s="1138"/>
      <c r="U209" s="1138"/>
      <c r="V209" s="858">
        <f t="shared" si="653"/>
        <v>55000</v>
      </c>
      <c r="W209" s="1138"/>
      <c r="X209" s="1138"/>
      <c r="Y209" s="1138">
        <f t="shared" si="641"/>
        <v>180000</v>
      </c>
      <c r="Z209" s="1138">
        <f t="shared" si="643"/>
        <v>75000</v>
      </c>
      <c r="AA209" s="1138">
        <f t="shared" si="644"/>
        <v>382400</v>
      </c>
      <c r="AB209" s="1138">
        <f t="shared" si="543"/>
        <v>2602400</v>
      </c>
      <c r="AC209" s="1138">
        <f t="shared" si="544"/>
        <v>65060</v>
      </c>
      <c r="AD209" s="1138">
        <f t="shared" si="545"/>
        <v>2667460</v>
      </c>
      <c r="AE209" s="1138">
        <f t="shared" si="546"/>
        <v>66686.5</v>
      </c>
      <c r="AF209" s="1138">
        <f t="shared" si="547"/>
        <v>2734146.5</v>
      </c>
      <c r="AG209" s="1138">
        <f t="shared" si="548"/>
        <v>68353.662500000006</v>
      </c>
      <c r="AH209" s="1138">
        <f t="shared" si="549"/>
        <v>2802500.1625000001</v>
      </c>
      <c r="AI209" s="1138">
        <f t="shared" si="550"/>
        <v>140125.00812500002</v>
      </c>
      <c r="AJ209" s="1138">
        <f t="shared" si="551"/>
        <v>2942625.1706250003</v>
      </c>
      <c r="AK209" s="1138">
        <f t="shared" si="552"/>
        <v>29426.251706250005</v>
      </c>
      <c r="AL209" s="1138">
        <f t="shared" si="553"/>
        <v>27537.409960060559</v>
      </c>
      <c r="AM209" s="1138"/>
      <c r="AN209" s="1138"/>
      <c r="AO209" s="1138">
        <f t="shared" si="554"/>
        <v>2999588.8322913107</v>
      </c>
      <c r="AP209" s="1138">
        <f t="shared" si="555"/>
        <v>404944.49235932698</v>
      </c>
      <c r="AQ209" s="1248">
        <f t="shared" si="556"/>
        <v>3404533.3246506378</v>
      </c>
      <c r="AR209" s="1248">
        <f t="shared" si="515"/>
        <v>3074533.3246506378</v>
      </c>
      <c r="AS209" s="1248">
        <v>15000</v>
      </c>
      <c r="AT209" s="1248">
        <f t="shared" si="516"/>
        <v>330000</v>
      </c>
      <c r="AU209" s="1248">
        <f t="shared" si="557"/>
        <v>39600</v>
      </c>
      <c r="AV209" s="1140">
        <f t="shared" si="558"/>
        <v>369600</v>
      </c>
      <c r="AW209" s="1140">
        <f t="shared" si="559"/>
        <v>3444133.3246506378</v>
      </c>
      <c r="AX209" s="1139">
        <f t="shared" si="560"/>
        <v>43051.666558132973</v>
      </c>
      <c r="AY209" s="831" t="s">
        <v>478</v>
      </c>
      <c r="AZ209" s="831">
        <f t="shared" si="561"/>
        <v>3487184.9912087708</v>
      </c>
      <c r="BA209" s="831">
        <f t="shared" si="562"/>
        <v>130769.43717032889</v>
      </c>
      <c r="BB209" s="831"/>
      <c r="BC209" s="831">
        <f t="shared" si="513"/>
        <v>33600</v>
      </c>
      <c r="BD209" s="831"/>
      <c r="BE209" s="831">
        <f t="shared" si="563"/>
        <v>3651554.4283790998</v>
      </c>
      <c r="BF209" s="831"/>
      <c r="BG209" s="831">
        <f t="shared" si="564"/>
        <v>3651554.4283790998</v>
      </c>
      <c r="BH209" s="831"/>
      <c r="BI209" s="831">
        <f t="shared" si="565"/>
        <v>3651554.4283790998</v>
      </c>
      <c r="BJ209" s="831"/>
      <c r="BK209" s="831">
        <f t="shared" si="566"/>
        <v>3651554.4283790998</v>
      </c>
      <c r="BL209" s="831"/>
      <c r="BM209" s="831">
        <f t="shared" si="567"/>
        <v>3651554.4283790998</v>
      </c>
      <c r="BN209" s="831"/>
      <c r="BO209" s="831">
        <f t="shared" si="568"/>
        <v>3651554.4283790998</v>
      </c>
      <c r="BP209" s="831"/>
      <c r="BQ209" s="831">
        <f t="shared" si="569"/>
        <v>3651554.4283790998</v>
      </c>
      <c r="BR209" s="831"/>
      <c r="BS209" s="831">
        <f t="shared" si="570"/>
        <v>3651554.4283790998</v>
      </c>
      <c r="BT209" s="831"/>
      <c r="BU209" s="831">
        <f t="shared" si="571"/>
        <v>3651554.4283790998</v>
      </c>
      <c r="BV209" s="831"/>
      <c r="BW209" s="831">
        <f t="shared" si="572"/>
        <v>56400</v>
      </c>
      <c r="BX209" s="831">
        <f t="shared" si="573"/>
        <v>3707954.4283790998</v>
      </c>
      <c r="BY209" s="831"/>
      <c r="BZ209" s="831">
        <f t="shared" si="574"/>
        <v>3707954.4283790998</v>
      </c>
      <c r="CA209" s="1260">
        <f t="shared" si="575"/>
        <v>3707954.4283790998</v>
      </c>
      <c r="CB209" s="1260">
        <f t="shared" si="576"/>
        <v>3531954.4283790998</v>
      </c>
      <c r="CC209" s="1260">
        <v>8000</v>
      </c>
      <c r="CD209" s="1260">
        <f t="shared" si="577"/>
        <v>176000</v>
      </c>
      <c r="CE209" s="1260">
        <f t="shared" si="578"/>
        <v>21120</v>
      </c>
      <c r="CF209" s="1260">
        <f t="shared" si="579"/>
        <v>197120</v>
      </c>
      <c r="CG209" s="1266">
        <f t="shared" si="580"/>
        <v>3729074.4283790998</v>
      </c>
      <c r="CH209" s="1141">
        <f t="shared" si="581"/>
        <v>3729074.4283790998</v>
      </c>
      <c r="CI209" s="1142">
        <f t="shared" si="582"/>
        <v>0</v>
      </c>
      <c r="CJ209" s="1141">
        <f t="shared" si="583"/>
        <v>382230.1289088577</v>
      </c>
      <c r="CK209" s="1141">
        <f t="shared" si="584"/>
        <v>130517.60499326851</v>
      </c>
      <c r="CL209" s="1143">
        <f t="shared" si="650"/>
        <v>4241822.1622812264</v>
      </c>
      <c r="CM209" s="1144">
        <f t="shared" si="585"/>
        <v>0.125</v>
      </c>
      <c r="CN209" s="1141">
        <f t="shared" si="502"/>
        <v>530227.7702851533</v>
      </c>
      <c r="CO209" s="1141">
        <f t="shared" si="586"/>
        <v>30000</v>
      </c>
      <c r="CP209" s="1141">
        <f t="shared" si="503"/>
        <v>500227.7702851533</v>
      </c>
      <c r="CQ209" s="1145">
        <f t="shared" si="587"/>
        <v>17</v>
      </c>
      <c r="CR209" s="1141">
        <f t="shared" si="504"/>
        <v>29425.162957950193</v>
      </c>
      <c r="CS209" s="1144">
        <f t="shared" si="588"/>
        <v>0.875</v>
      </c>
      <c r="CT209" s="1141">
        <f t="shared" si="589"/>
        <v>3711594.3919960731</v>
      </c>
      <c r="CU209" s="1146">
        <f t="shared" si="529"/>
        <v>28775.951815635395</v>
      </c>
      <c r="CV209" s="1146">
        <f t="shared" si="530"/>
        <v>33360.859694633953</v>
      </c>
      <c r="CW209" s="1146">
        <f t="shared" si="531"/>
        <v>43094.758033103768</v>
      </c>
      <c r="CX209" s="1146">
        <f t="shared" si="532"/>
        <v>73494.017457162176</v>
      </c>
      <c r="CY209" s="1146">
        <f t="shared" si="590"/>
        <v>301504.60981763876</v>
      </c>
      <c r="CZ209" s="1146">
        <f t="shared" si="591"/>
        <v>119303.90539156194</v>
      </c>
      <c r="DA209" s="1146">
        <f t="shared" si="592"/>
        <v>86171.521139896387</v>
      </c>
      <c r="DB209" s="1146">
        <f t="shared" si="593"/>
        <v>65580.494719400565</v>
      </c>
      <c r="DC209" s="1146"/>
      <c r="DD209" s="1146"/>
      <c r="DE209" s="1146"/>
      <c r="DF209" s="1146"/>
      <c r="DG209" s="1146"/>
      <c r="DH209" s="1146"/>
      <c r="DI209" s="1146"/>
      <c r="DJ209" s="1146"/>
      <c r="DK209" s="1146"/>
      <c r="DL209" s="1146"/>
      <c r="DM209" s="1146"/>
      <c r="DN209" s="1146"/>
      <c r="DO209" s="1146"/>
      <c r="DP209" s="1146"/>
      <c r="DQ209" s="1146"/>
      <c r="DR209" s="1146"/>
      <c r="DS209" s="1146"/>
      <c r="DT209" s="1146"/>
      <c r="DU209" s="1146"/>
      <c r="DV209" s="1146"/>
      <c r="DW209" s="1146"/>
      <c r="DX209" s="1146"/>
      <c r="DY209" s="1146"/>
      <c r="DZ209" s="1146"/>
      <c r="EA209" s="1147">
        <f t="shared" si="533"/>
        <v>0.10733336254779356</v>
      </c>
      <c r="EB209" s="1148">
        <f t="shared" si="594"/>
        <v>5.5810459618660248E-2</v>
      </c>
      <c r="EC209" s="1190">
        <f t="shared" si="638"/>
        <v>45839</v>
      </c>
      <c r="ED209" s="1031">
        <f t="shared" si="534"/>
        <v>20</v>
      </c>
      <c r="EE209" s="1191"/>
      <c r="EF209" s="1032">
        <f t="shared" si="535"/>
        <v>45904</v>
      </c>
      <c r="EG209" s="1029">
        <f t="shared" si="595"/>
        <v>22</v>
      </c>
      <c r="EH209" s="859" t="s">
        <v>490</v>
      </c>
      <c r="EI209" s="859" t="s">
        <v>480</v>
      </c>
      <c r="EJ209" s="860">
        <f t="shared" si="536"/>
        <v>16800</v>
      </c>
      <c r="EK209" s="860">
        <f t="shared" si="537"/>
        <v>369600</v>
      </c>
      <c r="EL209" s="861">
        <f t="shared" si="538"/>
        <v>0.12021336605352879</v>
      </c>
      <c r="EM209" s="1197"/>
      <c r="EN209" s="860"/>
      <c r="EO209" s="860"/>
      <c r="EP209" s="860">
        <f t="shared" si="539"/>
        <v>0</v>
      </c>
      <c r="EQ209" s="1197"/>
      <c r="ER209" s="1200"/>
      <c r="ES209" s="1197"/>
      <c r="ET209" s="1207" t="s">
        <v>691</v>
      </c>
      <c r="EU209" s="1197" t="b">
        <f t="shared" si="540"/>
        <v>1</v>
      </c>
      <c r="EV209" s="1197"/>
      <c r="EW209" s="1197"/>
      <c r="EX209" s="1197"/>
      <c r="EY209" s="1128" t="s">
        <v>587</v>
      </c>
      <c r="EZ209" s="1128" t="s">
        <v>611</v>
      </c>
      <c r="FA209" s="1169"/>
      <c r="FI209" s="1309" t="s">
        <v>149</v>
      </c>
      <c r="FJ209" s="1159" t="s">
        <v>149</v>
      </c>
      <c r="FK209" s="1160" t="b">
        <f t="shared" si="597"/>
        <v>1</v>
      </c>
      <c r="FL209" s="1131"/>
      <c r="FM209" s="1161"/>
      <c r="FO209" s="888"/>
      <c r="FU209" s="1295"/>
      <c r="FV209" s="1295"/>
      <c r="FW209" s="1023">
        <v>0.15</v>
      </c>
      <c r="FX209" s="1162">
        <v>15817.804082673632</v>
      </c>
      <c r="FY209" s="1163">
        <v>16312.110460257183</v>
      </c>
      <c r="GA209" s="1164">
        <f t="shared" si="598"/>
        <v>4241822.1622812264</v>
      </c>
      <c r="GB209" s="1165">
        <f t="shared" si="599"/>
        <v>0.15</v>
      </c>
      <c r="GC209" s="1154">
        <f t="shared" si="600"/>
        <v>636273.32434218389</v>
      </c>
      <c r="GD209" s="1164">
        <f t="shared" si="601"/>
        <v>30000</v>
      </c>
      <c r="GE209" s="1154">
        <f t="shared" si="602"/>
        <v>606273.32434218389</v>
      </c>
      <c r="GF209" s="1060">
        <f t="shared" si="603"/>
        <v>35</v>
      </c>
      <c r="GG209" s="1166">
        <f t="shared" si="604"/>
        <v>17322.094981205253</v>
      </c>
      <c r="GI209" s="1164">
        <f t="shared" si="605"/>
        <v>4241822.1622812264</v>
      </c>
      <c r="GJ209" s="1154">
        <f t="shared" si="606"/>
        <v>424182.21622812265</v>
      </c>
      <c r="GK209" s="1154">
        <f t="shared" si="607"/>
        <v>106045.55405703066</v>
      </c>
      <c r="GL209" s="1166">
        <v>15000</v>
      </c>
      <c r="GM209" s="1154">
        <f t="shared" si="608"/>
        <v>409182.21622812265</v>
      </c>
      <c r="GN209" s="1060">
        <f t="shared" si="609"/>
        <v>35</v>
      </c>
      <c r="GO209" s="1154">
        <f t="shared" si="610"/>
        <v>11690.920463660646</v>
      </c>
      <c r="GS209" s="1010">
        <f t="shared" si="611"/>
        <v>4241822.1622812264</v>
      </c>
      <c r="GT209" s="1011">
        <f t="shared" si="612"/>
        <v>0.125</v>
      </c>
      <c r="GU209" s="1010">
        <f t="shared" si="613"/>
        <v>530227.7702851533</v>
      </c>
      <c r="GV209" s="1010">
        <f t="shared" si="614"/>
        <v>30000</v>
      </c>
      <c r="GW209" s="1010">
        <f t="shared" si="615"/>
        <v>500227.7702851533</v>
      </c>
      <c r="GX209" s="1010">
        <f t="shared" si="616"/>
        <v>17</v>
      </c>
      <c r="GY209" s="1010">
        <f t="shared" si="617"/>
        <v>29425.162957950193</v>
      </c>
      <c r="GZ209" s="1011">
        <f t="shared" si="618"/>
        <v>0.875</v>
      </c>
      <c r="HA209" s="1010">
        <f t="shared" si="619"/>
        <v>3711594.3919960731</v>
      </c>
      <c r="HB209" s="1010">
        <f t="shared" si="620"/>
        <v>28775.951815635395</v>
      </c>
      <c r="HC209" s="1010">
        <f t="shared" si="621"/>
        <v>33360.859694633953</v>
      </c>
      <c r="HD209" s="1010">
        <f t="shared" si="622"/>
        <v>43094.758033103768</v>
      </c>
      <c r="HE209" s="1010">
        <f t="shared" si="623"/>
        <v>73494.017457162176</v>
      </c>
      <c r="HG209" s="1010">
        <f t="shared" si="624"/>
        <v>4241822.1622812264</v>
      </c>
      <c r="HH209" s="1011">
        <f t="shared" si="625"/>
        <v>0.125</v>
      </c>
      <c r="HI209" s="1010">
        <f t="shared" si="626"/>
        <v>530227.7702851533</v>
      </c>
      <c r="HJ209" s="1010">
        <f t="shared" si="627"/>
        <v>30000</v>
      </c>
      <c r="HK209" s="1010">
        <f t="shared" si="628"/>
        <v>500227.7702851533</v>
      </c>
      <c r="HL209" s="1012">
        <f t="shared" si="629"/>
        <v>33</v>
      </c>
      <c r="HM209" s="1167">
        <f t="shared" si="630"/>
        <v>15158.417281368282</v>
      </c>
      <c r="HN209" s="1168">
        <f t="shared" si="631"/>
        <v>0.875</v>
      </c>
      <c r="HO209" s="1167">
        <f t="shared" si="632"/>
        <v>3711594.3919960731</v>
      </c>
      <c r="HP209" s="1146">
        <f t="shared" si="633"/>
        <v>28775.951815635395</v>
      </c>
      <c r="HQ209" s="1146">
        <f t="shared" si="634"/>
        <v>33360.859694633953</v>
      </c>
      <c r="HR209" s="1146">
        <f t="shared" si="635"/>
        <v>43094.758033103768</v>
      </c>
      <c r="HS209" s="1146">
        <f t="shared" si="636"/>
        <v>73494.017457162176</v>
      </c>
      <c r="HU209" s="1167">
        <f t="shared" si="637"/>
        <v>-14266.745676581912</v>
      </c>
      <c r="HX209" s="1154"/>
      <c r="HY209" s="1154"/>
      <c r="IB209" s="1154"/>
      <c r="IC209" s="1154"/>
      <c r="ID209" s="1154"/>
      <c r="IE209" s="1154"/>
      <c r="IG209" s="1060"/>
    </row>
    <row r="210" spans="1:241" ht="14.25" customHeight="1">
      <c r="A210" s="1186">
        <f t="shared" si="651"/>
        <v>204</v>
      </c>
      <c r="B210" s="824"/>
      <c r="C210" s="855">
        <f t="shared" si="639"/>
        <v>9</v>
      </c>
      <c r="D210" s="856" t="s">
        <v>683</v>
      </c>
      <c r="E210" s="857" t="s">
        <v>528</v>
      </c>
      <c r="F210" s="1185"/>
      <c r="G210" s="764" t="s">
        <v>692</v>
      </c>
      <c r="H210" s="764" t="s">
        <v>512</v>
      </c>
      <c r="I210" s="764" t="s">
        <v>476</v>
      </c>
      <c r="J210" s="1139">
        <v>22</v>
      </c>
      <c r="K210" s="1142"/>
      <c r="L210" s="764" t="s">
        <v>500</v>
      </c>
      <c r="M210" s="764" t="s">
        <v>93</v>
      </c>
      <c r="N210" s="856">
        <f t="shared" si="542"/>
        <v>100909.09090909091</v>
      </c>
      <c r="O210" s="1138">
        <f t="shared" si="642"/>
        <v>2220000</v>
      </c>
      <c r="P210" s="1138">
        <f t="shared" si="652"/>
        <v>22400</v>
      </c>
      <c r="Q210" s="1138">
        <f t="shared" si="528"/>
        <v>50000</v>
      </c>
      <c r="R210" s="1138"/>
      <c r="S210" s="1138"/>
      <c r="T210" s="1138"/>
      <c r="U210" s="1138"/>
      <c r="V210" s="858"/>
      <c r="W210" s="1138"/>
      <c r="X210" s="1138"/>
      <c r="Y210" s="1138">
        <f t="shared" si="641"/>
        <v>180000</v>
      </c>
      <c r="Z210" s="1138">
        <f t="shared" si="643"/>
        <v>75000</v>
      </c>
      <c r="AA210" s="1138">
        <f t="shared" si="644"/>
        <v>327400</v>
      </c>
      <c r="AB210" s="1138">
        <f t="shared" si="543"/>
        <v>2547400</v>
      </c>
      <c r="AC210" s="1138">
        <f t="shared" si="544"/>
        <v>63685</v>
      </c>
      <c r="AD210" s="1138">
        <f t="shared" si="545"/>
        <v>2611085</v>
      </c>
      <c r="AE210" s="1138">
        <f t="shared" si="546"/>
        <v>65277.125</v>
      </c>
      <c r="AF210" s="1138">
        <f t="shared" si="547"/>
        <v>2676362.125</v>
      </c>
      <c r="AG210" s="1138">
        <f t="shared" si="548"/>
        <v>66909.053125000006</v>
      </c>
      <c r="AH210" s="1138">
        <f t="shared" si="549"/>
        <v>2743271.1781250001</v>
      </c>
      <c r="AI210" s="1138">
        <f t="shared" si="550"/>
        <v>137163.55890625002</v>
      </c>
      <c r="AJ210" s="1138">
        <f t="shared" si="551"/>
        <v>2880434.7370312503</v>
      </c>
      <c r="AK210" s="1138">
        <f t="shared" si="552"/>
        <v>28804.347370312502</v>
      </c>
      <c r="AL210" s="1138">
        <f t="shared" si="553"/>
        <v>27537.409960060559</v>
      </c>
      <c r="AM210" s="1138"/>
      <c r="AN210" s="1138">
        <v>27150</v>
      </c>
      <c r="AO210" s="1138">
        <f t="shared" si="554"/>
        <v>2963926.4943616232</v>
      </c>
      <c r="AP210" s="1138">
        <f t="shared" si="555"/>
        <v>400130.07673881913</v>
      </c>
      <c r="AQ210" s="1248">
        <f t="shared" si="556"/>
        <v>3364056.5711004422</v>
      </c>
      <c r="AR210" s="1248">
        <f t="shared" si="515"/>
        <v>3034056.5711004422</v>
      </c>
      <c r="AS210" s="1248">
        <v>15000</v>
      </c>
      <c r="AT210" s="1248">
        <f t="shared" si="516"/>
        <v>330000</v>
      </c>
      <c r="AU210" s="1248">
        <f t="shared" si="557"/>
        <v>39600</v>
      </c>
      <c r="AV210" s="1140">
        <f t="shared" si="558"/>
        <v>369600</v>
      </c>
      <c r="AW210" s="1140">
        <f t="shared" si="559"/>
        <v>3403656.5711004422</v>
      </c>
      <c r="AX210" s="1139">
        <f t="shared" si="560"/>
        <v>42545.707138755533</v>
      </c>
      <c r="AY210" s="831">
        <v>13444.671373913045</v>
      </c>
      <c r="AZ210" s="831">
        <f t="shared" si="561"/>
        <v>3459646.9496131106</v>
      </c>
      <c r="BA210" s="831">
        <f t="shared" si="562"/>
        <v>129736.76061049165</v>
      </c>
      <c r="BB210" s="831"/>
      <c r="BC210" s="831">
        <f t="shared" si="513"/>
        <v>33600</v>
      </c>
      <c r="BD210" s="831">
        <v>8990.8965517241377</v>
      </c>
      <c r="BE210" s="831">
        <f t="shared" si="563"/>
        <v>3631974.6067753262</v>
      </c>
      <c r="BF210" s="831">
        <v>42723.767172413798</v>
      </c>
      <c r="BG210" s="831">
        <f t="shared" si="564"/>
        <v>3674698.3739477401</v>
      </c>
      <c r="BH210" s="831"/>
      <c r="BI210" s="831">
        <f t="shared" si="565"/>
        <v>3674698.3739477401</v>
      </c>
      <c r="BJ210" s="831"/>
      <c r="BK210" s="831">
        <f t="shared" si="566"/>
        <v>3674698.3739477401</v>
      </c>
      <c r="BL210" s="831"/>
      <c r="BM210" s="831">
        <f t="shared" si="567"/>
        <v>3674698.3739477401</v>
      </c>
      <c r="BN210" s="831"/>
      <c r="BO210" s="831">
        <f t="shared" si="568"/>
        <v>3674698.3739477401</v>
      </c>
      <c r="BP210" s="831">
        <f>$BP$5/37</f>
        <v>5065.3710270270276</v>
      </c>
      <c r="BQ210" s="831">
        <f t="shared" si="569"/>
        <v>3679763.7449747673</v>
      </c>
      <c r="BR210" s="831">
        <f>$BR$5/42</f>
        <v>3544.6104</v>
      </c>
      <c r="BS210" s="831">
        <f t="shared" si="570"/>
        <v>3683308.3553747674</v>
      </c>
      <c r="BT210" s="831">
        <f>$BT$5/41</f>
        <v>1609.3168000000001</v>
      </c>
      <c r="BU210" s="831">
        <f t="shared" si="571"/>
        <v>3684917.6721747676</v>
      </c>
      <c r="BV210" s="831">
        <f>$BV$5/43</f>
        <v>1163.3400930232558</v>
      </c>
      <c r="BW210" s="831">
        <f t="shared" si="572"/>
        <v>56400</v>
      </c>
      <c r="BX210" s="831">
        <f t="shared" si="573"/>
        <v>3742481.0122677907</v>
      </c>
      <c r="BY210" s="831">
        <f>$BY$5/44</f>
        <v>30549.183723443901</v>
      </c>
      <c r="BZ210" s="831">
        <f t="shared" si="574"/>
        <v>3773030.1959912349</v>
      </c>
      <c r="CA210" s="1260">
        <f t="shared" si="575"/>
        <v>3773030.1959912349</v>
      </c>
      <c r="CB210" s="1260">
        <f t="shared" si="576"/>
        <v>3597030.1959912349</v>
      </c>
      <c r="CC210" s="1260">
        <v>8000</v>
      </c>
      <c r="CD210" s="1260">
        <f t="shared" si="577"/>
        <v>176000</v>
      </c>
      <c r="CE210" s="1260">
        <f t="shared" si="578"/>
        <v>21120</v>
      </c>
      <c r="CF210" s="1260">
        <f t="shared" si="579"/>
        <v>197120</v>
      </c>
      <c r="CG210" s="1266">
        <f t="shared" si="580"/>
        <v>3794150.1959912349</v>
      </c>
      <c r="CH210" s="1141">
        <f t="shared" si="581"/>
        <v>3794150.1959912349</v>
      </c>
      <c r="CI210" s="1142">
        <f t="shared" si="582"/>
        <v>0</v>
      </c>
      <c r="CJ210" s="1141">
        <f t="shared" si="583"/>
        <v>388900.39508910157</v>
      </c>
      <c r="CK210" s="1141">
        <f t="shared" si="584"/>
        <v>132795.25685969324</v>
      </c>
      <c r="CL210" s="1143">
        <f t="shared" si="650"/>
        <v>4315845.8479400296</v>
      </c>
      <c r="CM210" s="1144">
        <f t="shared" si="585"/>
        <v>0.125</v>
      </c>
      <c r="CN210" s="1141">
        <f t="shared" si="502"/>
        <v>539480.7309925037</v>
      </c>
      <c r="CO210" s="1141">
        <f t="shared" si="586"/>
        <v>30000</v>
      </c>
      <c r="CP210" s="1141">
        <f t="shared" si="503"/>
        <v>509480.7309925037</v>
      </c>
      <c r="CQ210" s="1145">
        <f t="shared" si="587"/>
        <v>17</v>
      </c>
      <c r="CR210" s="1141">
        <f t="shared" si="504"/>
        <v>29969.454764264923</v>
      </c>
      <c r="CS210" s="1144">
        <f t="shared" si="588"/>
        <v>0.875</v>
      </c>
      <c r="CT210" s="1141">
        <f t="shared" si="589"/>
        <v>3776365.1169475261</v>
      </c>
      <c r="CU210" s="1146">
        <f t="shared" si="529"/>
        <v>29278.118556776637</v>
      </c>
      <c r="CV210" s="1146">
        <f t="shared" si="530"/>
        <v>33943.037281733683</v>
      </c>
      <c r="CW210" s="1146">
        <f t="shared" si="531"/>
        <v>43846.801070303867</v>
      </c>
      <c r="CX210" s="1146">
        <f t="shared" si="532"/>
        <v>74776.555441528253</v>
      </c>
      <c r="CY210" s="1146">
        <f t="shared" si="590"/>
        <v>306766.14168011985</v>
      </c>
      <c r="CZ210" s="1146">
        <f t="shared" si="591"/>
        <v>121385.86791915249</v>
      </c>
      <c r="DA210" s="1146">
        <f t="shared" si="592"/>
        <v>87675.293186334602</v>
      </c>
      <c r="DB210" s="1146">
        <f t="shared" si="593"/>
        <v>66724.934476829483</v>
      </c>
      <c r="DC210" s="1146"/>
      <c r="DD210" s="1146"/>
      <c r="DE210" s="1146"/>
      <c r="DF210" s="1146"/>
      <c r="DG210" s="1146"/>
      <c r="DH210" s="1146"/>
      <c r="DI210" s="1146"/>
      <c r="DJ210" s="1146"/>
      <c r="DK210" s="1146"/>
      <c r="DL210" s="1146"/>
      <c r="DM210" s="1146"/>
      <c r="DN210" s="1146"/>
      <c r="DO210" s="1146"/>
      <c r="DP210" s="1146"/>
      <c r="DQ210" s="1146"/>
      <c r="DR210" s="1146"/>
      <c r="DS210" s="1146"/>
      <c r="DT210" s="1146"/>
      <c r="DU210" s="1146"/>
      <c r="DV210" s="1146"/>
      <c r="DW210" s="1146"/>
      <c r="DX210" s="1146"/>
      <c r="DY210" s="1146"/>
      <c r="DZ210" s="1146"/>
      <c r="EA210" s="1147">
        <f t="shared" si="533"/>
        <v>0.10876527588287851</v>
      </c>
      <c r="EB210" s="1148">
        <f t="shared" si="594"/>
        <v>5.4800763201733306E-2</v>
      </c>
      <c r="EC210" s="1190">
        <f t="shared" si="638"/>
        <v>45839</v>
      </c>
      <c r="ED210" s="1031">
        <f t="shared" si="534"/>
        <v>20</v>
      </c>
      <c r="EE210" s="1191"/>
      <c r="EF210" s="1032">
        <f t="shared" si="535"/>
        <v>45904</v>
      </c>
      <c r="EG210" s="1029">
        <f t="shared" si="595"/>
        <v>22</v>
      </c>
      <c r="EH210" s="859" t="s">
        <v>490</v>
      </c>
      <c r="EI210" s="859" t="s">
        <v>480</v>
      </c>
      <c r="EJ210" s="860">
        <f t="shared" si="536"/>
        <v>16800</v>
      </c>
      <c r="EK210" s="860">
        <f t="shared" si="537"/>
        <v>369600</v>
      </c>
      <c r="EL210" s="861">
        <f t="shared" si="538"/>
        <v>0.12181710898882393</v>
      </c>
      <c r="EM210" s="1197"/>
      <c r="EN210" s="860"/>
      <c r="EO210" s="860"/>
      <c r="EP210" s="860">
        <f t="shared" si="539"/>
        <v>0</v>
      </c>
      <c r="EQ210" s="1197"/>
      <c r="ER210" s="1200"/>
      <c r="ES210" s="1197"/>
      <c r="ET210" s="1207" t="s">
        <v>692</v>
      </c>
      <c r="EU210" s="1197" t="b">
        <f t="shared" si="540"/>
        <v>1</v>
      </c>
      <c r="EV210" s="1197"/>
      <c r="EW210" s="1197"/>
      <c r="EX210" s="1197"/>
      <c r="EY210" s="1128" t="s">
        <v>587</v>
      </c>
      <c r="EZ210" s="1128" t="s">
        <v>611</v>
      </c>
      <c r="FA210" s="1169"/>
      <c r="FI210" s="1309" t="s">
        <v>96</v>
      </c>
      <c r="FJ210" s="1159" t="s">
        <v>96</v>
      </c>
      <c r="FK210" s="1160" t="b">
        <f t="shared" si="597"/>
        <v>1</v>
      </c>
      <c r="FL210" s="1131"/>
      <c r="FM210" s="1161"/>
      <c r="FO210" s="888"/>
      <c r="FU210" s="1295"/>
      <c r="FV210" s="1295"/>
      <c r="FW210" s="1023">
        <v>0.15</v>
      </c>
      <c r="FX210" s="1162">
        <v>15172.551623090261</v>
      </c>
      <c r="FY210" s="1163">
        <v>15646.693861311833</v>
      </c>
      <c r="GA210" s="1164">
        <f t="shared" si="598"/>
        <v>4315845.8479400296</v>
      </c>
      <c r="GB210" s="1165">
        <f t="shared" si="599"/>
        <v>0.15</v>
      </c>
      <c r="GC210" s="1154">
        <f t="shared" si="600"/>
        <v>647376.87719100446</v>
      </c>
      <c r="GD210" s="1164">
        <f t="shared" si="601"/>
        <v>30000</v>
      </c>
      <c r="GE210" s="1154">
        <f t="shared" si="602"/>
        <v>617376.87719100446</v>
      </c>
      <c r="GF210" s="1060">
        <f t="shared" si="603"/>
        <v>35</v>
      </c>
      <c r="GG210" s="1166">
        <f t="shared" si="604"/>
        <v>17639.339348314414</v>
      </c>
      <c r="GI210" s="1164">
        <f t="shared" si="605"/>
        <v>4315845.8479400296</v>
      </c>
      <c r="GJ210" s="1154">
        <f t="shared" si="606"/>
        <v>431584.58479400299</v>
      </c>
      <c r="GK210" s="1154">
        <f t="shared" si="607"/>
        <v>107896.14619850075</v>
      </c>
      <c r="GL210" s="1166">
        <v>15000</v>
      </c>
      <c r="GM210" s="1154">
        <f t="shared" si="608"/>
        <v>416584.58479400299</v>
      </c>
      <c r="GN210" s="1060">
        <f t="shared" si="609"/>
        <v>35</v>
      </c>
      <c r="GO210" s="1154">
        <f t="shared" si="610"/>
        <v>11902.416708400086</v>
      </c>
      <c r="GS210" s="1010">
        <f t="shared" si="611"/>
        <v>4315845.8479400296</v>
      </c>
      <c r="GT210" s="1011">
        <f t="shared" si="612"/>
        <v>0.125</v>
      </c>
      <c r="GU210" s="1010">
        <f t="shared" si="613"/>
        <v>539480.7309925037</v>
      </c>
      <c r="GV210" s="1010">
        <f t="shared" si="614"/>
        <v>30000</v>
      </c>
      <c r="GW210" s="1010">
        <f t="shared" si="615"/>
        <v>509480.7309925037</v>
      </c>
      <c r="GX210" s="1010">
        <f t="shared" si="616"/>
        <v>17</v>
      </c>
      <c r="GY210" s="1010">
        <f t="shared" si="617"/>
        <v>29969.454764264923</v>
      </c>
      <c r="GZ210" s="1011">
        <f t="shared" si="618"/>
        <v>0.875</v>
      </c>
      <c r="HA210" s="1010">
        <f t="shared" si="619"/>
        <v>3776365.1169475261</v>
      </c>
      <c r="HB210" s="1010">
        <f t="shared" si="620"/>
        <v>29278.118556776637</v>
      </c>
      <c r="HC210" s="1010">
        <f t="shared" si="621"/>
        <v>33943.037281733683</v>
      </c>
      <c r="HD210" s="1010">
        <f t="shared" si="622"/>
        <v>43846.801070303867</v>
      </c>
      <c r="HE210" s="1010">
        <f t="shared" si="623"/>
        <v>74776.555441528253</v>
      </c>
      <c r="HG210" s="1010">
        <f t="shared" si="624"/>
        <v>4315845.8479400296</v>
      </c>
      <c r="HH210" s="1011">
        <f t="shared" si="625"/>
        <v>0.125</v>
      </c>
      <c r="HI210" s="1010">
        <f t="shared" si="626"/>
        <v>539480.7309925037</v>
      </c>
      <c r="HJ210" s="1010">
        <f t="shared" si="627"/>
        <v>30000</v>
      </c>
      <c r="HK210" s="1010">
        <f t="shared" si="628"/>
        <v>509480.7309925037</v>
      </c>
      <c r="HL210" s="1012">
        <f t="shared" si="629"/>
        <v>33</v>
      </c>
      <c r="HM210" s="1167">
        <f t="shared" si="630"/>
        <v>15438.810030075869</v>
      </c>
      <c r="HN210" s="1168">
        <f t="shared" si="631"/>
        <v>0.875</v>
      </c>
      <c r="HO210" s="1167">
        <f t="shared" si="632"/>
        <v>3776365.1169475261</v>
      </c>
      <c r="HP210" s="1146">
        <f t="shared" si="633"/>
        <v>29278.118556776637</v>
      </c>
      <c r="HQ210" s="1146">
        <f t="shared" si="634"/>
        <v>33943.037281733683</v>
      </c>
      <c r="HR210" s="1146">
        <f t="shared" si="635"/>
        <v>43846.801070303867</v>
      </c>
      <c r="HS210" s="1146">
        <f t="shared" si="636"/>
        <v>74776.555441528253</v>
      </c>
      <c r="HU210" s="1167">
        <f t="shared" si="637"/>
        <v>-14530.644734189054</v>
      </c>
      <c r="HX210" s="1154"/>
      <c r="HY210" s="1154"/>
      <c r="IB210" s="1154"/>
      <c r="IC210" s="1154"/>
      <c r="ID210" s="1154"/>
      <c r="IE210" s="1154"/>
      <c r="IG210" s="1060"/>
    </row>
    <row r="211" spans="1:241" ht="14.25" hidden="1" customHeight="1">
      <c r="A211" s="1186">
        <f t="shared" si="651"/>
        <v>205</v>
      </c>
      <c r="B211" s="824"/>
      <c r="C211" s="855">
        <f t="shared" si="639"/>
        <v>10</v>
      </c>
      <c r="D211" s="856" t="s">
        <v>683</v>
      </c>
      <c r="E211" s="857" t="s">
        <v>528</v>
      </c>
      <c r="F211" s="1185"/>
      <c r="G211" s="764" t="s">
        <v>693</v>
      </c>
      <c r="H211" s="764" t="s">
        <v>516</v>
      </c>
      <c r="I211" s="764" t="s">
        <v>476</v>
      </c>
      <c r="J211" s="1139">
        <v>22</v>
      </c>
      <c r="K211" s="1142"/>
      <c r="L211" s="764" t="s">
        <v>500</v>
      </c>
      <c r="M211" s="764" t="s">
        <v>93</v>
      </c>
      <c r="N211" s="856">
        <f t="shared" si="542"/>
        <v>100909.09090909091</v>
      </c>
      <c r="O211" s="1138">
        <f t="shared" si="642"/>
        <v>2220000</v>
      </c>
      <c r="P211" s="1138">
        <f t="shared" si="652"/>
        <v>22400</v>
      </c>
      <c r="Q211" s="1138">
        <f t="shared" si="528"/>
        <v>50000</v>
      </c>
      <c r="R211" s="1138"/>
      <c r="S211" s="1138"/>
      <c r="T211" s="1138"/>
      <c r="U211" s="1138"/>
      <c r="V211" s="858"/>
      <c r="W211" s="1138"/>
      <c r="X211" s="1138"/>
      <c r="Y211" s="1138">
        <f t="shared" si="641"/>
        <v>180000</v>
      </c>
      <c r="Z211" s="1138">
        <f t="shared" si="643"/>
        <v>75000</v>
      </c>
      <c r="AA211" s="1138">
        <f t="shared" si="644"/>
        <v>327400</v>
      </c>
      <c r="AB211" s="1138">
        <f t="shared" si="543"/>
        <v>2547400</v>
      </c>
      <c r="AC211" s="1138">
        <f t="shared" si="544"/>
        <v>63685</v>
      </c>
      <c r="AD211" s="1138">
        <f t="shared" si="545"/>
        <v>2611085</v>
      </c>
      <c r="AE211" s="1138">
        <f t="shared" si="546"/>
        <v>65277.125</v>
      </c>
      <c r="AF211" s="1138">
        <f t="shared" si="547"/>
        <v>2676362.125</v>
      </c>
      <c r="AG211" s="1138">
        <f t="shared" si="548"/>
        <v>66909.053125000006</v>
      </c>
      <c r="AH211" s="1138">
        <f t="shared" si="549"/>
        <v>2743271.1781250001</v>
      </c>
      <c r="AI211" s="1138">
        <f t="shared" si="550"/>
        <v>137163.55890625002</v>
      </c>
      <c r="AJ211" s="1138">
        <f t="shared" si="551"/>
        <v>2880434.7370312503</v>
      </c>
      <c r="AK211" s="1138">
        <f t="shared" si="552"/>
        <v>28804.347370312502</v>
      </c>
      <c r="AL211" s="1138">
        <f t="shared" si="553"/>
        <v>27537.409960060559</v>
      </c>
      <c r="AM211" s="1138"/>
      <c r="AN211" s="1138"/>
      <c r="AO211" s="1138">
        <f t="shared" si="554"/>
        <v>2936776.4943616232</v>
      </c>
      <c r="AP211" s="1138">
        <f t="shared" si="555"/>
        <v>396464.82673881913</v>
      </c>
      <c r="AQ211" s="1248">
        <f t="shared" si="556"/>
        <v>3333241.3211004422</v>
      </c>
      <c r="AR211" s="1248">
        <f t="shared" si="515"/>
        <v>3003241.3211004422</v>
      </c>
      <c r="AS211" s="1248">
        <v>15000</v>
      </c>
      <c r="AT211" s="1248">
        <f t="shared" si="516"/>
        <v>330000</v>
      </c>
      <c r="AU211" s="1248">
        <f t="shared" si="557"/>
        <v>39600</v>
      </c>
      <c r="AV211" s="1140">
        <f t="shared" si="558"/>
        <v>369600</v>
      </c>
      <c r="AW211" s="1140">
        <f t="shared" si="559"/>
        <v>3372841.3211004422</v>
      </c>
      <c r="AX211" s="1139">
        <f t="shared" si="560"/>
        <v>42160.51651375553</v>
      </c>
      <c r="AY211" s="831" t="s">
        <v>478</v>
      </c>
      <c r="AZ211" s="831">
        <f t="shared" si="561"/>
        <v>3415001.8376141977</v>
      </c>
      <c r="BA211" s="831">
        <f t="shared" si="562"/>
        <v>128062.56891053241</v>
      </c>
      <c r="BB211" s="831"/>
      <c r="BC211" s="831">
        <f t="shared" si="513"/>
        <v>33600</v>
      </c>
      <c r="BD211" s="831"/>
      <c r="BE211" s="831">
        <f t="shared" si="563"/>
        <v>3576664.4065247304</v>
      </c>
      <c r="BF211" s="831"/>
      <c r="BG211" s="831">
        <f t="shared" si="564"/>
        <v>3576664.4065247304</v>
      </c>
      <c r="BH211" s="831"/>
      <c r="BI211" s="831">
        <f t="shared" si="565"/>
        <v>3576664.4065247304</v>
      </c>
      <c r="BJ211" s="831"/>
      <c r="BK211" s="831">
        <f t="shared" si="566"/>
        <v>3576664.4065247304</v>
      </c>
      <c r="BL211" s="831"/>
      <c r="BM211" s="831">
        <f t="shared" si="567"/>
        <v>3576664.4065247304</v>
      </c>
      <c r="BN211" s="831"/>
      <c r="BO211" s="831">
        <f t="shared" si="568"/>
        <v>3576664.4065247304</v>
      </c>
      <c r="BP211" s="831"/>
      <c r="BQ211" s="831">
        <f t="shared" si="569"/>
        <v>3576664.4065247304</v>
      </c>
      <c r="BR211" s="831"/>
      <c r="BS211" s="831">
        <f t="shared" si="570"/>
        <v>3576664.4065247304</v>
      </c>
      <c r="BT211" s="831"/>
      <c r="BU211" s="831">
        <f t="shared" si="571"/>
        <v>3576664.4065247304</v>
      </c>
      <c r="BV211" s="831"/>
      <c r="BW211" s="831">
        <f t="shared" si="572"/>
        <v>56400</v>
      </c>
      <c r="BX211" s="831">
        <f t="shared" si="573"/>
        <v>3633064.4065247304</v>
      </c>
      <c r="BY211" s="831"/>
      <c r="BZ211" s="831">
        <f t="shared" si="574"/>
        <v>3633064.4065247304</v>
      </c>
      <c r="CA211" s="1260">
        <f t="shared" si="575"/>
        <v>3633064.4065247304</v>
      </c>
      <c r="CB211" s="1260">
        <f t="shared" si="576"/>
        <v>3633064.4065247304</v>
      </c>
      <c r="CC211" s="1260"/>
      <c r="CD211" s="1260">
        <f t="shared" si="577"/>
        <v>0</v>
      </c>
      <c r="CE211" s="1260">
        <f t="shared" si="578"/>
        <v>0</v>
      </c>
      <c r="CF211" s="1260">
        <f t="shared" si="579"/>
        <v>0</v>
      </c>
      <c r="CG211" s="1266">
        <f t="shared" si="580"/>
        <v>3633064.4065247304</v>
      </c>
      <c r="CH211" s="1141">
        <f t="shared" si="581"/>
        <v>3633064.4065247304</v>
      </c>
      <c r="CI211" s="1142">
        <f t="shared" si="582"/>
        <v>435967.72878296761</v>
      </c>
      <c r="CJ211" s="1141">
        <f t="shared" si="583"/>
        <v>372389.10166878486</v>
      </c>
      <c r="CK211" s="1141">
        <f t="shared" si="584"/>
        <v>127157.25422836558</v>
      </c>
      <c r="CL211" s="1143">
        <f t="shared" si="650"/>
        <v>4568578.4912048485</v>
      </c>
      <c r="CM211" s="1144">
        <f t="shared" si="585"/>
        <v>0.125</v>
      </c>
      <c r="CN211" s="1141">
        <f t="shared" si="502"/>
        <v>571072.31140060606</v>
      </c>
      <c r="CO211" s="1141">
        <f t="shared" si="586"/>
        <v>30000</v>
      </c>
      <c r="CP211" s="1141">
        <f t="shared" si="503"/>
        <v>541072.31140060606</v>
      </c>
      <c r="CQ211" s="1145">
        <f t="shared" si="587"/>
        <v>17</v>
      </c>
      <c r="CR211" s="1141">
        <f t="shared" si="504"/>
        <v>31827.783023565062</v>
      </c>
      <c r="CS211" s="1144">
        <f t="shared" si="588"/>
        <v>0.875</v>
      </c>
      <c r="CT211" s="1141">
        <f t="shared" si="589"/>
        <v>3997506.1798042422</v>
      </c>
      <c r="CU211" s="1146">
        <f t="shared" si="529"/>
        <v>30992.622863321027</v>
      </c>
      <c r="CV211" s="1146">
        <f t="shared" si="530"/>
        <v>35930.715673153383</v>
      </c>
      <c r="CW211" s="1146">
        <f t="shared" si="531"/>
        <v>46414.436320412213</v>
      </c>
      <c r="CX211" s="1146">
        <f t="shared" si="532"/>
        <v>79155.413532578008</v>
      </c>
      <c r="CY211" s="1146">
        <f t="shared" si="590"/>
        <v>324730.13311599835</v>
      </c>
      <c r="CZ211" s="1146">
        <f t="shared" si="591"/>
        <v>128494.13182270326</v>
      </c>
      <c r="DA211" s="1146">
        <f t="shared" si="592"/>
        <v>92809.491528144383</v>
      </c>
      <c r="DB211" s="1146">
        <f t="shared" si="593"/>
        <v>70632.295781230569</v>
      </c>
      <c r="DC211" s="1146"/>
      <c r="DD211" s="1146"/>
      <c r="DE211" s="1146"/>
      <c r="DF211" s="1146"/>
      <c r="DG211" s="1146"/>
      <c r="DH211" s="1146"/>
      <c r="DI211" s="1146"/>
      <c r="DJ211" s="1146"/>
      <c r="DK211" s="1146"/>
      <c r="DL211" s="1146"/>
      <c r="DM211" s="1146"/>
      <c r="DN211" s="1146"/>
      <c r="DO211" s="1146"/>
      <c r="DP211" s="1146"/>
      <c r="DQ211" s="1146"/>
      <c r="DR211" s="1146"/>
      <c r="DS211" s="1146"/>
      <c r="DT211" s="1146"/>
      <c r="DU211" s="1146"/>
      <c r="DV211" s="1146"/>
      <c r="DW211" s="1146"/>
      <c r="DX211" s="1146"/>
      <c r="DY211" s="1146"/>
      <c r="DZ211" s="1146"/>
      <c r="EA211" s="1147">
        <f t="shared" si="533"/>
        <v>0.10988127982971478</v>
      </c>
      <c r="EB211" s="1148">
        <f t="shared" si="594"/>
        <v>0</v>
      </c>
      <c r="EC211" s="1190">
        <f t="shared" si="638"/>
        <v>45839</v>
      </c>
      <c r="ED211" s="1031">
        <f t="shared" si="534"/>
        <v>20</v>
      </c>
      <c r="EE211" s="1191"/>
      <c r="EF211" s="1032">
        <f t="shared" si="535"/>
        <v>45904</v>
      </c>
      <c r="EG211" s="1029">
        <f t="shared" si="595"/>
        <v>22</v>
      </c>
      <c r="EH211" s="859" t="s">
        <v>490</v>
      </c>
      <c r="EI211" s="859" t="s">
        <v>480</v>
      </c>
      <c r="EJ211" s="860">
        <f t="shared" si="536"/>
        <v>16800</v>
      </c>
      <c r="EK211" s="860">
        <f t="shared" si="537"/>
        <v>369600</v>
      </c>
      <c r="EL211" s="861">
        <f t="shared" si="538"/>
        <v>0.12306703340928056</v>
      </c>
      <c r="EM211" s="1197"/>
      <c r="EN211" s="860"/>
      <c r="EO211" s="860"/>
      <c r="EP211" s="860">
        <f t="shared" si="539"/>
        <v>0</v>
      </c>
      <c r="EQ211" s="1197"/>
      <c r="ER211" s="1200"/>
      <c r="ES211" s="1197"/>
      <c r="ET211" s="1207" t="s">
        <v>693</v>
      </c>
      <c r="EU211" s="1197" t="b">
        <f t="shared" si="540"/>
        <v>1</v>
      </c>
      <c r="EV211" s="1197"/>
      <c r="EW211" s="1197"/>
      <c r="EX211" s="1197"/>
      <c r="EY211" s="1128" t="s">
        <v>587</v>
      </c>
      <c r="EZ211" s="1128" t="s">
        <v>484</v>
      </c>
      <c r="FA211" s="1169">
        <f t="shared" si="596"/>
        <v>0</v>
      </c>
      <c r="FI211" s="1309" t="s">
        <v>149</v>
      </c>
      <c r="FJ211" s="1159" t="s">
        <v>149</v>
      </c>
      <c r="FK211" s="1160" t="b">
        <f t="shared" si="597"/>
        <v>1</v>
      </c>
      <c r="FL211" s="1131"/>
      <c r="FM211" s="1161"/>
      <c r="FU211" s="1295"/>
      <c r="FV211" s="1295"/>
      <c r="FW211" s="1023">
        <v>0.15</v>
      </c>
      <c r="FX211" s="1162">
        <v>15172.551623090261</v>
      </c>
      <c r="FY211" s="1163">
        <v>15646.693861311833</v>
      </c>
      <c r="GA211" s="1164">
        <f t="shared" si="598"/>
        <v>4568578.4912048485</v>
      </c>
      <c r="GB211" s="1165">
        <f t="shared" si="599"/>
        <v>0.15</v>
      </c>
      <c r="GC211" s="1154">
        <f t="shared" si="600"/>
        <v>685286.77368072723</v>
      </c>
      <c r="GD211" s="1164">
        <f t="shared" si="601"/>
        <v>30000</v>
      </c>
      <c r="GE211" s="1154">
        <f t="shared" si="602"/>
        <v>655286.77368072723</v>
      </c>
      <c r="GF211" s="1060">
        <f t="shared" si="603"/>
        <v>35</v>
      </c>
      <c r="GG211" s="1166">
        <f t="shared" si="604"/>
        <v>18722.47924802078</v>
      </c>
      <c r="GI211" s="1164">
        <f t="shared" si="605"/>
        <v>4568578.4912048485</v>
      </c>
      <c r="GJ211" s="1154">
        <f t="shared" si="606"/>
        <v>456857.8491204849</v>
      </c>
      <c r="GK211" s="1154">
        <f t="shared" si="607"/>
        <v>114214.46228012122</v>
      </c>
      <c r="GL211" s="1166">
        <v>15000</v>
      </c>
      <c r="GM211" s="1154">
        <f t="shared" si="608"/>
        <v>441857.8491204849</v>
      </c>
      <c r="GN211" s="1060">
        <f t="shared" si="609"/>
        <v>35</v>
      </c>
      <c r="GO211" s="1154">
        <f t="shared" si="610"/>
        <v>12624.509974870996</v>
      </c>
      <c r="GS211" s="1010">
        <f t="shared" si="611"/>
        <v>4568578.4912048485</v>
      </c>
      <c r="GT211" s="1011">
        <f t="shared" si="612"/>
        <v>0.125</v>
      </c>
      <c r="GU211" s="1010">
        <f t="shared" si="613"/>
        <v>571072.31140060606</v>
      </c>
      <c r="GV211" s="1010">
        <f t="shared" si="614"/>
        <v>30000</v>
      </c>
      <c r="GW211" s="1010">
        <f t="shared" si="615"/>
        <v>541072.31140060606</v>
      </c>
      <c r="GX211" s="1010">
        <f t="shared" si="616"/>
        <v>17</v>
      </c>
      <c r="GY211" s="1010">
        <f t="shared" si="617"/>
        <v>31827.783023565062</v>
      </c>
      <c r="GZ211" s="1011">
        <f t="shared" si="618"/>
        <v>0.875</v>
      </c>
      <c r="HA211" s="1010">
        <f t="shared" si="619"/>
        <v>3997506.1798042422</v>
      </c>
      <c r="HB211" s="1010">
        <f t="shared" si="620"/>
        <v>30992.622863321027</v>
      </c>
      <c r="HC211" s="1010">
        <f t="shared" si="621"/>
        <v>35930.715673153383</v>
      </c>
      <c r="HD211" s="1010">
        <f t="shared" si="622"/>
        <v>46414.436320412213</v>
      </c>
      <c r="HE211" s="1010">
        <f t="shared" si="623"/>
        <v>79155.413532578008</v>
      </c>
      <c r="HG211" s="1010">
        <f t="shared" si="624"/>
        <v>4568578.4912048485</v>
      </c>
      <c r="HH211" s="1011">
        <f t="shared" si="625"/>
        <v>0.125</v>
      </c>
      <c r="HI211" s="1010">
        <f t="shared" si="626"/>
        <v>571072.31140060606</v>
      </c>
      <c r="HJ211" s="1010">
        <f t="shared" si="627"/>
        <v>30000</v>
      </c>
      <c r="HK211" s="1010">
        <f t="shared" si="628"/>
        <v>541072.31140060606</v>
      </c>
      <c r="HL211" s="1012">
        <f t="shared" si="629"/>
        <v>33</v>
      </c>
      <c r="HM211" s="1167">
        <f t="shared" si="630"/>
        <v>16396.130648503215</v>
      </c>
      <c r="HN211" s="1168">
        <f t="shared" si="631"/>
        <v>0.875</v>
      </c>
      <c r="HO211" s="1167">
        <f t="shared" si="632"/>
        <v>3997506.1798042422</v>
      </c>
      <c r="HP211" s="1146">
        <f t="shared" si="633"/>
        <v>30992.622863321027</v>
      </c>
      <c r="HQ211" s="1146">
        <f t="shared" si="634"/>
        <v>35930.715673153383</v>
      </c>
      <c r="HR211" s="1146">
        <f t="shared" si="635"/>
        <v>46414.436320412213</v>
      </c>
      <c r="HS211" s="1146">
        <f t="shared" si="636"/>
        <v>79155.413532578008</v>
      </c>
      <c r="HU211" s="1167">
        <f t="shared" si="637"/>
        <v>-15431.652375061847</v>
      </c>
      <c r="HX211" s="1154"/>
      <c r="HY211" s="1154"/>
      <c r="IB211" s="1154"/>
      <c r="IC211" s="1154"/>
      <c r="ID211" s="1154"/>
      <c r="IE211" s="1154"/>
      <c r="IG211" s="1060"/>
    </row>
    <row r="212" spans="1:241" ht="14.25" hidden="1" customHeight="1">
      <c r="A212" s="1186">
        <f t="shared" si="651"/>
        <v>206</v>
      </c>
      <c r="B212" s="824"/>
      <c r="C212" s="855">
        <f t="shared" si="639"/>
        <v>11</v>
      </c>
      <c r="D212" s="856" t="s">
        <v>683</v>
      </c>
      <c r="E212" s="857" t="s">
        <v>528</v>
      </c>
      <c r="F212" s="1185"/>
      <c r="G212" s="764" t="s">
        <v>694</v>
      </c>
      <c r="H212" s="764" t="s">
        <v>517</v>
      </c>
      <c r="I212" s="764" t="s">
        <v>476</v>
      </c>
      <c r="J212" s="1139">
        <v>22</v>
      </c>
      <c r="K212" s="1142"/>
      <c r="L212" s="764" t="s">
        <v>500</v>
      </c>
      <c r="M212" s="764" t="s">
        <v>93</v>
      </c>
      <c r="N212" s="856">
        <f t="shared" si="542"/>
        <v>100909.09090909091</v>
      </c>
      <c r="O212" s="1138">
        <f t="shared" si="642"/>
        <v>2220000</v>
      </c>
      <c r="P212" s="1138">
        <f t="shared" si="652"/>
        <v>22400</v>
      </c>
      <c r="Q212" s="1138">
        <f t="shared" si="528"/>
        <v>50000</v>
      </c>
      <c r="R212" s="1138"/>
      <c r="S212" s="1138"/>
      <c r="T212" s="1138"/>
      <c r="U212" s="1138"/>
      <c r="V212" s="858"/>
      <c r="W212" s="1138"/>
      <c r="X212" s="1138"/>
      <c r="Y212" s="1138">
        <f t="shared" si="641"/>
        <v>180000</v>
      </c>
      <c r="Z212" s="1138">
        <f t="shared" si="643"/>
        <v>75000</v>
      </c>
      <c r="AA212" s="1138">
        <f t="shared" si="644"/>
        <v>327400</v>
      </c>
      <c r="AB212" s="1138">
        <f t="shared" si="543"/>
        <v>2547400</v>
      </c>
      <c r="AC212" s="1138">
        <f t="shared" si="544"/>
        <v>63685</v>
      </c>
      <c r="AD212" s="1138">
        <f t="shared" si="545"/>
        <v>2611085</v>
      </c>
      <c r="AE212" s="1138">
        <f t="shared" si="546"/>
        <v>65277.125</v>
      </c>
      <c r="AF212" s="1138">
        <f t="shared" si="547"/>
        <v>2676362.125</v>
      </c>
      <c r="AG212" s="1138">
        <f t="shared" si="548"/>
        <v>66909.053125000006</v>
      </c>
      <c r="AH212" s="1138">
        <f t="shared" si="549"/>
        <v>2743271.1781250001</v>
      </c>
      <c r="AI212" s="1138">
        <f t="shared" si="550"/>
        <v>137163.55890625002</v>
      </c>
      <c r="AJ212" s="1138">
        <f t="shared" si="551"/>
        <v>2880434.7370312503</v>
      </c>
      <c r="AK212" s="1138">
        <f t="shared" si="552"/>
        <v>28804.347370312502</v>
      </c>
      <c r="AL212" s="1138">
        <f t="shared" si="553"/>
        <v>27537.409960060559</v>
      </c>
      <c r="AM212" s="1138"/>
      <c r="AN212" s="1138"/>
      <c r="AO212" s="1138">
        <f t="shared" si="554"/>
        <v>2936776.4943616232</v>
      </c>
      <c r="AP212" s="1138">
        <f t="shared" si="555"/>
        <v>396464.82673881913</v>
      </c>
      <c r="AQ212" s="1248">
        <f t="shared" si="556"/>
        <v>3333241.3211004422</v>
      </c>
      <c r="AR212" s="1248">
        <f t="shared" si="515"/>
        <v>3003241.3211004422</v>
      </c>
      <c r="AS212" s="1248">
        <v>15000</v>
      </c>
      <c r="AT212" s="1248">
        <f t="shared" si="516"/>
        <v>330000</v>
      </c>
      <c r="AU212" s="1248">
        <f t="shared" si="557"/>
        <v>39600</v>
      </c>
      <c r="AV212" s="1140">
        <f t="shared" si="558"/>
        <v>369600</v>
      </c>
      <c r="AW212" s="1140">
        <f t="shared" si="559"/>
        <v>3372841.3211004422</v>
      </c>
      <c r="AX212" s="1139">
        <f t="shared" si="560"/>
        <v>42160.51651375553</v>
      </c>
      <c r="AY212" s="831" t="s">
        <v>478</v>
      </c>
      <c r="AZ212" s="831">
        <f t="shared" si="561"/>
        <v>3415001.8376141977</v>
      </c>
      <c r="BA212" s="831">
        <f t="shared" si="562"/>
        <v>128062.56891053241</v>
      </c>
      <c r="BB212" s="831"/>
      <c r="BC212" s="831">
        <f t="shared" si="513"/>
        <v>33600</v>
      </c>
      <c r="BD212" s="831"/>
      <c r="BE212" s="831">
        <f t="shared" si="563"/>
        <v>3576664.4065247304</v>
      </c>
      <c r="BF212" s="831"/>
      <c r="BG212" s="831">
        <f t="shared" si="564"/>
        <v>3576664.4065247304</v>
      </c>
      <c r="BH212" s="831"/>
      <c r="BI212" s="831">
        <f t="shared" si="565"/>
        <v>3576664.4065247304</v>
      </c>
      <c r="BJ212" s="831"/>
      <c r="BK212" s="831">
        <f t="shared" si="566"/>
        <v>3576664.4065247304</v>
      </c>
      <c r="BL212" s="831"/>
      <c r="BM212" s="831">
        <f t="shared" si="567"/>
        <v>3576664.4065247304</v>
      </c>
      <c r="BN212" s="831"/>
      <c r="BO212" s="831">
        <f t="shared" si="568"/>
        <v>3576664.4065247304</v>
      </c>
      <c r="BP212" s="831"/>
      <c r="BQ212" s="831">
        <f t="shared" si="569"/>
        <v>3576664.4065247304</v>
      </c>
      <c r="BR212" s="831"/>
      <c r="BS212" s="831">
        <f t="shared" si="570"/>
        <v>3576664.4065247304</v>
      </c>
      <c r="BT212" s="831"/>
      <c r="BU212" s="831">
        <f t="shared" si="571"/>
        <v>3576664.4065247304</v>
      </c>
      <c r="BV212" s="831"/>
      <c r="BW212" s="831">
        <f t="shared" si="572"/>
        <v>56400</v>
      </c>
      <c r="BX212" s="831">
        <f t="shared" si="573"/>
        <v>3633064.4065247304</v>
      </c>
      <c r="BY212" s="831"/>
      <c r="BZ212" s="831">
        <f t="shared" si="574"/>
        <v>3633064.4065247304</v>
      </c>
      <c r="CA212" s="1260">
        <f t="shared" si="575"/>
        <v>3633064.4065247304</v>
      </c>
      <c r="CB212" s="1260">
        <f t="shared" si="576"/>
        <v>3633064.4065247304</v>
      </c>
      <c r="CC212" s="1260"/>
      <c r="CD212" s="1260">
        <f t="shared" si="577"/>
        <v>0</v>
      </c>
      <c r="CE212" s="1260">
        <f t="shared" si="578"/>
        <v>0</v>
      </c>
      <c r="CF212" s="1260">
        <f t="shared" si="579"/>
        <v>0</v>
      </c>
      <c r="CG212" s="1266">
        <f t="shared" si="580"/>
        <v>3633064.4065247304</v>
      </c>
      <c r="CH212" s="1141">
        <f t="shared" si="581"/>
        <v>3633064.4065247304</v>
      </c>
      <c r="CI212" s="1142">
        <f t="shared" si="582"/>
        <v>435967.72878296761</v>
      </c>
      <c r="CJ212" s="1141">
        <f t="shared" si="583"/>
        <v>372389.10166878486</v>
      </c>
      <c r="CK212" s="1141">
        <f t="shared" si="584"/>
        <v>127157.25422836558</v>
      </c>
      <c r="CL212" s="1143">
        <f t="shared" si="650"/>
        <v>4568578.4912048485</v>
      </c>
      <c r="CM212" s="1144">
        <f t="shared" si="585"/>
        <v>0.125</v>
      </c>
      <c r="CN212" s="1141">
        <f t="shared" si="502"/>
        <v>571072.31140060606</v>
      </c>
      <c r="CO212" s="1141">
        <f t="shared" si="586"/>
        <v>30000</v>
      </c>
      <c r="CP212" s="1141">
        <f t="shared" si="503"/>
        <v>541072.31140060606</v>
      </c>
      <c r="CQ212" s="1145">
        <f t="shared" si="587"/>
        <v>17</v>
      </c>
      <c r="CR212" s="1141">
        <f t="shared" si="504"/>
        <v>31827.783023565062</v>
      </c>
      <c r="CS212" s="1144">
        <f t="shared" si="588"/>
        <v>0.875</v>
      </c>
      <c r="CT212" s="1141">
        <f t="shared" si="589"/>
        <v>3997506.1798042422</v>
      </c>
      <c r="CU212" s="1146">
        <f t="shared" si="529"/>
        <v>30992.622863321027</v>
      </c>
      <c r="CV212" s="1146">
        <f t="shared" si="530"/>
        <v>35930.715673153383</v>
      </c>
      <c r="CW212" s="1146">
        <f t="shared" si="531"/>
        <v>46414.436320412213</v>
      </c>
      <c r="CX212" s="1146">
        <f t="shared" si="532"/>
        <v>79155.413532578008</v>
      </c>
      <c r="CY212" s="1146">
        <f t="shared" si="590"/>
        <v>324730.13311599835</v>
      </c>
      <c r="CZ212" s="1146">
        <f t="shared" si="591"/>
        <v>128494.13182270326</v>
      </c>
      <c r="DA212" s="1146">
        <f t="shared" si="592"/>
        <v>92809.491528144383</v>
      </c>
      <c r="DB212" s="1146">
        <f t="shared" si="593"/>
        <v>70632.295781230569</v>
      </c>
      <c r="DC212" s="1146"/>
      <c r="DD212" s="1146"/>
      <c r="DE212" s="1146"/>
      <c r="DF212" s="1146"/>
      <c r="DG212" s="1146"/>
      <c r="DH212" s="1146"/>
      <c r="DI212" s="1146"/>
      <c r="DJ212" s="1146"/>
      <c r="DK212" s="1146"/>
      <c r="DL212" s="1146"/>
      <c r="DM212" s="1146"/>
      <c r="DN212" s="1146"/>
      <c r="DO212" s="1146"/>
      <c r="DP212" s="1146"/>
      <c r="DQ212" s="1146"/>
      <c r="DR212" s="1146"/>
      <c r="DS212" s="1146"/>
      <c r="DT212" s="1146"/>
      <c r="DU212" s="1146"/>
      <c r="DV212" s="1146"/>
      <c r="DW212" s="1146"/>
      <c r="DX212" s="1146"/>
      <c r="DY212" s="1146"/>
      <c r="DZ212" s="1146"/>
      <c r="EA212" s="1147">
        <f t="shared" si="533"/>
        <v>0.10988127982971478</v>
      </c>
      <c r="EB212" s="1148">
        <f t="shared" si="594"/>
        <v>0</v>
      </c>
      <c r="EC212" s="1190">
        <f t="shared" si="638"/>
        <v>45839</v>
      </c>
      <c r="ED212" s="1031">
        <f t="shared" si="534"/>
        <v>20</v>
      </c>
      <c r="EE212" s="1191"/>
      <c r="EF212" s="1032">
        <f t="shared" si="535"/>
        <v>45904</v>
      </c>
      <c r="EG212" s="1029">
        <f t="shared" si="595"/>
        <v>22</v>
      </c>
      <c r="EH212" s="859" t="s">
        <v>490</v>
      </c>
      <c r="EI212" s="859" t="s">
        <v>480</v>
      </c>
      <c r="EJ212" s="860">
        <f t="shared" si="536"/>
        <v>16800</v>
      </c>
      <c r="EK212" s="860">
        <f t="shared" si="537"/>
        <v>369600</v>
      </c>
      <c r="EL212" s="861">
        <f t="shared" si="538"/>
        <v>0.12306703340928056</v>
      </c>
      <c r="EM212" s="1197"/>
      <c r="EN212" s="860"/>
      <c r="EO212" s="860"/>
      <c r="EP212" s="860">
        <f t="shared" si="539"/>
        <v>0</v>
      </c>
      <c r="EQ212" s="1197"/>
      <c r="ER212" s="1200"/>
      <c r="ES212" s="1197"/>
      <c r="ET212" s="1207" t="s">
        <v>694</v>
      </c>
      <c r="EU212" s="1197" t="b">
        <f t="shared" si="540"/>
        <v>1</v>
      </c>
      <c r="EV212" s="1197"/>
      <c r="EW212" s="1197"/>
      <c r="EX212" s="1197"/>
      <c r="EY212" s="1128" t="s">
        <v>587</v>
      </c>
      <c r="EZ212" s="1128" t="s">
        <v>484</v>
      </c>
      <c r="FA212" s="1169">
        <f t="shared" si="596"/>
        <v>0</v>
      </c>
      <c r="FI212" s="1309" t="s">
        <v>149</v>
      </c>
      <c r="FJ212" s="1159" t="s">
        <v>149</v>
      </c>
      <c r="FK212" s="1160" t="b">
        <f t="shared" si="597"/>
        <v>1</v>
      </c>
      <c r="FL212" s="1131"/>
      <c r="FM212" s="1161"/>
      <c r="FO212" s="888"/>
      <c r="FU212" s="1295"/>
      <c r="FV212" s="1295"/>
      <c r="FW212" s="1023">
        <v>0.15</v>
      </c>
      <c r="FX212" s="1162">
        <v>15172.551623090261</v>
      </c>
      <c r="FY212" s="1163">
        <v>15646.693861311833</v>
      </c>
      <c r="GA212" s="1164">
        <f t="shared" si="598"/>
        <v>4568578.4912048485</v>
      </c>
      <c r="GB212" s="1165">
        <f t="shared" si="599"/>
        <v>0.15</v>
      </c>
      <c r="GC212" s="1154">
        <f t="shared" si="600"/>
        <v>685286.77368072723</v>
      </c>
      <c r="GD212" s="1164">
        <f t="shared" si="601"/>
        <v>30000</v>
      </c>
      <c r="GE212" s="1154">
        <f t="shared" si="602"/>
        <v>655286.77368072723</v>
      </c>
      <c r="GF212" s="1060">
        <f t="shared" si="603"/>
        <v>35</v>
      </c>
      <c r="GG212" s="1166">
        <f t="shared" si="604"/>
        <v>18722.47924802078</v>
      </c>
      <c r="GI212" s="1164">
        <f t="shared" si="605"/>
        <v>4568578.4912048485</v>
      </c>
      <c r="GJ212" s="1154">
        <f t="shared" si="606"/>
        <v>456857.8491204849</v>
      </c>
      <c r="GK212" s="1154">
        <f t="shared" si="607"/>
        <v>114214.46228012122</v>
      </c>
      <c r="GL212" s="1166">
        <v>15000</v>
      </c>
      <c r="GM212" s="1154">
        <f t="shared" si="608"/>
        <v>441857.8491204849</v>
      </c>
      <c r="GN212" s="1060">
        <f t="shared" si="609"/>
        <v>35</v>
      </c>
      <c r="GO212" s="1154">
        <f t="shared" si="610"/>
        <v>12624.509974870996</v>
      </c>
      <c r="GS212" s="1010">
        <f t="shared" si="611"/>
        <v>4568578.4912048485</v>
      </c>
      <c r="GT212" s="1011">
        <f t="shared" si="612"/>
        <v>0.125</v>
      </c>
      <c r="GU212" s="1010">
        <f t="shared" si="613"/>
        <v>571072.31140060606</v>
      </c>
      <c r="GV212" s="1010">
        <f t="shared" si="614"/>
        <v>30000</v>
      </c>
      <c r="GW212" s="1010">
        <f t="shared" si="615"/>
        <v>541072.31140060606</v>
      </c>
      <c r="GX212" s="1010">
        <f t="shared" si="616"/>
        <v>17</v>
      </c>
      <c r="GY212" s="1010">
        <f t="shared" si="617"/>
        <v>31827.783023565062</v>
      </c>
      <c r="GZ212" s="1011">
        <f t="shared" si="618"/>
        <v>0.875</v>
      </c>
      <c r="HA212" s="1010">
        <f t="shared" si="619"/>
        <v>3997506.1798042422</v>
      </c>
      <c r="HB212" s="1010">
        <f t="shared" si="620"/>
        <v>30992.622863321027</v>
      </c>
      <c r="HC212" s="1010">
        <f t="shared" si="621"/>
        <v>35930.715673153383</v>
      </c>
      <c r="HD212" s="1010">
        <f t="shared" si="622"/>
        <v>46414.436320412213</v>
      </c>
      <c r="HE212" s="1010">
        <f t="shared" si="623"/>
        <v>79155.413532578008</v>
      </c>
      <c r="HG212" s="1010">
        <f t="shared" si="624"/>
        <v>4568578.4912048485</v>
      </c>
      <c r="HH212" s="1011">
        <f t="shared" si="625"/>
        <v>0.125</v>
      </c>
      <c r="HI212" s="1010">
        <f t="shared" si="626"/>
        <v>571072.31140060606</v>
      </c>
      <c r="HJ212" s="1010">
        <f t="shared" si="627"/>
        <v>30000</v>
      </c>
      <c r="HK212" s="1010">
        <f t="shared" si="628"/>
        <v>541072.31140060606</v>
      </c>
      <c r="HL212" s="1012">
        <f t="shared" si="629"/>
        <v>33</v>
      </c>
      <c r="HM212" s="1167">
        <f t="shared" si="630"/>
        <v>16396.130648503215</v>
      </c>
      <c r="HN212" s="1168">
        <f t="shared" si="631"/>
        <v>0.875</v>
      </c>
      <c r="HO212" s="1167">
        <f t="shared" si="632"/>
        <v>3997506.1798042422</v>
      </c>
      <c r="HP212" s="1146">
        <f t="shared" si="633"/>
        <v>30992.622863321027</v>
      </c>
      <c r="HQ212" s="1146">
        <f t="shared" si="634"/>
        <v>35930.715673153383</v>
      </c>
      <c r="HR212" s="1146">
        <f t="shared" si="635"/>
        <v>46414.436320412213</v>
      </c>
      <c r="HS212" s="1146">
        <f t="shared" si="636"/>
        <v>79155.413532578008</v>
      </c>
      <c r="HU212" s="1167">
        <f t="shared" si="637"/>
        <v>-15431.652375061847</v>
      </c>
      <c r="HX212" s="1154"/>
      <c r="HY212" s="1154"/>
      <c r="IB212" s="1154"/>
      <c r="IC212" s="1154"/>
      <c r="ID212" s="1154"/>
      <c r="IE212" s="1154"/>
      <c r="IG212" s="1060"/>
    </row>
    <row r="213" spans="1:241" ht="14.25" hidden="1" customHeight="1">
      <c r="A213" s="1186">
        <f t="shared" si="651"/>
        <v>207</v>
      </c>
      <c r="B213" s="824"/>
      <c r="C213" s="855">
        <f t="shared" si="639"/>
        <v>12</v>
      </c>
      <c r="D213" s="856" t="s">
        <v>683</v>
      </c>
      <c r="E213" s="857" t="s">
        <v>528</v>
      </c>
      <c r="F213" s="1185"/>
      <c r="G213" s="764" t="s">
        <v>695</v>
      </c>
      <c r="H213" s="764" t="s">
        <v>520</v>
      </c>
      <c r="I213" s="764" t="s">
        <v>476</v>
      </c>
      <c r="J213" s="1139">
        <v>22</v>
      </c>
      <c r="K213" s="1142"/>
      <c r="L213" s="764" t="s">
        <v>500</v>
      </c>
      <c r="M213" s="764" t="s">
        <v>93</v>
      </c>
      <c r="N213" s="856">
        <f t="shared" si="542"/>
        <v>100909.09090909091</v>
      </c>
      <c r="O213" s="1138">
        <f t="shared" si="642"/>
        <v>2220000</v>
      </c>
      <c r="P213" s="1138">
        <f t="shared" si="652"/>
        <v>22400</v>
      </c>
      <c r="Q213" s="1138">
        <f t="shared" si="528"/>
        <v>50000</v>
      </c>
      <c r="R213" s="1138"/>
      <c r="S213" s="1138"/>
      <c r="T213" s="1138"/>
      <c r="U213" s="1138"/>
      <c r="V213" s="858"/>
      <c r="W213" s="1138"/>
      <c r="X213" s="1138"/>
      <c r="Y213" s="1138">
        <f t="shared" si="641"/>
        <v>180000</v>
      </c>
      <c r="Z213" s="1138">
        <f t="shared" si="643"/>
        <v>75000</v>
      </c>
      <c r="AA213" s="1138">
        <f t="shared" si="644"/>
        <v>327400</v>
      </c>
      <c r="AB213" s="1138">
        <f t="shared" si="543"/>
        <v>2547400</v>
      </c>
      <c r="AC213" s="1138">
        <f t="shared" si="544"/>
        <v>63685</v>
      </c>
      <c r="AD213" s="1138">
        <f t="shared" si="545"/>
        <v>2611085</v>
      </c>
      <c r="AE213" s="1138">
        <f t="shared" si="546"/>
        <v>65277.125</v>
      </c>
      <c r="AF213" s="1138">
        <f t="shared" si="547"/>
        <v>2676362.125</v>
      </c>
      <c r="AG213" s="1138">
        <f t="shared" si="548"/>
        <v>66909.053125000006</v>
      </c>
      <c r="AH213" s="1138">
        <f t="shared" si="549"/>
        <v>2743271.1781250001</v>
      </c>
      <c r="AI213" s="1138">
        <f t="shared" si="550"/>
        <v>137163.55890625002</v>
      </c>
      <c r="AJ213" s="1138">
        <f t="shared" si="551"/>
        <v>2880434.7370312503</v>
      </c>
      <c r="AK213" s="1138">
        <f t="shared" si="552"/>
        <v>28804.347370312502</v>
      </c>
      <c r="AL213" s="1138">
        <f t="shared" si="553"/>
        <v>27537.409960060559</v>
      </c>
      <c r="AM213" s="1138"/>
      <c r="AN213" s="1138"/>
      <c r="AO213" s="1138">
        <f t="shared" si="554"/>
        <v>2936776.4943616232</v>
      </c>
      <c r="AP213" s="1138">
        <f t="shared" si="555"/>
        <v>396464.82673881913</v>
      </c>
      <c r="AQ213" s="1248">
        <f t="shared" si="556"/>
        <v>3333241.3211004422</v>
      </c>
      <c r="AR213" s="1248">
        <f t="shared" si="515"/>
        <v>3003241.3211004422</v>
      </c>
      <c r="AS213" s="1248">
        <v>15000</v>
      </c>
      <c r="AT213" s="1248">
        <f t="shared" si="516"/>
        <v>330000</v>
      </c>
      <c r="AU213" s="1248">
        <f t="shared" si="557"/>
        <v>39600</v>
      </c>
      <c r="AV213" s="1140">
        <f t="shared" si="558"/>
        <v>369600</v>
      </c>
      <c r="AW213" s="1140">
        <f t="shared" si="559"/>
        <v>3372841.3211004422</v>
      </c>
      <c r="AX213" s="1139">
        <f t="shared" si="560"/>
        <v>42160.51651375553</v>
      </c>
      <c r="AY213" s="831" t="s">
        <v>478</v>
      </c>
      <c r="AZ213" s="831">
        <f t="shared" si="561"/>
        <v>3415001.8376141977</v>
      </c>
      <c r="BA213" s="831">
        <f t="shared" si="562"/>
        <v>128062.56891053241</v>
      </c>
      <c r="BB213" s="831"/>
      <c r="BC213" s="831">
        <f t="shared" si="513"/>
        <v>33600</v>
      </c>
      <c r="BD213" s="831"/>
      <c r="BE213" s="831">
        <f t="shared" si="563"/>
        <v>3576664.4065247304</v>
      </c>
      <c r="BF213" s="831"/>
      <c r="BG213" s="831">
        <f t="shared" si="564"/>
        <v>3576664.4065247304</v>
      </c>
      <c r="BH213" s="831"/>
      <c r="BI213" s="831">
        <f t="shared" si="565"/>
        <v>3576664.4065247304</v>
      </c>
      <c r="BJ213" s="831"/>
      <c r="BK213" s="831">
        <f t="shared" si="566"/>
        <v>3576664.4065247304</v>
      </c>
      <c r="BL213" s="831"/>
      <c r="BM213" s="831">
        <f t="shared" si="567"/>
        <v>3576664.4065247304</v>
      </c>
      <c r="BN213" s="831"/>
      <c r="BO213" s="831">
        <f t="shared" si="568"/>
        <v>3576664.4065247304</v>
      </c>
      <c r="BP213" s="831"/>
      <c r="BQ213" s="831">
        <f t="shared" si="569"/>
        <v>3576664.4065247304</v>
      </c>
      <c r="BR213" s="831"/>
      <c r="BS213" s="831">
        <f t="shared" si="570"/>
        <v>3576664.4065247304</v>
      </c>
      <c r="BT213" s="831"/>
      <c r="BU213" s="831">
        <f t="shared" si="571"/>
        <v>3576664.4065247304</v>
      </c>
      <c r="BV213" s="831"/>
      <c r="BW213" s="831">
        <f t="shared" si="572"/>
        <v>56400</v>
      </c>
      <c r="BX213" s="831">
        <f t="shared" si="573"/>
        <v>3633064.4065247304</v>
      </c>
      <c r="BY213" s="831"/>
      <c r="BZ213" s="831">
        <f t="shared" si="574"/>
        <v>3633064.4065247304</v>
      </c>
      <c r="CA213" s="1260">
        <f t="shared" si="575"/>
        <v>3633064.4065247304</v>
      </c>
      <c r="CB213" s="1260">
        <f t="shared" si="576"/>
        <v>3633064.4065247304</v>
      </c>
      <c r="CC213" s="1260"/>
      <c r="CD213" s="1260">
        <f t="shared" si="577"/>
        <v>0</v>
      </c>
      <c r="CE213" s="1260">
        <f t="shared" si="578"/>
        <v>0</v>
      </c>
      <c r="CF213" s="1260">
        <f t="shared" si="579"/>
        <v>0</v>
      </c>
      <c r="CG213" s="1266">
        <f t="shared" si="580"/>
        <v>3633064.4065247304</v>
      </c>
      <c r="CH213" s="1141">
        <f t="shared" si="581"/>
        <v>3633064.4065247304</v>
      </c>
      <c r="CI213" s="1142">
        <f t="shared" si="582"/>
        <v>435967.72878296761</v>
      </c>
      <c r="CJ213" s="1141">
        <f t="shared" si="583"/>
        <v>372389.10166878486</v>
      </c>
      <c r="CK213" s="1141">
        <f t="shared" si="584"/>
        <v>127157.25422836558</v>
      </c>
      <c r="CL213" s="1143">
        <f t="shared" si="650"/>
        <v>4568578.4912048485</v>
      </c>
      <c r="CM213" s="1144">
        <f t="shared" si="585"/>
        <v>0.125</v>
      </c>
      <c r="CN213" s="1141">
        <f t="shared" si="502"/>
        <v>571072.31140060606</v>
      </c>
      <c r="CO213" s="1141">
        <f t="shared" si="586"/>
        <v>30000</v>
      </c>
      <c r="CP213" s="1141">
        <f t="shared" si="503"/>
        <v>541072.31140060606</v>
      </c>
      <c r="CQ213" s="1145">
        <f t="shared" si="587"/>
        <v>17</v>
      </c>
      <c r="CR213" s="1141">
        <f t="shared" si="504"/>
        <v>31827.783023565062</v>
      </c>
      <c r="CS213" s="1144">
        <f t="shared" si="588"/>
        <v>0.875</v>
      </c>
      <c r="CT213" s="1141">
        <f t="shared" si="589"/>
        <v>3997506.1798042422</v>
      </c>
      <c r="CU213" s="1146">
        <f t="shared" si="529"/>
        <v>30992.622863321027</v>
      </c>
      <c r="CV213" s="1146">
        <f t="shared" si="530"/>
        <v>35930.715673153383</v>
      </c>
      <c r="CW213" s="1146">
        <f t="shared" si="531"/>
        <v>46414.436320412213</v>
      </c>
      <c r="CX213" s="1146">
        <f t="shared" si="532"/>
        <v>79155.413532578008</v>
      </c>
      <c r="CY213" s="1146">
        <f t="shared" si="590"/>
        <v>324730.13311599835</v>
      </c>
      <c r="CZ213" s="1146">
        <f t="shared" si="591"/>
        <v>128494.13182270326</v>
      </c>
      <c r="DA213" s="1146">
        <f t="shared" si="592"/>
        <v>92809.491528144383</v>
      </c>
      <c r="DB213" s="1146">
        <f t="shared" si="593"/>
        <v>70632.295781230569</v>
      </c>
      <c r="DC213" s="1146"/>
      <c r="DD213" s="1146"/>
      <c r="DE213" s="1146"/>
      <c r="DF213" s="1146"/>
      <c r="DG213" s="1146"/>
      <c r="DH213" s="1146"/>
      <c r="DI213" s="1146"/>
      <c r="DJ213" s="1146"/>
      <c r="DK213" s="1146"/>
      <c r="DL213" s="1146"/>
      <c r="DM213" s="1146"/>
      <c r="DN213" s="1146"/>
      <c r="DO213" s="1146"/>
      <c r="DP213" s="1146"/>
      <c r="DQ213" s="1146"/>
      <c r="DR213" s="1146"/>
      <c r="DS213" s="1146"/>
      <c r="DT213" s="1146"/>
      <c r="DU213" s="1146"/>
      <c r="DV213" s="1146"/>
      <c r="DW213" s="1146"/>
      <c r="DX213" s="1146"/>
      <c r="DY213" s="1146"/>
      <c r="DZ213" s="1146"/>
      <c r="EA213" s="1147">
        <f t="shared" si="533"/>
        <v>0.10988127982971478</v>
      </c>
      <c r="EB213" s="1148">
        <f t="shared" si="594"/>
        <v>0</v>
      </c>
      <c r="EC213" s="1190">
        <f t="shared" si="638"/>
        <v>45839</v>
      </c>
      <c r="ED213" s="1031">
        <f t="shared" si="534"/>
        <v>20</v>
      </c>
      <c r="EE213" s="1191"/>
      <c r="EF213" s="1032">
        <f t="shared" si="535"/>
        <v>45904</v>
      </c>
      <c r="EG213" s="1029">
        <f t="shared" si="595"/>
        <v>22</v>
      </c>
      <c r="EH213" s="859" t="s">
        <v>490</v>
      </c>
      <c r="EI213" s="859" t="s">
        <v>480</v>
      </c>
      <c r="EJ213" s="860">
        <f t="shared" si="536"/>
        <v>16800</v>
      </c>
      <c r="EK213" s="860">
        <f t="shared" si="537"/>
        <v>369600</v>
      </c>
      <c r="EL213" s="861">
        <f t="shared" si="538"/>
        <v>0.12306703340928056</v>
      </c>
      <c r="EM213" s="1197"/>
      <c r="EN213" s="860"/>
      <c r="EO213" s="860"/>
      <c r="EP213" s="860">
        <f t="shared" si="539"/>
        <v>0</v>
      </c>
      <c r="EQ213" s="1197"/>
      <c r="ER213" s="1200"/>
      <c r="ES213" s="1197"/>
      <c r="ET213" s="1207" t="s">
        <v>695</v>
      </c>
      <c r="EU213" s="1197" t="b">
        <f t="shared" si="540"/>
        <v>1</v>
      </c>
      <c r="EV213" s="1197"/>
      <c r="EW213" s="1197"/>
      <c r="EX213" s="1197"/>
      <c r="EY213" s="1128" t="s">
        <v>587</v>
      </c>
      <c r="EZ213" s="1128" t="s">
        <v>484</v>
      </c>
      <c r="FA213" s="1169">
        <f t="shared" si="596"/>
        <v>0</v>
      </c>
      <c r="FI213" s="1309" t="s">
        <v>149</v>
      </c>
      <c r="FJ213" s="1159" t="s">
        <v>149</v>
      </c>
      <c r="FK213" s="1160" t="b">
        <f t="shared" si="597"/>
        <v>1</v>
      </c>
      <c r="FL213" s="1131"/>
      <c r="FM213" s="1161"/>
      <c r="FO213" s="888"/>
      <c r="FU213" s="1295"/>
      <c r="FV213" s="1295"/>
      <c r="FW213" s="1023">
        <v>0.15</v>
      </c>
      <c r="FX213" s="1162">
        <v>15172.551623090261</v>
      </c>
      <c r="FY213" s="1163">
        <v>15646.693861311833</v>
      </c>
      <c r="GA213" s="1164">
        <f t="shared" si="598"/>
        <v>4568578.4912048485</v>
      </c>
      <c r="GB213" s="1165">
        <f t="shared" si="599"/>
        <v>0.15</v>
      </c>
      <c r="GC213" s="1154">
        <f t="shared" si="600"/>
        <v>685286.77368072723</v>
      </c>
      <c r="GD213" s="1164">
        <f t="shared" si="601"/>
        <v>30000</v>
      </c>
      <c r="GE213" s="1154">
        <f t="shared" si="602"/>
        <v>655286.77368072723</v>
      </c>
      <c r="GF213" s="1060">
        <f t="shared" si="603"/>
        <v>35</v>
      </c>
      <c r="GG213" s="1166">
        <f t="shared" si="604"/>
        <v>18722.47924802078</v>
      </c>
      <c r="GI213" s="1164">
        <f t="shared" si="605"/>
        <v>4568578.4912048485</v>
      </c>
      <c r="GJ213" s="1154">
        <f t="shared" si="606"/>
        <v>456857.8491204849</v>
      </c>
      <c r="GK213" s="1154">
        <f t="shared" si="607"/>
        <v>114214.46228012122</v>
      </c>
      <c r="GL213" s="1166">
        <v>15000</v>
      </c>
      <c r="GM213" s="1154">
        <f t="shared" si="608"/>
        <v>441857.8491204849</v>
      </c>
      <c r="GN213" s="1060">
        <f t="shared" si="609"/>
        <v>35</v>
      </c>
      <c r="GO213" s="1154">
        <f t="shared" si="610"/>
        <v>12624.509974870996</v>
      </c>
      <c r="GS213" s="1010">
        <f t="shared" si="611"/>
        <v>4568578.4912048485</v>
      </c>
      <c r="GT213" s="1011">
        <f t="shared" si="612"/>
        <v>0.125</v>
      </c>
      <c r="GU213" s="1010">
        <f t="shared" si="613"/>
        <v>571072.31140060606</v>
      </c>
      <c r="GV213" s="1010">
        <f t="shared" si="614"/>
        <v>30000</v>
      </c>
      <c r="GW213" s="1010">
        <f t="shared" si="615"/>
        <v>541072.31140060606</v>
      </c>
      <c r="GX213" s="1010">
        <f t="shared" si="616"/>
        <v>17</v>
      </c>
      <c r="GY213" s="1010">
        <f t="shared" si="617"/>
        <v>31827.783023565062</v>
      </c>
      <c r="GZ213" s="1011">
        <f t="shared" si="618"/>
        <v>0.875</v>
      </c>
      <c r="HA213" s="1010">
        <f t="shared" si="619"/>
        <v>3997506.1798042422</v>
      </c>
      <c r="HB213" s="1010">
        <f t="shared" si="620"/>
        <v>30992.622863321027</v>
      </c>
      <c r="HC213" s="1010">
        <f t="shared" si="621"/>
        <v>35930.715673153383</v>
      </c>
      <c r="HD213" s="1010">
        <f t="shared" si="622"/>
        <v>46414.436320412213</v>
      </c>
      <c r="HE213" s="1010">
        <f t="shared" si="623"/>
        <v>79155.413532578008</v>
      </c>
      <c r="HG213" s="1010">
        <f t="shared" si="624"/>
        <v>4568578.4912048485</v>
      </c>
      <c r="HH213" s="1011">
        <f t="shared" si="625"/>
        <v>0.125</v>
      </c>
      <c r="HI213" s="1010">
        <f t="shared" si="626"/>
        <v>571072.31140060606</v>
      </c>
      <c r="HJ213" s="1010">
        <f t="shared" si="627"/>
        <v>30000</v>
      </c>
      <c r="HK213" s="1010">
        <f t="shared" si="628"/>
        <v>541072.31140060606</v>
      </c>
      <c r="HL213" s="1012">
        <f t="shared" si="629"/>
        <v>33</v>
      </c>
      <c r="HM213" s="1167">
        <f t="shared" si="630"/>
        <v>16396.130648503215</v>
      </c>
      <c r="HN213" s="1168">
        <f t="shared" si="631"/>
        <v>0.875</v>
      </c>
      <c r="HO213" s="1167">
        <f t="shared" si="632"/>
        <v>3997506.1798042422</v>
      </c>
      <c r="HP213" s="1146">
        <f t="shared" si="633"/>
        <v>30992.622863321027</v>
      </c>
      <c r="HQ213" s="1146">
        <f t="shared" si="634"/>
        <v>35930.715673153383</v>
      </c>
      <c r="HR213" s="1146">
        <f t="shared" si="635"/>
        <v>46414.436320412213</v>
      </c>
      <c r="HS213" s="1146">
        <f t="shared" si="636"/>
        <v>79155.413532578008</v>
      </c>
      <c r="HU213" s="1167">
        <f t="shared" si="637"/>
        <v>-15431.652375061847</v>
      </c>
      <c r="HX213" s="1154"/>
      <c r="HY213" s="1154"/>
      <c r="IB213" s="1154"/>
      <c r="IC213" s="1154"/>
      <c r="ID213" s="1154"/>
      <c r="IE213" s="1154"/>
      <c r="IG213" s="1060"/>
    </row>
    <row r="214" spans="1:241" ht="14.25" hidden="1" customHeight="1">
      <c r="A214" s="1186">
        <f t="shared" si="651"/>
        <v>208</v>
      </c>
      <c r="B214" s="824"/>
      <c r="C214" s="855">
        <f t="shared" si="639"/>
        <v>13</v>
      </c>
      <c r="D214" s="856" t="s">
        <v>683</v>
      </c>
      <c r="E214" s="857" t="s">
        <v>528</v>
      </c>
      <c r="F214" s="1185"/>
      <c r="G214" s="764" t="s">
        <v>696</v>
      </c>
      <c r="H214" s="764" t="s">
        <v>525</v>
      </c>
      <c r="I214" s="764" t="s">
        <v>476</v>
      </c>
      <c r="J214" s="1139">
        <v>22</v>
      </c>
      <c r="K214" s="1142"/>
      <c r="L214" s="764" t="s">
        <v>500</v>
      </c>
      <c r="M214" s="764" t="s">
        <v>93</v>
      </c>
      <c r="N214" s="856">
        <f t="shared" si="542"/>
        <v>100909.09090909091</v>
      </c>
      <c r="O214" s="1138">
        <f t="shared" si="642"/>
        <v>2220000</v>
      </c>
      <c r="P214" s="1138">
        <f t="shared" si="652"/>
        <v>22400</v>
      </c>
      <c r="Q214" s="1138">
        <f t="shared" si="528"/>
        <v>50000</v>
      </c>
      <c r="R214" s="1138"/>
      <c r="S214" s="1138"/>
      <c r="T214" s="1138"/>
      <c r="U214" s="1138"/>
      <c r="V214" s="858"/>
      <c r="W214" s="1138"/>
      <c r="X214" s="1138"/>
      <c r="Y214" s="1138">
        <f t="shared" si="641"/>
        <v>180000</v>
      </c>
      <c r="Z214" s="1138">
        <f t="shared" si="643"/>
        <v>75000</v>
      </c>
      <c r="AA214" s="1138">
        <f t="shared" si="644"/>
        <v>327400</v>
      </c>
      <c r="AB214" s="1138">
        <f t="shared" si="543"/>
        <v>2547400</v>
      </c>
      <c r="AC214" s="1138">
        <f t="shared" si="544"/>
        <v>63685</v>
      </c>
      <c r="AD214" s="1138">
        <f t="shared" si="545"/>
        <v>2611085</v>
      </c>
      <c r="AE214" s="1138">
        <f t="shared" si="546"/>
        <v>65277.125</v>
      </c>
      <c r="AF214" s="1138">
        <f t="shared" si="547"/>
        <v>2676362.125</v>
      </c>
      <c r="AG214" s="1138">
        <f t="shared" si="548"/>
        <v>66909.053125000006</v>
      </c>
      <c r="AH214" s="1138">
        <f t="shared" si="549"/>
        <v>2743271.1781250001</v>
      </c>
      <c r="AI214" s="1138">
        <f t="shared" si="550"/>
        <v>137163.55890625002</v>
      </c>
      <c r="AJ214" s="1138">
        <f t="shared" si="551"/>
        <v>2880434.7370312503</v>
      </c>
      <c r="AK214" s="1138">
        <f t="shared" si="552"/>
        <v>28804.347370312502</v>
      </c>
      <c r="AL214" s="1138">
        <f t="shared" si="553"/>
        <v>27537.409960060559</v>
      </c>
      <c r="AM214" s="1138"/>
      <c r="AN214" s="1138"/>
      <c r="AO214" s="1138">
        <f t="shared" si="554"/>
        <v>2936776.4943616232</v>
      </c>
      <c r="AP214" s="1138">
        <f t="shared" si="555"/>
        <v>396464.82673881913</v>
      </c>
      <c r="AQ214" s="1248">
        <f t="shared" si="556"/>
        <v>3333241.3211004422</v>
      </c>
      <c r="AR214" s="1248">
        <f t="shared" si="515"/>
        <v>3003241.3211004422</v>
      </c>
      <c r="AS214" s="1248">
        <v>15000</v>
      </c>
      <c r="AT214" s="1248">
        <f t="shared" si="516"/>
        <v>330000</v>
      </c>
      <c r="AU214" s="1248">
        <f t="shared" si="557"/>
        <v>39600</v>
      </c>
      <c r="AV214" s="1140">
        <f t="shared" si="558"/>
        <v>369600</v>
      </c>
      <c r="AW214" s="1140">
        <f t="shared" si="559"/>
        <v>3372841.3211004422</v>
      </c>
      <c r="AX214" s="1139">
        <f t="shared" si="560"/>
        <v>42160.51651375553</v>
      </c>
      <c r="AY214" s="831" t="s">
        <v>478</v>
      </c>
      <c r="AZ214" s="831">
        <f t="shared" si="561"/>
        <v>3415001.8376141977</v>
      </c>
      <c r="BA214" s="831">
        <f t="shared" si="562"/>
        <v>128062.56891053241</v>
      </c>
      <c r="BB214" s="831"/>
      <c r="BC214" s="831">
        <f t="shared" si="513"/>
        <v>33600</v>
      </c>
      <c r="BD214" s="831"/>
      <c r="BE214" s="831">
        <f t="shared" si="563"/>
        <v>3576664.4065247304</v>
      </c>
      <c r="BF214" s="831"/>
      <c r="BG214" s="831">
        <f t="shared" si="564"/>
        <v>3576664.4065247304</v>
      </c>
      <c r="BH214" s="831"/>
      <c r="BI214" s="831">
        <f t="shared" si="565"/>
        <v>3576664.4065247304</v>
      </c>
      <c r="BJ214" s="831"/>
      <c r="BK214" s="831">
        <f t="shared" si="566"/>
        <v>3576664.4065247304</v>
      </c>
      <c r="BL214" s="831"/>
      <c r="BM214" s="831">
        <f t="shared" si="567"/>
        <v>3576664.4065247304</v>
      </c>
      <c r="BN214" s="831"/>
      <c r="BO214" s="831">
        <f t="shared" si="568"/>
        <v>3576664.4065247304</v>
      </c>
      <c r="BP214" s="831"/>
      <c r="BQ214" s="831">
        <f t="shared" si="569"/>
        <v>3576664.4065247304</v>
      </c>
      <c r="BR214" s="831"/>
      <c r="BS214" s="831">
        <f t="shared" si="570"/>
        <v>3576664.4065247304</v>
      </c>
      <c r="BT214" s="831"/>
      <c r="BU214" s="831">
        <f t="shared" si="571"/>
        <v>3576664.4065247304</v>
      </c>
      <c r="BV214" s="831"/>
      <c r="BW214" s="831">
        <f t="shared" si="572"/>
        <v>56400</v>
      </c>
      <c r="BX214" s="831">
        <f t="shared" si="573"/>
        <v>3633064.4065247304</v>
      </c>
      <c r="BY214" s="831"/>
      <c r="BZ214" s="831">
        <f t="shared" si="574"/>
        <v>3633064.4065247304</v>
      </c>
      <c r="CA214" s="1260">
        <f t="shared" si="575"/>
        <v>3633064.4065247304</v>
      </c>
      <c r="CB214" s="1260">
        <f t="shared" si="576"/>
        <v>3633064.4065247304</v>
      </c>
      <c r="CC214" s="1260"/>
      <c r="CD214" s="1260">
        <f t="shared" si="577"/>
        <v>0</v>
      </c>
      <c r="CE214" s="1260">
        <f t="shared" si="578"/>
        <v>0</v>
      </c>
      <c r="CF214" s="1260">
        <f t="shared" si="579"/>
        <v>0</v>
      </c>
      <c r="CG214" s="1266">
        <f t="shared" si="580"/>
        <v>3633064.4065247304</v>
      </c>
      <c r="CH214" s="1141">
        <f t="shared" si="581"/>
        <v>3633064.4065247304</v>
      </c>
      <c r="CI214" s="1142">
        <f t="shared" si="582"/>
        <v>435967.72878296761</v>
      </c>
      <c r="CJ214" s="1141">
        <f t="shared" si="583"/>
        <v>372389.10166878486</v>
      </c>
      <c r="CK214" s="1141">
        <f t="shared" si="584"/>
        <v>127157.25422836558</v>
      </c>
      <c r="CL214" s="1143">
        <f t="shared" si="650"/>
        <v>4568578.4912048485</v>
      </c>
      <c r="CM214" s="1144">
        <f t="shared" si="585"/>
        <v>0.125</v>
      </c>
      <c r="CN214" s="1141">
        <f t="shared" si="502"/>
        <v>571072.31140060606</v>
      </c>
      <c r="CO214" s="1141">
        <f t="shared" si="586"/>
        <v>30000</v>
      </c>
      <c r="CP214" s="1141">
        <f t="shared" si="503"/>
        <v>541072.31140060606</v>
      </c>
      <c r="CQ214" s="1145">
        <f t="shared" si="587"/>
        <v>17</v>
      </c>
      <c r="CR214" s="1141">
        <f t="shared" si="504"/>
        <v>31827.783023565062</v>
      </c>
      <c r="CS214" s="1144">
        <f t="shared" si="588"/>
        <v>0.875</v>
      </c>
      <c r="CT214" s="1141">
        <f t="shared" si="589"/>
        <v>3997506.1798042422</v>
      </c>
      <c r="CU214" s="1146">
        <f t="shared" si="529"/>
        <v>30992.622863321027</v>
      </c>
      <c r="CV214" s="1146">
        <f t="shared" si="530"/>
        <v>35930.715673153383</v>
      </c>
      <c r="CW214" s="1146">
        <f t="shared" si="531"/>
        <v>46414.436320412213</v>
      </c>
      <c r="CX214" s="1146">
        <f t="shared" si="532"/>
        <v>79155.413532578008</v>
      </c>
      <c r="CY214" s="1146">
        <f t="shared" si="590"/>
        <v>324730.13311599835</v>
      </c>
      <c r="CZ214" s="1146">
        <f t="shared" si="591"/>
        <v>128494.13182270326</v>
      </c>
      <c r="DA214" s="1146">
        <f t="shared" si="592"/>
        <v>92809.491528144383</v>
      </c>
      <c r="DB214" s="1146">
        <f t="shared" si="593"/>
        <v>70632.295781230569</v>
      </c>
      <c r="DC214" s="1146"/>
      <c r="DD214" s="1146"/>
      <c r="DE214" s="1146"/>
      <c r="DF214" s="1146"/>
      <c r="DG214" s="1146"/>
      <c r="DH214" s="1146"/>
      <c r="DI214" s="1146"/>
      <c r="DJ214" s="1146"/>
      <c r="DK214" s="1146"/>
      <c r="DL214" s="1146"/>
      <c r="DM214" s="1146"/>
      <c r="DN214" s="1146"/>
      <c r="DO214" s="1146"/>
      <c r="DP214" s="1146"/>
      <c r="DQ214" s="1146"/>
      <c r="DR214" s="1146"/>
      <c r="DS214" s="1146"/>
      <c r="DT214" s="1146"/>
      <c r="DU214" s="1146"/>
      <c r="DV214" s="1146"/>
      <c r="DW214" s="1146"/>
      <c r="DX214" s="1146"/>
      <c r="DY214" s="1146"/>
      <c r="DZ214" s="1146"/>
      <c r="EA214" s="1147">
        <f t="shared" si="533"/>
        <v>0.10988127982971478</v>
      </c>
      <c r="EB214" s="1148">
        <f t="shared" si="594"/>
        <v>0</v>
      </c>
      <c r="EC214" s="1190">
        <f t="shared" si="638"/>
        <v>45839</v>
      </c>
      <c r="ED214" s="1031">
        <f t="shared" si="534"/>
        <v>20</v>
      </c>
      <c r="EE214" s="1191"/>
      <c r="EF214" s="1032">
        <f t="shared" si="535"/>
        <v>45904</v>
      </c>
      <c r="EG214" s="1029">
        <f t="shared" si="595"/>
        <v>22</v>
      </c>
      <c r="EH214" s="859" t="s">
        <v>490</v>
      </c>
      <c r="EI214" s="859" t="s">
        <v>480</v>
      </c>
      <c r="EJ214" s="860">
        <f t="shared" si="536"/>
        <v>16800</v>
      </c>
      <c r="EK214" s="860">
        <f t="shared" si="537"/>
        <v>369600</v>
      </c>
      <c r="EL214" s="861">
        <f t="shared" si="538"/>
        <v>0.12306703340928056</v>
      </c>
      <c r="EM214" s="1197"/>
      <c r="EN214" s="860"/>
      <c r="EO214" s="860"/>
      <c r="EP214" s="860">
        <f t="shared" si="539"/>
        <v>0</v>
      </c>
      <c r="EQ214" s="1197"/>
      <c r="ER214" s="1200"/>
      <c r="ES214" s="1197"/>
      <c r="ET214" s="1207" t="s">
        <v>696</v>
      </c>
      <c r="EU214" s="1197" t="b">
        <f t="shared" si="540"/>
        <v>1</v>
      </c>
      <c r="EV214" s="1197"/>
      <c r="EW214" s="1197"/>
      <c r="EX214" s="1197"/>
      <c r="EY214" s="1128" t="s">
        <v>587</v>
      </c>
      <c r="EZ214" s="1128" t="s">
        <v>484</v>
      </c>
      <c r="FA214" s="1169">
        <f t="shared" si="596"/>
        <v>0</v>
      </c>
      <c r="FI214" s="1309" t="s">
        <v>149</v>
      </c>
      <c r="FJ214" s="1159" t="s">
        <v>149</v>
      </c>
      <c r="FK214" s="1160" t="b">
        <f t="shared" si="597"/>
        <v>1</v>
      </c>
      <c r="FL214" s="1131"/>
      <c r="FM214" s="1161"/>
      <c r="FO214" s="888"/>
      <c r="FU214" s="1295"/>
      <c r="FV214" s="1295"/>
      <c r="FW214" s="1023">
        <v>0.15</v>
      </c>
      <c r="FX214" s="1162">
        <v>15172.551623090261</v>
      </c>
      <c r="FY214" s="1163">
        <v>15646.693861311833</v>
      </c>
      <c r="GA214" s="1164">
        <f t="shared" si="598"/>
        <v>4568578.4912048485</v>
      </c>
      <c r="GB214" s="1165">
        <f t="shared" si="599"/>
        <v>0.15</v>
      </c>
      <c r="GC214" s="1154">
        <f t="shared" si="600"/>
        <v>685286.77368072723</v>
      </c>
      <c r="GD214" s="1164">
        <f t="shared" si="601"/>
        <v>30000</v>
      </c>
      <c r="GE214" s="1154">
        <f t="shared" si="602"/>
        <v>655286.77368072723</v>
      </c>
      <c r="GF214" s="1060">
        <f t="shared" si="603"/>
        <v>35</v>
      </c>
      <c r="GG214" s="1166">
        <f t="shared" si="604"/>
        <v>18722.47924802078</v>
      </c>
      <c r="GI214" s="1164">
        <f t="shared" si="605"/>
        <v>4568578.4912048485</v>
      </c>
      <c r="GJ214" s="1154">
        <f t="shared" si="606"/>
        <v>456857.8491204849</v>
      </c>
      <c r="GK214" s="1154">
        <f t="shared" si="607"/>
        <v>114214.46228012122</v>
      </c>
      <c r="GL214" s="1166">
        <v>15000</v>
      </c>
      <c r="GM214" s="1154">
        <f t="shared" si="608"/>
        <v>441857.8491204849</v>
      </c>
      <c r="GN214" s="1060">
        <f t="shared" si="609"/>
        <v>35</v>
      </c>
      <c r="GO214" s="1154">
        <f t="shared" si="610"/>
        <v>12624.509974870996</v>
      </c>
      <c r="GS214" s="1010">
        <f t="shared" si="611"/>
        <v>4568578.4912048485</v>
      </c>
      <c r="GT214" s="1011">
        <f t="shared" si="612"/>
        <v>0.125</v>
      </c>
      <c r="GU214" s="1010">
        <f t="shared" si="613"/>
        <v>571072.31140060606</v>
      </c>
      <c r="GV214" s="1010">
        <f t="shared" si="614"/>
        <v>30000</v>
      </c>
      <c r="GW214" s="1010">
        <f t="shared" si="615"/>
        <v>541072.31140060606</v>
      </c>
      <c r="GX214" s="1010">
        <f t="shared" si="616"/>
        <v>17</v>
      </c>
      <c r="GY214" s="1010">
        <f t="shared" si="617"/>
        <v>31827.783023565062</v>
      </c>
      <c r="GZ214" s="1011">
        <f t="shared" si="618"/>
        <v>0.875</v>
      </c>
      <c r="HA214" s="1010">
        <f t="shared" si="619"/>
        <v>3997506.1798042422</v>
      </c>
      <c r="HB214" s="1010">
        <f t="shared" si="620"/>
        <v>30992.622863321027</v>
      </c>
      <c r="HC214" s="1010">
        <f t="shared" si="621"/>
        <v>35930.715673153383</v>
      </c>
      <c r="HD214" s="1010">
        <f t="shared" si="622"/>
        <v>46414.436320412213</v>
      </c>
      <c r="HE214" s="1010">
        <f t="shared" si="623"/>
        <v>79155.413532578008</v>
      </c>
      <c r="HG214" s="1010">
        <f t="shared" si="624"/>
        <v>4568578.4912048485</v>
      </c>
      <c r="HH214" s="1011">
        <f t="shared" si="625"/>
        <v>0.125</v>
      </c>
      <c r="HI214" s="1010">
        <f t="shared" si="626"/>
        <v>571072.31140060606</v>
      </c>
      <c r="HJ214" s="1010">
        <f t="shared" si="627"/>
        <v>30000</v>
      </c>
      <c r="HK214" s="1010">
        <f t="shared" si="628"/>
        <v>541072.31140060606</v>
      </c>
      <c r="HL214" s="1012">
        <f t="shared" si="629"/>
        <v>33</v>
      </c>
      <c r="HM214" s="1167">
        <f t="shared" si="630"/>
        <v>16396.130648503215</v>
      </c>
      <c r="HN214" s="1168">
        <f t="shared" si="631"/>
        <v>0.875</v>
      </c>
      <c r="HO214" s="1167">
        <f t="shared" si="632"/>
        <v>3997506.1798042422</v>
      </c>
      <c r="HP214" s="1146">
        <f t="shared" si="633"/>
        <v>30992.622863321027</v>
      </c>
      <c r="HQ214" s="1146">
        <f t="shared" si="634"/>
        <v>35930.715673153383</v>
      </c>
      <c r="HR214" s="1146">
        <f t="shared" si="635"/>
        <v>46414.436320412213</v>
      </c>
      <c r="HS214" s="1146">
        <f t="shared" si="636"/>
        <v>79155.413532578008</v>
      </c>
      <c r="HU214" s="1167">
        <f t="shared" si="637"/>
        <v>-15431.652375061847</v>
      </c>
      <c r="HX214" s="1154"/>
      <c r="HY214" s="1154"/>
      <c r="IB214" s="1154"/>
      <c r="IC214" s="1154"/>
      <c r="ID214" s="1154"/>
      <c r="IE214" s="1154"/>
      <c r="IG214" s="1060"/>
    </row>
    <row r="215" spans="1:241" ht="14.25" hidden="1" customHeight="1">
      <c r="A215" s="1186">
        <f t="shared" si="651"/>
        <v>209</v>
      </c>
      <c r="B215" s="824"/>
      <c r="C215" s="855">
        <f t="shared" si="639"/>
        <v>14</v>
      </c>
      <c r="D215" s="856" t="s">
        <v>683</v>
      </c>
      <c r="E215" s="857" t="s">
        <v>528</v>
      </c>
      <c r="F215" s="1185"/>
      <c r="G215" s="764" t="s">
        <v>697</v>
      </c>
      <c r="H215" s="764" t="s">
        <v>529</v>
      </c>
      <c r="I215" s="764" t="s">
        <v>476</v>
      </c>
      <c r="J215" s="1139">
        <v>22</v>
      </c>
      <c r="K215" s="1142"/>
      <c r="L215" s="764" t="s">
        <v>500</v>
      </c>
      <c r="M215" s="764" t="s">
        <v>93</v>
      </c>
      <c r="N215" s="856">
        <f t="shared" si="542"/>
        <v>100909.09090909091</v>
      </c>
      <c r="O215" s="1138">
        <f t="shared" si="642"/>
        <v>2220000</v>
      </c>
      <c r="P215" s="1138">
        <f t="shared" si="652"/>
        <v>22400</v>
      </c>
      <c r="Q215" s="1138">
        <f t="shared" si="528"/>
        <v>50000</v>
      </c>
      <c r="R215" s="1138"/>
      <c r="S215" s="1138"/>
      <c r="T215" s="1138"/>
      <c r="U215" s="1138"/>
      <c r="V215" s="858"/>
      <c r="W215" s="1138"/>
      <c r="X215" s="1138"/>
      <c r="Y215" s="1138">
        <f t="shared" si="641"/>
        <v>180000</v>
      </c>
      <c r="Z215" s="1138">
        <f t="shared" si="643"/>
        <v>75000</v>
      </c>
      <c r="AA215" s="1138">
        <f t="shared" si="644"/>
        <v>327400</v>
      </c>
      <c r="AB215" s="1138">
        <f t="shared" si="543"/>
        <v>2547400</v>
      </c>
      <c r="AC215" s="1138">
        <f t="shared" si="544"/>
        <v>63685</v>
      </c>
      <c r="AD215" s="1138">
        <f t="shared" si="545"/>
        <v>2611085</v>
      </c>
      <c r="AE215" s="1138">
        <f t="shared" si="546"/>
        <v>65277.125</v>
      </c>
      <c r="AF215" s="1138">
        <f t="shared" si="547"/>
        <v>2676362.125</v>
      </c>
      <c r="AG215" s="1138">
        <f t="shared" si="548"/>
        <v>66909.053125000006</v>
      </c>
      <c r="AH215" s="1138">
        <f t="shared" si="549"/>
        <v>2743271.1781250001</v>
      </c>
      <c r="AI215" s="1138">
        <f t="shared" si="550"/>
        <v>137163.55890625002</v>
      </c>
      <c r="AJ215" s="1138">
        <f t="shared" si="551"/>
        <v>2880434.7370312503</v>
      </c>
      <c r="AK215" s="1138">
        <f t="shared" si="552"/>
        <v>28804.347370312502</v>
      </c>
      <c r="AL215" s="1138">
        <f t="shared" si="553"/>
        <v>27537.409960060559</v>
      </c>
      <c r="AM215" s="1138"/>
      <c r="AN215" s="1138"/>
      <c r="AO215" s="1138">
        <f t="shared" si="554"/>
        <v>2936776.4943616232</v>
      </c>
      <c r="AP215" s="1138">
        <f t="shared" si="555"/>
        <v>396464.82673881913</v>
      </c>
      <c r="AQ215" s="1248">
        <f t="shared" si="556"/>
        <v>3333241.3211004422</v>
      </c>
      <c r="AR215" s="1248">
        <f t="shared" si="515"/>
        <v>3003241.3211004422</v>
      </c>
      <c r="AS215" s="1248">
        <v>15000</v>
      </c>
      <c r="AT215" s="1248">
        <f t="shared" si="516"/>
        <v>330000</v>
      </c>
      <c r="AU215" s="1248">
        <f t="shared" si="557"/>
        <v>39600</v>
      </c>
      <c r="AV215" s="1140">
        <f t="shared" si="558"/>
        <v>369600</v>
      </c>
      <c r="AW215" s="1140">
        <f t="shared" si="559"/>
        <v>3372841.3211004422</v>
      </c>
      <c r="AX215" s="1139">
        <f t="shared" si="560"/>
        <v>42160.51651375553</v>
      </c>
      <c r="AY215" s="831" t="s">
        <v>478</v>
      </c>
      <c r="AZ215" s="831">
        <f t="shared" si="561"/>
        <v>3415001.8376141977</v>
      </c>
      <c r="BA215" s="831">
        <f t="shared" si="562"/>
        <v>128062.56891053241</v>
      </c>
      <c r="BB215" s="831"/>
      <c r="BC215" s="831">
        <f t="shared" si="513"/>
        <v>33600</v>
      </c>
      <c r="BD215" s="831"/>
      <c r="BE215" s="831">
        <f t="shared" si="563"/>
        <v>3576664.4065247304</v>
      </c>
      <c r="BF215" s="831"/>
      <c r="BG215" s="831">
        <f t="shared" si="564"/>
        <v>3576664.4065247304</v>
      </c>
      <c r="BH215" s="831"/>
      <c r="BI215" s="831">
        <f t="shared" si="565"/>
        <v>3576664.4065247304</v>
      </c>
      <c r="BJ215" s="831"/>
      <c r="BK215" s="831">
        <f t="shared" si="566"/>
        <v>3576664.4065247304</v>
      </c>
      <c r="BL215" s="831"/>
      <c r="BM215" s="831">
        <f t="shared" si="567"/>
        <v>3576664.4065247304</v>
      </c>
      <c r="BN215" s="831"/>
      <c r="BO215" s="831">
        <f t="shared" si="568"/>
        <v>3576664.4065247304</v>
      </c>
      <c r="BP215" s="831"/>
      <c r="BQ215" s="831">
        <f t="shared" si="569"/>
        <v>3576664.4065247304</v>
      </c>
      <c r="BR215" s="831"/>
      <c r="BS215" s="831">
        <f t="shared" si="570"/>
        <v>3576664.4065247304</v>
      </c>
      <c r="BT215" s="831"/>
      <c r="BU215" s="831">
        <f t="shared" si="571"/>
        <v>3576664.4065247304</v>
      </c>
      <c r="BV215" s="831"/>
      <c r="BW215" s="831">
        <f t="shared" si="572"/>
        <v>56400</v>
      </c>
      <c r="BX215" s="831">
        <f t="shared" si="573"/>
        <v>3633064.4065247304</v>
      </c>
      <c r="BY215" s="831"/>
      <c r="BZ215" s="831">
        <f t="shared" si="574"/>
        <v>3633064.4065247304</v>
      </c>
      <c r="CA215" s="1260">
        <f t="shared" si="575"/>
        <v>3633064.4065247304</v>
      </c>
      <c r="CB215" s="1260">
        <f t="shared" si="576"/>
        <v>3633064.4065247304</v>
      </c>
      <c r="CC215" s="1260"/>
      <c r="CD215" s="1260">
        <f t="shared" si="577"/>
        <v>0</v>
      </c>
      <c r="CE215" s="1260">
        <f t="shared" si="578"/>
        <v>0</v>
      </c>
      <c r="CF215" s="1260">
        <f t="shared" si="579"/>
        <v>0</v>
      </c>
      <c r="CG215" s="1266">
        <f t="shared" si="580"/>
        <v>3633064.4065247304</v>
      </c>
      <c r="CH215" s="1141">
        <f t="shared" si="581"/>
        <v>3633064.4065247304</v>
      </c>
      <c r="CI215" s="1142">
        <f t="shared" si="582"/>
        <v>435967.72878296761</v>
      </c>
      <c r="CJ215" s="1141">
        <f t="shared" si="583"/>
        <v>372389.10166878486</v>
      </c>
      <c r="CK215" s="1141">
        <f t="shared" si="584"/>
        <v>127157.25422836558</v>
      </c>
      <c r="CL215" s="1143">
        <f t="shared" si="650"/>
        <v>4568578.4912048485</v>
      </c>
      <c r="CM215" s="1144">
        <f t="shared" si="585"/>
        <v>0.125</v>
      </c>
      <c r="CN215" s="1141">
        <f t="shared" si="502"/>
        <v>571072.31140060606</v>
      </c>
      <c r="CO215" s="1141">
        <f t="shared" si="586"/>
        <v>30000</v>
      </c>
      <c r="CP215" s="1141">
        <f t="shared" si="503"/>
        <v>541072.31140060606</v>
      </c>
      <c r="CQ215" s="1145">
        <f t="shared" si="587"/>
        <v>17</v>
      </c>
      <c r="CR215" s="1141">
        <f t="shared" si="504"/>
        <v>31827.783023565062</v>
      </c>
      <c r="CS215" s="1144">
        <f t="shared" si="588"/>
        <v>0.875</v>
      </c>
      <c r="CT215" s="1141">
        <f t="shared" si="589"/>
        <v>3997506.1798042422</v>
      </c>
      <c r="CU215" s="1146">
        <f t="shared" si="529"/>
        <v>30992.622863321027</v>
      </c>
      <c r="CV215" s="1146">
        <f t="shared" si="530"/>
        <v>35930.715673153383</v>
      </c>
      <c r="CW215" s="1146">
        <f t="shared" si="531"/>
        <v>46414.436320412213</v>
      </c>
      <c r="CX215" s="1146">
        <f t="shared" si="532"/>
        <v>79155.413532578008</v>
      </c>
      <c r="CY215" s="1146">
        <f t="shared" si="590"/>
        <v>324730.13311599835</v>
      </c>
      <c r="CZ215" s="1146">
        <f t="shared" si="591"/>
        <v>128494.13182270326</v>
      </c>
      <c r="DA215" s="1146">
        <f t="shared" si="592"/>
        <v>92809.491528144383</v>
      </c>
      <c r="DB215" s="1146">
        <f t="shared" si="593"/>
        <v>70632.295781230569</v>
      </c>
      <c r="DC215" s="1146"/>
      <c r="DD215" s="1146"/>
      <c r="DE215" s="1146"/>
      <c r="DF215" s="1146"/>
      <c r="DG215" s="1146"/>
      <c r="DH215" s="1146"/>
      <c r="DI215" s="1146"/>
      <c r="DJ215" s="1146"/>
      <c r="DK215" s="1146"/>
      <c r="DL215" s="1146"/>
      <c r="DM215" s="1146"/>
      <c r="DN215" s="1146"/>
      <c r="DO215" s="1146"/>
      <c r="DP215" s="1146"/>
      <c r="DQ215" s="1146"/>
      <c r="DR215" s="1146"/>
      <c r="DS215" s="1146"/>
      <c r="DT215" s="1146"/>
      <c r="DU215" s="1146"/>
      <c r="DV215" s="1146"/>
      <c r="DW215" s="1146"/>
      <c r="DX215" s="1146"/>
      <c r="DY215" s="1146"/>
      <c r="DZ215" s="1146"/>
      <c r="EA215" s="1147">
        <f t="shared" si="533"/>
        <v>0.10988127982971478</v>
      </c>
      <c r="EB215" s="1148">
        <f t="shared" si="594"/>
        <v>0</v>
      </c>
      <c r="EC215" s="1190">
        <f t="shared" si="638"/>
        <v>45839</v>
      </c>
      <c r="ED215" s="1031">
        <f t="shared" si="534"/>
        <v>20</v>
      </c>
      <c r="EE215" s="1191"/>
      <c r="EF215" s="1032">
        <f t="shared" si="535"/>
        <v>45904</v>
      </c>
      <c r="EG215" s="1029">
        <f t="shared" si="595"/>
        <v>22</v>
      </c>
      <c r="EH215" s="859" t="s">
        <v>490</v>
      </c>
      <c r="EI215" s="859" t="s">
        <v>480</v>
      </c>
      <c r="EJ215" s="860">
        <f t="shared" si="536"/>
        <v>16800</v>
      </c>
      <c r="EK215" s="860">
        <f t="shared" si="537"/>
        <v>369600</v>
      </c>
      <c r="EL215" s="861">
        <f t="shared" si="538"/>
        <v>0.12306703340928056</v>
      </c>
      <c r="EM215" s="1197"/>
      <c r="EN215" s="860"/>
      <c r="EO215" s="860"/>
      <c r="EP215" s="860">
        <f t="shared" si="539"/>
        <v>0</v>
      </c>
      <c r="EQ215" s="1197"/>
      <c r="ER215" s="1200"/>
      <c r="ES215" s="1197"/>
      <c r="ET215" s="1207" t="s">
        <v>697</v>
      </c>
      <c r="EU215" s="1197" t="b">
        <f t="shared" si="540"/>
        <v>1</v>
      </c>
      <c r="EV215" s="1197"/>
      <c r="EW215" s="1197"/>
      <c r="EX215" s="1197"/>
      <c r="EY215" s="1128" t="s">
        <v>587</v>
      </c>
      <c r="EZ215" s="1128" t="s">
        <v>484</v>
      </c>
      <c r="FA215" s="1169">
        <f t="shared" si="596"/>
        <v>0</v>
      </c>
      <c r="FI215" s="1309" t="s">
        <v>149</v>
      </c>
      <c r="FJ215" s="1159" t="s">
        <v>149</v>
      </c>
      <c r="FK215" s="1160" t="b">
        <f t="shared" si="597"/>
        <v>1</v>
      </c>
      <c r="FL215" s="1131"/>
      <c r="FM215" s="1161"/>
      <c r="FO215" s="888"/>
      <c r="FU215" s="1295"/>
      <c r="FV215" s="1295"/>
      <c r="FW215" s="1023">
        <v>0.15</v>
      </c>
      <c r="FX215" s="1162">
        <v>15172.551623090261</v>
      </c>
      <c r="FY215" s="1163">
        <v>15646.693861311833</v>
      </c>
      <c r="GA215" s="1164">
        <f t="shared" si="598"/>
        <v>4568578.4912048485</v>
      </c>
      <c r="GB215" s="1165">
        <f t="shared" si="599"/>
        <v>0.15</v>
      </c>
      <c r="GC215" s="1154">
        <f t="shared" si="600"/>
        <v>685286.77368072723</v>
      </c>
      <c r="GD215" s="1164">
        <f t="shared" si="601"/>
        <v>30000</v>
      </c>
      <c r="GE215" s="1154">
        <f t="shared" si="602"/>
        <v>655286.77368072723</v>
      </c>
      <c r="GF215" s="1060">
        <f t="shared" si="603"/>
        <v>35</v>
      </c>
      <c r="GG215" s="1166">
        <f t="shared" si="604"/>
        <v>18722.47924802078</v>
      </c>
      <c r="GI215" s="1164">
        <f t="shared" si="605"/>
        <v>4568578.4912048485</v>
      </c>
      <c r="GJ215" s="1154">
        <f t="shared" si="606"/>
        <v>456857.8491204849</v>
      </c>
      <c r="GK215" s="1154">
        <f t="shared" si="607"/>
        <v>114214.46228012122</v>
      </c>
      <c r="GL215" s="1166">
        <v>15000</v>
      </c>
      <c r="GM215" s="1154">
        <f t="shared" si="608"/>
        <v>441857.8491204849</v>
      </c>
      <c r="GN215" s="1060">
        <f t="shared" si="609"/>
        <v>35</v>
      </c>
      <c r="GO215" s="1154">
        <f t="shared" si="610"/>
        <v>12624.509974870996</v>
      </c>
      <c r="GS215" s="1010">
        <f t="shared" si="611"/>
        <v>4568578.4912048485</v>
      </c>
      <c r="GT215" s="1011">
        <f t="shared" si="612"/>
        <v>0.125</v>
      </c>
      <c r="GU215" s="1010">
        <f t="shared" si="613"/>
        <v>571072.31140060606</v>
      </c>
      <c r="GV215" s="1010">
        <f t="shared" si="614"/>
        <v>30000</v>
      </c>
      <c r="GW215" s="1010">
        <f t="shared" si="615"/>
        <v>541072.31140060606</v>
      </c>
      <c r="GX215" s="1010">
        <f t="shared" si="616"/>
        <v>17</v>
      </c>
      <c r="GY215" s="1010">
        <f t="shared" si="617"/>
        <v>31827.783023565062</v>
      </c>
      <c r="GZ215" s="1011">
        <f t="shared" si="618"/>
        <v>0.875</v>
      </c>
      <c r="HA215" s="1010">
        <f t="shared" si="619"/>
        <v>3997506.1798042422</v>
      </c>
      <c r="HB215" s="1010">
        <f t="shared" si="620"/>
        <v>30992.622863321027</v>
      </c>
      <c r="HC215" s="1010">
        <f t="shared" si="621"/>
        <v>35930.715673153383</v>
      </c>
      <c r="HD215" s="1010">
        <f t="shared" si="622"/>
        <v>46414.436320412213</v>
      </c>
      <c r="HE215" s="1010">
        <f t="shared" si="623"/>
        <v>79155.413532578008</v>
      </c>
      <c r="HG215" s="1010">
        <f t="shared" si="624"/>
        <v>4568578.4912048485</v>
      </c>
      <c r="HH215" s="1011">
        <f t="shared" si="625"/>
        <v>0.125</v>
      </c>
      <c r="HI215" s="1010">
        <f t="shared" si="626"/>
        <v>571072.31140060606</v>
      </c>
      <c r="HJ215" s="1010">
        <f t="shared" si="627"/>
        <v>30000</v>
      </c>
      <c r="HK215" s="1010">
        <f t="shared" si="628"/>
        <v>541072.31140060606</v>
      </c>
      <c r="HL215" s="1012">
        <f t="shared" si="629"/>
        <v>33</v>
      </c>
      <c r="HM215" s="1167">
        <f t="shared" si="630"/>
        <v>16396.130648503215</v>
      </c>
      <c r="HN215" s="1168">
        <f t="shared" si="631"/>
        <v>0.875</v>
      </c>
      <c r="HO215" s="1167">
        <f t="shared" si="632"/>
        <v>3997506.1798042422</v>
      </c>
      <c r="HP215" s="1146">
        <f t="shared" si="633"/>
        <v>30992.622863321027</v>
      </c>
      <c r="HQ215" s="1146">
        <f t="shared" si="634"/>
        <v>35930.715673153383</v>
      </c>
      <c r="HR215" s="1146">
        <f t="shared" si="635"/>
        <v>46414.436320412213</v>
      </c>
      <c r="HS215" s="1146">
        <f t="shared" si="636"/>
        <v>79155.413532578008</v>
      </c>
      <c r="HU215" s="1167">
        <f t="shared" si="637"/>
        <v>-15431.652375061847</v>
      </c>
      <c r="HX215" s="1154"/>
      <c r="HY215" s="1154"/>
      <c r="IB215" s="1154"/>
      <c r="IC215" s="1154"/>
      <c r="ID215" s="1154"/>
      <c r="IE215" s="1154"/>
      <c r="IG215" s="1060"/>
    </row>
    <row r="216" spans="1:241" ht="14.25" hidden="1" customHeight="1">
      <c r="A216" s="1186">
        <f t="shared" si="651"/>
        <v>210</v>
      </c>
      <c r="B216" s="824"/>
      <c r="C216" s="855">
        <f t="shared" si="639"/>
        <v>15</v>
      </c>
      <c r="D216" s="856" t="s">
        <v>683</v>
      </c>
      <c r="E216" s="857" t="s">
        <v>528</v>
      </c>
      <c r="F216" s="1185"/>
      <c r="G216" s="764" t="s">
        <v>698</v>
      </c>
      <c r="H216" s="764" t="s">
        <v>533</v>
      </c>
      <c r="I216" s="764" t="s">
        <v>476</v>
      </c>
      <c r="J216" s="1139">
        <v>22</v>
      </c>
      <c r="K216" s="1142"/>
      <c r="L216" s="764" t="s">
        <v>500</v>
      </c>
      <c r="M216" s="764" t="s">
        <v>93</v>
      </c>
      <c r="N216" s="856">
        <f t="shared" si="542"/>
        <v>100909.09090909091</v>
      </c>
      <c r="O216" s="1138">
        <f t="shared" si="642"/>
        <v>2220000</v>
      </c>
      <c r="P216" s="1138">
        <f t="shared" si="652"/>
        <v>22400</v>
      </c>
      <c r="Q216" s="1138">
        <f t="shared" si="528"/>
        <v>50000</v>
      </c>
      <c r="R216" s="1138"/>
      <c r="S216" s="1138"/>
      <c r="T216" s="1138"/>
      <c r="U216" s="1138"/>
      <c r="V216" s="858"/>
      <c r="W216" s="1138"/>
      <c r="X216" s="1138"/>
      <c r="Y216" s="1138">
        <f t="shared" si="641"/>
        <v>180000</v>
      </c>
      <c r="Z216" s="1138">
        <f t="shared" si="643"/>
        <v>75000</v>
      </c>
      <c r="AA216" s="1138">
        <f t="shared" si="644"/>
        <v>327400</v>
      </c>
      <c r="AB216" s="1138">
        <f t="shared" si="543"/>
        <v>2547400</v>
      </c>
      <c r="AC216" s="1138">
        <f t="shared" si="544"/>
        <v>63685</v>
      </c>
      <c r="AD216" s="1138">
        <f t="shared" si="545"/>
        <v>2611085</v>
      </c>
      <c r="AE216" s="1138">
        <f t="shared" si="546"/>
        <v>65277.125</v>
      </c>
      <c r="AF216" s="1138">
        <f t="shared" si="547"/>
        <v>2676362.125</v>
      </c>
      <c r="AG216" s="1138">
        <f t="shared" si="548"/>
        <v>66909.053125000006</v>
      </c>
      <c r="AH216" s="1138">
        <f t="shared" si="549"/>
        <v>2743271.1781250001</v>
      </c>
      <c r="AI216" s="1138">
        <f t="shared" si="550"/>
        <v>137163.55890625002</v>
      </c>
      <c r="AJ216" s="1138">
        <f t="shared" si="551"/>
        <v>2880434.7370312503</v>
      </c>
      <c r="AK216" s="1138">
        <f t="shared" si="552"/>
        <v>28804.347370312502</v>
      </c>
      <c r="AL216" s="1138">
        <f t="shared" si="553"/>
        <v>27537.409960060559</v>
      </c>
      <c r="AM216" s="1138"/>
      <c r="AN216" s="1138"/>
      <c r="AO216" s="1138">
        <f t="shared" si="554"/>
        <v>2936776.4943616232</v>
      </c>
      <c r="AP216" s="1138">
        <f t="shared" si="555"/>
        <v>396464.82673881913</v>
      </c>
      <c r="AQ216" s="1248">
        <f t="shared" si="556"/>
        <v>3333241.3211004422</v>
      </c>
      <c r="AR216" s="1248">
        <f t="shared" si="515"/>
        <v>3003241.3211004422</v>
      </c>
      <c r="AS216" s="1248">
        <v>15000</v>
      </c>
      <c r="AT216" s="1248">
        <f t="shared" si="516"/>
        <v>330000</v>
      </c>
      <c r="AU216" s="1248">
        <f t="shared" si="557"/>
        <v>39600</v>
      </c>
      <c r="AV216" s="1140">
        <f t="shared" si="558"/>
        <v>369600</v>
      </c>
      <c r="AW216" s="1140">
        <f t="shared" si="559"/>
        <v>3372841.3211004422</v>
      </c>
      <c r="AX216" s="1139">
        <f t="shared" si="560"/>
        <v>42160.51651375553</v>
      </c>
      <c r="AY216" s="831" t="s">
        <v>478</v>
      </c>
      <c r="AZ216" s="831">
        <f t="shared" si="561"/>
        <v>3415001.8376141977</v>
      </c>
      <c r="BA216" s="831">
        <f t="shared" si="562"/>
        <v>128062.56891053241</v>
      </c>
      <c r="BB216" s="831"/>
      <c r="BC216" s="831">
        <f t="shared" si="513"/>
        <v>33600</v>
      </c>
      <c r="BD216" s="831"/>
      <c r="BE216" s="831">
        <f t="shared" si="563"/>
        <v>3576664.4065247304</v>
      </c>
      <c r="BF216" s="831"/>
      <c r="BG216" s="831">
        <f t="shared" si="564"/>
        <v>3576664.4065247304</v>
      </c>
      <c r="BH216" s="831"/>
      <c r="BI216" s="831">
        <f t="shared" si="565"/>
        <v>3576664.4065247304</v>
      </c>
      <c r="BJ216" s="831"/>
      <c r="BK216" s="831">
        <f t="shared" si="566"/>
        <v>3576664.4065247304</v>
      </c>
      <c r="BL216" s="831"/>
      <c r="BM216" s="831">
        <f t="shared" si="567"/>
        <v>3576664.4065247304</v>
      </c>
      <c r="BN216" s="831"/>
      <c r="BO216" s="831">
        <f t="shared" si="568"/>
        <v>3576664.4065247304</v>
      </c>
      <c r="BP216" s="831"/>
      <c r="BQ216" s="831">
        <f t="shared" si="569"/>
        <v>3576664.4065247304</v>
      </c>
      <c r="BR216" s="831"/>
      <c r="BS216" s="831">
        <f t="shared" si="570"/>
        <v>3576664.4065247304</v>
      </c>
      <c r="BT216" s="831"/>
      <c r="BU216" s="831">
        <f t="shared" si="571"/>
        <v>3576664.4065247304</v>
      </c>
      <c r="BV216" s="831"/>
      <c r="BW216" s="831">
        <f t="shared" si="572"/>
        <v>56400</v>
      </c>
      <c r="BX216" s="831">
        <f t="shared" si="573"/>
        <v>3633064.4065247304</v>
      </c>
      <c r="BY216" s="831"/>
      <c r="BZ216" s="831">
        <f t="shared" si="574"/>
        <v>3633064.4065247304</v>
      </c>
      <c r="CA216" s="1260">
        <f t="shared" si="575"/>
        <v>3633064.4065247304</v>
      </c>
      <c r="CB216" s="1260">
        <f t="shared" si="576"/>
        <v>3633064.4065247304</v>
      </c>
      <c r="CC216" s="1260"/>
      <c r="CD216" s="1260">
        <f t="shared" si="577"/>
        <v>0</v>
      </c>
      <c r="CE216" s="1260">
        <f t="shared" si="578"/>
        <v>0</v>
      </c>
      <c r="CF216" s="1260">
        <f t="shared" si="579"/>
        <v>0</v>
      </c>
      <c r="CG216" s="1266">
        <f t="shared" si="580"/>
        <v>3633064.4065247304</v>
      </c>
      <c r="CH216" s="1141">
        <f t="shared" si="581"/>
        <v>3633064.4065247304</v>
      </c>
      <c r="CI216" s="1142">
        <f t="shared" si="582"/>
        <v>435967.72878296761</v>
      </c>
      <c r="CJ216" s="1141">
        <f t="shared" si="583"/>
        <v>372389.10166878486</v>
      </c>
      <c r="CK216" s="1141">
        <f t="shared" si="584"/>
        <v>127157.25422836558</v>
      </c>
      <c r="CL216" s="1143">
        <f t="shared" si="650"/>
        <v>4568578.4912048485</v>
      </c>
      <c r="CM216" s="1144">
        <f t="shared" si="585"/>
        <v>0.125</v>
      </c>
      <c r="CN216" s="1141">
        <f t="shared" si="502"/>
        <v>571072.31140060606</v>
      </c>
      <c r="CO216" s="1141">
        <f t="shared" si="586"/>
        <v>30000</v>
      </c>
      <c r="CP216" s="1141">
        <f t="shared" si="503"/>
        <v>541072.31140060606</v>
      </c>
      <c r="CQ216" s="1145">
        <f t="shared" si="587"/>
        <v>17</v>
      </c>
      <c r="CR216" s="1141">
        <f t="shared" si="504"/>
        <v>31827.783023565062</v>
      </c>
      <c r="CS216" s="1144">
        <f t="shared" si="588"/>
        <v>0.875</v>
      </c>
      <c r="CT216" s="1141">
        <f t="shared" si="589"/>
        <v>3997506.1798042422</v>
      </c>
      <c r="CU216" s="1146">
        <f t="shared" si="529"/>
        <v>30992.622863321027</v>
      </c>
      <c r="CV216" s="1146">
        <f t="shared" si="530"/>
        <v>35930.715673153383</v>
      </c>
      <c r="CW216" s="1146">
        <f t="shared" si="531"/>
        <v>46414.436320412213</v>
      </c>
      <c r="CX216" s="1146">
        <f t="shared" si="532"/>
        <v>79155.413532578008</v>
      </c>
      <c r="CY216" s="1146">
        <f t="shared" si="590"/>
        <v>324730.13311599835</v>
      </c>
      <c r="CZ216" s="1146">
        <f t="shared" si="591"/>
        <v>128494.13182270326</v>
      </c>
      <c r="DA216" s="1146">
        <f t="shared" si="592"/>
        <v>92809.491528144383</v>
      </c>
      <c r="DB216" s="1146">
        <f t="shared" si="593"/>
        <v>70632.295781230569</v>
      </c>
      <c r="DC216" s="1146"/>
      <c r="DD216" s="1146"/>
      <c r="DE216" s="1146"/>
      <c r="DF216" s="1146"/>
      <c r="DG216" s="1146"/>
      <c r="DH216" s="1146"/>
      <c r="DI216" s="1146"/>
      <c r="DJ216" s="1146"/>
      <c r="DK216" s="1146"/>
      <c r="DL216" s="1146"/>
      <c r="DM216" s="1146"/>
      <c r="DN216" s="1146"/>
      <c r="DO216" s="1146"/>
      <c r="DP216" s="1146"/>
      <c r="DQ216" s="1146"/>
      <c r="DR216" s="1146"/>
      <c r="DS216" s="1146"/>
      <c r="DT216" s="1146"/>
      <c r="DU216" s="1146"/>
      <c r="DV216" s="1146"/>
      <c r="DW216" s="1146"/>
      <c r="DX216" s="1146"/>
      <c r="DY216" s="1146"/>
      <c r="DZ216" s="1146"/>
      <c r="EA216" s="1147">
        <f t="shared" si="533"/>
        <v>0.10988127982971478</v>
      </c>
      <c r="EB216" s="1148">
        <f t="shared" si="594"/>
        <v>0</v>
      </c>
      <c r="EC216" s="1190">
        <f t="shared" si="638"/>
        <v>45839</v>
      </c>
      <c r="ED216" s="1031">
        <f t="shared" si="534"/>
        <v>20</v>
      </c>
      <c r="EE216" s="1191"/>
      <c r="EF216" s="1032">
        <f t="shared" si="535"/>
        <v>45904</v>
      </c>
      <c r="EG216" s="1029">
        <f t="shared" si="595"/>
        <v>22</v>
      </c>
      <c r="EH216" s="859" t="s">
        <v>490</v>
      </c>
      <c r="EI216" s="859" t="s">
        <v>480</v>
      </c>
      <c r="EJ216" s="860">
        <f t="shared" si="536"/>
        <v>16800</v>
      </c>
      <c r="EK216" s="860">
        <f t="shared" si="537"/>
        <v>369600</v>
      </c>
      <c r="EL216" s="861">
        <f t="shared" si="538"/>
        <v>0.12306703340928056</v>
      </c>
      <c r="EM216" s="1197"/>
      <c r="EN216" s="860"/>
      <c r="EO216" s="860"/>
      <c r="EP216" s="860">
        <f t="shared" si="539"/>
        <v>0</v>
      </c>
      <c r="EQ216" s="1197"/>
      <c r="ER216" s="1200"/>
      <c r="ES216" s="1197"/>
      <c r="ET216" s="1207" t="s">
        <v>698</v>
      </c>
      <c r="EU216" s="1197" t="b">
        <f t="shared" si="540"/>
        <v>1</v>
      </c>
      <c r="EV216" s="1197"/>
      <c r="EW216" s="1197"/>
      <c r="EX216" s="1197"/>
      <c r="EY216" s="1128" t="s">
        <v>587</v>
      </c>
      <c r="EZ216" s="1128" t="s">
        <v>484</v>
      </c>
      <c r="FA216" s="1169">
        <f t="shared" si="596"/>
        <v>0</v>
      </c>
      <c r="FI216" s="1309" t="s">
        <v>149</v>
      </c>
      <c r="FJ216" s="1159" t="s">
        <v>149</v>
      </c>
      <c r="FK216" s="1160" t="b">
        <f t="shared" si="597"/>
        <v>1</v>
      </c>
      <c r="FL216" s="1131"/>
      <c r="FM216" s="1161"/>
      <c r="FO216" s="888"/>
      <c r="FU216" s="1295"/>
      <c r="FV216" s="1295"/>
      <c r="FW216" s="1023">
        <v>0.15</v>
      </c>
      <c r="FX216" s="1162">
        <v>15172.551623090261</v>
      </c>
      <c r="FY216" s="1163">
        <v>15646.693861311833</v>
      </c>
      <c r="GA216" s="1164">
        <f t="shared" si="598"/>
        <v>4568578.4912048485</v>
      </c>
      <c r="GB216" s="1165">
        <f t="shared" si="599"/>
        <v>0.15</v>
      </c>
      <c r="GC216" s="1154">
        <f t="shared" si="600"/>
        <v>685286.77368072723</v>
      </c>
      <c r="GD216" s="1164">
        <f t="shared" si="601"/>
        <v>30000</v>
      </c>
      <c r="GE216" s="1154">
        <f t="shared" si="602"/>
        <v>655286.77368072723</v>
      </c>
      <c r="GF216" s="1060">
        <f t="shared" si="603"/>
        <v>35</v>
      </c>
      <c r="GG216" s="1166">
        <f t="shared" si="604"/>
        <v>18722.47924802078</v>
      </c>
      <c r="GI216" s="1164">
        <f t="shared" si="605"/>
        <v>4568578.4912048485</v>
      </c>
      <c r="GJ216" s="1154">
        <f t="shared" si="606"/>
        <v>456857.8491204849</v>
      </c>
      <c r="GK216" s="1154">
        <f t="shared" si="607"/>
        <v>114214.46228012122</v>
      </c>
      <c r="GL216" s="1166">
        <v>15000</v>
      </c>
      <c r="GM216" s="1154">
        <f t="shared" si="608"/>
        <v>441857.8491204849</v>
      </c>
      <c r="GN216" s="1060">
        <f t="shared" si="609"/>
        <v>35</v>
      </c>
      <c r="GO216" s="1154">
        <f t="shared" si="610"/>
        <v>12624.509974870996</v>
      </c>
      <c r="GS216" s="1010">
        <f t="shared" si="611"/>
        <v>4568578.4912048485</v>
      </c>
      <c r="GT216" s="1011">
        <f t="shared" si="612"/>
        <v>0.125</v>
      </c>
      <c r="GU216" s="1010">
        <f t="shared" si="613"/>
        <v>571072.31140060606</v>
      </c>
      <c r="GV216" s="1010">
        <f t="shared" si="614"/>
        <v>30000</v>
      </c>
      <c r="GW216" s="1010">
        <f t="shared" si="615"/>
        <v>541072.31140060606</v>
      </c>
      <c r="GX216" s="1010">
        <f t="shared" si="616"/>
        <v>17</v>
      </c>
      <c r="GY216" s="1010">
        <f t="shared" si="617"/>
        <v>31827.783023565062</v>
      </c>
      <c r="GZ216" s="1011">
        <f t="shared" si="618"/>
        <v>0.875</v>
      </c>
      <c r="HA216" s="1010">
        <f t="shared" si="619"/>
        <v>3997506.1798042422</v>
      </c>
      <c r="HB216" s="1010">
        <f t="shared" si="620"/>
        <v>30992.622863321027</v>
      </c>
      <c r="HC216" s="1010">
        <f t="shared" si="621"/>
        <v>35930.715673153383</v>
      </c>
      <c r="HD216" s="1010">
        <f t="shared" si="622"/>
        <v>46414.436320412213</v>
      </c>
      <c r="HE216" s="1010">
        <f t="shared" si="623"/>
        <v>79155.413532578008</v>
      </c>
      <c r="HG216" s="1010">
        <f t="shared" si="624"/>
        <v>4568578.4912048485</v>
      </c>
      <c r="HH216" s="1011">
        <f t="shared" si="625"/>
        <v>0.125</v>
      </c>
      <c r="HI216" s="1010">
        <f t="shared" si="626"/>
        <v>571072.31140060606</v>
      </c>
      <c r="HJ216" s="1010">
        <f t="shared" si="627"/>
        <v>30000</v>
      </c>
      <c r="HK216" s="1010">
        <f t="shared" si="628"/>
        <v>541072.31140060606</v>
      </c>
      <c r="HL216" s="1012">
        <f t="shared" si="629"/>
        <v>33</v>
      </c>
      <c r="HM216" s="1167">
        <f t="shared" si="630"/>
        <v>16396.130648503215</v>
      </c>
      <c r="HN216" s="1168">
        <f t="shared" si="631"/>
        <v>0.875</v>
      </c>
      <c r="HO216" s="1167">
        <f t="shared" si="632"/>
        <v>3997506.1798042422</v>
      </c>
      <c r="HP216" s="1146">
        <f t="shared" si="633"/>
        <v>30992.622863321027</v>
      </c>
      <c r="HQ216" s="1146">
        <f t="shared" si="634"/>
        <v>35930.715673153383</v>
      </c>
      <c r="HR216" s="1146">
        <f t="shared" si="635"/>
        <v>46414.436320412213</v>
      </c>
      <c r="HS216" s="1146">
        <f t="shared" si="636"/>
        <v>79155.413532578008</v>
      </c>
      <c r="HU216" s="1167">
        <f t="shared" si="637"/>
        <v>-15431.652375061847</v>
      </c>
      <c r="HX216" s="1154"/>
      <c r="HY216" s="1154"/>
      <c r="IB216" s="1154"/>
      <c r="IC216" s="1154"/>
      <c r="ID216" s="1154"/>
      <c r="IE216" s="1154"/>
      <c r="IG216" s="1060"/>
    </row>
    <row r="217" spans="1:241" ht="14.25" hidden="1" customHeight="1">
      <c r="A217" s="1186">
        <f t="shared" si="651"/>
        <v>211</v>
      </c>
      <c r="B217" s="824"/>
      <c r="C217" s="855">
        <f t="shared" si="639"/>
        <v>16</v>
      </c>
      <c r="D217" s="856" t="s">
        <v>683</v>
      </c>
      <c r="E217" s="857" t="s">
        <v>528</v>
      </c>
      <c r="F217" s="1185"/>
      <c r="G217" s="764" t="s">
        <v>699</v>
      </c>
      <c r="H217" s="764" t="s">
        <v>550</v>
      </c>
      <c r="I217" s="764" t="s">
        <v>476</v>
      </c>
      <c r="J217" s="1139">
        <v>22</v>
      </c>
      <c r="K217" s="1142"/>
      <c r="L217" s="764" t="s">
        <v>500</v>
      </c>
      <c r="M217" s="764" t="s">
        <v>93</v>
      </c>
      <c r="N217" s="856">
        <f t="shared" si="542"/>
        <v>100909.09090909091</v>
      </c>
      <c r="O217" s="1138">
        <f t="shared" si="642"/>
        <v>2220000</v>
      </c>
      <c r="P217" s="1138">
        <f t="shared" si="652"/>
        <v>22400</v>
      </c>
      <c r="Q217" s="1138">
        <f t="shared" si="528"/>
        <v>50000</v>
      </c>
      <c r="R217" s="1138"/>
      <c r="S217" s="1138"/>
      <c r="T217" s="1138"/>
      <c r="U217" s="1138"/>
      <c r="V217" s="858"/>
      <c r="W217" s="1138"/>
      <c r="X217" s="1138"/>
      <c r="Y217" s="1138">
        <f t="shared" si="641"/>
        <v>180000</v>
      </c>
      <c r="Z217" s="1138">
        <f t="shared" si="643"/>
        <v>75000</v>
      </c>
      <c r="AA217" s="1138">
        <f t="shared" ref="AA217:AA219" si="654">SUM(P217:Z217)</f>
        <v>327400</v>
      </c>
      <c r="AB217" s="1138">
        <f t="shared" si="543"/>
        <v>2547400</v>
      </c>
      <c r="AC217" s="1138">
        <f t="shared" si="544"/>
        <v>63685</v>
      </c>
      <c r="AD217" s="1138">
        <f t="shared" si="545"/>
        <v>2611085</v>
      </c>
      <c r="AE217" s="1138">
        <f t="shared" si="546"/>
        <v>65277.125</v>
      </c>
      <c r="AF217" s="1138">
        <f t="shared" si="547"/>
        <v>2676362.125</v>
      </c>
      <c r="AG217" s="1138">
        <f t="shared" si="548"/>
        <v>66909.053125000006</v>
      </c>
      <c r="AH217" s="1138">
        <f t="shared" si="549"/>
        <v>2743271.1781250001</v>
      </c>
      <c r="AI217" s="1138">
        <f t="shared" si="550"/>
        <v>137163.55890625002</v>
      </c>
      <c r="AJ217" s="1138">
        <f t="shared" si="551"/>
        <v>2880434.7370312503</v>
      </c>
      <c r="AK217" s="1138">
        <f t="shared" si="552"/>
        <v>28804.347370312502</v>
      </c>
      <c r="AL217" s="1138">
        <f t="shared" si="553"/>
        <v>27537.409960060559</v>
      </c>
      <c r="AM217" s="1138"/>
      <c r="AN217" s="1138"/>
      <c r="AO217" s="1138">
        <f t="shared" si="554"/>
        <v>2936776.4943616232</v>
      </c>
      <c r="AP217" s="1138">
        <f t="shared" si="555"/>
        <v>396464.82673881913</v>
      </c>
      <c r="AQ217" s="1248">
        <f t="shared" si="556"/>
        <v>3333241.3211004422</v>
      </c>
      <c r="AR217" s="1248">
        <f t="shared" si="515"/>
        <v>3003241.3211004422</v>
      </c>
      <c r="AS217" s="1248">
        <v>15000</v>
      </c>
      <c r="AT217" s="1248">
        <f t="shared" si="516"/>
        <v>330000</v>
      </c>
      <c r="AU217" s="1248">
        <f t="shared" si="557"/>
        <v>39600</v>
      </c>
      <c r="AV217" s="1140">
        <f t="shared" si="558"/>
        <v>369600</v>
      </c>
      <c r="AW217" s="1140">
        <f t="shared" si="559"/>
        <v>3372841.3211004422</v>
      </c>
      <c r="AX217" s="1139">
        <f t="shared" si="560"/>
        <v>42160.51651375553</v>
      </c>
      <c r="AY217" s="831" t="s">
        <v>478</v>
      </c>
      <c r="AZ217" s="831">
        <f t="shared" si="561"/>
        <v>3415001.8376141977</v>
      </c>
      <c r="BA217" s="831">
        <f t="shared" si="562"/>
        <v>128062.56891053241</v>
      </c>
      <c r="BB217" s="831"/>
      <c r="BC217" s="831">
        <f t="shared" si="513"/>
        <v>33600</v>
      </c>
      <c r="BD217" s="831"/>
      <c r="BE217" s="831">
        <f t="shared" si="563"/>
        <v>3576664.4065247304</v>
      </c>
      <c r="BF217" s="831"/>
      <c r="BG217" s="831">
        <f t="shared" si="564"/>
        <v>3576664.4065247304</v>
      </c>
      <c r="BH217" s="831"/>
      <c r="BI217" s="831">
        <f t="shared" si="565"/>
        <v>3576664.4065247304</v>
      </c>
      <c r="BJ217" s="831"/>
      <c r="BK217" s="831">
        <f t="shared" si="566"/>
        <v>3576664.4065247304</v>
      </c>
      <c r="BL217" s="831"/>
      <c r="BM217" s="831">
        <f t="shared" si="567"/>
        <v>3576664.4065247304</v>
      </c>
      <c r="BN217" s="831"/>
      <c r="BO217" s="831">
        <f t="shared" si="568"/>
        <v>3576664.4065247304</v>
      </c>
      <c r="BP217" s="831"/>
      <c r="BQ217" s="831">
        <f t="shared" si="569"/>
        <v>3576664.4065247304</v>
      </c>
      <c r="BR217" s="831"/>
      <c r="BS217" s="831">
        <f t="shared" si="570"/>
        <v>3576664.4065247304</v>
      </c>
      <c r="BT217" s="831"/>
      <c r="BU217" s="831">
        <f t="shared" si="571"/>
        <v>3576664.4065247304</v>
      </c>
      <c r="BV217" s="831"/>
      <c r="BW217" s="831">
        <f t="shared" si="572"/>
        <v>56400</v>
      </c>
      <c r="BX217" s="831">
        <f t="shared" si="573"/>
        <v>3633064.4065247304</v>
      </c>
      <c r="BY217" s="831"/>
      <c r="BZ217" s="831">
        <f t="shared" si="574"/>
        <v>3633064.4065247304</v>
      </c>
      <c r="CA217" s="1260">
        <f t="shared" si="575"/>
        <v>3633064.4065247304</v>
      </c>
      <c r="CB217" s="1260">
        <f t="shared" si="576"/>
        <v>3633064.4065247304</v>
      </c>
      <c r="CC217" s="1260"/>
      <c r="CD217" s="1260">
        <f t="shared" si="577"/>
        <v>0</v>
      </c>
      <c r="CE217" s="1260">
        <f t="shared" si="578"/>
        <v>0</v>
      </c>
      <c r="CF217" s="1260">
        <f t="shared" si="579"/>
        <v>0</v>
      </c>
      <c r="CG217" s="1266">
        <f t="shared" si="580"/>
        <v>3633064.4065247304</v>
      </c>
      <c r="CH217" s="1141">
        <f t="shared" si="581"/>
        <v>3633064.4065247304</v>
      </c>
      <c r="CI217" s="1142">
        <f t="shared" si="582"/>
        <v>435967.72878296761</v>
      </c>
      <c r="CJ217" s="1141">
        <f t="shared" si="583"/>
        <v>372389.10166878486</v>
      </c>
      <c r="CK217" s="1141">
        <f t="shared" si="584"/>
        <v>127157.25422836558</v>
      </c>
      <c r="CL217" s="1143">
        <f t="shared" si="650"/>
        <v>4568578.4912048485</v>
      </c>
      <c r="CM217" s="1144">
        <f t="shared" si="585"/>
        <v>0.125</v>
      </c>
      <c r="CN217" s="1141">
        <f t="shared" si="502"/>
        <v>571072.31140060606</v>
      </c>
      <c r="CO217" s="1141">
        <f t="shared" si="586"/>
        <v>30000</v>
      </c>
      <c r="CP217" s="1141">
        <f t="shared" si="503"/>
        <v>541072.31140060606</v>
      </c>
      <c r="CQ217" s="1145">
        <f t="shared" si="587"/>
        <v>17</v>
      </c>
      <c r="CR217" s="1141">
        <f t="shared" si="504"/>
        <v>31827.783023565062</v>
      </c>
      <c r="CS217" s="1144">
        <f t="shared" si="588"/>
        <v>0.875</v>
      </c>
      <c r="CT217" s="1141">
        <f t="shared" si="589"/>
        <v>3997506.1798042422</v>
      </c>
      <c r="CU217" s="1146">
        <f t="shared" si="529"/>
        <v>30992.622863321027</v>
      </c>
      <c r="CV217" s="1146">
        <f t="shared" si="530"/>
        <v>35930.715673153383</v>
      </c>
      <c r="CW217" s="1146">
        <f t="shared" si="531"/>
        <v>46414.436320412213</v>
      </c>
      <c r="CX217" s="1146">
        <f t="shared" si="532"/>
        <v>79155.413532578008</v>
      </c>
      <c r="CY217" s="1146">
        <f t="shared" si="590"/>
        <v>324730.13311599835</v>
      </c>
      <c r="CZ217" s="1146">
        <f t="shared" si="591"/>
        <v>128494.13182270326</v>
      </c>
      <c r="DA217" s="1146">
        <f t="shared" si="592"/>
        <v>92809.491528144383</v>
      </c>
      <c r="DB217" s="1146">
        <f t="shared" si="593"/>
        <v>70632.295781230569</v>
      </c>
      <c r="DC217" s="1146"/>
      <c r="DD217" s="1146"/>
      <c r="DE217" s="1146"/>
      <c r="DF217" s="1146"/>
      <c r="DG217" s="1146"/>
      <c r="DH217" s="1146"/>
      <c r="DI217" s="1146"/>
      <c r="DJ217" s="1146"/>
      <c r="DK217" s="1146"/>
      <c r="DL217" s="1146"/>
      <c r="DM217" s="1146"/>
      <c r="DN217" s="1146"/>
      <c r="DO217" s="1146"/>
      <c r="DP217" s="1146"/>
      <c r="DQ217" s="1146"/>
      <c r="DR217" s="1146"/>
      <c r="DS217" s="1146"/>
      <c r="DT217" s="1146"/>
      <c r="DU217" s="1146"/>
      <c r="DV217" s="1146"/>
      <c r="DW217" s="1146"/>
      <c r="DX217" s="1146"/>
      <c r="DY217" s="1146"/>
      <c r="DZ217" s="1146"/>
      <c r="EA217" s="1147">
        <f t="shared" si="533"/>
        <v>0.10988127982971478</v>
      </c>
      <c r="EB217" s="1148">
        <f t="shared" si="594"/>
        <v>0</v>
      </c>
      <c r="EC217" s="1190">
        <f t="shared" si="638"/>
        <v>45839</v>
      </c>
      <c r="ED217" s="1031">
        <f t="shared" si="534"/>
        <v>20</v>
      </c>
      <c r="EE217" s="1191"/>
      <c r="EF217" s="1032">
        <f t="shared" si="535"/>
        <v>45904</v>
      </c>
      <c r="EG217" s="1029">
        <f t="shared" si="595"/>
        <v>22</v>
      </c>
      <c r="EH217" s="859" t="s">
        <v>490</v>
      </c>
      <c r="EI217" s="859" t="s">
        <v>480</v>
      </c>
      <c r="EJ217" s="860">
        <f t="shared" si="536"/>
        <v>16800</v>
      </c>
      <c r="EK217" s="860">
        <f t="shared" si="537"/>
        <v>369600</v>
      </c>
      <c r="EL217" s="861">
        <f t="shared" si="538"/>
        <v>0.12306703340928056</v>
      </c>
      <c r="EM217" s="1197"/>
      <c r="EN217" s="860"/>
      <c r="EO217" s="860"/>
      <c r="EP217" s="860">
        <f t="shared" si="539"/>
        <v>0</v>
      </c>
      <c r="EQ217" s="1197"/>
      <c r="ER217" s="1200"/>
      <c r="ES217" s="1197"/>
      <c r="ET217" s="1207" t="s">
        <v>699</v>
      </c>
      <c r="EU217" s="1197" t="b">
        <f t="shared" si="540"/>
        <v>1</v>
      </c>
      <c r="EV217" s="1197"/>
      <c r="EW217" s="1197"/>
      <c r="EX217" s="1197"/>
      <c r="EY217" s="1128" t="s">
        <v>587</v>
      </c>
      <c r="EZ217" s="1128" t="s">
        <v>484</v>
      </c>
      <c r="FA217" s="1169">
        <f t="shared" si="596"/>
        <v>0</v>
      </c>
      <c r="FI217" s="1309" t="s">
        <v>149</v>
      </c>
      <c r="FJ217" s="1159" t="s">
        <v>149</v>
      </c>
      <c r="FK217" s="1160" t="b">
        <f t="shared" si="597"/>
        <v>1</v>
      </c>
      <c r="FL217" s="1131"/>
      <c r="FM217" s="1161"/>
      <c r="FO217" s="888"/>
      <c r="FU217" s="1295"/>
      <c r="FV217" s="1295"/>
      <c r="FW217" s="1023">
        <v>0.15</v>
      </c>
      <c r="FX217" s="1162">
        <v>15172.551623090261</v>
      </c>
      <c r="FY217" s="1163">
        <v>15646.693861311833</v>
      </c>
      <c r="GA217" s="1164">
        <f t="shared" si="598"/>
        <v>4568578.4912048485</v>
      </c>
      <c r="GB217" s="1165">
        <f t="shared" si="599"/>
        <v>0.15</v>
      </c>
      <c r="GC217" s="1154">
        <f t="shared" si="600"/>
        <v>685286.77368072723</v>
      </c>
      <c r="GD217" s="1164">
        <f t="shared" si="601"/>
        <v>30000</v>
      </c>
      <c r="GE217" s="1154">
        <f t="shared" si="602"/>
        <v>655286.77368072723</v>
      </c>
      <c r="GF217" s="1060">
        <f t="shared" si="603"/>
        <v>35</v>
      </c>
      <c r="GG217" s="1166">
        <f t="shared" si="604"/>
        <v>18722.47924802078</v>
      </c>
      <c r="GI217" s="1164">
        <f t="shared" si="605"/>
        <v>4568578.4912048485</v>
      </c>
      <c r="GJ217" s="1154">
        <f t="shared" si="606"/>
        <v>456857.8491204849</v>
      </c>
      <c r="GK217" s="1154">
        <f t="shared" si="607"/>
        <v>114214.46228012122</v>
      </c>
      <c r="GL217" s="1166">
        <v>15000</v>
      </c>
      <c r="GM217" s="1154">
        <f t="shared" si="608"/>
        <v>441857.8491204849</v>
      </c>
      <c r="GN217" s="1060">
        <f t="shared" si="609"/>
        <v>35</v>
      </c>
      <c r="GO217" s="1154">
        <f t="shared" si="610"/>
        <v>12624.509974870996</v>
      </c>
      <c r="GS217" s="1010">
        <f t="shared" si="611"/>
        <v>4568578.4912048485</v>
      </c>
      <c r="GT217" s="1011">
        <f t="shared" si="612"/>
        <v>0.125</v>
      </c>
      <c r="GU217" s="1010">
        <f t="shared" si="613"/>
        <v>571072.31140060606</v>
      </c>
      <c r="GV217" s="1010">
        <f t="shared" si="614"/>
        <v>30000</v>
      </c>
      <c r="GW217" s="1010">
        <f t="shared" si="615"/>
        <v>541072.31140060606</v>
      </c>
      <c r="GX217" s="1010">
        <f t="shared" si="616"/>
        <v>17</v>
      </c>
      <c r="GY217" s="1010">
        <f t="shared" si="617"/>
        <v>31827.783023565062</v>
      </c>
      <c r="GZ217" s="1011">
        <f t="shared" si="618"/>
        <v>0.875</v>
      </c>
      <c r="HA217" s="1010">
        <f t="shared" si="619"/>
        <v>3997506.1798042422</v>
      </c>
      <c r="HB217" s="1010">
        <f t="shared" si="620"/>
        <v>30992.622863321027</v>
      </c>
      <c r="HC217" s="1010">
        <f t="shared" si="621"/>
        <v>35930.715673153383</v>
      </c>
      <c r="HD217" s="1010">
        <f t="shared" si="622"/>
        <v>46414.436320412213</v>
      </c>
      <c r="HE217" s="1010">
        <f t="shared" si="623"/>
        <v>79155.413532578008</v>
      </c>
      <c r="HG217" s="1010">
        <f t="shared" si="624"/>
        <v>4568578.4912048485</v>
      </c>
      <c r="HH217" s="1011">
        <f t="shared" si="625"/>
        <v>0.125</v>
      </c>
      <c r="HI217" s="1010">
        <f t="shared" si="626"/>
        <v>571072.31140060606</v>
      </c>
      <c r="HJ217" s="1010">
        <f t="shared" si="627"/>
        <v>30000</v>
      </c>
      <c r="HK217" s="1010">
        <f t="shared" si="628"/>
        <v>541072.31140060606</v>
      </c>
      <c r="HL217" s="1012">
        <f t="shared" si="629"/>
        <v>33</v>
      </c>
      <c r="HM217" s="1167">
        <f t="shared" si="630"/>
        <v>16396.130648503215</v>
      </c>
      <c r="HN217" s="1168">
        <f t="shared" si="631"/>
        <v>0.875</v>
      </c>
      <c r="HO217" s="1167">
        <f t="shared" si="632"/>
        <v>3997506.1798042422</v>
      </c>
      <c r="HP217" s="1146">
        <f t="shared" si="633"/>
        <v>30992.622863321027</v>
      </c>
      <c r="HQ217" s="1146">
        <f t="shared" si="634"/>
        <v>35930.715673153383</v>
      </c>
      <c r="HR217" s="1146">
        <f t="shared" si="635"/>
        <v>46414.436320412213</v>
      </c>
      <c r="HS217" s="1146">
        <f t="shared" si="636"/>
        <v>79155.413532578008</v>
      </c>
      <c r="HU217" s="1167">
        <f t="shared" si="637"/>
        <v>-15431.652375061847</v>
      </c>
      <c r="HX217" s="1154"/>
      <c r="HY217" s="1154"/>
      <c r="IB217" s="1154"/>
      <c r="IC217" s="1154"/>
      <c r="ID217" s="1154"/>
      <c r="IE217" s="1154"/>
      <c r="IG217" s="1060"/>
    </row>
    <row r="218" spans="1:241" ht="14.1" customHeight="1">
      <c r="A218" s="1186">
        <f t="shared" si="651"/>
        <v>212</v>
      </c>
      <c r="B218" s="824"/>
      <c r="C218" s="855">
        <f t="shared" si="639"/>
        <v>17</v>
      </c>
      <c r="D218" s="856" t="s">
        <v>683</v>
      </c>
      <c r="E218" s="857" t="s">
        <v>528</v>
      </c>
      <c r="F218" s="1185"/>
      <c r="G218" s="764" t="s">
        <v>700</v>
      </c>
      <c r="H218" s="764" t="s">
        <v>552</v>
      </c>
      <c r="I218" s="764" t="s">
        <v>476</v>
      </c>
      <c r="J218" s="1139">
        <v>22</v>
      </c>
      <c r="K218" s="1142"/>
      <c r="L218" s="764" t="s">
        <v>500</v>
      </c>
      <c r="M218" s="764" t="s">
        <v>93</v>
      </c>
      <c r="N218" s="856">
        <f t="shared" si="542"/>
        <v>100909.09090909091</v>
      </c>
      <c r="O218" s="1138">
        <f t="shared" si="642"/>
        <v>2220000</v>
      </c>
      <c r="P218" s="1138">
        <f t="shared" si="652"/>
        <v>22400</v>
      </c>
      <c r="Q218" s="1138">
        <f t="shared" si="528"/>
        <v>50000</v>
      </c>
      <c r="R218" s="1138"/>
      <c r="S218" s="1138"/>
      <c r="T218" s="1138"/>
      <c r="U218" s="1138"/>
      <c r="V218" s="858"/>
      <c r="W218" s="1138"/>
      <c r="X218" s="1138"/>
      <c r="Y218" s="1138">
        <f t="shared" si="641"/>
        <v>180000</v>
      </c>
      <c r="Z218" s="1138">
        <f t="shared" si="643"/>
        <v>75000</v>
      </c>
      <c r="AA218" s="1138">
        <f t="shared" si="654"/>
        <v>327400</v>
      </c>
      <c r="AB218" s="1138">
        <f t="shared" si="543"/>
        <v>2547400</v>
      </c>
      <c r="AC218" s="1138">
        <f t="shared" si="544"/>
        <v>63685</v>
      </c>
      <c r="AD218" s="1138">
        <f t="shared" si="545"/>
        <v>2611085</v>
      </c>
      <c r="AE218" s="1138">
        <f t="shared" si="546"/>
        <v>65277.125</v>
      </c>
      <c r="AF218" s="1138">
        <f t="shared" si="547"/>
        <v>2676362.125</v>
      </c>
      <c r="AG218" s="1138">
        <f t="shared" si="548"/>
        <v>66909.053125000006</v>
      </c>
      <c r="AH218" s="1138">
        <f t="shared" si="549"/>
        <v>2743271.1781250001</v>
      </c>
      <c r="AI218" s="1138">
        <f t="shared" si="550"/>
        <v>137163.55890625002</v>
      </c>
      <c r="AJ218" s="1138">
        <f t="shared" si="551"/>
        <v>2880434.7370312503</v>
      </c>
      <c r="AK218" s="1138">
        <f t="shared" si="552"/>
        <v>28804.347370312502</v>
      </c>
      <c r="AL218" s="1138">
        <f t="shared" si="553"/>
        <v>27537.409960060559</v>
      </c>
      <c r="AM218" s="1138"/>
      <c r="AN218" s="1138"/>
      <c r="AO218" s="1138">
        <f t="shared" si="554"/>
        <v>2936776.4943616232</v>
      </c>
      <c r="AP218" s="1138">
        <f t="shared" si="555"/>
        <v>396464.82673881913</v>
      </c>
      <c r="AQ218" s="1248">
        <f t="shared" si="556"/>
        <v>3333241.3211004422</v>
      </c>
      <c r="AR218" s="1248">
        <f t="shared" si="515"/>
        <v>3003241.3211004422</v>
      </c>
      <c r="AS218" s="1248">
        <v>15000</v>
      </c>
      <c r="AT218" s="1248">
        <f t="shared" si="516"/>
        <v>330000</v>
      </c>
      <c r="AU218" s="1248">
        <f t="shared" si="557"/>
        <v>39600</v>
      </c>
      <c r="AV218" s="1140">
        <f t="shared" si="558"/>
        <v>369600</v>
      </c>
      <c r="AW218" s="1140">
        <f t="shared" si="559"/>
        <v>3372841.3211004422</v>
      </c>
      <c r="AX218" s="1139">
        <f t="shared" si="560"/>
        <v>42160.51651375553</v>
      </c>
      <c r="AY218" s="831" t="s">
        <v>478</v>
      </c>
      <c r="AZ218" s="831">
        <f t="shared" si="561"/>
        <v>3415001.8376141977</v>
      </c>
      <c r="BA218" s="831">
        <f t="shared" si="562"/>
        <v>128062.56891053241</v>
      </c>
      <c r="BB218" s="831"/>
      <c r="BC218" s="831">
        <f t="shared" si="513"/>
        <v>33600</v>
      </c>
      <c r="BD218" s="831"/>
      <c r="BE218" s="831">
        <f t="shared" si="563"/>
        <v>3576664.4065247304</v>
      </c>
      <c r="BF218" s="831"/>
      <c r="BG218" s="831">
        <f t="shared" si="564"/>
        <v>3576664.4065247304</v>
      </c>
      <c r="BH218" s="831"/>
      <c r="BI218" s="831">
        <f t="shared" si="565"/>
        <v>3576664.4065247304</v>
      </c>
      <c r="BJ218" s="831"/>
      <c r="BK218" s="831">
        <f t="shared" si="566"/>
        <v>3576664.4065247304</v>
      </c>
      <c r="BL218" s="831"/>
      <c r="BM218" s="831">
        <f t="shared" si="567"/>
        <v>3576664.4065247304</v>
      </c>
      <c r="BN218" s="831"/>
      <c r="BO218" s="831">
        <f t="shared" si="568"/>
        <v>3576664.4065247304</v>
      </c>
      <c r="BP218" s="831">
        <f>$BP$5/37</f>
        <v>5065.3710270270276</v>
      </c>
      <c r="BQ218" s="831">
        <f t="shared" si="569"/>
        <v>3581729.7775517576</v>
      </c>
      <c r="BR218" s="831">
        <f>$BR$5/42</f>
        <v>3544.6104</v>
      </c>
      <c r="BS218" s="831">
        <f t="shared" si="570"/>
        <v>3585274.3879517578</v>
      </c>
      <c r="BT218" s="831">
        <f>$BT$5/41</f>
        <v>1609.3168000000001</v>
      </c>
      <c r="BU218" s="831">
        <f t="shared" si="571"/>
        <v>3586883.7047517579</v>
      </c>
      <c r="BV218" s="831">
        <f>$BV$5/43</f>
        <v>1163.3400930232558</v>
      </c>
      <c r="BW218" s="831">
        <f t="shared" si="572"/>
        <v>56400</v>
      </c>
      <c r="BX218" s="831">
        <f t="shared" si="573"/>
        <v>3644447.044844781</v>
      </c>
      <c r="BY218" s="831">
        <f>$BY$5/44</f>
        <v>30549.183723443901</v>
      </c>
      <c r="BZ218" s="831">
        <f t="shared" si="574"/>
        <v>3674996.2285682252</v>
      </c>
      <c r="CA218" s="1260">
        <f t="shared" si="575"/>
        <v>3674996.2285682252</v>
      </c>
      <c r="CB218" s="1260">
        <f t="shared" si="576"/>
        <v>3498996.2285682252</v>
      </c>
      <c r="CC218" s="1260">
        <v>8000</v>
      </c>
      <c r="CD218" s="1260">
        <f t="shared" si="577"/>
        <v>176000</v>
      </c>
      <c r="CE218" s="1260">
        <f t="shared" si="578"/>
        <v>21120</v>
      </c>
      <c r="CF218" s="1260">
        <f t="shared" si="579"/>
        <v>197120</v>
      </c>
      <c r="CG218" s="1266">
        <f t="shared" si="580"/>
        <v>3696116.2285682252</v>
      </c>
      <c r="CH218" s="1141">
        <f t="shared" si="581"/>
        <v>3696116.2285682252</v>
      </c>
      <c r="CI218" s="1142">
        <f t="shared" si="582"/>
        <v>0</v>
      </c>
      <c r="CJ218" s="1141">
        <f t="shared" si="583"/>
        <v>378851.91342824308</v>
      </c>
      <c r="CK218" s="1141">
        <f t="shared" si="584"/>
        <v>129364.06799988789</v>
      </c>
      <c r="CL218" s="1143">
        <f t="shared" si="650"/>
        <v>4204332.2099963566</v>
      </c>
      <c r="CM218" s="1144">
        <f t="shared" si="585"/>
        <v>0.125</v>
      </c>
      <c r="CN218" s="1141">
        <f t="shared" si="502"/>
        <v>525541.52624954458</v>
      </c>
      <c r="CO218" s="1141">
        <f t="shared" si="586"/>
        <v>30000</v>
      </c>
      <c r="CP218" s="1141">
        <f t="shared" si="503"/>
        <v>495541.52624954458</v>
      </c>
      <c r="CQ218" s="1145">
        <f t="shared" si="587"/>
        <v>17</v>
      </c>
      <c r="CR218" s="1141">
        <f t="shared" si="504"/>
        <v>29149.501544090857</v>
      </c>
      <c r="CS218" s="1144">
        <f t="shared" si="588"/>
        <v>0.875</v>
      </c>
      <c r="CT218" s="1141">
        <f t="shared" si="589"/>
        <v>3678790.6837468119</v>
      </c>
      <c r="CU218" s="1146">
        <f t="shared" si="529"/>
        <v>28521.625014735353</v>
      </c>
      <c r="CV218" s="1146">
        <f t="shared" si="530"/>
        <v>33066.010691001648</v>
      </c>
      <c r="CW218" s="1146">
        <f t="shared" si="531"/>
        <v>42713.879165348451</v>
      </c>
      <c r="CX218" s="1146">
        <f t="shared" si="532"/>
        <v>72844.464717258845</v>
      </c>
      <c r="CY218" s="1146">
        <f t="shared" si="590"/>
        <v>298839.86032949598</v>
      </c>
      <c r="CZ218" s="1146">
        <f t="shared" si="591"/>
        <v>118249.47699984387</v>
      </c>
      <c r="DA218" s="1146">
        <f t="shared" si="592"/>
        <v>85409.922446632932</v>
      </c>
      <c r="DB218" s="1146">
        <f t="shared" si="593"/>
        <v>65000.883051634126</v>
      </c>
      <c r="DC218" s="1146"/>
      <c r="DD218" s="1146"/>
      <c r="DE218" s="1146"/>
      <c r="DF218" s="1146"/>
      <c r="DG218" s="1146"/>
      <c r="DH218" s="1146"/>
      <c r="DI218" s="1146"/>
      <c r="DJ218" s="1146"/>
      <c r="DK218" s="1146"/>
      <c r="DL218" s="1146"/>
      <c r="DM218" s="1146"/>
      <c r="DN218" s="1146"/>
      <c r="DO218" s="1146"/>
      <c r="DP218" s="1146"/>
      <c r="DQ218" s="1146"/>
      <c r="DR218" s="1146"/>
      <c r="DS218" s="1146"/>
      <c r="DT218" s="1146"/>
      <c r="DU218" s="1146"/>
      <c r="DV218" s="1146"/>
      <c r="DW218" s="1146"/>
      <c r="DX218" s="1146"/>
      <c r="DY218" s="1146"/>
      <c r="DZ218" s="1146"/>
      <c r="EA218" s="1147">
        <f t="shared" si="533"/>
        <v>0.10988127982971478</v>
      </c>
      <c r="EB218" s="1148">
        <f t="shared" si="594"/>
        <v>5.6336156749920444E-2</v>
      </c>
      <c r="EC218" s="1190">
        <f t="shared" si="638"/>
        <v>45839</v>
      </c>
      <c r="ED218" s="1031">
        <f t="shared" si="534"/>
        <v>20</v>
      </c>
      <c r="EE218" s="1191"/>
      <c r="EF218" s="1032">
        <f t="shared" si="535"/>
        <v>45904</v>
      </c>
      <c r="EG218" s="1029">
        <f t="shared" si="595"/>
        <v>22</v>
      </c>
      <c r="EH218" s="859" t="s">
        <v>490</v>
      </c>
      <c r="EI218" s="859" t="s">
        <v>480</v>
      </c>
      <c r="EJ218" s="860">
        <f t="shared" si="536"/>
        <v>16800</v>
      </c>
      <c r="EK218" s="860">
        <f t="shared" si="537"/>
        <v>369600</v>
      </c>
      <c r="EL218" s="861">
        <f t="shared" si="538"/>
        <v>0.12306703340928056</v>
      </c>
      <c r="EM218" s="1197"/>
      <c r="EN218" s="860"/>
      <c r="EO218" s="860"/>
      <c r="EP218" s="860">
        <f t="shared" si="539"/>
        <v>0</v>
      </c>
      <c r="EQ218" s="1197"/>
      <c r="ER218" s="1200"/>
      <c r="ES218" s="1197"/>
      <c r="ET218" s="1207" t="s">
        <v>700</v>
      </c>
      <c r="EU218" s="1197" t="b">
        <f t="shared" si="540"/>
        <v>1</v>
      </c>
      <c r="EV218" s="1197"/>
      <c r="EW218" s="1197"/>
      <c r="EX218" s="1197"/>
      <c r="EY218" s="1128" t="s">
        <v>587</v>
      </c>
      <c r="EZ218" s="1128" t="s">
        <v>484</v>
      </c>
      <c r="FA218" s="1169">
        <f t="shared" si="596"/>
        <v>-21120</v>
      </c>
      <c r="FI218" s="1309" t="s">
        <v>96</v>
      </c>
      <c r="FJ218" s="1159" t="s">
        <v>96</v>
      </c>
      <c r="FK218" s="1160" t="b">
        <f t="shared" si="597"/>
        <v>1</v>
      </c>
      <c r="FL218" s="1131"/>
      <c r="FM218" s="1161"/>
      <c r="FO218" s="888"/>
      <c r="FU218" s="1295"/>
      <c r="FV218" s="1295"/>
      <c r="FW218" s="1023">
        <v>0.15</v>
      </c>
      <c r="FX218" s="1162">
        <v>15172.551623090261</v>
      </c>
      <c r="FY218" s="1163">
        <v>15646.693861311833</v>
      </c>
      <c r="GA218" s="1164">
        <f t="shared" si="598"/>
        <v>4204332.2099963566</v>
      </c>
      <c r="GB218" s="1165">
        <f t="shared" si="599"/>
        <v>0.15</v>
      </c>
      <c r="GC218" s="1154">
        <f t="shared" si="600"/>
        <v>630649.83149945352</v>
      </c>
      <c r="GD218" s="1164">
        <f t="shared" si="601"/>
        <v>30000</v>
      </c>
      <c r="GE218" s="1154">
        <f t="shared" si="602"/>
        <v>600649.83149945352</v>
      </c>
      <c r="GF218" s="1060">
        <f t="shared" si="603"/>
        <v>35</v>
      </c>
      <c r="GG218" s="1166">
        <f t="shared" si="604"/>
        <v>17161.423757127242</v>
      </c>
      <c r="GI218" s="1164">
        <f t="shared" si="605"/>
        <v>4204332.2099963566</v>
      </c>
      <c r="GJ218" s="1154">
        <f t="shared" si="606"/>
        <v>420433.2209996357</v>
      </c>
      <c r="GK218" s="1154">
        <f t="shared" si="607"/>
        <v>105108.30524990892</v>
      </c>
      <c r="GL218" s="1166">
        <v>15000</v>
      </c>
      <c r="GM218" s="1154">
        <f t="shared" si="608"/>
        <v>405433.2209996357</v>
      </c>
      <c r="GN218" s="1060">
        <f t="shared" si="609"/>
        <v>35</v>
      </c>
      <c r="GO218" s="1154">
        <f t="shared" si="610"/>
        <v>11583.806314275305</v>
      </c>
      <c r="GS218" s="1010">
        <f t="shared" si="611"/>
        <v>4204332.2099963566</v>
      </c>
      <c r="GT218" s="1011">
        <f t="shared" si="612"/>
        <v>0.125</v>
      </c>
      <c r="GU218" s="1010">
        <f t="shared" si="613"/>
        <v>525541.52624954458</v>
      </c>
      <c r="GV218" s="1010">
        <f t="shared" si="614"/>
        <v>30000</v>
      </c>
      <c r="GW218" s="1010">
        <f t="shared" si="615"/>
        <v>495541.52624954458</v>
      </c>
      <c r="GX218" s="1010">
        <f t="shared" si="616"/>
        <v>17</v>
      </c>
      <c r="GY218" s="1010">
        <f t="shared" si="617"/>
        <v>29149.501544090857</v>
      </c>
      <c r="GZ218" s="1011">
        <f t="shared" si="618"/>
        <v>0.875</v>
      </c>
      <c r="HA218" s="1010">
        <f t="shared" si="619"/>
        <v>3678790.6837468119</v>
      </c>
      <c r="HB218" s="1010">
        <f t="shared" si="620"/>
        <v>28521.625014735353</v>
      </c>
      <c r="HC218" s="1010">
        <f t="shared" si="621"/>
        <v>33066.010691001648</v>
      </c>
      <c r="HD218" s="1010">
        <f t="shared" si="622"/>
        <v>42713.879165348451</v>
      </c>
      <c r="HE218" s="1010">
        <f t="shared" si="623"/>
        <v>72844.464717258845</v>
      </c>
      <c r="HG218" s="1010">
        <f t="shared" si="624"/>
        <v>4204332.2099963566</v>
      </c>
      <c r="HH218" s="1011">
        <f t="shared" si="625"/>
        <v>0.125</v>
      </c>
      <c r="HI218" s="1010">
        <f t="shared" si="626"/>
        <v>525541.52624954458</v>
      </c>
      <c r="HJ218" s="1010">
        <f t="shared" si="627"/>
        <v>30000</v>
      </c>
      <c r="HK218" s="1010">
        <f t="shared" si="628"/>
        <v>495541.52624954458</v>
      </c>
      <c r="HL218" s="1012">
        <f t="shared" si="629"/>
        <v>33</v>
      </c>
      <c r="HM218" s="1167">
        <f t="shared" si="630"/>
        <v>15016.409886349837</v>
      </c>
      <c r="HN218" s="1168">
        <f t="shared" si="631"/>
        <v>0.875</v>
      </c>
      <c r="HO218" s="1167">
        <f t="shared" si="632"/>
        <v>3678790.6837468119</v>
      </c>
      <c r="HP218" s="1146">
        <f t="shared" si="633"/>
        <v>28521.625014735353</v>
      </c>
      <c r="HQ218" s="1146">
        <f t="shared" si="634"/>
        <v>33066.010691001648</v>
      </c>
      <c r="HR218" s="1146">
        <f t="shared" si="635"/>
        <v>42713.879165348451</v>
      </c>
      <c r="HS218" s="1146">
        <f t="shared" si="636"/>
        <v>72844.464717258845</v>
      </c>
      <c r="HU218" s="1167">
        <f t="shared" si="637"/>
        <v>-14133.091657741021</v>
      </c>
      <c r="HX218" s="1154"/>
      <c r="HY218" s="1154"/>
      <c r="IB218" s="1154"/>
      <c r="IC218" s="1154"/>
      <c r="ID218" s="1154"/>
      <c r="IE218" s="1154"/>
      <c r="IG218" s="1060"/>
    </row>
    <row r="219" spans="1:241" ht="14.25" hidden="1" customHeight="1">
      <c r="A219" s="1186">
        <f t="shared" si="651"/>
        <v>213</v>
      </c>
      <c r="B219" s="824"/>
      <c r="C219" s="855">
        <f t="shared" si="639"/>
        <v>18</v>
      </c>
      <c r="D219" s="856" t="s">
        <v>683</v>
      </c>
      <c r="E219" s="857" t="s">
        <v>528</v>
      </c>
      <c r="F219" s="1185"/>
      <c r="G219" s="764" t="s">
        <v>701</v>
      </c>
      <c r="H219" s="764" t="s">
        <v>552</v>
      </c>
      <c r="I219" s="764" t="s">
        <v>476</v>
      </c>
      <c r="J219" s="831">
        <v>22</v>
      </c>
      <c r="K219" s="1142"/>
      <c r="L219" s="764" t="s">
        <v>500</v>
      </c>
      <c r="M219" s="764" t="s">
        <v>117</v>
      </c>
      <c r="N219" s="856">
        <f t="shared" si="542"/>
        <v>100909.09090909091</v>
      </c>
      <c r="O219" s="1138">
        <f t="shared" si="642"/>
        <v>2220000</v>
      </c>
      <c r="P219" s="1138">
        <f t="shared" si="652"/>
        <v>22400</v>
      </c>
      <c r="Q219" s="1138">
        <f t="shared" si="528"/>
        <v>50000</v>
      </c>
      <c r="R219" s="1138"/>
      <c r="S219" s="1138"/>
      <c r="T219" s="1138"/>
      <c r="U219" s="1138"/>
      <c r="V219" s="858">
        <f>J219*$V$5</f>
        <v>55000</v>
      </c>
      <c r="W219" s="1138"/>
      <c r="X219" s="1138"/>
      <c r="Y219" s="1138">
        <f t="shared" si="641"/>
        <v>180000</v>
      </c>
      <c r="Z219" s="1138">
        <f t="shared" si="643"/>
        <v>75000</v>
      </c>
      <c r="AA219" s="1138">
        <f t="shared" si="654"/>
        <v>382400</v>
      </c>
      <c r="AB219" s="1138">
        <f t="shared" si="543"/>
        <v>2602400</v>
      </c>
      <c r="AC219" s="1138">
        <f t="shared" si="544"/>
        <v>65060</v>
      </c>
      <c r="AD219" s="1138">
        <f t="shared" si="545"/>
        <v>2667460</v>
      </c>
      <c r="AE219" s="1138">
        <f t="shared" si="546"/>
        <v>66686.5</v>
      </c>
      <c r="AF219" s="1138">
        <f t="shared" si="547"/>
        <v>2734146.5</v>
      </c>
      <c r="AG219" s="1138">
        <f t="shared" si="548"/>
        <v>68353.662500000006</v>
      </c>
      <c r="AH219" s="1138">
        <f t="shared" si="549"/>
        <v>2802500.1625000001</v>
      </c>
      <c r="AI219" s="1138">
        <f t="shared" si="550"/>
        <v>140125.00812500002</v>
      </c>
      <c r="AJ219" s="1138">
        <f t="shared" si="551"/>
        <v>2942625.1706250003</v>
      </c>
      <c r="AK219" s="1138">
        <f t="shared" si="552"/>
        <v>29426.251706250005</v>
      </c>
      <c r="AL219" s="1138">
        <f t="shared" si="553"/>
        <v>27537.409960060559</v>
      </c>
      <c r="AM219" s="1138"/>
      <c r="AN219" s="1138"/>
      <c r="AO219" s="1138">
        <f t="shared" si="554"/>
        <v>2999588.8322913107</v>
      </c>
      <c r="AP219" s="1138">
        <f t="shared" si="555"/>
        <v>404944.49235932698</v>
      </c>
      <c r="AQ219" s="1248">
        <f t="shared" si="556"/>
        <v>3404533.3246506378</v>
      </c>
      <c r="AR219" s="1248">
        <f t="shared" si="515"/>
        <v>3074533.3246506378</v>
      </c>
      <c r="AS219" s="1248">
        <v>15000</v>
      </c>
      <c r="AT219" s="1248">
        <f t="shared" si="516"/>
        <v>330000</v>
      </c>
      <c r="AU219" s="1248">
        <f t="shared" si="557"/>
        <v>39600</v>
      </c>
      <c r="AV219" s="1140">
        <f t="shared" si="558"/>
        <v>369600</v>
      </c>
      <c r="AW219" s="1140">
        <f t="shared" si="559"/>
        <v>3444133.3246506378</v>
      </c>
      <c r="AX219" s="1139">
        <f t="shared" si="560"/>
        <v>43051.666558132973</v>
      </c>
      <c r="AY219" s="831" t="s">
        <v>478</v>
      </c>
      <c r="AZ219" s="831">
        <f t="shared" si="561"/>
        <v>3487184.9912087708</v>
      </c>
      <c r="BA219" s="831">
        <f>AZ219*$BA$5</f>
        <v>130769.43717032889</v>
      </c>
      <c r="BB219" s="831"/>
      <c r="BC219" s="831">
        <f t="shared" si="513"/>
        <v>33600</v>
      </c>
      <c r="BD219" s="831"/>
      <c r="BE219" s="831">
        <f t="shared" si="563"/>
        <v>3651554.4283790998</v>
      </c>
      <c r="BF219" s="831"/>
      <c r="BG219" s="831">
        <f t="shared" si="564"/>
        <v>3651554.4283790998</v>
      </c>
      <c r="BH219" s="831"/>
      <c r="BI219" s="831">
        <f t="shared" si="565"/>
        <v>3651554.4283790998</v>
      </c>
      <c r="BJ219" s="831"/>
      <c r="BK219" s="831">
        <f t="shared" si="566"/>
        <v>3651554.4283790998</v>
      </c>
      <c r="BL219" s="831"/>
      <c r="BM219" s="831">
        <f t="shared" si="567"/>
        <v>3651554.4283790998</v>
      </c>
      <c r="BN219" s="831"/>
      <c r="BO219" s="831">
        <f t="shared" si="568"/>
        <v>3651554.4283790998</v>
      </c>
      <c r="BP219" s="831"/>
      <c r="BQ219" s="831">
        <f t="shared" si="569"/>
        <v>3651554.4283790998</v>
      </c>
      <c r="BR219" s="831"/>
      <c r="BS219" s="831">
        <f t="shared" si="570"/>
        <v>3651554.4283790998</v>
      </c>
      <c r="BT219" s="831"/>
      <c r="BU219" s="831">
        <f t="shared" si="571"/>
        <v>3651554.4283790998</v>
      </c>
      <c r="BV219" s="831"/>
      <c r="BW219" s="831">
        <f t="shared" si="572"/>
        <v>56400</v>
      </c>
      <c r="BX219" s="831">
        <f t="shared" si="573"/>
        <v>3707954.4283790998</v>
      </c>
      <c r="BY219" s="831"/>
      <c r="BZ219" s="831">
        <f t="shared" si="574"/>
        <v>3707954.4283790998</v>
      </c>
      <c r="CA219" s="1260">
        <f t="shared" si="575"/>
        <v>3707954.4283790998</v>
      </c>
      <c r="CB219" s="1260">
        <f t="shared" si="576"/>
        <v>3531954.4283790998</v>
      </c>
      <c r="CC219" s="1260">
        <v>8000</v>
      </c>
      <c r="CD219" s="1260">
        <f t="shared" si="577"/>
        <v>176000</v>
      </c>
      <c r="CE219" s="1260">
        <f t="shared" si="578"/>
        <v>21120</v>
      </c>
      <c r="CF219" s="1260">
        <f t="shared" si="579"/>
        <v>197120</v>
      </c>
      <c r="CG219" s="1266">
        <f t="shared" si="580"/>
        <v>3729074.4283790998</v>
      </c>
      <c r="CH219" s="1141">
        <f t="shared" si="581"/>
        <v>3729074.4283790998</v>
      </c>
      <c r="CI219" s="1142">
        <f t="shared" si="582"/>
        <v>0</v>
      </c>
      <c r="CJ219" s="1141">
        <f t="shared" si="583"/>
        <v>382230.1289088577</v>
      </c>
      <c r="CK219" s="1141">
        <f t="shared" si="584"/>
        <v>130517.60499326851</v>
      </c>
      <c r="CL219" s="1143">
        <f t="shared" si="650"/>
        <v>4241822.1622812264</v>
      </c>
      <c r="CM219" s="1144">
        <f t="shared" si="585"/>
        <v>0.125</v>
      </c>
      <c r="CN219" s="1141">
        <f t="shared" si="502"/>
        <v>530227.7702851533</v>
      </c>
      <c r="CO219" s="1141">
        <f t="shared" si="586"/>
        <v>30000</v>
      </c>
      <c r="CP219" s="1141">
        <f t="shared" si="503"/>
        <v>500227.7702851533</v>
      </c>
      <c r="CQ219" s="1145">
        <f t="shared" si="587"/>
        <v>17</v>
      </c>
      <c r="CR219" s="1141">
        <f t="shared" si="504"/>
        <v>29425.162957950193</v>
      </c>
      <c r="CS219" s="1144">
        <f t="shared" si="588"/>
        <v>0.875</v>
      </c>
      <c r="CT219" s="1141">
        <f t="shared" si="589"/>
        <v>3711594.3919960731</v>
      </c>
      <c r="CU219" s="1146">
        <f t="shared" si="529"/>
        <v>28775.951815635395</v>
      </c>
      <c r="CV219" s="1146">
        <f t="shared" si="530"/>
        <v>33360.859694633953</v>
      </c>
      <c r="CW219" s="1146">
        <f t="shared" si="531"/>
        <v>43094.758033103768</v>
      </c>
      <c r="CX219" s="1146">
        <f t="shared" si="532"/>
        <v>73494.017457162176</v>
      </c>
      <c r="CY219" s="1146">
        <f t="shared" si="590"/>
        <v>301504.60981763876</v>
      </c>
      <c r="CZ219" s="1146">
        <f t="shared" si="591"/>
        <v>119303.90539156194</v>
      </c>
      <c r="DA219" s="1146">
        <f t="shared" si="592"/>
        <v>86171.521139896387</v>
      </c>
      <c r="DB219" s="1146">
        <f t="shared" si="593"/>
        <v>65580.494719400565</v>
      </c>
      <c r="DC219" s="1146"/>
      <c r="DD219" s="1146"/>
      <c r="DE219" s="1146"/>
      <c r="DF219" s="1146"/>
      <c r="DG219" s="1146"/>
      <c r="DH219" s="1146"/>
      <c r="DI219" s="1146"/>
      <c r="DJ219" s="1146"/>
      <c r="DK219" s="1146"/>
      <c r="DL219" s="1146"/>
      <c r="DM219" s="1146"/>
      <c r="DN219" s="1146"/>
      <c r="DO219" s="1146"/>
      <c r="DP219" s="1146"/>
      <c r="DQ219" s="1146"/>
      <c r="DR219" s="1146"/>
      <c r="DS219" s="1146"/>
      <c r="DT219" s="1146"/>
      <c r="DU219" s="1146"/>
      <c r="DV219" s="1146"/>
      <c r="DW219" s="1146"/>
      <c r="DX219" s="1146"/>
      <c r="DY219" s="1146"/>
      <c r="DZ219" s="1146"/>
      <c r="EA219" s="1147">
        <f t="shared" si="533"/>
        <v>0.10733336254779356</v>
      </c>
      <c r="EB219" s="1148">
        <f t="shared" si="594"/>
        <v>5.5810459618660248E-2</v>
      </c>
      <c r="EC219" s="1190">
        <f t="shared" si="638"/>
        <v>45839</v>
      </c>
      <c r="ED219" s="1031">
        <f t="shared" si="534"/>
        <v>20</v>
      </c>
      <c r="EE219" s="1191"/>
      <c r="EF219" s="1032">
        <f t="shared" si="535"/>
        <v>45904</v>
      </c>
      <c r="EG219" s="1029">
        <f t="shared" si="595"/>
        <v>22</v>
      </c>
      <c r="EH219" s="859" t="s">
        <v>490</v>
      </c>
      <c r="EI219" s="859" t="s">
        <v>480</v>
      </c>
      <c r="EJ219" s="860">
        <f t="shared" si="536"/>
        <v>16800</v>
      </c>
      <c r="EK219" s="860">
        <f t="shared" si="537"/>
        <v>369600</v>
      </c>
      <c r="EL219" s="861">
        <f t="shared" si="538"/>
        <v>0.12021336605352879</v>
      </c>
      <c r="EM219" s="1197"/>
      <c r="EN219" s="860"/>
      <c r="EO219" s="860"/>
      <c r="EP219" s="860">
        <f t="shared" si="539"/>
        <v>0</v>
      </c>
      <c r="EQ219" s="1197"/>
      <c r="ER219" s="1200"/>
      <c r="ES219" s="1197"/>
      <c r="ET219" s="1207" t="s">
        <v>701</v>
      </c>
      <c r="EU219" s="1197" t="b">
        <f t="shared" si="540"/>
        <v>1</v>
      </c>
      <c r="EV219" s="1197"/>
      <c r="EW219" s="1197"/>
      <c r="EX219" s="1197"/>
      <c r="EY219" s="1128" t="s">
        <v>587</v>
      </c>
      <c r="EZ219" s="1128" t="s">
        <v>611</v>
      </c>
      <c r="FA219" s="1169"/>
      <c r="FI219" s="1309" t="s">
        <v>149</v>
      </c>
      <c r="FJ219" s="1159" t="s">
        <v>149</v>
      </c>
      <c r="FK219" s="1160" t="b">
        <f t="shared" si="597"/>
        <v>1</v>
      </c>
      <c r="FL219" s="1131"/>
      <c r="FM219" s="1161"/>
      <c r="FO219" s="888"/>
      <c r="FU219" s="1295"/>
      <c r="FV219" s="1295"/>
      <c r="FW219" s="1023">
        <v>0.15</v>
      </c>
      <c r="FX219" s="1162">
        <v>15817.804082673632</v>
      </c>
      <c r="FY219" s="1163">
        <v>16312.110460257183</v>
      </c>
      <c r="GA219" s="1164">
        <f t="shared" si="598"/>
        <v>4241822.1622812264</v>
      </c>
      <c r="GB219" s="1165">
        <f t="shared" si="599"/>
        <v>0.15</v>
      </c>
      <c r="GC219" s="1154">
        <f t="shared" si="600"/>
        <v>636273.32434218389</v>
      </c>
      <c r="GD219" s="1164">
        <f t="shared" si="601"/>
        <v>30000</v>
      </c>
      <c r="GE219" s="1154">
        <f t="shared" si="602"/>
        <v>606273.32434218389</v>
      </c>
      <c r="GF219" s="1060">
        <f t="shared" si="603"/>
        <v>35</v>
      </c>
      <c r="GG219" s="1166">
        <f t="shared" si="604"/>
        <v>17322.094981205253</v>
      </c>
      <c r="GI219" s="1164">
        <f t="shared" si="605"/>
        <v>4241822.1622812264</v>
      </c>
      <c r="GJ219" s="1154">
        <f t="shared" si="606"/>
        <v>424182.21622812265</v>
      </c>
      <c r="GK219" s="1154">
        <f t="shared" si="607"/>
        <v>106045.55405703066</v>
      </c>
      <c r="GL219" s="1166">
        <v>15000</v>
      </c>
      <c r="GM219" s="1154">
        <f t="shared" si="608"/>
        <v>409182.21622812265</v>
      </c>
      <c r="GN219" s="1060">
        <f t="shared" si="609"/>
        <v>35</v>
      </c>
      <c r="GO219" s="1154">
        <f t="shared" si="610"/>
        <v>11690.920463660646</v>
      </c>
      <c r="GS219" s="1010">
        <f t="shared" si="611"/>
        <v>4241822.1622812264</v>
      </c>
      <c r="GT219" s="1011">
        <f t="shared" si="612"/>
        <v>0.125</v>
      </c>
      <c r="GU219" s="1010">
        <f t="shared" si="613"/>
        <v>530227.7702851533</v>
      </c>
      <c r="GV219" s="1010">
        <f t="shared" si="614"/>
        <v>30000</v>
      </c>
      <c r="GW219" s="1010">
        <f t="shared" si="615"/>
        <v>500227.7702851533</v>
      </c>
      <c r="GX219" s="1010">
        <f t="shared" si="616"/>
        <v>17</v>
      </c>
      <c r="GY219" s="1010">
        <f t="shared" si="617"/>
        <v>29425.162957950193</v>
      </c>
      <c r="GZ219" s="1011">
        <f t="shared" si="618"/>
        <v>0.875</v>
      </c>
      <c r="HA219" s="1010">
        <f t="shared" si="619"/>
        <v>3711594.3919960731</v>
      </c>
      <c r="HB219" s="1010">
        <f t="shared" si="620"/>
        <v>28775.951815635395</v>
      </c>
      <c r="HC219" s="1010">
        <f t="shared" si="621"/>
        <v>33360.859694633953</v>
      </c>
      <c r="HD219" s="1010">
        <f t="shared" si="622"/>
        <v>43094.758033103768</v>
      </c>
      <c r="HE219" s="1010">
        <f t="shared" si="623"/>
        <v>73494.017457162176</v>
      </c>
      <c r="HG219" s="1010">
        <f t="shared" si="624"/>
        <v>4241822.1622812264</v>
      </c>
      <c r="HH219" s="1011">
        <f t="shared" si="625"/>
        <v>0.125</v>
      </c>
      <c r="HI219" s="1010">
        <f t="shared" si="626"/>
        <v>530227.7702851533</v>
      </c>
      <c r="HJ219" s="1010">
        <f t="shared" si="627"/>
        <v>30000</v>
      </c>
      <c r="HK219" s="1010">
        <f t="shared" si="628"/>
        <v>500227.7702851533</v>
      </c>
      <c r="HL219" s="1012">
        <f t="shared" si="629"/>
        <v>33</v>
      </c>
      <c r="HM219" s="1167">
        <f t="shared" si="630"/>
        <v>15158.417281368282</v>
      </c>
      <c r="HN219" s="1168">
        <f t="shared" si="631"/>
        <v>0.875</v>
      </c>
      <c r="HO219" s="1167">
        <f t="shared" si="632"/>
        <v>3711594.3919960731</v>
      </c>
      <c r="HP219" s="1146">
        <f t="shared" si="633"/>
        <v>28775.951815635395</v>
      </c>
      <c r="HQ219" s="1146">
        <f t="shared" si="634"/>
        <v>33360.859694633953</v>
      </c>
      <c r="HR219" s="1146">
        <f t="shared" si="635"/>
        <v>43094.758033103768</v>
      </c>
      <c r="HS219" s="1146">
        <f t="shared" si="636"/>
        <v>73494.017457162176</v>
      </c>
      <c r="HU219" s="1167">
        <f>HM219-GY219</f>
        <v>-14266.745676581912</v>
      </c>
      <c r="HX219" s="1154"/>
      <c r="HY219" s="1154"/>
      <c r="IB219" s="1154"/>
      <c r="IC219" s="1154"/>
      <c r="ID219" s="1154"/>
      <c r="IE219" s="1154"/>
      <c r="IG219" s="1060"/>
    </row>
    <row r="220" spans="1:241" ht="14.25" hidden="1" customHeight="1" thickBot="1">
      <c r="A220" s="1208"/>
      <c r="B220" s="1209">
        <f>SUM(B13:B155)</f>
        <v>0</v>
      </c>
      <c r="C220" s="1210"/>
      <c r="D220" s="1209"/>
      <c r="E220" s="1211"/>
      <c r="F220" s="1209">
        <f t="shared" ref="F220:R220" si="655">SUBTOTAL(9,F7:F219)</f>
        <v>0</v>
      </c>
      <c r="G220" s="1211">
        <f t="shared" si="655"/>
        <v>0</v>
      </c>
      <c r="H220" s="1211">
        <f t="shared" si="655"/>
        <v>0</v>
      </c>
      <c r="I220" s="1211">
        <f t="shared" si="655"/>
        <v>0</v>
      </c>
      <c r="J220" s="1211">
        <f t="shared" si="655"/>
        <v>968</v>
      </c>
      <c r="K220" s="1209">
        <f t="shared" si="655"/>
        <v>0</v>
      </c>
      <c r="L220" s="1211">
        <f t="shared" si="655"/>
        <v>0</v>
      </c>
      <c r="M220" s="1211">
        <f t="shared" si="655"/>
        <v>0</v>
      </c>
      <c r="N220" s="1209">
        <f t="shared" si="655"/>
        <v>4439999.9999999981</v>
      </c>
      <c r="O220" s="1209">
        <f t="shared" si="655"/>
        <v>97680000</v>
      </c>
      <c r="P220" s="1209">
        <f t="shared" si="655"/>
        <v>985600</v>
      </c>
      <c r="Q220" s="1209">
        <f t="shared" si="655"/>
        <v>2200000</v>
      </c>
      <c r="R220" s="1209">
        <f t="shared" si="655"/>
        <v>0</v>
      </c>
      <c r="S220" s="1209"/>
      <c r="T220" s="1209">
        <f t="shared" ref="T220:CV220" si="656">SUBTOTAL(9,T7:T219)</f>
        <v>330000</v>
      </c>
      <c r="U220" s="1209">
        <f t="shared" si="656"/>
        <v>0</v>
      </c>
      <c r="V220" s="1209">
        <f t="shared" si="656"/>
        <v>110000</v>
      </c>
      <c r="W220" s="1209">
        <f t="shared" si="656"/>
        <v>484000</v>
      </c>
      <c r="X220" s="1209">
        <f t="shared" si="656"/>
        <v>0</v>
      </c>
      <c r="Y220" s="1209">
        <f t="shared" si="656"/>
        <v>4120000</v>
      </c>
      <c r="Z220" s="1209">
        <f t="shared" si="656"/>
        <v>3300000</v>
      </c>
      <c r="AA220" s="1209">
        <f t="shared" si="656"/>
        <v>11529600</v>
      </c>
      <c r="AB220" s="1209">
        <f t="shared" si="656"/>
        <v>109209600</v>
      </c>
      <c r="AC220" s="1209">
        <f t="shared" si="656"/>
        <v>2730240</v>
      </c>
      <c r="AD220" s="1209">
        <f t="shared" si="656"/>
        <v>111939840</v>
      </c>
      <c r="AE220" s="1209">
        <f t="shared" si="656"/>
        <v>2798496</v>
      </c>
      <c r="AF220" s="1209">
        <f t="shared" si="656"/>
        <v>114738336</v>
      </c>
      <c r="AG220" s="1209">
        <f t="shared" si="656"/>
        <v>2868458.4000000022</v>
      </c>
      <c r="AH220" s="1209">
        <f t="shared" si="656"/>
        <v>117606794.39999992</v>
      </c>
      <c r="AI220" s="1209">
        <f t="shared" si="656"/>
        <v>5880339.7199999997</v>
      </c>
      <c r="AJ220" s="1209">
        <f t="shared" ref="AJ220:AK220" si="657">SUBTOTAL(9,AJ7:AJ219)</f>
        <v>123487134.12000009</v>
      </c>
      <c r="AK220" s="1209">
        <f t="shared" si="657"/>
        <v>1234871.3412000006</v>
      </c>
      <c r="AL220" s="1209">
        <f t="shared" ref="AL220" si="658">SUBTOTAL(9,AL7:AL219)</f>
        <v>1211646.0382426658</v>
      </c>
      <c r="AM220" s="1209">
        <f t="shared" si="656"/>
        <v>0</v>
      </c>
      <c r="AN220" s="1209">
        <f t="shared" si="656"/>
        <v>68300</v>
      </c>
      <c r="AO220" s="1209">
        <f t="shared" si="656"/>
        <v>126001951.49944273</v>
      </c>
      <c r="AP220" s="1209">
        <f t="shared" si="656"/>
        <v>17010263.452424765</v>
      </c>
      <c r="AQ220" s="1249">
        <f t="shared" si="656"/>
        <v>143012214.95186734</v>
      </c>
      <c r="AR220" s="1249">
        <f t="shared" si="656"/>
        <v>133112214.95186736</v>
      </c>
      <c r="AS220" s="1249">
        <f t="shared" si="656"/>
        <v>450000</v>
      </c>
      <c r="AT220" s="1249">
        <f t="shared" si="656"/>
        <v>9900000</v>
      </c>
      <c r="AU220" s="1249">
        <f t="shared" si="656"/>
        <v>1188000</v>
      </c>
      <c r="AV220" s="1212">
        <f t="shared" si="656"/>
        <v>11088000</v>
      </c>
      <c r="AW220" s="1212">
        <f t="shared" si="656"/>
        <v>144200214.95186734</v>
      </c>
      <c r="AX220" s="1211">
        <f t="shared" si="656"/>
        <v>1802502.6868983433</v>
      </c>
      <c r="AY220" s="1211">
        <f t="shared" si="656"/>
        <v>268893.42747826083</v>
      </c>
      <c r="AZ220" s="1211">
        <f t="shared" si="656"/>
        <v>146271611.06624407</v>
      </c>
      <c r="BA220" s="1211">
        <f t="shared" si="656"/>
        <v>5485185.4149841527</v>
      </c>
      <c r="BB220" s="1211">
        <f t="shared" si="656"/>
        <v>0</v>
      </c>
      <c r="BC220" s="1211">
        <f t="shared" si="656"/>
        <v>1478400</v>
      </c>
      <c r="BD220" s="1211">
        <f t="shared" si="656"/>
        <v>242754.20689655186</v>
      </c>
      <c r="BE220" s="1211">
        <f t="shared" si="656"/>
        <v>153477950.68812472</v>
      </c>
      <c r="BF220" s="1211">
        <f t="shared" si="656"/>
        <v>1196265.4808275863</v>
      </c>
      <c r="BG220" s="1211">
        <f t="shared" si="656"/>
        <v>154674216.16895232</v>
      </c>
      <c r="BH220" s="1211">
        <f t="shared" si="656"/>
        <v>0</v>
      </c>
      <c r="BI220" s="1211">
        <f t="shared" si="656"/>
        <v>154674216.16895232</v>
      </c>
      <c r="BJ220" s="1211">
        <f t="shared" si="656"/>
        <v>0</v>
      </c>
      <c r="BK220" s="1211">
        <f t="shared" si="656"/>
        <v>154674216.16895232</v>
      </c>
      <c r="BL220" s="1211">
        <f t="shared" si="656"/>
        <v>0</v>
      </c>
      <c r="BM220" s="1211">
        <f t="shared" si="656"/>
        <v>154674216.16895232</v>
      </c>
      <c r="BN220" s="1211"/>
      <c r="BO220" s="1211">
        <f t="shared" si="656"/>
        <v>154674216.16895232</v>
      </c>
      <c r="BP220" s="1211"/>
      <c r="BQ220" s="1211">
        <f t="shared" si="656"/>
        <v>154856569.52592534</v>
      </c>
      <c r="BR220" s="1211"/>
      <c r="BS220" s="1211">
        <f t="shared" ref="BS220:BZ220" si="659">SUBTOTAL(9,BS7:BS219)</f>
        <v>155001898.55232528</v>
      </c>
      <c r="BT220" s="1211">
        <f t="shared" si="659"/>
        <v>64372.672000000013</v>
      </c>
      <c r="BU220" s="1211">
        <f t="shared" si="659"/>
        <v>155066271.22432533</v>
      </c>
      <c r="BV220" s="1211"/>
      <c r="BW220" s="1211">
        <f t="shared" si="659"/>
        <v>2481600</v>
      </c>
      <c r="BX220" s="1211">
        <f t="shared" si="659"/>
        <v>157596731.5082323</v>
      </c>
      <c r="BY220" s="1211">
        <f t="shared" si="659"/>
        <v>1344164.0838315312</v>
      </c>
      <c r="BZ220" s="1211">
        <f t="shared" si="659"/>
        <v>158940895.59206384</v>
      </c>
      <c r="CA220" s="1261">
        <f t="shared" si="656"/>
        <v>158940895.59206384</v>
      </c>
      <c r="CB220" s="1261">
        <f t="shared" si="656"/>
        <v>154188895.59206384</v>
      </c>
      <c r="CC220" s="1261">
        <f t="shared" si="656"/>
        <v>216000</v>
      </c>
      <c r="CD220" s="1261">
        <f t="shared" si="656"/>
        <v>4752000</v>
      </c>
      <c r="CE220" s="1261">
        <f t="shared" si="656"/>
        <v>570240</v>
      </c>
      <c r="CF220" s="1261">
        <f t="shared" si="656"/>
        <v>5322240</v>
      </c>
      <c r="CG220" s="1267">
        <f t="shared" si="656"/>
        <v>159511135.59206384</v>
      </c>
      <c r="CH220" s="1211">
        <f t="shared" si="656"/>
        <v>159511135.59206384</v>
      </c>
      <c r="CI220" s="1211">
        <f t="shared" si="656"/>
        <v>0</v>
      </c>
      <c r="CJ220" s="1211">
        <f t="shared" si="656"/>
        <v>16349891.398186537</v>
      </c>
      <c r="CK220" s="1211">
        <f t="shared" si="656"/>
        <v>5582889.7457222342</v>
      </c>
      <c r="CL220" s="1211">
        <f t="shared" si="656"/>
        <v>181443916.73597255</v>
      </c>
      <c r="CM220" s="1211"/>
      <c r="CN220" s="1211">
        <f t="shared" si="656"/>
        <v>22680489.591996569</v>
      </c>
      <c r="CO220" s="1211">
        <f t="shared" si="656"/>
        <v>1320000</v>
      </c>
      <c r="CP220" s="1211">
        <f t="shared" si="656"/>
        <v>21360489.591996573</v>
      </c>
      <c r="CQ220" s="1211"/>
      <c r="CR220" s="1211">
        <f t="shared" si="656"/>
        <v>1492647.7388283387</v>
      </c>
      <c r="CS220" s="1213"/>
      <c r="CT220" s="1211">
        <f t="shared" si="656"/>
        <v>158763427.14397603</v>
      </c>
      <c r="CU220" s="1211">
        <f>SUBTOTAL(9,CU7:CU219)</f>
        <v>1230891.1607992938</v>
      </c>
      <c r="CV220" s="1211">
        <f t="shared" si="656"/>
        <v>1427010.566944252</v>
      </c>
      <c r="CW220" s="1211">
        <f>SUBTOTAL(9,CW7:CW219)</f>
        <v>1843378.0081223876</v>
      </c>
      <c r="CX220" s="1211">
        <f>SUBTOTAL(9,CX7:CX219)</f>
        <v>3143706.1418241872</v>
      </c>
      <c r="CY220" s="1211">
        <f t="shared" ref="CY220:DB220" si="660">SUBTOTAL(9,CY7:CY219)</f>
        <v>12896857.818726398</v>
      </c>
      <c r="CZ220" s="1211">
        <f t="shared" si="660"/>
        <v>5103223.8146686712</v>
      </c>
      <c r="DA220" s="1211">
        <f t="shared" si="660"/>
        <v>3685986.2833831972</v>
      </c>
      <c r="DB220" s="1211">
        <f t="shared" si="660"/>
        <v>2805205.255698768</v>
      </c>
      <c r="DC220" s="1169"/>
      <c r="DD220" s="1169"/>
      <c r="DE220" s="1169"/>
      <c r="DF220" s="1169"/>
      <c r="DG220" s="1169"/>
      <c r="DH220" s="1169"/>
      <c r="DI220" s="1169"/>
      <c r="DJ220" s="1169"/>
      <c r="DK220" s="1169"/>
      <c r="DL220" s="1169"/>
      <c r="DM220" s="1169"/>
      <c r="DN220" s="1169"/>
      <c r="DO220" s="1169"/>
      <c r="DP220" s="1169"/>
      <c r="DQ220" s="1169"/>
      <c r="DR220" s="1169"/>
      <c r="DS220" s="1169"/>
      <c r="DT220" s="1169"/>
      <c r="DU220" s="1169"/>
      <c r="DV220" s="1169"/>
      <c r="DW220" s="1169"/>
      <c r="DX220" s="1169"/>
      <c r="DY220" s="1169"/>
      <c r="DZ220" s="1169"/>
      <c r="EA220" s="1214"/>
      <c r="EC220" s="1215"/>
      <c r="ED220" s="1215"/>
      <c r="EF220" s="1215"/>
      <c r="EG220" s="1216"/>
      <c r="EH220" s="1217"/>
      <c r="EI220" s="1218"/>
      <c r="EJ220" s="1217"/>
      <c r="EK220" s="1217"/>
      <c r="EL220" s="1217"/>
      <c r="EN220" s="1219">
        <f>SUM(EN13:EN155)</f>
        <v>0</v>
      </c>
      <c r="EO220" s="1219">
        <f>SUM(EO13:EO155)</f>
        <v>0</v>
      </c>
      <c r="EP220" s="1219">
        <f>SUM(EP13:EP155)</f>
        <v>0</v>
      </c>
      <c r="ER220" s="1219"/>
    </row>
    <row r="221" spans="1:241" ht="14.25" hidden="1" customHeight="1">
      <c r="G221" s="1069"/>
      <c r="H221" s="1069"/>
      <c r="I221" s="1069"/>
      <c r="AB221" s="1221">
        <f>AB220/A219</f>
        <v>512721.12676056341</v>
      </c>
      <c r="AC221" s="1221"/>
      <c r="AD221" s="1221">
        <f>AD220/A219</f>
        <v>525539.15492957749</v>
      </c>
      <c r="AE221" s="1221"/>
      <c r="AF221" s="1221">
        <f>AF220/A219</f>
        <v>538677.63380281685</v>
      </c>
      <c r="AH221" s="1222">
        <f>AH220/A219</f>
        <v>552144.57464788691</v>
      </c>
      <c r="AJ221" s="1222">
        <f>AJ220/C219</f>
        <v>6860396.3400000054</v>
      </c>
      <c r="CM221" s="1076"/>
      <c r="CQ221" s="1069"/>
    </row>
    <row r="222" spans="1:241" ht="14.25" hidden="1" customHeight="1">
      <c r="A222" s="1080">
        <v>213</v>
      </c>
      <c r="E222" s="1223"/>
      <c r="F222" s="1106"/>
      <c r="G222" s="1069"/>
      <c r="J222" s="1224"/>
      <c r="AF222" s="1225"/>
      <c r="AH222" s="1222" t="str">
        <f>AG6</f>
        <v>3RD INCREASE</v>
      </c>
      <c r="AJ222" s="1222" t="str">
        <f>AI6</f>
        <v>4TH INCREASE</v>
      </c>
      <c r="CM222" s="1076"/>
      <c r="CQ222" s="1069"/>
      <c r="FH222" s="1226" t="s">
        <v>149</v>
      </c>
      <c r="FI222" s="1227">
        <f>COUNTIF(FI7:FI219,"SOLD")</f>
        <v>169</v>
      </c>
      <c r="FJ222" s="1228">
        <f>COUNTIF(FJ7:FJ219,"SOLD")</f>
        <v>169</v>
      </c>
    </row>
    <row r="223" spans="1:241" ht="14.25" customHeight="1">
      <c r="A223" s="1229">
        <f>A222-A219</f>
        <v>0</v>
      </c>
      <c r="E223" s="1223"/>
      <c r="F223" s="1106"/>
      <c r="G223" s="1069"/>
      <c r="J223" s="1224"/>
      <c r="AH223" s="1222" t="s">
        <v>702</v>
      </c>
      <c r="AJ223" s="1222" t="s">
        <v>702</v>
      </c>
      <c r="CH223" s="1070">
        <f>SUBTOTAL(9,CH25:CH219)</f>
        <v>152711798.34645793</v>
      </c>
      <c r="CM223" s="1076"/>
      <c r="CQ223" s="1069"/>
      <c r="FH223" s="1226" t="s">
        <v>96</v>
      </c>
      <c r="FI223" s="1227">
        <f>COUNTIF(FI7:FI219,"UNSOLD")</f>
        <v>44</v>
      </c>
      <c r="FJ223" s="1080">
        <f>FI223-FJ225</f>
        <v>44</v>
      </c>
      <c r="FO223" s="1166"/>
    </row>
    <row r="224" spans="1:241" ht="14.25" customHeight="1">
      <c r="E224" s="1069"/>
      <c r="F224" s="1106"/>
      <c r="G224" s="1069"/>
      <c r="J224" s="1224"/>
      <c r="CM224" s="1076"/>
      <c r="CQ224" s="1069"/>
      <c r="FH224" s="1226" t="s">
        <v>703</v>
      </c>
      <c r="FI224" s="1227">
        <f>COUNTIF(FI7:FI219,"HOLD under CRV")</f>
        <v>0</v>
      </c>
      <c r="FN224" s="1080"/>
    </row>
    <row r="225" spans="5:171" ht="14.25" customHeight="1">
      <c r="E225" s="1224"/>
      <c r="J225" s="1224"/>
      <c r="AG225" s="1343" t="s">
        <v>149</v>
      </c>
      <c r="AH225" s="1150">
        <v>264746057</v>
      </c>
      <c r="AJ225" s="1150">
        <v>264746057</v>
      </c>
      <c r="CM225" s="1076"/>
      <c r="CQ225" s="1069"/>
      <c r="FH225" s="1226" t="s">
        <v>327</v>
      </c>
      <c r="FI225" s="1227">
        <f>COUNTIF(FI7:FI$219,"FOR RE-OPEN")</f>
        <v>0</v>
      </c>
      <c r="FJ225" s="1228">
        <f>COUNTIF(FJ7:FJ$219,"FOR RE-OPEN")</f>
        <v>0</v>
      </c>
      <c r="FN225" s="1131"/>
      <c r="FO225" s="1166"/>
    </row>
    <row r="226" spans="5:171" ht="14.25" customHeight="1">
      <c r="E226" s="1224"/>
      <c r="G226" s="1069"/>
      <c r="H226" s="1069"/>
      <c r="I226" s="1069"/>
      <c r="J226" s="1224"/>
      <c r="AG226" s="1343"/>
      <c r="AH226" s="1200">
        <v>129</v>
      </c>
      <c r="AJ226" s="1200">
        <v>129</v>
      </c>
      <c r="CM226" s="1076"/>
      <c r="CQ226" s="1069"/>
      <c r="FH226" s="1226" t="s">
        <v>704</v>
      </c>
      <c r="FI226" s="1227">
        <f>COUNTIF(FI8:FI$219,"HOLD")</f>
        <v>0</v>
      </c>
    </row>
    <row r="227" spans="5:171" ht="14.25" customHeight="1">
      <c r="E227" s="1224"/>
      <c r="G227" s="1069"/>
      <c r="H227" s="1069"/>
      <c r="I227" s="1069"/>
      <c r="J227" s="1224"/>
      <c r="AG227" s="1344" t="s">
        <v>705</v>
      </c>
      <c r="AH227" s="1200">
        <f>AH220-AH225</f>
        <v>-147139262.60000008</v>
      </c>
      <c r="AJ227" s="1200">
        <f>AJ220-AJ225</f>
        <v>-141258922.87999991</v>
      </c>
      <c r="CI227" s="1230">
        <v>0.03</v>
      </c>
      <c r="CK227" s="1230">
        <v>0.03</v>
      </c>
      <c r="CM227" s="1076"/>
      <c r="CQ227" s="1069"/>
      <c r="FH227" s="1226" t="s">
        <v>706</v>
      </c>
      <c r="FI227" s="1227">
        <f>COUNTIF(FI9:FI$219,"FOR EVALUATION")</f>
        <v>0</v>
      </c>
    </row>
    <row r="228" spans="5:171" ht="14.25" customHeight="1">
      <c r="E228" s="1224"/>
      <c r="G228" s="1069"/>
      <c r="H228" s="1069"/>
      <c r="I228" s="1069"/>
      <c r="J228" s="1224"/>
      <c r="AG228" s="1344"/>
      <c r="AH228" s="1200">
        <f>A219-AH226</f>
        <v>84</v>
      </c>
      <c r="AJ228" s="1200">
        <f>C219-AJ226</f>
        <v>-111</v>
      </c>
      <c r="CH228" s="837" t="s">
        <v>72</v>
      </c>
      <c r="CI228" s="1131" t="s">
        <v>394</v>
      </c>
      <c r="CJ228" s="1022" t="s">
        <v>707</v>
      </c>
      <c r="CK228" s="1131" t="s">
        <v>394</v>
      </c>
      <c r="CL228" s="1022" t="s">
        <v>707</v>
      </c>
      <c r="CM228" s="1076"/>
      <c r="CQ228" s="1069"/>
      <c r="CV228" s="1069"/>
      <c r="CX228" s="1077"/>
      <c r="CY228" s="1077"/>
      <c r="CZ228" s="1077"/>
      <c r="DA228" s="1077"/>
      <c r="DB228" s="1077"/>
      <c r="DC228" s="1077"/>
      <c r="DD228" s="1077"/>
      <c r="DE228" s="1077"/>
      <c r="DF228" s="1077"/>
      <c r="DG228" s="1077"/>
      <c r="DH228" s="1077"/>
      <c r="DI228" s="1077"/>
      <c r="DJ228" s="1077"/>
      <c r="DK228" s="1077"/>
      <c r="DL228" s="1077"/>
      <c r="DM228" s="1077"/>
      <c r="DN228" s="1077"/>
      <c r="DO228" s="1077"/>
      <c r="DP228" s="1077"/>
      <c r="DQ228" s="1077"/>
      <c r="DR228" s="1077"/>
      <c r="DS228" s="1077"/>
      <c r="DT228" s="1077"/>
      <c r="DU228" s="1077"/>
      <c r="DV228" s="1077"/>
      <c r="DW228" s="1077"/>
      <c r="DX228" s="1077"/>
      <c r="DY228" s="1077"/>
      <c r="DZ228" s="1077"/>
      <c r="EA228" s="884"/>
      <c r="FH228" s="1226" t="s">
        <v>48</v>
      </c>
      <c r="FI228" s="1227">
        <f>FI223+FI224+FI225+FI226+FI227+FI222</f>
        <v>213</v>
      </c>
    </row>
    <row r="229" spans="5:171" ht="14.1" customHeight="1">
      <c r="E229" s="1224"/>
      <c r="G229" s="1069"/>
      <c r="H229" s="1069"/>
      <c r="I229" s="1069"/>
      <c r="J229" s="1224"/>
      <c r="AG229" s="1070"/>
      <c r="AH229" s="1070"/>
      <c r="AJ229" s="1070"/>
      <c r="CH229" s="1141">
        <v>2944856.8230531146</v>
      </c>
      <c r="CI229" s="1061">
        <f>CH229*$CI$227</f>
        <v>88345.704691593433</v>
      </c>
      <c r="CJ229" s="888">
        <f>CH229+CI229</f>
        <v>3033202.5277447081</v>
      </c>
      <c r="CK229" s="1061">
        <f>CJ229*$CK$227</f>
        <v>90996.075832341245</v>
      </c>
      <c r="CL229" s="1231">
        <f>CJ229+CK229</f>
        <v>3124198.6035770494</v>
      </c>
      <c r="CM229" s="888">
        <f>CI229/32</f>
        <v>2760.8032716122948</v>
      </c>
      <c r="CQ229" s="1069"/>
      <c r="CV229" s="1069"/>
      <c r="CX229" s="1077"/>
      <c r="CY229" s="1077"/>
      <c r="CZ229" s="1077"/>
      <c r="DA229" s="1077"/>
      <c r="DB229" s="1077"/>
      <c r="DC229" s="1077"/>
      <c r="DD229" s="1077"/>
      <c r="DE229" s="1077"/>
      <c r="DF229" s="1077"/>
      <c r="DG229" s="1077"/>
      <c r="DH229" s="1077"/>
      <c r="DI229" s="1077"/>
      <c r="DJ229" s="1077"/>
      <c r="DK229" s="1077"/>
      <c r="DL229" s="1077"/>
      <c r="DM229" s="1077"/>
      <c r="DN229" s="1077"/>
      <c r="DO229" s="1077"/>
      <c r="DP229" s="1077"/>
      <c r="DQ229" s="1077"/>
      <c r="DR229" s="1077"/>
      <c r="DS229" s="1077"/>
      <c r="DT229" s="1077"/>
      <c r="DU229" s="1077"/>
      <c r="DV229" s="1077"/>
      <c r="DW229" s="1077"/>
      <c r="DX229" s="1077"/>
      <c r="DY229" s="1077"/>
      <c r="DZ229" s="1077"/>
      <c r="EA229" s="884"/>
    </row>
    <row r="230" spans="5:171" ht="28.5" customHeight="1">
      <c r="E230" s="1224"/>
      <c r="G230" s="1069"/>
      <c r="H230" s="1069"/>
      <c r="I230" s="1069"/>
      <c r="J230" s="1224"/>
      <c r="AG230" s="862" t="s">
        <v>708</v>
      </c>
      <c r="AH230" s="863">
        <f>AH227/AH228</f>
        <v>-1751657.8880952392</v>
      </c>
      <c r="AJ230" s="863">
        <f>AJ227/AJ228</f>
        <v>1272602.908828828</v>
      </c>
      <c r="CH230" s="1141">
        <v>2944856.8230531146</v>
      </c>
      <c r="CI230" s="1061">
        <f t="shared" ref="CI230:CI266" si="661">CH230*$CI$227</f>
        <v>88345.704691593433</v>
      </c>
      <c r="CJ230" s="888">
        <f t="shared" ref="CJ230:CJ266" si="662">CH230+CI230</f>
        <v>3033202.5277447081</v>
      </c>
      <c r="CK230" s="1061">
        <f t="shared" ref="CK230:CK266" si="663">CJ230*$CK$227</f>
        <v>90996.075832341245</v>
      </c>
      <c r="CL230" s="1231">
        <f t="shared" ref="CL230:CL266" si="664">CJ230+CK230</f>
        <v>3124198.6035770494</v>
      </c>
      <c r="CM230" s="1076"/>
      <c r="CQ230" s="1069"/>
      <c r="CV230" s="1069"/>
      <c r="CX230" s="1077"/>
      <c r="CY230" s="1077"/>
      <c r="CZ230" s="1077"/>
      <c r="DA230" s="1077"/>
      <c r="DB230" s="1077"/>
      <c r="DC230" s="1077"/>
      <c r="DD230" s="1077"/>
      <c r="DE230" s="1077"/>
      <c r="DF230" s="1077"/>
      <c r="DG230" s="1077"/>
      <c r="DH230" s="1077"/>
      <c r="DI230" s="1077"/>
      <c r="DJ230" s="1077"/>
      <c r="DK230" s="1077"/>
      <c r="DL230" s="1077"/>
      <c r="DM230" s="1077"/>
      <c r="DN230" s="1077"/>
      <c r="DO230" s="1077"/>
      <c r="DP230" s="1077"/>
      <c r="DQ230" s="1077"/>
      <c r="DR230" s="1077"/>
      <c r="DS230" s="1077"/>
      <c r="DT230" s="1077"/>
      <c r="DU230" s="1077"/>
      <c r="DV230" s="1077"/>
      <c r="DW230" s="1077"/>
      <c r="DX230" s="1077"/>
      <c r="DY230" s="1077"/>
      <c r="DZ230" s="1077"/>
      <c r="EA230" s="884"/>
    </row>
    <row r="231" spans="5:171" ht="14.25" customHeight="1">
      <c r="E231" s="1224"/>
      <c r="G231" s="1069"/>
      <c r="H231" s="1069"/>
      <c r="I231" s="1069"/>
      <c r="J231" s="1224"/>
      <c r="CH231" s="1141">
        <v>2818953.9041100182</v>
      </c>
      <c r="CI231" s="1061">
        <f t="shared" si="661"/>
        <v>84568.617123300544</v>
      </c>
      <c r="CJ231" s="888">
        <f t="shared" si="662"/>
        <v>2903522.5212333188</v>
      </c>
      <c r="CK231" s="1061">
        <f t="shared" si="663"/>
        <v>87105.675636999556</v>
      </c>
      <c r="CL231" s="1231">
        <f t="shared" si="664"/>
        <v>2990628.1968703186</v>
      </c>
      <c r="CM231" s="1076"/>
      <c r="CQ231" s="1069"/>
      <c r="CV231" s="1069"/>
      <c r="CX231" s="1077"/>
      <c r="CY231" s="1077"/>
      <c r="CZ231" s="1077"/>
      <c r="DA231" s="1077"/>
      <c r="DB231" s="1077"/>
      <c r="DC231" s="1077"/>
      <c r="DD231" s="1077"/>
      <c r="DE231" s="1077"/>
      <c r="DF231" s="1077"/>
      <c r="DG231" s="1077"/>
      <c r="DH231" s="1077"/>
      <c r="DI231" s="1077"/>
      <c r="DJ231" s="1077"/>
      <c r="DK231" s="1077"/>
      <c r="DL231" s="1077"/>
      <c r="DM231" s="1077"/>
      <c r="DN231" s="1077"/>
      <c r="DO231" s="1077"/>
      <c r="DP231" s="1077"/>
      <c r="DQ231" s="1077"/>
      <c r="DR231" s="1077"/>
      <c r="DS231" s="1077"/>
      <c r="DT231" s="1077"/>
      <c r="DU231" s="1077"/>
      <c r="DV231" s="1077"/>
      <c r="DW231" s="1077"/>
      <c r="DX231" s="1077"/>
      <c r="DY231" s="1077"/>
      <c r="DZ231" s="1077"/>
      <c r="EA231" s="884"/>
    </row>
    <row r="232" spans="5:171" ht="33" customHeight="1">
      <c r="E232" s="1224"/>
      <c r="G232" s="1069"/>
      <c r="H232" s="1069"/>
      <c r="I232" s="1069"/>
      <c r="J232" s="1224"/>
      <c r="CH232" s="1141">
        <v>2872675.5836775177</v>
      </c>
      <c r="CI232" s="1061">
        <f t="shared" si="661"/>
        <v>86180.267510325531</v>
      </c>
      <c r="CJ232" s="888">
        <f t="shared" si="662"/>
        <v>2958855.8511878434</v>
      </c>
      <c r="CK232" s="1061">
        <f t="shared" si="663"/>
        <v>88765.675535635295</v>
      </c>
      <c r="CL232" s="1231">
        <f t="shared" si="664"/>
        <v>3047621.5267234785</v>
      </c>
      <c r="CM232" s="1076"/>
      <c r="CQ232" s="1069"/>
      <c r="CV232" s="1069"/>
      <c r="CX232" s="1077"/>
      <c r="CY232" s="1077"/>
      <c r="CZ232" s="1077"/>
      <c r="DA232" s="1077"/>
      <c r="DB232" s="1077"/>
      <c r="DC232" s="1077"/>
      <c r="DD232" s="1077"/>
      <c r="DE232" s="1077"/>
      <c r="DF232" s="1077"/>
      <c r="DG232" s="1077"/>
      <c r="DH232" s="1077"/>
      <c r="DI232" s="1077"/>
      <c r="DJ232" s="1077"/>
      <c r="DK232" s="1077"/>
      <c r="DL232" s="1077"/>
      <c r="DM232" s="1077"/>
      <c r="DN232" s="1077"/>
      <c r="DO232" s="1077"/>
      <c r="DP232" s="1077"/>
      <c r="DQ232" s="1077"/>
      <c r="DR232" s="1077"/>
      <c r="DS232" s="1077"/>
      <c r="DT232" s="1077"/>
      <c r="DU232" s="1077"/>
      <c r="DV232" s="1077"/>
      <c r="DW232" s="1077"/>
      <c r="DX232" s="1077"/>
      <c r="DY232" s="1077"/>
      <c r="DZ232" s="1077"/>
      <c r="EA232" s="884"/>
    </row>
    <row r="233" spans="5:171" ht="14.25" customHeight="1">
      <c r="E233" s="1224"/>
      <c r="G233" s="1069"/>
      <c r="H233" s="1069"/>
      <c r="I233" s="1069"/>
      <c r="J233" s="1224"/>
      <c r="CH233" s="1141">
        <v>3033840.6223800173</v>
      </c>
      <c r="CI233" s="1061">
        <f t="shared" si="661"/>
        <v>91015.218671400522</v>
      </c>
      <c r="CJ233" s="888">
        <f t="shared" si="662"/>
        <v>3124855.8410514179</v>
      </c>
      <c r="CK233" s="1061">
        <f t="shared" si="663"/>
        <v>93745.675231542526</v>
      </c>
      <c r="CL233" s="1231">
        <f t="shared" si="664"/>
        <v>3218601.5162829603</v>
      </c>
      <c r="CM233" s="1076"/>
      <c r="CQ233" s="1069"/>
      <c r="CV233" s="1069"/>
      <c r="CX233" s="1077"/>
      <c r="CY233" s="1077"/>
      <c r="CZ233" s="1077"/>
      <c r="DA233" s="1077"/>
      <c r="DB233" s="1077"/>
      <c r="DC233" s="1077"/>
      <c r="DD233" s="1077"/>
      <c r="DE233" s="1077"/>
      <c r="DF233" s="1077"/>
      <c r="DG233" s="1077"/>
      <c r="DH233" s="1077"/>
      <c r="DI233" s="1077"/>
      <c r="DJ233" s="1077"/>
      <c r="DK233" s="1077"/>
      <c r="DL233" s="1077"/>
      <c r="DM233" s="1077"/>
      <c r="DN233" s="1077"/>
      <c r="DO233" s="1077"/>
      <c r="DP233" s="1077"/>
      <c r="DQ233" s="1077"/>
      <c r="DR233" s="1077"/>
      <c r="DS233" s="1077"/>
      <c r="DT233" s="1077"/>
      <c r="DU233" s="1077"/>
      <c r="DV233" s="1077"/>
      <c r="DW233" s="1077"/>
      <c r="DX233" s="1077"/>
      <c r="DY233" s="1077"/>
      <c r="DZ233" s="1077"/>
      <c r="EA233" s="884"/>
    </row>
    <row r="234" spans="5:171" ht="14.25" customHeight="1">
      <c r="E234" s="1224"/>
      <c r="G234" s="1069"/>
      <c r="H234" s="1069"/>
      <c r="I234" s="1069"/>
      <c r="J234" s="1224"/>
      <c r="CH234" s="1141">
        <v>3033840.6223800173</v>
      </c>
      <c r="CI234" s="1061">
        <f t="shared" si="661"/>
        <v>91015.218671400522</v>
      </c>
      <c r="CJ234" s="888">
        <f t="shared" si="662"/>
        <v>3124855.8410514179</v>
      </c>
      <c r="CK234" s="1061">
        <f t="shared" si="663"/>
        <v>93745.675231542526</v>
      </c>
      <c r="CL234" s="1231">
        <f t="shared" si="664"/>
        <v>3218601.5162829603</v>
      </c>
      <c r="CM234" s="1076"/>
      <c r="CQ234" s="1069"/>
      <c r="CV234" s="1069"/>
      <c r="CX234" s="1077"/>
      <c r="CY234" s="1077"/>
      <c r="CZ234" s="1077"/>
      <c r="DA234" s="1077"/>
      <c r="DB234" s="1077"/>
      <c r="DC234" s="1077"/>
      <c r="DD234" s="1077"/>
      <c r="DE234" s="1077"/>
      <c r="DF234" s="1077"/>
      <c r="DG234" s="1077"/>
      <c r="DH234" s="1077"/>
      <c r="DI234" s="1077"/>
      <c r="DJ234" s="1077"/>
      <c r="DK234" s="1077"/>
      <c r="DL234" s="1077"/>
      <c r="DM234" s="1077"/>
      <c r="DN234" s="1077"/>
      <c r="DO234" s="1077"/>
      <c r="DP234" s="1077"/>
      <c r="DQ234" s="1077"/>
      <c r="DR234" s="1077"/>
      <c r="DS234" s="1077"/>
      <c r="DT234" s="1077"/>
      <c r="DU234" s="1077"/>
      <c r="DV234" s="1077"/>
      <c r="DW234" s="1077"/>
      <c r="DX234" s="1077"/>
      <c r="DY234" s="1077"/>
      <c r="DZ234" s="1077"/>
      <c r="EA234" s="884"/>
    </row>
    <row r="235" spans="5:171" ht="14.25" customHeight="1">
      <c r="E235" s="1224"/>
      <c r="G235" s="1069"/>
      <c r="H235" s="1069"/>
      <c r="I235" s="1069"/>
      <c r="J235" s="1224"/>
      <c r="CH235" s="1141">
        <v>3033840.6223800173</v>
      </c>
      <c r="CI235" s="1061">
        <f t="shared" si="661"/>
        <v>91015.218671400522</v>
      </c>
      <c r="CJ235" s="888">
        <f t="shared" si="662"/>
        <v>3124855.8410514179</v>
      </c>
      <c r="CK235" s="1061">
        <f t="shared" si="663"/>
        <v>93745.675231542526</v>
      </c>
      <c r="CL235" s="1231">
        <f t="shared" si="664"/>
        <v>3218601.5162829603</v>
      </c>
      <c r="CM235" s="1076"/>
      <c r="CQ235" s="1069"/>
      <c r="CV235" s="1069"/>
      <c r="CX235" s="1077"/>
      <c r="CY235" s="1077"/>
      <c r="CZ235" s="1077"/>
      <c r="DA235" s="1077"/>
      <c r="DB235" s="1077"/>
      <c r="DC235" s="1077"/>
      <c r="DD235" s="1077"/>
      <c r="DE235" s="1077"/>
      <c r="DF235" s="1077"/>
      <c r="DG235" s="1077"/>
      <c r="DH235" s="1077"/>
      <c r="DI235" s="1077"/>
      <c r="DJ235" s="1077"/>
      <c r="DK235" s="1077"/>
      <c r="DL235" s="1077"/>
      <c r="DM235" s="1077"/>
      <c r="DN235" s="1077"/>
      <c r="DO235" s="1077"/>
      <c r="DP235" s="1077"/>
      <c r="DQ235" s="1077"/>
      <c r="DR235" s="1077"/>
      <c r="DS235" s="1077"/>
      <c r="DT235" s="1077"/>
      <c r="DU235" s="1077"/>
      <c r="DV235" s="1077"/>
      <c r="DW235" s="1077"/>
      <c r="DX235" s="1077"/>
      <c r="DY235" s="1077"/>
      <c r="DZ235" s="1077"/>
      <c r="EA235" s="884"/>
    </row>
    <row r="236" spans="5:171" ht="14.25" customHeight="1">
      <c r="E236" s="1224"/>
      <c r="G236" s="1069"/>
      <c r="H236" s="1069"/>
      <c r="I236" s="1069"/>
      <c r="J236" s="1224"/>
      <c r="CH236" s="1141">
        <v>2946862.6649850179</v>
      </c>
      <c r="CI236" s="1061">
        <f t="shared" si="661"/>
        <v>88405.879949550537</v>
      </c>
      <c r="CJ236" s="888">
        <f t="shared" si="662"/>
        <v>3035268.5449345685</v>
      </c>
      <c r="CK236" s="1061">
        <f t="shared" si="663"/>
        <v>91058.056348037047</v>
      </c>
      <c r="CL236" s="1231">
        <f t="shared" si="664"/>
        <v>3126326.6012826054</v>
      </c>
      <c r="CM236" s="1076"/>
      <c r="CQ236" s="1069"/>
    </row>
    <row r="237" spans="5:171" ht="14.25" customHeight="1">
      <c r="E237" s="1224"/>
      <c r="G237" s="1069"/>
      <c r="H237" s="1069"/>
      <c r="I237" s="1069"/>
      <c r="J237" s="1224"/>
      <c r="CH237" s="1141">
        <v>2975002.5923775178</v>
      </c>
      <c r="CI237" s="1061">
        <f t="shared" si="661"/>
        <v>89250.077771325537</v>
      </c>
      <c r="CJ237" s="888">
        <f t="shared" si="662"/>
        <v>3064252.6701488434</v>
      </c>
      <c r="CK237" s="1061">
        <f t="shared" si="663"/>
        <v>91927.580104465305</v>
      </c>
      <c r="CL237" s="1231">
        <f t="shared" si="664"/>
        <v>3156180.2502533086</v>
      </c>
      <c r="CM237" s="1076"/>
      <c r="CQ237" s="1069"/>
    </row>
    <row r="238" spans="5:171" ht="14.25" customHeight="1">
      <c r="E238" s="1224"/>
      <c r="G238" s="1069"/>
      <c r="H238" s="1069"/>
      <c r="I238" s="1069"/>
      <c r="J238" s="1224"/>
      <c r="CH238" s="1141">
        <v>3072765.5839281143</v>
      </c>
      <c r="CI238" s="1061">
        <f t="shared" si="661"/>
        <v>92182.967517843426</v>
      </c>
      <c r="CJ238" s="888">
        <f t="shared" si="662"/>
        <v>3164948.5514459577</v>
      </c>
      <c r="CK238" s="1061">
        <f t="shared" si="663"/>
        <v>94948.456543378736</v>
      </c>
      <c r="CL238" s="1231">
        <f t="shared" si="664"/>
        <v>3259897.0079893363</v>
      </c>
      <c r="CM238" s="1076"/>
      <c r="CQ238" s="1069"/>
    </row>
    <row r="239" spans="5:171" ht="14.25" customHeight="1">
      <c r="E239" s="1224"/>
      <c r="G239" s="1069"/>
      <c r="H239" s="1069"/>
      <c r="I239" s="1069"/>
      <c r="J239" s="1224"/>
      <c r="CH239" s="1141">
        <v>3000584.3445525179</v>
      </c>
      <c r="CI239" s="1061">
        <f t="shared" si="661"/>
        <v>90017.530336575539</v>
      </c>
      <c r="CJ239" s="888">
        <f t="shared" si="662"/>
        <v>3090601.8748890935</v>
      </c>
      <c r="CK239" s="1061">
        <f t="shared" si="663"/>
        <v>92718.056246672801</v>
      </c>
      <c r="CL239" s="1231">
        <f t="shared" si="664"/>
        <v>3183319.9311357662</v>
      </c>
      <c r="CM239" s="1076"/>
      <c r="CQ239" s="1069"/>
    </row>
    <row r="240" spans="5:171" ht="14.25" customHeight="1">
      <c r="E240" s="1224"/>
      <c r="G240" s="1069"/>
      <c r="H240" s="1069"/>
      <c r="I240" s="1069"/>
      <c r="J240" s="1224"/>
      <c r="CH240" s="1141">
        <v>3000584.3445525179</v>
      </c>
      <c r="CI240" s="1061">
        <f t="shared" si="661"/>
        <v>90017.530336575539</v>
      </c>
      <c r="CJ240" s="888">
        <f t="shared" si="662"/>
        <v>3090601.8748890935</v>
      </c>
      <c r="CK240" s="1061">
        <f t="shared" si="663"/>
        <v>92718.056246672801</v>
      </c>
      <c r="CL240" s="1231">
        <f t="shared" si="664"/>
        <v>3183319.9311357662</v>
      </c>
      <c r="CM240" s="1076"/>
      <c r="CQ240" s="1069"/>
    </row>
    <row r="241" spans="5:95" ht="14.25" customHeight="1">
      <c r="E241" s="1224"/>
      <c r="G241" s="1069"/>
      <c r="H241" s="1069"/>
      <c r="I241" s="1069"/>
      <c r="J241" s="1224"/>
      <c r="CH241" s="1141">
        <v>3000584.3445525179</v>
      </c>
      <c r="CI241" s="1061">
        <f t="shared" si="661"/>
        <v>90017.530336575539</v>
      </c>
      <c r="CJ241" s="888">
        <f t="shared" si="662"/>
        <v>3090601.8748890935</v>
      </c>
      <c r="CK241" s="1061">
        <f t="shared" si="663"/>
        <v>92718.056246672801</v>
      </c>
      <c r="CL241" s="1231">
        <f t="shared" si="664"/>
        <v>3183319.9311357662</v>
      </c>
      <c r="CM241" s="1076"/>
      <c r="CQ241" s="1069"/>
    </row>
    <row r="242" spans="5:95" ht="14.25" customHeight="1">
      <c r="E242" s="1224"/>
      <c r="G242" s="1069"/>
      <c r="H242" s="1069"/>
      <c r="I242" s="1069"/>
      <c r="J242" s="1224"/>
      <c r="CH242" s="1141">
        <v>3000584.3445525179</v>
      </c>
      <c r="CI242" s="1061">
        <f t="shared" si="661"/>
        <v>90017.530336575539</v>
      </c>
      <c r="CJ242" s="888">
        <f t="shared" si="662"/>
        <v>3090601.8748890935</v>
      </c>
      <c r="CK242" s="1061">
        <f t="shared" si="663"/>
        <v>92718.056246672801</v>
      </c>
      <c r="CL242" s="1231">
        <f t="shared" si="664"/>
        <v>3183319.9311357662</v>
      </c>
      <c r="CM242" s="1076"/>
      <c r="CQ242" s="1069"/>
    </row>
    <row r="243" spans="5:95" ht="14.25" customHeight="1">
      <c r="E243" s="1224"/>
      <c r="G243" s="1069"/>
      <c r="H243" s="1069"/>
      <c r="I243" s="1069"/>
      <c r="J243" s="1224"/>
      <c r="CH243" s="1141">
        <v>3098347.3361031143</v>
      </c>
      <c r="CI243" s="1061">
        <f t="shared" si="661"/>
        <v>92950.420083093428</v>
      </c>
      <c r="CJ243" s="888">
        <f t="shared" si="662"/>
        <v>3191297.7561862078</v>
      </c>
      <c r="CK243" s="1061">
        <f t="shared" si="663"/>
        <v>95738.932685586231</v>
      </c>
      <c r="CL243" s="1231">
        <f t="shared" si="664"/>
        <v>3287036.6888717939</v>
      </c>
      <c r="CM243" s="1076"/>
      <c r="CQ243" s="1069"/>
    </row>
    <row r="244" spans="5:95" ht="14.25" customHeight="1">
      <c r="E244" s="1224"/>
      <c r="G244" s="1069"/>
      <c r="H244" s="1069"/>
      <c r="I244" s="1069"/>
      <c r="J244" s="1224"/>
      <c r="CH244" s="1141">
        <v>3026166.0967275179</v>
      </c>
      <c r="CI244" s="1061">
        <f t="shared" si="661"/>
        <v>90784.98290182554</v>
      </c>
      <c r="CJ244" s="888">
        <f t="shared" si="662"/>
        <v>3116951.0796293435</v>
      </c>
      <c r="CK244" s="1061">
        <f t="shared" si="663"/>
        <v>93508.532388880296</v>
      </c>
      <c r="CL244" s="1231">
        <f t="shared" si="664"/>
        <v>3210459.6120182239</v>
      </c>
      <c r="CM244" s="1076"/>
      <c r="CQ244" s="1069"/>
    </row>
    <row r="245" spans="5:95" ht="14.25" customHeight="1">
      <c r="E245" s="1224"/>
      <c r="G245" s="1069"/>
      <c r="H245" s="1069"/>
      <c r="I245" s="1069"/>
      <c r="J245" s="1224"/>
      <c r="CH245" s="1141">
        <v>3026166.0967275179</v>
      </c>
      <c r="CI245" s="1061">
        <f t="shared" si="661"/>
        <v>90784.98290182554</v>
      </c>
      <c r="CJ245" s="888">
        <f t="shared" si="662"/>
        <v>3116951.0796293435</v>
      </c>
      <c r="CK245" s="1061">
        <f t="shared" si="663"/>
        <v>93508.532388880296</v>
      </c>
      <c r="CL245" s="1231">
        <f t="shared" si="664"/>
        <v>3210459.6120182239</v>
      </c>
      <c r="CM245" s="1076"/>
      <c r="CQ245" s="1069"/>
    </row>
    <row r="246" spans="5:95" ht="14.25" customHeight="1">
      <c r="E246" s="1224"/>
      <c r="G246" s="1069"/>
      <c r="H246" s="1069"/>
      <c r="I246" s="1069"/>
      <c r="J246" s="1224"/>
      <c r="CH246" s="1141">
        <v>3026166.0967275179</v>
      </c>
      <c r="CI246" s="1061">
        <f t="shared" si="661"/>
        <v>90784.98290182554</v>
      </c>
      <c r="CJ246" s="888">
        <f t="shared" si="662"/>
        <v>3116951.0796293435</v>
      </c>
      <c r="CK246" s="1061">
        <f t="shared" si="663"/>
        <v>93508.532388880296</v>
      </c>
      <c r="CL246" s="1231">
        <f t="shared" si="664"/>
        <v>3210459.6120182239</v>
      </c>
      <c r="CM246" s="1076"/>
      <c r="CQ246" s="1069"/>
    </row>
    <row r="247" spans="5:95" ht="14.25" customHeight="1">
      <c r="E247" s="1224"/>
      <c r="G247" s="1069"/>
      <c r="H247" s="1069"/>
      <c r="I247" s="1069"/>
      <c r="J247" s="1224"/>
      <c r="CH247" s="1141">
        <v>3026166.0967275179</v>
      </c>
      <c r="CI247" s="1061">
        <f t="shared" si="661"/>
        <v>90784.98290182554</v>
      </c>
      <c r="CJ247" s="888">
        <f t="shared" si="662"/>
        <v>3116951.0796293435</v>
      </c>
      <c r="CK247" s="1061">
        <f t="shared" si="663"/>
        <v>93508.532388880296</v>
      </c>
      <c r="CL247" s="1231">
        <f t="shared" si="664"/>
        <v>3210459.6120182239</v>
      </c>
      <c r="CM247" s="1076"/>
      <c r="CQ247" s="1069"/>
    </row>
    <row r="248" spans="5:95" ht="14.25" customHeight="1">
      <c r="E248" s="1224"/>
      <c r="G248" s="1069"/>
      <c r="H248" s="1069"/>
      <c r="I248" s="1069"/>
      <c r="J248" s="1224"/>
      <c r="CH248" s="1141">
        <v>3123929.0882781143</v>
      </c>
      <c r="CI248" s="1061">
        <f t="shared" si="661"/>
        <v>93717.872648343429</v>
      </c>
      <c r="CJ248" s="888">
        <f t="shared" si="662"/>
        <v>3217646.9609264578</v>
      </c>
      <c r="CK248" s="1061">
        <f t="shared" si="663"/>
        <v>96529.408827793726</v>
      </c>
      <c r="CL248" s="1231">
        <f t="shared" si="664"/>
        <v>3314176.3697542516</v>
      </c>
      <c r="CM248" s="1076"/>
      <c r="CQ248" s="1069"/>
    </row>
    <row r="249" spans="5:95" ht="14.25" customHeight="1">
      <c r="E249" s="1224"/>
      <c r="G249" s="1069"/>
      <c r="H249" s="1069"/>
      <c r="I249" s="1069"/>
      <c r="J249" s="1224"/>
      <c r="CH249" s="1141">
        <v>2998026.1693350179</v>
      </c>
      <c r="CI249" s="1061">
        <f t="shared" si="661"/>
        <v>89940.78508005054</v>
      </c>
      <c r="CJ249" s="888">
        <f t="shared" si="662"/>
        <v>3087966.9544150685</v>
      </c>
      <c r="CK249" s="1061">
        <f t="shared" si="663"/>
        <v>92639.008632452053</v>
      </c>
      <c r="CL249" s="1231">
        <f t="shared" si="664"/>
        <v>3180605.9630475207</v>
      </c>
      <c r="CM249" s="1076"/>
      <c r="CQ249" s="1069"/>
    </row>
    <row r="250" spans="5:95" ht="14.25" customHeight="1">
      <c r="E250" s="1224"/>
      <c r="G250" s="1069"/>
      <c r="H250" s="1069"/>
      <c r="I250" s="1069"/>
      <c r="J250" s="1224"/>
      <c r="CH250" s="1141">
        <v>3051747.8489025179</v>
      </c>
      <c r="CI250" s="1061">
        <f t="shared" si="661"/>
        <v>91552.435467075527</v>
      </c>
      <c r="CJ250" s="888">
        <f t="shared" si="662"/>
        <v>3143300.2843695935</v>
      </c>
      <c r="CK250" s="1061">
        <f t="shared" si="663"/>
        <v>94299.008531087806</v>
      </c>
      <c r="CL250" s="1231">
        <f t="shared" si="664"/>
        <v>3237599.2929006815</v>
      </c>
      <c r="CM250" s="1076"/>
      <c r="CQ250" s="1069"/>
    </row>
    <row r="251" spans="5:95" ht="14.25" customHeight="1">
      <c r="E251" s="1224"/>
      <c r="G251" s="1069"/>
      <c r="H251" s="1069"/>
      <c r="I251" s="1069"/>
      <c r="J251" s="1224"/>
      <c r="CH251" s="1141">
        <v>3051747.8489025179</v>
      </c>
      <c r="CI251" s="1061">
        <f t="shared" si="661"/>
        <v>91552.435467075527</v>
      </c>
      <c r="CJ251" s="888">
        <f t="shared" si="662"/>
        <v>3143300.2843695935</v>
      </c>
      <c r="CK251" s="1061">
        <f t="shared" si="663"/>
        <v>94299.008531087806</v>
      </c>
      <c r="CL251" s="1231">
        <f t="shared" si="664"/>
        <v>3237599.2929006815</v>
      </c>
      <c r="CM251" s="1076"/>
      <c r="CQ251" s="1069"/>
    </row>
    <row r="252" spans="5:95" ht="14.25" customHeight="1">
      <c r="E252" s="1224"/>
      <c r="G252" s="1069"/>
      <c r="H252" s="1069"/>
      <c r="I252" s="1069"/>
      <c r="J252" s="1224"/>
      <c r="CH252" s="1141">
        <v>3051747.8489025179</v>
      </c>
      <c r="CI252" s="1061">
        <f t="shared" si="661"/>
        <v>91552.435467075527</v>
      </c>
      <c r="CJ252" s="888">
        <f t="shared" si="662"/>
        <v>3143300.2843695935</v>
      </c>
      <c r="CK252" s="1061">
        <f t="shared" si="663"/>
        <v>94299.008531087806</v>
      </c>
      <c r="CL252" s="1231">
        <f t="shared" si="664"/>
        <v>3237599.2929006815</v>
      </c>
      <c r="CM252" s="1076"/>
      <c r="CQ252" s="1069"/>
    </row>
    <row r="253" spans="5:95" ht="14.25" customHeight="1">
      <c r="E253" s="1224"/>
      <c r="G253" s="1069"/>
      <c r="H253" s="1069"/>
      <c r="I253" s="1069"/>
      <c r="J253" s="1224"/>
      <c r="CH253" s="1141">
        <v>3051747.8489025179</v>
      </c>
      <c r="CI253" s="1061">
        <f t="shared" si="661"/>
        <v>91552.435467075527</v>
      </c>
      <c r="CJ253" s="888">
        <f t="shared" si="662"/>
        <v>3143300.2843695935</v>
      </c>
      <c r="CK253" s="1061">
        <f t="shared" si="663"/>
        <v>94299.008531087806</v>
      </c>
      <c r="CL253" s="1231">
        <f t="shared" si="664"/>
        <v>3237599.2929006815</v>
      </c>
      <c r="CM253" s="1076"/>
      <c r="CQ253" s="1069"/>
    </row>
    <row r="254" spans="5:95" ht="14.25" customHeight="1">
      <c r="E254" s="1224"/>
      <c r="G254" s="1069"/>
      <c r="H254" s="1069"/>
      <c r="I254" s="1069"/>
      <c r="J254" s="1224"/>
      <c r="CH254" s="1141">
        <v>3051747.8489025179</v>
      </c>
      <c r="CI254" s="1061">
        <f t="shared" si="661"/>
        <v>91552.435467075527</v>
      </c>
      <c r="CJ254" s="888">
        <f t="shared" si="662"/>
        <v>3143300.2843695935</v>
      </c>
      <c r="CK254" s="1061">
        <f t="shared" si="663"/>
        <v>94299.008531087806</v>
      </c>
      <c r="CL254" s="1231">
        <f t="shared" si="664"/>
        <v>3237599.2929006815</v>
      </c>
      <c r="CM254" s="1076"/>
      <c r="CQ254" s="1069"/>
    </row>
    <row r="255" spans="5:95" ht="14.25" customHeight="1">
      <c r="E255" s="1224"/>
      <c r="G255" s="1069"/>
      <c r="H255" s="1069"/>
      <c r="I255" s="1069"/>
      <c r="J255" s="1224"/>
      <c r="CH255" s="1141">
        <v>3149510.8404531148</v>
      </c>
      <c r="CI255" s="1061">
        <f t="shared" si="661"/>
        <v>94485.325213593445</v>
      </c>
      <c r="CJ255" s="888">
        <f t="shared" si="662"/>
        <v>3243996.1656667083</v>
      </c>
      <c r="CK255" s="1061">
        <f t="shared" si="663"/>
        <v>97319.884970001251</v>
      </c>
      <c r="CL255" s="1231">
        <f t="shared" si="664"/>
        <v>3341316.0506367097</v>
      </c>
      <c r="CM255" s="1076"/>
      <c r="CQ255" s="1069"/>
    </row>
    <row r="256" spans="5:95" ht="14.25" customHeight="1">
      <c r="E256" s="1224"/>
      <c r="G256" s="1069"/>
      <c r="H256" s="1069"/>
      <c r="I256" s="1069"/>
      <c r="J256" s="1224"/>
      <c r="CH256" s="1141">
        <v>3023607.9215100179</v>
      </c>
      <c r="CI256" s="1061">
        <f t="shared" si="661"/>
        <v>90708.237645300542</v>
      </c>
      <c r="CJ256" s="888">
        <f t="shared" si="662"/>
        <v>3114316.1591553185</v>
      </c>
      <c r="CK256" s="1061">
        <f t="shared" si="663"/>
        <v>93429.484774659548</v>
      </c>
      <c r="CL256" s="1231">
        <f t="shared" si="664"/>
        <v>3207745.6439299779</v>
      </c>
      <c r="CM256" s="1076"/>
      <c r="CQ256" s="1069"/>
    </row>
    <row r="257" spans="5:95" ht="14.25" customHeight="1">
      <c r="E257" s="1224"/>
      <c r="G257" s="1069"/>
      <c r="H257" s="1069"/>
      <c r="I257" s="1069"/>
      <c r="J257" s="1224"/>
      <c r="CH257" s="1141">
        <v>3049189.673685018</v>
      </c>
      <c r="CI257" s="1061">
        <f t="shared" si="661"/>
        <v>91475.690210550529</v>
      </c>
      <c r="CJ257" s="888">
        <f t="shared" si="662"/>
        <v>3140665.3638955685</v>
      </c>
      <c r="CK257" s="1061">
        <f t="shared" si="663"/>
        <v>94219.960916867058</v>
      </c>
      <c r="CL257" s="1231">
        <f t="shared" si="664"/>
        <v>3234885.3248124355</v>
      </c>
      <c r="CM257" s="1076"/>
      <c r="CQ257" s="1069"/>
    </row>
    <row r="258" spans="5:95" ht="14.25" customHeight="1">
      <c r="E258" s="1224"/>
      <c r="G258" s="1069"/>
      <c r="H258" s="1069"/>
      <c r="I258" s="1069"/>
      <c r="J258" s="1224"/>
      <c r="CH258" s="1141">
        <v>3077329.6010775175</v>
      </c>
      <c r="CI258" s="1061">
        <f t="shared" si="661"/>
        <v>92319.888032325514</v>
      </c>
      <c r="CJ258" s="888">
        <f t="shared" si="662"/>
        <v>3169649.489109843</v>
      </c>
      <c r="CK258" s="1061">
        <f t="shared" si="663"/>
        <v>95089.484673295286</v>
      </c>
      <c r="CL258" s="1231">
        <f t="shared" si="664"/>
        <v>3264738.9737831382</v>
      </c>
      <c r="CM258" s="1076"/>
      <c r="CQ258" s="1069"/>
    </row>
    <row r="259" spans="5:95" ht="14.25" customHeight="1">
      <c r="E259" s="1224"/>
      <c r="G259" s="1069"/>
      <c r="H259" s="1069"/>
      <c r="I259" s="1069"/>
      <c r="J259" s="1224"/>
      <c r="CH259" s="1141">
        <v>3077329.6010775175</v>
      </c>
      <c r="CI259" s="1061">
        <f t="shared" si="661"/>
        <v>92319.888032325514</v>
      </c>
      <c r="CJ259" s="888">
        <f t="shared" si="662"/>
        <v>3169649.489109843</v>
      </c>
      <c r="CK259" s="1061">
        <f t="shared" si="663"/>
        <v>95089.484673295286</v>
      </c>
      <c r="CL259" s="1231">
        <f t="shared" si="664"/>
        <v>3264738.9737831382</v>
      </c>
      <c r="CM259" s="1076"/>
      <c r="CQ259" s="1069"/>
    </row>
    <row r="260" spans="5:95" ht="14.25" customHeight="1">
      <c r="E260" s="1224"/>
      <c r="G260" s="1069"/>
      <c r="H260" s="1069"/>
      <c r="I260" s="1069"/>
      <c r="J260" s="1224"/>
      <c r="CH260" s="1141">
        <v>3077329.6010775175</v>
      </c>
      <c r="CI260" s="1061">
        <f t="shared" si="661"/>
        <v>92319.888032325514</v>
      </c>
      <c r="CJ260" s="888">
        <f t="shared" si="662"/>
        <v>3169649.489109843</v>
      </c>
      <c r="CK260" s="1061">
        <f t="shared" si="663"/>
        <v>95089.484673295286</v>
      </c>
      <c r="CL260" s="1231">
        <f t="shared" si="664"/>
        <v>3264738.9737831382</v>
      </c>
      <c r="CM260" s="1076"/>
      <c r="CQ260" s="1069"/>
    </row>
    <row r="261" spans="5:95" ht="14.25" customHeight="1">
      <c r="E261" s="1224"/>
      <c r="G261" s="1069"/>
      <c r="H261" s="1069"/>
      <c r="I261" s="1069"/>
      <c r="J261" s="1224"/>
      <c r="CH261" s="1141">
        <v>3077329.6010775175</v>
      </c>
      <c r="CI261" s="1061">
        <f t="shared" si="661"/>
        <v>92319.888032325514</v>
      </c>
      <c r="CJ261" s="888">
        <f t="shared" si="662"/>
        <v>3169649.489109843</v>
      </c>
      <c r="CK261" s="1061">
        <f t="shared" si="663"/>
        <v>95089.484673295286</v>
      </c>
      <c r="CL261" s="1231">
        <f t="shared" si="664"/>
        <v>3264738.9737831382</v>
      </c>
      <c r="CM261" s="1076"/>
      <c r="CQ261" s="1069"/>
    </row>
    <row r="262" spans="5:95" ht="14.25" customHeight="1">
      <c r="E262" s="1224"/>
      <c r="G262" s="1069"/>
      <c r="H262" s="1069"/>
      <c r="I262" s="1069"/>
      <c r="J262" s="1224"/>
      <c r="CH262" s="1141">
        <v>3175092.5926281149</v>
      </c>
      <c r="CI262" s="1061">
        <f t="shared" si="661"/>
        <v>95252.777778843447</v>
      </c>
      <c r="CJ262" s="888">
        <f t="shared" si="662"/>
        <v>3270345.3704069583</v>
      </c>
      <c r="CK262" s="1061">
        <f t="shared" si="663"/>
        <v>98110.361112208746</v>
      </c>
      <c r="CL262" s="1231">
        <f t="shared" si="664"/>
        <v>3368455.7315191668</v>
      </c>
      <c r="CM262" s="1076"/>
      <c r="CQ262" s="1069"/>
    </row>
    <row r="263" spans="5:95" ht="14.25" customHeight="1">
      <c r="E263" s="1224"/>
      <c r="G263" s="1069"/>
      <c r="H263" s="1069"/>
      <c r="I263" s="1069"/>
      <c r="J263" s="1224"/>
      <c r="CH263" s="1141">
        <v>3175092.5926281149</v>
      </c>
      <c r="CI263" s="1061">
        <f t="shared" si="661"/>
        <v>95252.777778843447</v>
      </c>
      <c r="CJ263" s="888">
        <f t="shared" si="662"/>
        <v>3270345.3704069583</v>
      </c>
      <c r="CK263" s="1061">
        <f t="shared" si="663"/>
        <v>98110.361112208746</v>
      </c>
      <c r="CL263" s="1231">
        <f t="shared" si="664"/>
        <v>3368455.7315191668</v>
      </c>
      <c r="CM263" s="1076"/>
      <c r="CQ263" s="1069"/>
    </row>
    <row r="264" spans="5:95" ht="14.25" customHeight="1">
      <c r="E264" s="1224"/>
      <c r="G264" s="1069"/>
      <c r="H264" s="1069"/>
      <c r="I264" s="1069"/>
      <c r="J264" s="1224"/>
      <c r="CH264" s="1141">
        <v>3049189.673685018</v>
      </c>
      <c r="CI264" s="1061">
        <f t="shared" si="661"/>
        <v>91475.690210550529</v>
      </c>
      <c r="CJ264" s="888">
        <f t="shared" si="662"/>
        <v>3140665.3638955685</v>
      </c>
      <c r="CK264" s="1061">
        <f t="shared" si="663"/>
        <v>94219.960916867058</v>
      </c>
      <c r="CL264" s="1231">
        <f t="shared" si="664"/>
        <v>3234885.3248124355</v>
      </c>
      <c r="CM264" s="1076"/>
      <c r="CQ264" s="1069"/>
    </row>
    <row r="265" spans="5:95" ht="14.25" customHeight="1">
      <c r="E265" s="1224"/>
      <c r="G265" s="1069"/>
      <c r="H265" s="1069"/>
      <c r="I265" s="1069"/>
      <c r="J265" s="1224"/>
      <c r="CH265" s="1141">
        <v>3049189.673685018</v>
      </c>
      <c r="CI265" s="1061">
        <f t="shared" si="661"/>
        <v>91475.690210550529</v>
      </c>
      <c r="CJ265" s="888">
        <f t="shared" si="662"/>
        <v>3140665.3638955685</v>
      </c>
      <c r="CK265" s="1061">
        <f t="shared" si="663"/>
        <v>94219.960916867058</v>
      </c>
      <c r="CL265" s="1231">
        <f t="shared" si="664"/>
        <v>3234885.3248124355</v>
      </c>
      <c r="CM265" s="1076"/>
      <c r="CQ265" s="1069"/>
    </row>
    <row r="266" spans="5:95" ht="14.25" customHeight="1">
      <c r="E266" s="1224"/>
      <c r="G266" s="1069"/>
      <c r="H266" s="1069"/>
      <c r="I266" s="1069"/>
      <c r="J266" s="1224"/>
      <c r="CH266" s="1141">
        <v>3049189.673685018</v>
      </c>
      <c r="CI266" s="1061">
        <f t="shared" si="661"/>
        <v>91475.690210550529</v>
      </c>
      <c r="CJ266" s="888">
        <f t="shared" si="662"/>
        <v>3140665.3638955685</v>
      </c>
      <c r="CK266" s="1061">
        <f t="shared" si="663"/>
        <v>94219.960916867058</v>
      </c>
      <c r="CL266" s="1231">
        <f t="shared" si="664"/>
        <v>3234885.3248124355</v>
      </c>
      <c r="CM266" s="1076"/>
      <c r="CQ266" s="1069"/>
    </row>
    <row r="267" spans="5:95" ht="14.25" customHeight="1" thickBot="1">
      <c r="E267" s="1224"/>
      <c r="G267" s="1069"/>
      <c r="H267" s="1069"/>
      <c r="I267" s="1069"/>
      <c r="J267" s="1224"/>
      <c r="CH267" s="1232">
        <f>SUM(CH229:CH266)</f>
        <v>115292920.49194294</v>
      </c>
      <c r="CI267" s="1232">
        <f>SUM(CI229:CI266)</f>
        <v>3458787.614758289</v>
      </c>
      <c r="CJ267" s="1232">
        <f>SUM(CJ229:CJ266)</f>
        <v>118751708.10670121</v>
      </c>
      <c r="CK267" s="1232">
        <f>SUM(CK229:CK266)</f>
        <v>3562551.2432010369</v>
      </c>
      <c r="CL267" s="1232">
        <f>SUM(CL229:CL266)</f>
        <v>122314259.34990229</v>
      </c>
      <c r="CM267" s="1076"/>
      <c r="CQ267" s="1069"/>
    </row>
    <row r="268" spans="5:95" ht="14.25" customHeight="1">
      <c r="E268" s="1224"/>
      <c r="G268" s="1069"/>
      <c r="H268" s="1069"/>
      <c r="I268" s="1069"/>
      <c r="J268" s="1224"/>
      <c r="CM268" s="1076"/>
      <c r="CQ268" s="1069"/>
    </row>
    <row r="269" spans="5:95" ht="14.25" customHeight="1">
      <c r="E269" s="1224"/>
      <c r="G269" s="1069"/>
      <c r="H269" s="1069"/>
      <c r="I269" s="1069"/>
      <c r="J269" s="1224"/>
      <c r="CM269" s="1076"/>
      <c r="CQ269" s="1069"/>
    </row>
    <row r="270" spans="5:95" ht="14.25" customHeight="1">
      <c r="E270" s="1224"/>
      <c r="G270" s="1069"/>
      <c r="H270" s="1069"/>
      <c r="I270" s="1069"/>
      <c r="J270" s="1224"/>
      <c r="CM270" s="1076"/>
      <c r="CQ270" s="1069"/>
    </row>
    <row r="271" spans="5:95" ht="14.25" customHeight="1">
      <c r="E271" s="1224"/>
      <c r="G271" s="1069"/>
      <c r="H271" s="1069"/>
      <c r="I271" s="1069"/>
      <c r="J271" s="1224"/>
      <c r="CM271" s="1076"/>
      <c r="CQ271" s="1069"/>
    </row>
    <row r="272" spans="5:95" ht="14.25" customHeight="1">
      <c r="E272" s="1224"/>
      <c r="G272" s="1069"/>
      <c r="H272" s="1069"/>
      <c r="I272" s="1069"/>
      <c r="J272" s="1224"/>
      <c r="CM272" s="1076"/>
      <c r="CQ272" s="1069"/>
    </row>
    <row r="273" spans="5:95" ht="14.25" customHeight="1">
      <c r="E273" s="1224"/>
      <c r="G273" s="1069"/>
      <c r="H273" s="1069"/>
      <c r="I273" s="1069"/>
      <c r="J273" s="1224"/>
      <c r="CM273" s="1076"/>
      <c r="CQ273" s="1069"/>
    </row>
    <row r="274" spans="5:95" ht="14.25" customHeight="1">
      <c r="E274" s="1224"/>
      <c r="G274" s="1069"/>
      <c r="H274" s="1069"/>
      <c r="I274" s="1069"/>
      <c r="J274" s="1224"/>
      <c r="CM274" s="1076"/>
      <c r="CQ274" s="1069"/>
    </row>
    <row r="275" spans="5:95" ht="14.25" customHeight="1">
      <c r="E275" s="1224"/>
      <c r="G275" s="1069"/>
      <c r="H275" s="1069"/>
      <c r="I275" s="1069"/>
      <c r="J275" s="1224"/>
      <c r="CM275" s="1076"/>
      <c r="CQ275" s="1069"/>
    </row>
    <row r="276" spans="5:95" ht="14.25" customHeight="1">
      <c r="E276" s="1224"/>
      <c r="G276" s="1069"/>
      <c r="H276" s="1069"/>
      <c r="I276" s="1069"/>
      <c r="J276" s="1224"/>
      <c r="CM276" s="1076"/>
      <c r="CQ276" s="1069"/>
    </row>
    <row r="277" spans="5:95" ht="14.25" customHeight="1">
      <c r="E277" s="1224"/>
      <c r="G277" s="1069"/>
      <c r="H277" s="1069"/>
      <c r="I277" s="1069"/>
      <c r="J277" s="1224"/>
      <c r="CM277" s="1076"/>
      <c r="CQ277" s="1069"/>
    </row>
    <row r="278" spans="5:95" ht="14.25" customHeight="1">
      <c r="E278" s="1224"/>
      <c r="G278" s="1069"/>
      <c r="H278" s="1069"/>
      <c r="I278" s="1069"/>
      <c r="J278" s="1224"/>
      <c r="CM278" s="1076"/>
      <c r="CQ278" s="1069"/>
    </row>
    <row r="279" spans="5:95" ht="14.25" customHeight="1">
      <c r="E279" s="1224"/>
      <c r="G279" s="1069"/>
      <c r="H279" s="1069"/>
      <c r="I279" s="1069"/>
      <c r="J279" s="1224"/>
      <c r="CM279" s="1076"/>
      <c r="CQ279" s="1069"/>
    </row>
    <row r="280" spans="5:95" ht="14.25" customHeight="1">
      <c r="E280" s="1224"/>
      <c r="G280" s="1069"/>
      <c r="H280" s="1069"/>
      <c r="I280" s="1069"/>
      <c r="J280" s="1224"/>
      <c r="CM280" s="1076"/>
      <c r="CQ280" s="1069"/>
    </row>
    <row r="281" spans="5:95" ht="14.25" customHeight="1">
      <c r="E281" s="1224"/>
      <c r="G281" s="1069"/>
      <c r="H281" s="1069"/>
      <c r="I281" s="1069"/>
      <c r="J281" s="1224"/>
      <c r="CM281" s="1076"/>
      <c r="CQ281" s="1069"/>
    </row>
    <row r="282" spans="5:95" ht="14.25" customHeight="1">
      <c r="E282" s="1224"/>
      <c r="G282" s="1069"/>
      <c r="H282" s="1069"/>
      <c r="I282" s="1069"/>
      <c r="J282" s="1224"/>
      <c r="CM282" s="1076"/>
      <c r="CQ282" s="1069"/>
    </row>
    <row r="283" spans="5:95" ht="14.25" customHeight="1">
      <c r="E283" s="1224"/>
      <c r="G283" s="1069"/>
      <c r="H283" s="1069"/>
      <c r="I283" s="1069"/>
      <c r="J283" s="1224"/>
      <c r="CM283" s="1076"/>
      <c r="CQ283" s="1069"/>
    </row>
    <row r="284" spans="5:95" ht="14.25" customHeight="1">
      <c r="E284" s="1224"/>
      <c r="G284" s="1069"/>
      <c r="H284" s="1069"/>
      <c r="I284" s="1069"/>
      <c r="J284" s="1224"/>
      <c r="CM284" s="1076"/>
      <c r="CQ284" s="1069"/>
    </row>
    <row r="285" spans="5:95" ht="14.25" customHeight="1">
      <c r="E285" s="1224"/>
      <c r="G285" s="1069"/>
      <c r="H285" s="1069"/>
      <c r="I285" s="1069"/>
      <c r="J285" s="1224"/>
      <c r="CM285" s="1076"/>
      <c r="CQ285" s="1069"/>
    </row>
    <row r="286" spans="5:95" ht="14.25" customHeight="1">
      <c r="E286" s="1224"/>
      <c r="G286" s="1069"/>
      <c r="H286" s="1069"/>
      <c r="I286" s="1069"/>
      <c r="J286" s="1224"/>
      <c r="CM286" s="1076"/>
      <c r="CQ286" s="1069"/>
    </row>
    <row r="287" spans="5:95" ht="14.25" customHeight="1">
      <c r="E287" s="1224"/>
      <c r="G287" s="1069"/>
      <c r="H287" s="1069"/>
      <c r="I287" s="1069"/>
      <c r="J287" s="1224"/>
      <c r="CM287" s="1076"/>
      <c r="CQ287" s="1069"/>
    </row>
    <row r="288" spans="5:95" ht="14.25" customHeight="1">
      <c r="E288" s="1224"/>
      <c r="G288" s="1069"/>
      <c r="H288" s="1069"/>
      <c r="I288" s="1069"/>
      <c r="J288" s="1224"/>
      <c r="CM288" s="1076"/>
      <c r="CQ288" s="1069"/>
    </row>
    <row r="289" spans="7:95" ht="14.25" customHeight="1">
      <c r="G289" s="1069"/>
      <c r="H289" s="1069"/>
      <c r="I289" s="1069"/>
      <c r="CM289" s="1076"/>
      <c r="CQ289" s="1069"/>
    </row>
    <row r="290" spans="7:95" ht="14.25" customHeight="1">
      <c r="G290" s="1069"/>
      <c r="H290" s="1069"/>
      <c r="I290" s="1069"/>
      <c r="CM290" s="1076"/>
      <c r="CQ290" s="1069"/>
    </row>
    <row r="291" spans="7:95" ht="14.25" customHeight="1">
      <c r="G291" s="1069"/>
      <c r="H291" s="1069"/>
      <c r="I291" s="1069"/>
      <c r="CM291" s="1076"/>
      <c r="CQ291" s="1069"/>
    </row>
    <row r="292" spans="7:95" ht="14.25" customHeight="1">
      <c r="G292" s="1069"/>
      <c r="H292" s="1069"/>
      <c r="I292" s="1069"/>
      <c r="CM292" s="1076"/>
      <c r="CQ292" s="1069"/>
    </row>
    <row r="293" spans="7:95" ht="14.25" customHeight="1">
      <c r="G293" s="1069"/>
      <c r="H293" s="1069"/>
      <c r="I293" s="1069"/>
      <c r="CM293" s="1076"/>
      <c r="CQ293" s="1069"/>
    </row>
    <row r="294" spans="7:95" ht="14.25" customHeight="1">
      <c r="G294" s="1069"/>
      <c r="H294" s="1069"/>
      <c r="I294" s="1069"/>
      <c r="CM294" s="1076"/>
      <c r="CQ294" s="1069"/>
    </row>
    <row r="295" spans="7:95" ht="14.25" customHeight="1">
      <c r="G295" s="1069"/>
      <c r="H295" s="1069"/>
      <c r="I295" s="1069"/>
      <c r="CM295" s="1076"/>
      <c r="CQ295" s="1069"/>
    </row>
    <row r="296" spans="7:95" ht="14.25" customHeight="1">
      <c r="G296" s="1069"/>
      <c r="H296" s="1069"/>
      <c r="I296" s="1069"/>
      <c r="CM296" s="1076"/>
      <c r="CQ296" s="1069"/>
    </row>
    <row r="297" spans="7:95" ht="14.25" customHeight="1">
      <c r="G297" s="1069"/>
      <c r="H297" s="1069"/>
      <c r="I297" s="1069"/>
      <c r="CM297" s="1076"/>
      <c r="CQ297" s="1069"/>
    </row>
    <row r="298" spans="7:95" ht="14.25" customHeight="1">
      <c r="G298" s="1069"/>
      <c r="H298" s="1069"/>
      <c r="I298" s="1069"/>
      <c r="CM298" s="1076"/>
      <c r="CQ298" s="1069"/>
    </row>
    <row r="299" spans="7:95" ht="14.25" customHeight="1">
      <c r="G299" s="1069"/>
      <c r="H299" s="1069"/>
      <c r="I299" s="1069"/>
      <c r="CM299" s="1076"/>
      <c r="CQ299" s="1069"/>
    </row>
    <row r="300" spans="7:95" ht="14.25" customHeight="1">
      <c r="G300" s="1069"/>
      <c r="H300" s="1069"/>
      <c r="I300" s="1069"/>
      <c r="CM300" s="1076"/>
      <c r="CQ300" s="1069"/>
    </row>
    <row r="301" spans="7:95" ht="14.25" customHeight="1">
      <c r="G301" s="1069"/>
      <c r="H301" s="1069"/>
      <c r="I301" s="1069"/>
      <c r="CM301" s="1076"/>
      <c r="CQ301" s="1069"/>
    </row>
    <row r="302" spans="7:95" ht="14.25" customHeight="1">
      <c r="G302" s="1069"/>
      <c r="H302" s="1069"/>
      <c r="I302" s="1069"/>
      <c r="CM302" s="1076"/>
      <c r="CQ302" s="1069"/>
    </row>
    <row r="303" spans="7:95" ht="14.25" customHeight="1">
      <c r="G303" s="1069"/>
      <c r="H303" s="1069"/>
      <c r="I303" s="1069"/>
      <c r="CM303" s="1076"/>
      <c r="CQ303" s="1069"/>
    </row>
    <row r="304" spans="7:95" ht="14.25" customHeight="1">
      <c r="G304" s="1069"/>
      <c r="H304" s="1069"/>
      <c r="I304" s="1069"/>
      <c r="CM304" s="1076"/>
      <c r="CQ304" s="1069"/>
    </row>
    <row r="305" spans="7:95" ht="14.25" customHeight="1">
      <c r="G305" s="1069"/>
      <c r="H305" s="1069"/>
      <c r="I305" s="1069"/>
      <c r="CM305" s="1076"/>
      <c r="CQ305" s="1069"/>
    </row>
    <row r="306" spans="7:95" ht="14.25" customHeight="1">
      <c r="G306" s="1069"/>
      <c r="H306" s="1069"/>
      <c r="I306" s="1069"/>
      <c r="CM306" s="1076"/>
      <c r="CQ306" s="1069"/>
    </row>
    <row r="307" spans="7:95" ht="14.25" customHeight="1">
      <c r="G307" s="1069"/>
      <c r="H307" s="1069"/>
      <c r="I307" s="1069"/>
      <c r="CM307" s="1076"/>
      <c r="CQ307" s="1069"/>
    </row>
    <row r="308" spans="7:95" ht="14.25" customHeight="1">
      <c r="G308" s="1069"/>
      <c r="H308" s="1069"/>
      <c r="I308" s="1069"/>
      <c r="CM308" s="1076"/>
      <c r="CQ308" s="1069"/>
    </row>
    <row r="309" spans="7:95" ht="14.25" customHeight="1">
      <c r="G309" s="1069"/>
      <c r="H309" s="1069"/>
      <c r="I309" s="1069"/>
      <c r="CM309" s="1076"/>
      <c r="CQ309" s="1069"/>
    </row>
    <row r="310" spans="7:95" ht="14.25" customHeight="1">
      <c r="G310" s="1069"/>
      <c r="H310" s="1069"/>
      <c r="I310" s="1069"/>
      <c r="CM310" s="1076"/>
      <c r="CQ310" s="1069"/>
    </row>
    <row r="311" spans="7:95" ht="14.25" customHeight="1">
      <c r="G311" s="1069"/>
      <c r="H311" s="1069"/>
      <c r="I311" s="1069"/>
      <c r="CM311" s="1076"/>
      <c r="CQ311" s="1069"/>
    </row>
    <row r="312" spans="7:95" ht="14.25" customHeight="1">
      <c r="G312" s="1069"/>
      <c r="H312" s="1069"/>
      <c r="I312" s="1069"/>
      <c r="CM312" s="1076"/>
      <c r="CQ312" s="1069"/>
    </row>
    <row r="313" spans="7:95" ht="14.25" customHeight="1">
      <c r="G313" s="1069"/>
      <c r="H313" s="1069"/>
      <c r="I313" s="1069"/>
      <c r="CM313" s="1076"/>
      <c r="CQ313" s="1069"/>
    </row>
    <row r="314" spans="7:95" ht="14.25" customHeight="1">
      <c r="G314" s="1069"/>
      <c r="H314" s="1069"/>
      <c r="I314" s="1069"/>
      <c r="CM314" s="1076"/>
      <c r="CQ314" s="1069"/>
    </row>
    <row r="315" spans="7:95" ht="14.25" customHeight="1">
      <c r="G315" s="1069"/>
      <c r="H315" s="1069"/>
      <c r="I315" s="1069"/>
      <c r="CM315" s="1076"/>
      <c r="CQ315" s="1069"/>
    </row>
    <row r="316" spans="7:95" ht="14.25" customHeight="1">
      <c r="G316" s="1069"/>
      <c r="H316" s="1069"/>
      <c r="I316" s="1069"/>
      <c r="CM316" s="1076"/>
      <c r="CQ316" s="1069"/>
    </row>
    <row r="317" spans="7:95" ht="14.25" customHeight="1">
      <c r="G317" s="1069"/>
      <c r="H317" s="1069"/>
      <c r="I317" s="1069"/>
      <c r="CM317" s="1076"/>
      <c r="CQ317" s="1069"/>
    </row>
    <row r="318" spans="7:95" ht="14.25" customHeight="1">
      <c r="G318" s="1069"/>
      <c r="H318" s="1069"/>
      <c r="I318" s="1069"/>
      <c r="CM318" s="1076"/>
      <c r="CQ318" s="1069"/>
    </row>
    <row r="319" spans="7:95" ht="14.25" customHeight="1">
      <c r="G319" s="1069"/>
      <c r="H319" s="1069"/>
      <c r="I319" s="1069"/>
      <c r="CM319" s="1076"/>
      <c r="CQ319" s="1069"/>
    </row>
    <row r="320" spans="7:95" ht="14.25" customHeight="1">
      <c r="G320" s="1069"/>
      <c r="H320" s="1069"/>
      <c r="I320" s="1069"/>
      <c r="CM320" s="1076"/>
      <c r="CQ320" s="1069"/>
    </row>
    <row r="321" spans="7:95" ht="14.25" customHeight="1">
      <c r="G321" s="1069"/>
      <c r="H321" s="1069"/>
      <c r="I321" s="1069"/>
      <c r="CM321" s="1076"/>
      <c r="CQ321" s="1069"/>
    </row>
    <row r="322" spans="7:95" ht="14.25" customHeight="1">
      <c r="G322" s="1069"/>
      <c r="H322" s="1069"/>
      <c r="I322" s="1069"/>
      <c r="CM322" s="1076"/>
      <c r="CQ322" s="1069"/>
    </row>
    <row r="323" spans="7:95" ht="14.25" customHeight="1">
      <c r="G323" s="1069"/>
      <c r="H323" s="1069"/>
      <c r="I323" s="1069"/>
      <c r="CM323" s="1076"/>
      <c r="CQ323" s="1069"/>
    </row>
    <row r="324" spans="7:95" ht="14.25" customHeight="1">
      <c r="G324" s="1069"/>
      <c r="H324" s="1069"/>
      <c r="I324" s="1069"/>
      <c r="CM324" s="1076"/>
      <c r="CQ324" s="1069"/>
    </row>
    <row r="325" spans="7:95" ht="14.25" customHeight="1">
      <c r="G325" s="1069"/>
      <c r="H325" s="1069"/>
      <c r="I325" s="1069"/>
      <c r="CM325" s="1076"/>
      <c r="CQ325" s="1069"/>
    </row>
    <row r="326" spans="7:95" ht="14.25" customHeight="1">
      <c r="G326" s="1069"/>
      <c r="H326" s="1069"/>
      <c r="I326" s="1069"/>
      <c r="CM326" s="1076"/>
      <c r="CQ326" s="1069"/>
    </row>
    <row r="327" spans="7:95" ht="14.25" customHeight="1">
      <c r="G327" s="1069"/>
      <c r="H327" s="1069"/>
      <c r="I327" s="1069"/>
      <c r="CM327" s="1076"/>
      <c r="CQ327" s="1069"/>
    </row>
    <row r="328" spans="7:95" ht="14.25" customHeight="1">
      <c r="G328" s="1069"/>
      <c r="H328" s="1069"/>
      <c r="I328" s="1069"/>
      <c r="CM328" s="1076"/>
      <c r="CQ328" s="1069"/>
    </row>
    <row r="329" spans="7:95" ht="14.25" customHeight="1">
      <c r="G329" s="1069"/>
      <c r="H329" s="1069"/>
      <c r="I329" s="1069"/>
      <c r="CM329" s="1076"/>
      <c r="CQ329" s="1069"/>
    </row>
    <row r="330" spans="7:95" ht="14.25" customHeight="1">
      <c r="G330" s="1069"/>
      <c r="H330" s="1069"/>
      <c r="I330" s="1069"/>
      <c r="CM330" s="1076"/>
      <c r="CQ330" s="1069"/>
    </row>
    <row r="331" spans="7:95" ht="14.25" customHeight="1">
      <c r="G331" s="1069"/>
      <c r="H331" s="1069"/>
      <c r="I331" s="1069"/>
      <c r="CM331" s="1076"/>
      <c r="CQ331" s="1069"/>
    </row>
    <row r="332" spans="7:95" ht="14.25" customHeight="1">
      <c r="G332" s="1069"/>
      <c r="H332" s="1069"/>
      <c r="I332" s="1069"/>
      <c r="CM332" s="1076"/>
      <c r="CQ332" s="1069"/>
    </row>
    <row r="333" spans="7:95" ht="14.25" customHeight="1">
      <c r="G333" s="1069"/>
      <c r="H333" s="1069"/>
      <c r="I333" s="1069"/>
      <c r="CM333" s="1076"/>
      <c r="CQ333" s="1069"/>
    </row>
    <row r="334" spans="7:95" ht="14.25" customHeight="1">
      <c r="G334" s="1069"/>
      <c r="H334" s="1069"/>
      <c r="I334" s="1069"/>
      <c r="CM334" s="1076"/>
      <c r="CQ334" s="1069"/>
    </row>
    <row r="335" spans="7:95" ht="14.25" customHeight="1">
      <c r="G335" s="1069"/>
      <c r="H335" s="1069"/>
      <c r="I335" s="1069"/>
      <c r="CM335" s="1076"/>
      <c r="CQ335" s="1069"/>
    </row>
    <row r="336" spans="7:95" ht="14.25" customHeight="1">
      <c r="G336" s="1069"/>
      <c r="H336" s="1069"/>
      <c r="I336" s="1069"/>
      <c r="CM336" s="1076"/>
      <c r="CQ336" s="1069"/>
    </row>
    <row r="337" spans="7:95" ht="14.25" customHeight="1">
      <c r="G337" s="1069"/>
      <c r="H337" s="1069"/>
      <c r="I337" s="1069"/>
      <c r="CM337" s="1076"/>
      <c r="CQ337" s="1069"/>
    </row>
    <row r="338" spans="7:95" ht="14.25" customHeight="1">
      <c r="G338" s="1069"/>
      <c r="H338" s="1069"/>
      <c r="I338" s="1069"/>
      <c r="CM338" s="1076"/>
      <c r="CQ338" s="1069"/>
    </row>
    <row r="339" spans="7:95" ht="14.25" customHeight="1">
      <c r="G339" s="1069"/>
      <c r="H339" s="1069"/>
      <c r="I339" s="1069"/>
      <c r="CM339" s="1076"/>
      <c r="CQ339" s="1069"/>
    </row>
    <row r="340" spans="7:95" ht="14.25" customHeight="1">
      <c r="G340" s="1069"/>
      <c r="H340" s="1069"/>
      <c r="I340" s="1069"/>
      <c r="CM340" s="1076"/>
      <c r="CQ340" s="1069"/>
    </row>
    <row r="341" spans="7:95" ht="14.25" customHeight="1">
      <c r="G341" s="1069"/>
      <c r="H341" s="1069"/>
      <c r="I341" s="1069"/>
      <c r="CM341" s="1076"/>
      <c r="CQ341" s="1069"/>
    </row>
    <row r="342" spans="7:95" ht="14.25" customHeight="1">
      <c r="G342" s="1069"/>
      <c r="H342" s="1069"/>
      <c r="I342" s="1069"/>
      <c r="CM342" s="1076"/>
      <c r="CQ342" s="1069"/>
    </row>
    <row r="343" spans="7:95" ht="14.25" customHeight="1">
      <c r="G343" s="1069"/>
      <c r="H343" s="1069"/>
      <c r="I343" s="1069"/>
      <c r="CM343" s="1076"/>
      <c r="CQ343" s="1069"/>
    </row>
    <row r="344" spans="7:95" ht="14.25" customHeight="1">
      <c r="G344" s="1069"/>
      <c r="H344" s="1069"/>
      <c r="I344" s="1069"/>
      <c r="CM344" s="1076"/>
      <c r="CQ344" s="1069"/>
    </row>
    <row r="345" spans="7:95" ht="14.25" customHeight="1">
      <c r="G345" s="1069"/>
      <c r="H345" s="1069"/>
      <c r="I345" s="1069"/>
      <c r="CM345" s="1076"/>
      <c r="CQ345" s="1069"/>
    </row>
    <row r="346" spans="7:95" ht="14.25" customHeight="1">
      <c r="G346" s="1069"/>
      <c r="H346" s="1069"/>
      <c r="I346" s="1069"/>
      <c r="CM346" s="1076"/>
      <c r="CQ346" s="1069"/>
    </row>
    <row r="347" spans="7:95" ht="14.25" customHeight="1">
      <c r="G347" s="1069"/>
      <c r="H347" s="1069"/>
      <c r="I347" s="1069"/>
      <c r="CM347" s="1076"/>
      <c r="CQ347" s="1069"/>
    </row>
    <row r="348" spans="7:95" ht="14.25" customHeight="1">
      <c r="G348" s="1069"/>
      <c r="H348" s="1069"/>
      <c r="I348" s="1069"/>
      <c r="CM348" s="1076"/>
      <c r="CQ348" s="1069"/>
    </row>
    <row r="349" spans="7:95" ht="14.25" customHeight="1">
      <c r="G349" s="1069"/>
      <c r="H349" s="1069"/>
      <c r="I349" s="1069"/>
      <c r="CM349" s="1076"/>
      <c r="CQ349" s="1069"/>
    </row>
    <row r="350" spans="7:95" ht="14.25" customHeight="1">
      <c r="G350" s="1069"/>
      <c r="H350" s="1069"/>
      <c r="I350" s="1069"/>
      <c r="CM350" s="1076"/>
      <c r="CQ350" s="1069"/>
    </row>
    <row r="351" spans="7:95" ht="14.25" customHeight="1">
      <c r="G351" s="1069"/>
      <c r="H351" s="1069"/>
      <c r="I351" s="1069"/>
      <c r="CM351" s="1076"/>
      <c r="CQ351" s="1069"/>
    </row>
    <row r="352" spans="7:95" ht="14.25" customHeight="1">
      <c r="G352" s="1069"/>
      <c r="H352" s="1069"/>
      <c r="I352" s="1069"/>
      <c r="CM352" s="1076"/>
      <c r="CQ352" s="1069"/>
    </row>
    <row r="353" spans="7:95" ht="14.25" customHeight="1">
      <c r="G353" s="1069"/>
      <c r="H353" s="1069"/>
      <c r="I353" s="1069"/>
      <c r="CM353" s="1076"/>
      <c r="CQ353" s="1069"/>
    </row>
    <row r="354" spans="7:95" ht="14.25" customHeight="1">
      <c r="G354" s="1069"/>
      <c r="H354" s="1069"/>
      <c r="I354" s="1069"/>
      <c r="CM354" s="1076"/>
      <c r="CQ354" s="1069"/>
    </row>
    <row r="355" spans="7:95" ht="14.25" customHeight="1">
      <c r="G355" s="1069"/>
      <c r="H355" s="1069"/>
      <c r="I355" s="1069"/>
      <c r="CM355" s="1076"/>
      <c r="CQ355" s="1069"/>
    </row>
    <row r="356" spans="7:95" ht="14.25" customHeight="1">
      <c r="G356" s="1069"/>
      <c r="H356" s="1069"/>
      <c r="I356" s="1069"/>
      <c r="CM356" s="1076"/>
      <c r="CQ356" s="1069"/>
    </row>
    <row r="357" spans="7:95" ht="14.25" customHeight="1">
      <c r="G357" s="1069"/>
      <c r="H357" s="1069"/>
      <c r="I357" s="1069"/>
      <c r="CM357" s="1076"/>
      <c r="CQ357" s="1069"/>
    </row>
    <row r="358" spans="7:95" ht="14.25" customHeight="1">
      <c r="G358" s="1069"/>
      <c r="H358" s="1069"/>
      <c r="I358" s="1069"/>
      <c r="CM358" s="1076"/>
      <c r="CQ358" s="1069"/>
    </row>
    <row r="359" spans="7:95" ht="14.25" customHeight="1">
      <c r="G359" s="1069"/>
      <c r="H359" s="1069"/>
      <c r="I359" s="1069"/>
      <c r="CM359" s="1076"/>
      <c r="CQ359" s="1069"/>
    </row>
    <row r="360" spans="7:95" ht="14.25" customHeight="1">
      <c r="G360" s="1069"/>
      <c r="H360" s="1069"/>
      <c r="I360" s="1069"/>
      <c r="CM360" s="1076"/>
      <c r="CQ360" s="1069"/>
    </row>
    <row r="361" spans="7:95" ht="14.25" customHeight="1">
      <c r="G361" s="1069"/>
      <c r="H361" s="1069"/>
      <c r="I361" s="1069"/>
      <c r="CM361" s="1076"/>
      <c r="CQ361" s="1069"/>
    </row>
    <row r="362" spans="7:95" ht="14.25" customHeight="1">
      <c r="G362" s="1069"/>
      <c r="H362" s="1069"/>
      <c r="I362" s="1069"/>
      <c r="CM362" s="1076"/>
      <c r="CQ362" s="1069"/>
    </row>
    <row r="363" spans="7:95" ht="14.25" customHeight="1">
      <c r="G363" s="1069"/>
      <c r="H363" s="1069"/>
      <c r="I363" s="1069"/>
      <c r="CM363" s="1076"/>
      <c r="CQ363" s="1069"/>
    </row>
    <row r="364" spans="7:95" ht="14.25" customHeight="1">
      <c r="G364" s="1069"/>
      <c r="H364" s="1069"/>
      <c r="I364" s="1069"/>
      <c r="CM364" s="1076"/>
      <c r="CQ364" s="1069"/>
    </row>
    <row r="365" spans="7:95" ht="14.25" customHeight="1">
      <c r="G365" s="1069"/>
      <c r="H365" s="1069"/>
      <c r="I365" s="1069"/>
      <c r="CM365" s="1076"/>
      <c r="CQ365" s="1069"/>
    </row>
    <row r="366" spans="7:95" ht="14.25" customHeight="1">
      <c r="G366" s="1069"/>
      <c r="H366" s="1069"/>
      <c r="I366" s="1069"/>
      <c r="CM366" s="1076"/>
      <c r="CQ366" s="1069"/>
    </row>
    <row r="367" spans="7:95" ht="14.25" customHeight="1">
      <c r="G367" s="1069"/>
      <c r="H367" s="1069"/>
      <c r="I367" s="1069"/>
      <c r="CM367" s="1076"/>
      <c r="CQ367" s="1069"/>
    </row>
    <row r="368" spans="7:95" ht="14.25" customHeight="1">
      <c r="G368" s="1069"/>
      <c r="H368" s="1069"/>
      <c r="I368" s="1069"/>
      <c r="CM368" s="1076"/>
      <c r="CQ368" s="1069"/>
    </row>
    <row r="369" spans="7:95" ht="14.25" customHeight="1">
      <c r="G369" s="1069"/>
      <c r="H369" s="1069"/>
      <c r="I369" s="1069"/>
      <c r="CM369" s="1076"/>
      <c r="CQ369" s="1069"/>
    </row>
    <row r="370" spans="7:95" ht="14.25" customHeight="1">
      <c r="G370" s="1069"/>
      <c r="H370" s="1069"/>
      <c r="I370" s="1069"/>
      <c r="CM370" s="1076"/>
      <c r="CQ370" s="1069"/>
    </row>
    <row r="371" spans="7:95" ht="14.25" customHeight="1">
      <c r="G371" s="1069"/>
      <c r="H371" s="1069"/>
      <c r="I371" s="1069"/>
      <c r="CM371" s="1076"/>
      <c r="CQ371" s="1069"/>
    </row>
    <row r="372" spans="7:95" ht="14.25" customHeight="1">
      <c r="G372" s="1069"/>
      <c r="H372" s="1069"/>
      <c r="I372" s="1069"/>
      <c r="CM372" s="1076"/>
      <c r="CQ372" s="1069"/>
    </row>
    <row r="373" spans="7:95" ht="14.25" customHeight="1">
      <c r="G373" s="1069"/>
      <c r="H373" s="1069"/>
      <c r="I373" s="1069"/>
      <c r="CM373" s="1076"/>
      <c r="CQ373" s="1069"/>
    </row>
    <row r="374" spans="7:95" ht="14.25" customHeight="1">
      <c r="G374" s="1069"/>
      <c r="H374" s="1069"/>
      <c r="I374" s="1069"/>
      <c r="CM374" s="1076"/>
      <c r="CQ374" s="1069"/>
    </row>
    <row r="375" spans="7:95" ht="14.25" customHeight="1">
      <c r="G375" s="1069"/>
      <c r="H375" s="1069"/>
      <c r="I375" s="1069"/>
      <c r="CM375" s="1076"/>
      <c r="CQ375" s="1069"/>
    </row>
    <row r="376" spans="7:95" ht="14.25" customHeight="1">
      <c r="G376" s="1069"/>
      <c r="H376" s="1069"/>
      <c r="I376" s="1069"/>
      <c r="CM376" s="1076"/>
      <c r="CQ376" s="1069"/>
    </row>
    <row r="377" spans="7:95" ht="14.25" customHeight="1">
      <c r="G377" s="1069"/>
      <c r="H377" s="1069"/>
      <c r="I377" s="1069"/>
      <c r="CM377" s="1076"/>
      <c r="CQ377" s="1069"/>
    </row>
    <row r="378" spans="7:95" ht="14.25" customHeight="1">
      <c r="G378" s="1069"/>
      <c r="H378" s="1069"/>
      <c r="I378" s="1069"/>
      <c r="CM378" s="1076"/>
      <c r="CQ378" s="1069"/>
    </row>
    <row r="379" spans="7:95" ht="14.25" customHeight="1">
      <c r="G379" s="1069"/>
      <c r="H379" s="1069"/>
      <c r="I379" s="1069"/>
      <c r="CM379" s="1076"/>
      <c r="CQ379" s="1069"/>
    </row>
    <row r="380" spans="7:95" ht="14.25" customHeight="1">
      <c r="G380" s="1069"/>
      <c r="H380" s="1069"/>
      <c r="I380" s="1069"/>
      <c r="CM380" s="1076"/>
      <c r="CQ380" s="1069"/>
    </row>
    <row r="381" spans="7:95" ht="14.25" customHeight="1">
      <c r="G381" s="1069"/>
      <c r="H381" s="1069"/>
      <c r="I381" s="1069"/>
      <c r="CM381" s="1076"/>
      <c r="CQ381" s="1069"/>
    </row>
    <row r="382" spans="7:95" ht="14.25" customHeight="1">
      <c r="G382" s="1069"/>
      <c r="H382" s="1069"/>
      <c r="I382" s="1069"/>
      <c r="CM382" s="1076"/>
      <c r="CQ382" s="1069"/>
    </row>
    <row r="383" spans="7:95" ht="14.25" customHeight="1">
      <c r="G383" s="1069"/>
      <c r="H383" s="1069"/>
      <c r="I383" s="1069"/>
      <c r="CM383" s="1076"/>
      <c r="CQ383" s="1069"/>
    </row>
    <row r="384" spans="7:95" ht="14.25" customHeight="1">
      <c r="G384" s="1069"/>
      <c r="H384" s="1069"/>
      <c r="I384" s="1069"/>
      <c r="CM384" s="1076"/>
      <c r="CQ384" s="1069"/>
    </row>
    <row r="385" spans="7:95" ht="14.25" customHeight="1">
      <c r="G385" s="1069"/>
      <c r="H385" s="1069"/>
      <c r="I385" s="1069"/>
      <c r="CM385" s="1076"/>
      <c r="CQ385" s="1069"/>
    </row>
    <row r="386" spans="7:95" ht="14.25" customHeight="1">
      <c r="G386" s="1069"/>
      <c r="H386" s="1069"/>
      <c r="I386" s="1069"/>
      <c r="CM386" s="1076"/>
      <c r="CQ386" s="1069"/>
    </row>
    <row r="387" spans="7:95" ht="14.25" customHeight="1">
      <c r="G387" s="1069"/>
      <c r="H387" s="1069"/>
      <c r="I387" s="1069"/>
      <c r="CM387" s="1076"/>
      <c r="CQ387" s="1069"/>
    </row>
    <row r="388" spans="7:95" ht="14.25" customHeight="1">
      <c r="G388" s="1069"/>
      <c r="H388" s="1069"/>
      <c r="I388" s="1069"/>
      <c r="CM388" s="1076"/>
      <c r="CQ388" s="1069"/>
    </row>
    <row r="389" spans="7:95" ht="14.25" customHeight="1">
      <c r="G389" s="1069"/>
      <c r="H389" s="1069"/>
      <c r="I389" s="1069"/>
      <c r="CM389" s="1076"/>
      <c r="CQ389" s="1069"/>
    </row>
    <row r="390" spans="7:95" ht="14.25" customHeight="1">
      <c r="G390" s="1069"/>
      <c r="H390" s="1069"/>
      <c r="I390" s="1069"/>
      <c r="CM390" s="1076"/>
      <c r="CQ390" s="1069"/>
    </row>
    <row r="391" spans="7:95" ht="14.25" customHeight="1">
      <c r="G391" s="1069"/>
      <c r="H391" s="1069"/>
      <c r="I391" s="1069"/>
      <c r="CM391" s="1076"/>
      <c r="CQ391" s="1069"/>
    </row>
    <row r="392" spans="7:95" ht="14.25" customHeight="1">
      <c r="G392" s="1069"/>
      <c r="H392" s="1069"/>
      <c r="I392" s="1069"/>
      <c r="CM392" s="1076"/>
      <c r="CQ392" s="1069"/>
    </row>
    <row r="393" spans="7:95" ht="14.25" customHeight="1">
      <c r="G393" s="1069"/>
      <c r="H393" s="1069"/>
      <c r="I393" s="1069"/>
      <c r="CM393" s="1076"/>
      <c r="CQ393" s="1069"/>
    </row>
    <row r="394" spans="7:95" ht="14.25" customHeight="1">
      <c r="G394" s="1069"/>
      <c r="H394" s="1069"/>
      <c r="I394" s="1069"/>
      <c r="CM394" s="1076"/>
      <c r="CQ394" s="1069"/>
    </row>
    <row r="395" spans="7:95" ht="14.25" customHeight="1">
      <c r="G395" s="1069"/>
      <c r="H395" s="1069"/>
      <c r="I395" s="1069"/>
      <c r="CM395" s="1076"/>
      <c r="CQ395" s="1069"/>
    </row>
    <row r="396" spans="7:95" ht="14.25" customHeight="1">
      <c r="G396" s="1069"/>
      <c r="H396" s="1069"/>
      <c r="I396" s="1069"/>
      <c r="CM396" s="1076"/>
      <c r="CQ396" s="1069"/>
    </row>
    <row r="397" spans="7:95" ht="14.25" customHeight="1">
      <c r="G397" s="1069"/>
      <c r="H397" s="1069"/>
      <c r="I397" s="1069"/>
      <c r="CM397" s="1076"/>
      <c r="CQ397" s="1069"/>
    </row>
    <row r="398" spans="7:95" ht="14.25" customHeight="1">
      <c r="G398" s="1069"/>
      <c r="H398" s="1069"/>
      <c r="I398" s="1069"/>
      <c r="CM398" s="1076"/>
      <c r="CQ398" s="1069"/>
    </row>
    <row r="399" spans="7:95" ht="14.25" customHeight="1">
      <c r="G399" s="1069"/>
      <c r="H399" s="1069"/>
      <c r="I399" s="1069"/>
      <c r="CM399" s="1076"/>
      <c r="CQ399" s="1069"/>
    </row>
    <row r="400" spans="7:95" ht="14.25" customHeight="1">
      <c r="G400" s="1069"/>
      <c r="H400" s="1069"/>
      <c r="I400" s="1069"/>
      <c r="CM400" s="1076"/>
      <c r="CQ400" s="1069"/>
    </row>
    <row r="401" spans="7:95" ht="14.25" customHeight="1">
      <c r="G401" s="1069"/>
      <c r="H401" s="1069"/>
      <c r="I401" s="1069"/>
      <c r="CM401" s="1076"/>
      <c r="CQ401" s="1069"/>
    </row>
    <row r="402" spans="7:95" ht="14.25" customHeight="1">
      <c r="G402" s="1069"/>
      <c r="H402" s="1069"/>
      <c r="I402" s="1069"/>
      <c r="CM402" s="1076"/>
      <c r="CQ402" s="1069"/>
    </row>
    <row r="403" spans="7:95" ht="14.25" customHeight="1">
      <c r="G403" s="1069"/>
      <c r="H403" s="1069"/>
      <c r="I403" s="1069"/>
      <c r="CM403" s="1076"/>
      <c r="CQ403" s="1069"/>
    </row>
    <row r="404" spans="7:95" ht="14.25" customHeight="1">
      <c r="G404" s="1069"/>
      <c r="H404" s="1069"/>
      <c r="I404" s="1069"/>
      <c r="CM404" s="1076"/>
      <c r="CQ404" s="1069"/>
    </row>
    <row r="405" spans="7:95" ht="14.25" customHeight="1">
      <c r="G405" s="1069"/>
      <c r="H405" s="1069"/>
      <c r="I405" s="1069"/>
      <c r="CM405" s="1076"/>
      <c r="CQ405" s="1069"/>
    </row>
    <row r="406" spans="7:95" ht="14.25" customHeight="1">
      <c r="G406" s="1069"/>
      <c r="H406" s="1069"/>
      <c r="I406" s="1069"/>
      <c r="CM406" s="1076"/>
      <c r="CQ406" s="1069"/>
    </row>
    <row r="407" spans="7:95" ht="14.25" customHeight="1">
      <c r="G407" s="1069"/>
      <c r="H407" s="1069"/>
      <c r="I407" s="1069"/>
      <c r="CM407" s="1076"/>
      <c r="CQ407" s="1069"/>
    </row>
    <row r="408" spans="7:95" ht="14.25" customHeight="1">
      <c r="G408" s="1069"/>
      <c r="H408" s="1069"/>
      <c r="I408" s="1069"/>
      <c r="CM408" s="1076"/>
      <c r="CQ408" s="1069"/>
    </row>
    <row r="409" spans="7:95" ht="14.25" customHeight="1">
      <c r="G409" s="1069"/>
      <c r="H409" s="1069"/>
      <c r="I409" s="1069"/>
      <c r="CM409" s="1076"/>
      <c r="CQ409" s="1069"/>
    </row>
    <row r="410" spans="7:95" ht="14.25" customHeight="1">
      <c r="G410" s="1069"/>
      <c r="H410" s="1069"/>
      <c r="I410" s="1069"/>
      <c r="CM410" s="1076"/>
      <c r="CQ410" s="1069"/>
    </row>
    <row r="411" spans="7:95" ht="14.25" customHeight="1">
      <c r="G411" s="1069"/>
      <c r="H411" s="1069"/>
      <c r="I411" s="1069"/>
      <c r="CM411" s="1076"/>
      <c r="CQ411" s="1069"/>
    </row>
    <row r="412" spans="7:95" ht="14.25" customHeight="1">
      <c r="G412" s="1069"/>
      <c r="H412" s="1069"/>
      <c r="I412" s="1069"/>
      <c r="CM412" s="1076"/>
      <c r="CQ412" s="1069"/>
    </row>
    <row r="413" spans="7:95" ht="14.25" customHeight="1">
      <c r="G413" s="1069"/>
      <c r="H413" s="1069"/>
      <c r="I413" s="1069"/>
      <c r="CM413" s="1076"/>
      <c r="CQ413" s="1069"/>
    </row>
    <row r="414" spans="7:95" ht="14.25" customHeight="1">
      <c r="G414" s="1069"/>
      <c r="H414" s="1069"/>
      <c r="I414" s="1069"/>
      <c r="CM414" s="1076"/>
      <c r="CQ414" s="1069"/>
    </row>
    <row r="415" spans="7:95" ht="14.25" customHeight="1">
      <c r="G415" s="1069"/>
      <c r="H415" s="1069"/>
      <c r="I415" s="1069"/>
      <c r="CM415" s="1076"/>
      <c r="CQ415" s="1069"/>
    </row>
    <row r="416" spans="7:95" ht="14.25" customHeight="1">
      <c r="G416" s="1069"/>
      <c r="H416" s="1069"/>
      <c r="I416" s="1069"/>
      <c r="CM416" s="1076"/>
      <c r="CQ416" s="1069"/>
    </row>
    <row r="417" spans="7:95" ht="14.25" customHeight="1">
      <c r="G417" s="1069"/>
      <c r="H417" s="1069"/>
      <c r="I417" s="1069"/>
      <c r="CM417" s="1076"/>
      <c r="CQ417" s="1069"/>
    </row>
    <row r="418" spans="7:95" ht="14.25" customHeight="1">
      <c r="G418" s="1069"/>
      <c r="H418" s="1069"/>
      <c r="I418" s="1069"/>
      <c r="CM418" s="1076"/>
      <c r="CQ418" s="1069"/>
    </row>
    <row r="419" spans="7:95" ht="14.25" customHeight="1">
      <c r="G419" s="1069"/>
      <c r="H419" s="1069"/>
      <c r="I419" s="1069"/>
      <c r="CM419" s="1076"/>
      <c r="CQ419" s="1069"/>
    </row>
    <row r="420" spans="7:95" ht="14.25" customHeight="1">
      <c r="G420" s="1069"/>
      <c r="H420" s="1069"/>
      <c r="I420" s="1069"/>
      <c r="CM420" s="1076"/>
      <c r="CQ420" s="1069"/>
    </row>
    <row r="421" spans="7:95" ht="14.25" customHeight="1">
      <c r="G421" s="1069"/>
      <c r="H421" s="1069"/>
      <c r="I421" s="1069"/>
      <c r="CM421" s="1076"/>
      <c r="CQ421" s="1069"/>
    </row>
    <row r="422" spans="7:95" ht="14.25" customHeight="1">
      <c r="G422" s="1069"/>
      <c r="H422" s="1069"/>
      <c r="I422" s="1069"/>
      <c r="CM422" s="1076"/>
      <c r="CQ422" s="1069"/>
    </row>
    <row r="423" spans="7:95" ht="14.25" customHeight="1">
      <c r="G423" s="1069"/>
      <c r="H423" s="1069"/>
      <c r="I423" s="1069"/>
      <c r="CM423" s="1076"/>
      <c r="CQ423" s="1069"/>
    </row>
    <row r="424" spans="7:95" ht="14.25" customHeight="1">
      <c r="G424" s="1069"/>
      <c r="H424" s="1069"/>
      <c r="I424" s="1069"/>
      <c r="CM424" s="1076"/>
      <c r="CQ424" s="1069"/>
    </row>
    <row r="425" spans="7:95" ht="14.25" customHeight="1">
      <c r="G425" s="1069"/>
      <c r="H425" s="1069"/>
      <c r="I425" s="1069"/>
      <c r="CM425" s="1076"/>
      <c r="CQ425" s="1069"/>
    </row>
    <row r="426" spans="7:95" ht="14.25" customHeight="1">
      <c r="G426" s="1069"/>
      <c r="H426" s="1069"/>
      <c r="I426" s="1069"/>
      <c r="CM426" s="1076"/>
      <c r="CQ426" s="1069"/>
    </row>
    <row r="427" spans="7:95" ht="14.25" customHeight="1">
      <c r="G427" s="1069"/>
      <c r="H427" s="1069"/>
      <c r="I427" s="1069"/>
      <c r="CM427" s="1076"/>
      <c r="CQ427" s="1069"/>
    </row>
    <row r="428" spans="7:95" ht="14.25" customHeight="1">
      <c r="G428" s="1069"/>
      <c r="H428" s="1069"/>
      <c r="I428" s="1069"/>
      <c r="CM428" s="1076"/>
      <c r="CQ428" s="1069"/>
    </row>
    <row r="429" spans="7:95" ht="14.25" customHeight="1">
      <c r="G429" s="1069"/>
      <c r="H429" s="1069"/>
      <c r="I429" s="1069"/>
      <c r="CM429" s="1076"/>
      <c r="CQ429" s="1069"/>
    </row>
    <row r="430" spans="7:95" ht="14.25" customHeight="1">
      <c r="G430" s="1069"/>
      <c r="H430" s="1069"/>
      <c r="I430" s="1069"/>
      <c r="CM430" s="1076"/>
      <c r="CQ430" s="1069"/>
    </row>
    <row r="431" spans="7:95" ht="14.25" customHeight="1">
      <c r="G431" s="1069"/>
      <c r="H431" s="1069"/>
      <c r="I431" s="1069"/>
      <c r="CM431" s="1076"/>
      <c r="CQ431" s="1069"/>
    </row>
    <row r="432" spans="7:95" ht="14.25" customHeight="1">
      <c r="G432" s="1069"/>
      <c r="H432" s="1069"/>
      <c r="I432" s="1069"/>
      <c r="CM432" s="1076"/>
      <c r="CQ432" s="1069"/>
    </row>
    <row r="433" spans="7:95" ht="14.25" customHeight="1">
      <c r="G433" s="1069"/>
      <c r="H433" s="1069"/>
      <c r="I433" s="1069"/>
      <c r="CM433" s="1076"/>
      <c r="CQ433" s="1069"/>
    </row>
    <row r="434" spans="7:95" ht="14.25" customHeight="1">
      <c r="G434" s="1069"/>
      <c r="H434" s="1069"/>
      <c r="I434" s="1069"/>
      <c r="CM434" s="1076"/>
      <c r="CQ434" s="1069"/>
    </row>
    <row r="435" spans="7:95" ht="14.25" customHeight="1">
      <c r="G435" s="1069"/>
      <c r="H435" s="1069"/>
      <c r="I435" s="1069"/>
      <c r="CM435" s="1076"/>
      <c r="CQ435" s="1069"/>
    </row>
    <row r="436" spans="7:95" ht="14.25" customHeight="1">
      <c r="G436" s="1069"/>
      <c r="H436" s="1069"/>
      <c r="I436" s="1069"/>
      <c r="CM436" s="1076"/>
      <c r="CQ436" s="1069"/>
    </row>
    <row r="437" spans="7:95" ht="14.25" customHeight="1">
      <c r="G437" s="1069"/>
      <c r="H437" s="1069"/>
      <c r="I437" s="1069"/>
      <c r="CM437" s="1076"/>
      <c r="CQ437" s="1069"/>
    </row>
    <row r="438" spans="7:95" ht="14.25" customHeight="1">
      <c r="G438" s="1069"/>
      <c r="H438" s="1069"/>
      <c r="I438" s="1069"/>
      <c r="CM438" s="1076"/>
      <c r="CQ438" s="1069"/>
    </row>
    <row r="439" spans="7:95" ht="14.25" customHeight="1">
      <c r="G439" s="1069"/>
      <c r="H439" s="1069"/>
      <c r="I439" s="1069"/>
      <c r="CM439" s="1076"/>
      <c r="CQ439" s="1069"/>
    </row>
    <row r="440" spans="7:95" ht="14.25" customHeight="1">
      <c r="G440" s="1069"/>
      <c r="H440" s="1069"/>
      <c r="I440" s="1069"/>
      <c r="CM440" s="1076"/>
      <c r="CQ440" s="1069"/>
    </row>
    <row r="441" spans="7:95" ht="14.25" customHeight="1">
      <c r="G441" s="1069"/>
      <c r="H441" s="1069"/>
      <c r="I441" s="1069"/>
      <c r="CM441" s="1076"/>
      <c r="CQ441" s="1069"/>
    </row>
    <row r="442" spans="7:95" ht="14.25" customHeight="1">
      <c r="G442" s="1069"/>
      <c r="H442" s="1069"/>
      <c r="I442" s="1069"/>
      <c r="CM442" s="1076"/>
      <c r="CQ442" s="1069"/>
    </row>
    <row r="443" spans="7:95" ht="14.25" customHeight="1">
      <c r="G443" s="1069"/>
      <c r="H443" s="1069"/>
      <c r="I443" s="1069"/>
      <c r="CM443" s="1076"/>
      <c r="CQ443" s="1069"/>
    </row>
    <row r="444" spans="7:95" ht="14.25" customHeight="1">
      <c r="G444" s="1069"/>
      <c r="H444" s="1069"/>
      <c r="I444" s="1069"/>
      <c r="CM444" s="1076"/>
      <c r="CQ444" s="1069"/>
    </row>
    <row r="445" spans="7:95" ht="14.25" customHeight="1">
      <c r="G445" s="1069"/>
      <c r="H445" s="1069"/>
      <c r="I445" s="1069"/>
      <c r="CM445" s="1076"/>
      <c r="CQ445" s="1069"/>
    </row>
    <row r="446" spans="7:95" ht="14.25" customHeight="1">
      <c r="G446" s="1069"/>
      <c r="H446" s="1069"/>
      <c r="I446" s="1069"/>
      <c r="CM446" s="1076"/>
      <c r="CQ446" s="1069"/>
    </row>
    <row r="447" spans="7:95" ht="14.25" customHeight="1">
      <c r="G447" s="1069"/>
      <c r="H447" s="1069"/>
      <c r="I447" s="1069"/>
      <c r="CM447" s="1076"/>
      <c r="CQ447" s="1069"/>
    </row>
    <row r="448" spans="7:95" ht="14.25" customHeight="1">
      <c r="G448" s="1069"/>
      <c r="H448" s="1069"/>
      <c r="I448" s="1069"/>
      <c r="CM448" s="1076"/>
      <c r="CQ448" s="1069"/>
    </row>
    <row r="449" spans="7:95" ht="14.25" customHeight="1">
      <c r="G449" s="1069"/>
      <c r="H449" s="1069"/>
      <c r="I449" s="1069"/>
      <c r="CM449" s="1076"/>
      <c r="CQ449" s="1069"/>
    </row>
    <row r="450" spans="7:95" ht="14.25" customHeight="1">
      <c r="G450" s="1069"/>
      <c r="H450" s="1069"/>
      <c r="I450" s="1069"/>
      <c r="CM450" s="1076"/>
      <c r="CQ450" s="1069"/>
    </row>
    <row r="451" spans="7:95" ht="14.25" customHeight="1">
      <c r="G451" s="1069"/>
      <c r="H451" s="1069"/>
      <c r="I451" s="1069"/>
      <c r="CM451" s="1076"/>
      <c r="CQ451" s="1069"/>
    </row>
    <row r="452" spans="7:95" ht="14.25" customHeight="1">
      <c r="G452" s="1069"/>
      <c r="H452" s="1069"/>
      <c r="I452" s="1069"/>
      <c r="CM452" s="1076"/>
      <c r="CQ452" s="1069"/>
    </row>
    <row r="453" spans="7:95" ht="14.25" customHeight="1">
      <c r="G453" s="1069"/>
      <c r="H453" s="1069"/>
      <c r="I453" s="1069"/>
      <c r="CM453" s="1076"/>
      <c r="CQ453" s="1069"/>
    </row>
    <row r="454" spans="7:95" ht="14.25" customHeight="1">
      <c r="G454" s="1069"/>
      <c r="H454" s="1069"/>
      <c r="I454" s="1069"/>
      <c r="CM454" s="1076"/>
      <c r="CQ454" s="1069"/>
    </row>
    <row r="455" spans="7:95" ht="14.25" customHeight="1">
      <c r="G455" s="1069"/>
      <c r="H455" s="1069"/>
      <c r="I455" s="1069"/>
      <c r="CM455" s="1076"/>
      <c r="CQ455" s="1069"/>
    </row>
    <row r="456" spans="7:95" ht="14.25" customHeight="1">
      <c r="G456" s="1069"/>
      <c r="H456" s="1069"/>
      <c r="I456" s="1069"/>
      <c r="CM456" s="1076"/>
      <c r="CQ456" s="1069"/>
    </row>
    <row r="457" spans="7:95" ht="14.25" customHeight="1">
      <c r="G457" s="1069"/>
      <c r="H457" s="1069"/>
      <c r="I457" s="1069"/>
      <c r="CM457" s="1076"/>
      <c r="CQ457" s="1069"/>
    </row>
    <row r="458" spans="7:95" ht="14.25" customHeight="1">
      <c r="G458" s="1069"/>
      <c r="H458" s="1069"/>
      <c r="I458" s="1069"/>
      <c r="CM458" s="1076"/>
      <c r="CQ458" s="1069"/>
    </row>
    <row r="459" spans="7:95" ht="14.25" customHeight="1">
      <c r="G459" s="1069"/>
      <c r="H459" s="1069"/>
      <c r="I459" s="1069"/>
      <c r="CM459" s="1076"/>
      <c r="CQ459" s="1069"/>
    </row>
    <row r="460" spans="7:95" ht="14.25" customHeight="1">
      <c r="G460" s="1069"/>
      <c r="H460" s="1069"/>
      <c r="I460" s="1069"/>
      <c r="CM460" s="1076"/>
      <c r="CQ460" s="1069"/>
    </row>
    <row r="461" spans="7:95" ht="14.25" customHeight="1">
      <c r="G461" s="1069"/>
      <c r="H461" s="1069"/>
      <c r="I461" s="1069"/>
      <c r="CM461" s="1076"/>
      <c r="CQ461" s="1069"/>
    </row>
    <row r="462" spans="7:95" ht="14.25" customHeight="1">
      <c r="G462" s="1069"/>
      <c r="H462" s="1069"/>
      <c r="I462" s="1069"/>
      <c r="CM462" s="1076"/>
      <c r="CQ462" s="1069"/>
    </row>
    <row r="463" spans="7:95" ht="14.25" customHeight="1">
      <c r="G463" s="1069"/>
      <c r="H463" s="1069"/>
      <c r="I463" s="1069"/>
      <c r="CM463" s="1076"/>
      <c r="CQ463" s="1069"/>
    </row>
    <row r="464" spans="7:95" ht="14.25" customHeight="1">
      <c r="G464" s="1069"/>
      <c r="H464" s="1069"/>
      <c r="I464" s="1069"/>
      <c r="CM464" s="1076"/>
      <c r="CQ464" s="1069"/>
    </row>
    <row r="465" spans="7:95" ht="14.25" customHeight="1">
      <c r="G465" s="1069"/>
      <c r="H465" s="1069"/>
      <c r="I465" s="1069"/>
      <c r="CM465" s="1076"/>
      <c r="CQ465" s="1069"/>
    </row>
    <row r="466" spans="7:95" ht="14.25" customHeight="1">
      <c r="G466" s="1069"/>
      <c r="H466" s="1069"/>
      <c r="I466" s="1069"/>
      <c r="CM466" s="1076"/>
      <c r="CQ466" s="1069"/>
    </row>
    <row r="467" spans="7:95" ht="14.25" customHeight="1">
      <c r="G467" s="1069"/>
      <c r="H467" s="1069"/>
      <c r="I467" s="1069"/>
      <c r="CM467" s="1076"/>
      <c r="CQ467" s="1069"/>
    </row>
    <row r="468" spans="7:95" ht="14.25" customHeight="1">
      <c r="G468" s="1069"/>
      <c r="H468" s="1069"/>
      <c r="I468" s="1069"/>
      <c r="CM468" s="1076"/>
      <c r="CQ468" s="1069"/>
    </row>
    <row r="469" spans="7:95" ht="14.25" customHeight="1">
      <c r="G469" s="1069"/>
      <c r="H469" s="1069"/>
      <c r="I469" s="1069"/>
      <c r="CM469" s="1076"/>
      <c r="CQ469" s="1069"/>
    </row>
    <row r="470" spans="7:95" ht="14.25" customHeight="1">
      <c r="G470" s="1069"/>
      <c r="H470" s="1069"/>
      <c r="I470" s="1069"/>
      <c r="CM470" s="1076"/>
      <c r="CQ470" s="1069"/>
    </row>
    <row r="471" spans="7:95" ht="14.25" customHeight="1">
      <c r="G471" s="1069"/>
      <c r="H471" s="1069"/>
      <c r="I471" s="1069"/>
      <c r="CM471" s="1076"/>
      <c r="CQ471" s="1069"/>
    </row>
    <row r="472" spans="7:95" ht="14.25" customHeight="1">
      <c r="G472" s="1069"/>
      <c r="H472" s="1069"/>
      <c r="I472" s="1069"/>
      <c r="CM472" s="1076"/>
      <c r="CQ472" s="1069"/>
    </row>
    <row r="473" spans="7:95" ht="14.25" customHeight="1">
      <c r="G473" s="1069"/>
      <c r="H473" s="1069"/>
      <c r="I473" s="1069"/>
      <c r="CM473" s="1076"/>
      <c r="CQ473" s="1069"/>
    </row>
    <row r="474" spans="7:95" ht="14.25" customHeight="1">
      <c r="G474" s="1069"/>
      <c r="H474" s="1069"/>
      <c r="I474" s="1069"/>
      <c r="CM474" s="1076"/>
      <c r="CQ474" s="1069"/>
    </row>
    <row r="475" spans="7:95" ht="14.25" customHeight="1">
      <c r="G475" s="1069"/>
      <c r="H475" s="1069"/>
      <c r="I475" s="1069"/>
      <c r="CM475" s="1076"/>
      <c r="CQ475" s="1069"/>
    </row>
    <row r="476" spans="7:95" ht="14.25" customHeight="1">
      <c r="G476" s="1069"/>
      <c r="H476" s="1069"/>
      <c r="I476" s="1069"/>
      <c r="CM476" s="1076"/>
      <c r="CQ476" s="1069"/>
    </row>
    <row r="477" spans="7:95" ht="14.25" customHeight="1">
      <c r="G477" s="1069"/>
      <c r="H477" s="1069"/>
      <c r="I477" s="1069"/>
      <c r="CM477" s="1076"/>
      <c r="CQ477" s="1069"/>
    </row>
    <row r="478" spans="7:95" ht="14.25" customHeight="1">
      <c r="G478" s="1069"/>
      <c r="H478" s="1069"/>
      <c r="I478" s="1069"/>
      <c r="CM478" s="1076"/>
      <c r="CQ478" s="1069"/>
    </row>
    <row r="479" spans="7:95" ht="14.25" customHeight="1">
      <c r="G479" s="1069"/>
      <c r="H479" s="1069"/>
      <c r="I479" s="1069"/>
      <c r="CM479" s="1076"/>
      <c r="CQ479" s="1069"/>
    </row>
    <row r="480" spans="7:95" ht="14.25" customHeight="1">
      <c r="G480" s="1069"/>
      <c r="H480" s="1069"/>
      <c r="I480" s="1069"/>
      <c r="CM480" s="1076"/>
      <c r="CQ480" s="1069"/>
    </row>
    <row r="481" spans="7:95" ht="14.25" customHeight="1">
      <c r="G481" s="1069"/>
      <c r="H481" s="1069"/>
      <c r="I481" s="1069"/>
      <c r="CM481" s="1076"/>
      <c r="CQ481" s="1069"/>
    </row>
    <row r="482" spans="7:95" ht="14.25" customHeight="1">
      <c r="G482" s="1069"/>
      <c r="H482" s="1069"/>
      <c r="I482" s="1069"/>
      <c r="CM482" s="1076"/>
      <c r="CQ482" s="1069"/>
    </row>
    <row r="483" spans="7:95" ht="14.25" customHeight="1">
      <c r="G483" s="1069"/>
      <c r="H483" s="1069"/>
      <c r="I483" s="1069"/>
      <c r="CM483" s="1076"/>
      <c r="CQ483" s="1069"/>
    </row>
    <row r="484" spans="7:95" ht="14.25" customHeight="1">
      <c r="G484" s="1069"/>
      <c r="H484" s="1069"/>
      <c r="I484" s="1069"/>
      <c r="CM484" s="1076"/>
      <c r="CQ484" s="1069"/>
    </row>
    <row r="485" spans="7:95" ht="14.25" customHeight="1">
      <c r="G485" s="1069"/>
      <c r="H485" s="1069"/>
      <c r="I485" s="1069"/>
      <c r="CM485" s="1076"/>
      <c r="CQ485" s="1069"/>
    </row>
    <row r="486" spans="7:95" ht="14.25" customHeight="1">
      <c r="G486" s="1069"/>
      <c r="H486" s="1069"/>
      <c r="I486" s="1069"/>
      <c r="CM486" s="1076"/>
      <c r="CQ486" s="1069"/>
    </row>
    <row r="487" spans="7:95" ht="14.25" customHeight="1">
      <c r="G487" s="1069"/>
      <c r="H487" s="1069"/>
      <c r="I487" s="1069"/>
      <c r="CM487" s="1076"/>
      <c r="CQ487" s="1069"/>
    </row>
    <row r="488" spans="7:95" ht="14.25" customHeight="1">
      <c r="G488" s="1069"/>
      <c r="H488" s="1069"/>
      <c r="I488" s="1069"/>
      <c r="CM488" s="1076"/>
      <c r="CQ488" s="1069"/>
    </row>
    <row r="489" spans="7:95" ht="14.25" customHeight="1">
      <c r="G489" s="1069"/>
      <c r="H489" s="1069"/>
      <c r="I489" s="1069"/>
      <c r="CM489" s="1076"/>
      <c r="CQ489" s="1069"/>
    </row>
    <row r="490" spans="7:95" ht="14.25" customHeight="1">
      <c r="G490" s="1069"/>
      <c r="H490" s="1069"/>
      <c r="I490" s="1069"/>
      <c r="CM490" s="1076"/>
      <c r="CQ490" s="1069"/>
    </row>
    <row r="491" spans="7:95" ht="14.25" customHeight="1">
      <c r="G491" s="1069"/>
      <c r="H491" s="1069"/>
      <c r="I491" s="1069"/>
      <c r="CM491" s="1076"/>
      <c r="CQ491" s="1069"/>
    </row>
    <row r="492" spans="7:95" ht="14.25" customHeight="1">
      <c r="G492" s="1069"/>
      <c r="H492" s="1069"/>
      <c r="I492" s="1069"/>
      <c r="CM492" s="1076"/>
      <c r="CQ492" s="1069"/>
    </row>
    <row r="493" spans="7:95" ht="14.25" customHeight="1">
      <c r="G493" s="1069"/>
      <c r="H493" s="1069"/>
      <c r="I493" s="1069"/>
      <c r="CM493" s="1076"/>
      <c r="CQ493" s="1069"/>
    </row>
    <row r="494" spans="7:95" ht="14.25" customHeight="1">
      <c r="G494" s="1069"/>
      <c r="H494" s="1069"/>
      <c r="I494" s="1069"/>
      <c r="CM494" s="1076"/>
      <c r="CQ494" s="1069"/>
    </row>
    <row r="495" spans="7:95" ht="14.25" customHeight="1">
      <c r="G495" s="1069"/>
      <c r="H495" s="1069"/>
      <c r="I495" s="1069"/>
      <c r="CM495" s="1076"/>
      <c r="CQ495" s="1069"/>
    </row>
    <row r="496" spans="7:95" ht="14.25" customHeight="1">
      <c r="G496" s="1069"/>
      <c r="H496" s="1069"/>
      <c r="I496" s="1069"/>
      <c r="CM496" s="1076"/>
      <c r="CQ496" s="1069"/>
    </row>
    <row r="497" spans="7:95" ht="14.25" customHeight="1">
      <c r="G497" s="1069"/>
      <c r="H497" s="1069"/>
      <c r="I497" s="1069"/>
      <c r="CM497" s="1076"/>
      <c r="CQ497" s="1069"/>
    </row>
    <row r="498" spans="7:95" ht="14.25" customHeight="1">
      <c r="G498" s="1069"/>
      <c r="H498" s="1069"/>
      <c r="I498" s="1069"/>
      <c r="CM498" s="1076"/>
      <c r="CQ498" s="1069"/>
    </row>
    <row r="499" spans="7:95" ht="14.25" customHeight="1">
      <c r="G499" s="1069"/>
      <c r="H499" s="1069"/>
      <c r="I499" s="1069"/>
      <c r="CM499" s="1076"/>
      <c r="CQ499" s="1069"/>
    </row>
    <row r="500" spans="7:95" ht="14.25" customHeight="1">
      <c r="G500" s="1069"/>
      <c r="H500" s="1069"/>
      <c r="I500" s="1069"/>
      <c r="CM500" s="1076"/>
      <c r="CQ500" s="1069"/>
    </row>
    <row r="501" spans="7:95" ht="14.25" customHeight="1">
      <c r="G501" s="1069"/>
      <c r="H501" s="1069"/>
      <c r="I501" s="1069"/>
      <c r="CM501" s="1076"/>
      <c r="CQ501" s="1069"/>
    </row>
    <row r="502" spans="7:95" ht="14.25" customHeight="1">
      <c r="G502" s="1069"/>
      <c r="H502" s="1069"/>
      <c r="I502" s="1069"/>
      <c r="CM502" s="1076"/>
      <c r="CQ502" s="1069"/>
    </row>
    <row r="503" spans="7:95" ht="14.25" customHeight="1">
      <c r="G503" s="1069"/>
      <c r="H503" s="1069"/>
      <c r="I503" s="1069"/>
      <c r="CM503" s="1076"/>
      <c r="CQ503" s="1069"/>
    </row>
    <row r="504" spans="7:95" ht="14.25" customHeight="1">
      <c r="G504" s="1069"/>
      <c r="H504" s="1069"/>
      <c r="I504" s="1069"/>
      <c r="CM504" s="1076"/>
      <c r="CQ504" s="1069"/>
    </row>
    <row r="505" spans="7:95" ht="14.25" customHeight="1">
      <c r="G505" s="1069"/>
      <c r="H505" s="1069"/>
      <c r="I505" s="1069"/>
      <c r="CM505" s="1076"/>
      <c r="CQ505" s="1069"/>
    </row>
    <row r="506" spans="7:95" ht="14.25" customHeight="1">
      <c r="G506" s="1069"/>
      <c r="H506" s="1069"/>
      <c r="I506" s="1069"/>
      <c r="CM506" s="1076"/>
      <c r="CQ506" s="1069"/>
    </row>
    <row r="507" spans="7:95" ht="14.25" customHeight="1">
      <c r="G507" s="1069"/>
      <c r="H507" s="1069"/>
      <c r="I507" s="1069"/>
      <c r="CM507" s="1076"/>
      <c r="CQ507" s="1069"/>
    </row>
    <row r="508" spans="7:95" ht="14.25" customHeight="1">
      <c r="G508" s="1069"/>
      <c r="H508" s="1069"/>
      <c r="I508" s="1069"/>
      <c r="CM508" s="1076"/>
      <c r="CQ508" s="1069"/>
    </row>
    <row r="509" spans="7:95" ht="14.25" customHeight="1">
      <c r="G509" s="1069"/>
      <c r="H509" s="1069"/>
      <c r="I509" s="1069"/>
      <c r="CM509" s="1076"/>
      <c r="CQ509" s="1069"/>
    </row>
    <row r="510" spans="7:95" ht="14.25" customHeight="1">
      <c r="G510" s="1069"/>
      <c r="H510" s="1069"/>
      <c r="I510" s="1069"/>
      <c r="CM510" s="1076"/>
      <c r="CQ510" s="1069"/>
    </row>
    <row r="511" spans="7:95" ht="14.25" customHeight="1">
      <c r="G511" s="1069"/>
      <c r="H511" s="1069"/>
      <c r="I511" s="1069"/>
      <c r="CM511" s="1076"/>
      <c r="CQ511" s="1069"/>
    </row>
    <row r="512" spans="7:95" ht="14.25" customHeight="1">
      <c r="G512" s="1069"/>
      <c r="H512" s="1069"/>
      <c r="I512" s="1069"/>
      <c r="CM512" s="1076"/>
      <c r="CQ512" s="1069"/>
    </row>
    <row r="513" spans="7:95" ht="14.25" customHeight="1">
      <c r="G513" s="1069"/>
      <c r="H513" s="1069"/>
      <c r="I513" s="1069"/>
      <c r="CM513" s="1076"/>
      <c r="CQ513" s="1069"/>
    </row>
    <row r="514" spans="7:95" ht="14.25" customHeight="1">
      <c r="G514" s="1069"/>
      <c r="H514" s="1069"/>
      <c r="I514" s="1069"/>
      <c r="CM514" s="1076"/>
      <c r="CQ514" s="1069"/>
    </row>
    <row r="515" spans="7:95" ht="14.25" customHeight="1">
      <c r="G515" s="1069"/>
      <c r="H515" s="1069"/>
      <c r="I515" s="1069"/>
      <c r="CM515" s="1076"/>
      <c r="CQ515" s="1069"/>
    </row>
    <row r="516" spans="7:95" ht="14.25" customHeight="1">
      <c r="G516" s="1069"/>
      <c r="H516" s="1069"/>
      <c r="I516" s="1069"/>
      <c r="CM516" s="1076"/>
      <c r="CQ516" s="1069"/>
    </row>
    <row r="517" spans="7:95" ht="14.25" customHeight="1">
      <c r="G517" s="1069"/>
      <c r="H517" s="1069"/>
      <c r="I517" s="1069"/>
      <c r="CM517" s="1076"/>
      <c r="CQ517" s="1069"/>
    </row>
    <row r="518" spans="7:95" ht="14.25" customHeight="1">
      <c r="G518" s="1069"/>
      <c r="H518" s="1069"/>
      <c r="I518" s="1069"/>
      <c r="CM518" s="1076"/>
      <c r="CQ518" s="1069"/>
    </row>
    <row r="519" spans="7:95" ht="14.25" customHeight="1">
      <c r="G519" s="1069"/>
      <c r="H519" s="1069"/>
      <c r="I519" s="1069"/>
      <c r="CM519" s="1076"/>
      <c r="CQ519" s="1069"/>
    </row>
    <row r="520" spans="7:95" ht="14.25" customHeight="1">
      <c r="G520" s="1069"/>
      <c r="H520" s="1069"/>
      <c r="I520" s="1069"/>
      <c r="CM520" s="1076"/>
      <c r="CQ520" s="1069"/>
    </row>
    <row r="521" spans="7:95" ht="14.25" customHeight="1">
      <c r="G521" s="1069"/>
      <c r="H521" s="1069"/>
      <c r="I521" s="1069"/>
      <c r="CM521" s="1076"/>
      <c r="CQ521" s="1069"/>
    </row>
    <row r="522" spans="7:95" ht="14.25" customHeight="1">
      <c r="G522" s="1069"/>
      <c r="H522" s="1069"/>
      <c r="I522" s="1069"/>
      <c r="CM522" s="1076"/>
      <c r="CQ522" s="1069"/>
    </row>
    <row r="523" spans="7:95" ht="14.25" customHeight="1">
      <c r="G523" s="1069"/>
      <c r="H523" s="1069"/>
      <c r="I523" s="1069"/>
      <c r="CM523" s="1076"/>
      <c r="CQ523" s="1069"/>
    </row>
    <row r="524" spans="7:95" ht="14.25" customHeight="1">
      <c r="G524" s="1069"/>
      <c r="H524" s="1069"/>
      <c r="I524" s="1069"/>
      <c r="CM524" s="1076"/>
      <c r="CQ524" s="1069"/>
    </row>
    <row r="525" spans="7:95" ht="14.25" customHeight="1">
      <c r="G525" s="1069"/>
      <c r="H525" s="1069"/>
      <c r="I525" s="1069"/>
      <c r="CM525" s="1076"/>
      <c r="CQ525" s="1069"/>
    </row>
    <row r="526" spans="7:95" ht="14.25" customHeight="1">
      <c r="G526" s="1069"/>
      <c r="H526" s="1069"/>
      <c r="I526" s="1069"/>
      <c r="CM526" s="1076"/>
      <c r="CQ526" s="1069"/>
    </row>
    <row r="527" spans="7:95" ht="14.25" customHeight="1">
      <c r="G527" s="1069"/>
      <c r="H527" s="1069"/>
      <c r="I527" s="1069"/>
      <c r="CM527" s="1076"/>
      <c r="CQ527" s="1069"/>
    </row>
    <row r="528" spans="7:95" ht="14.25" customHeight="1">
      <c r="G528" s="1069"/>
      <c r="H528" s="1069"/>
      <c r="I528" s="1069"/>
      <c r="CM528" s="1076"/>
      <c r="CQ528" s="1069"/>
    </row>
    <row r="529" spans="7:95" ht="14.25" customHeight="1">
      <c r="G529" s="1069"/>
      <c r="H529" s="1069"/>
      <c r="I529" s="1069"/>
      <c r="CM529" s="1076"/>
      <c r="CQ529" s="1069"/>
    </row>
    <row r="530" spans="7:95" ht="14.25" customHeight="1">
      <c r="G530" s="1069"/>
      <c r="H530" s="1069"/>
      <c r="I530" s="1069"/>
      <c r="CM530" s="1076"/>
      <c r="CQ530" s="1069"/>
    </row>
    <row r="531" spans="7:95" ht="14.25" customHeight="1">
      <c r="G531" s="1069"/>
      <c r="H531" s="1069"/>
      <c r="I531" s="1069"/>
      <c r="CM531" s="1076"/>
      <c r="CQ531" s="1069"/>
    </row>
    <row r="532" spans="7:95" ht="14.25" customHeight="1">
      <c r="G532" s="1069"/>
      <c r="H532" s="1069"/>
      <c r="I532" s="1069"/>
      <c r="CM532" s="1076"/>
      <c r="CQ532" s="1069"/>
    </row>
    <row r="533" spans="7:95" ht="14.25" customHeight="1">
      <c r="G533" s="1069"/>
      <c r="H533" s="1069"/>
      <c r="I533" s="1069"/>
      <c r="CM533" s="1076"/>
      <c r="CQ533" s="1069"/>
    </row>
    <row r="534" spans="7:95" ht="14.25" customHeight="1">
      <c r="G534" s="1069"/>
      <c r="H534" s="1069"/>
      <c r="I534" s="1069"/>
      <c r="CM534" s="1076"/>
      <c r="CQ534" s="1069"/>
    </row>
    <row r="535" spans="7:95" ht="14.25" customHeight="1">
      <c r="G535" s="1069"/>
      <c r="H535" s="1069"/>
      <c r="I535" s="1069"/>
      <c r="CM535" s="1076"/>
      <c r="CQ535" s="1069"/>
    </row>
    <row r="536" spans="7:95" ht="14.25" customHeight="1">
      <c r="G536" s="1069"/>
      <c r="H536" s="1069"/>
      <c r="I536" s="1069"/>
      <c r="CM536" s="1076"/>
      <c r="CQ536" s="1069"/>
    </row>
    <row r="537" spans="7:95" ht="14.25" customHeight="1">
      <c r="G537" s="1069"/>
      <c r="H537" s="1069"/>
      <c r="I537" s="1069"/>
      <c r="CM537" s="1076"/>
      <c r="CQ537" s="1069"/>
    </row>
    <row r="538" spans="7:95" ht="14.25" customHeight="1">
      <c r="G538" s="1069"/>
      <c r="H538" s="1069"/>
      <c r="I538" s="1069"/>
      <c r="CM538" s="1076"/>
      <c r="CQ538" s="1069"/>
    </row>
    <row r="539" spans="7:95" ht="14.25" customHeight="1">
      <c r="G539" s="1069"/>
      <c r="H539" s="1069"/>
      <c r="I539" s="1069"/>
      <c r="CM539" s="1076"/>
      <c r="CQ539" s="1069"/>
    </row>
    <row r="540" spans="7:95" ht="14.25" customHeight="1">
      <c r="G540" s="1069"/>
      <c r="H540" s="1069"/>
      <c r="I540" s="1069"/>
      <c r="CM540" s="1076"/>
      <c r="CQ540" s="1069"/>
    </row>
    <row r="541" spans="7:95" ht="14.25" customHeight="1">
      <c r="G541" s="1069"/>
      <c r="H541" s="1069"/>
      <c r="I541" s="1069"/>
      <c r="CM541" s="1076"/>
      <c r="CQ541" s="1069"/>
    </row>
    <row r="542" spans="7:95" ht="14.25" customHeight="1">
      <c r="G542" s="1069"/>
      <c r="H542" s="1069"/>
      <c r="I542" s="1069"/>
      <c r="CM542" s="1076"/>
      <c r="CQ542" s="1069"/>
    </row>
    <row r="543" spans="7:95" ht="14.25" customHeight="1">
      <c r="G543" s="1069"/>
      <c r="H543" s="1069"/>
      <c r="I543" s="1069"/>
      <c r="CM543" s="1076"/>
      <c r="CQ543" s="1069"/>
    </row>
    <row r="544" spans="7:95" ht="14.25" customHeight="1">
      <c r="G544" s="1069"/>
      <c r="H544" s="1069"/>
      <c r="I544" s="1069"/>
      <c r="CM544" s="1076"/>
      <c r="CQ544" s="1069"/>
    </row>
    <row r="545" spans="7:95" ht="14.25" customHeight="1">
      <c r="G545" s="1069"/>
      <c r="H545" s="1069"/>
      <c r="I545" s="1069"/>
      <c r="CM545" s="1076"/>
      <c r="CQ545" s="1069"/>
    </row>
    <row r="546" spans="7:95" ht="14.25" customHeight="1">
      <c r="G546" s="1069"/>
      <c r="H546" s="1069"/>
      <c r="I546" s="1069"/>
      <c r="CM546" s="1076"/>
      <c r="CQ546" s="1069"/>
    </row>
    <row r="547" spans="7:95" ht="14.25" customHeight="1">
      <c r="G547" s="1069"/>
      <c r="H547" s="1069"/>
      <c r="I547" s="1069"/>
      <c r="CM547" s="1076"/>
      <c r="CQ547" s="1069"/>
    </row>
    <row r="548" spans="7:95" ht="14.25" customHeight="1">
      <c r="G548" s="1069"/>
      <c r="H548" s="1069"/>
      <c r="I548" s="1069"/>
      <c r="CM548" s="1076"/>
      <c r="CQ548" s="1069"/>
    </row>
    <row r="549" spans="7:95" ht="14.25" customHeight="1">
      <c r="G549" s="1069"/>
      <c r="H549" s="1069"/>
      <c r="I549" s="1069"/>
      <c r="CM549" s="1076"/>
      <c r="CQ549" s="1069"/>
    </row>
    <row r="550" spans="7:95" ht="14.25" customHeight="1">
      <c r="G550" s="1069"/>
      <c r="H550" s="1069"/>
      <c r="I550" s="1069"/>
      <c r="CM550" s="1076"/>
      <c r="CQ550" s="1069"/>
    </row>
    <row r="551" spans="7:95" ht="14.25" customHeight="1">
      <c r="G551" s="1069"/>
      <c r="H551" s="1069"/>
      <c r="I551" s="1069"/>
      <c r="CM551" s="1076"/>
      <c r="CQ551" s="1069"/>
    </row>
    <row r="552" spans="7:95" ht="14.25" customHeight="1">
      <c r="G552" s="1069"/>
      <c r="H552" s="1069"/>
      <c r="I552" s="1069"/>
      <c r="CM552" s="1076"/>
      <c r="CQ552" s="1069"/>
    </row>
    <row r="553" spans="7:95" ht="14.25" customHeight="1">
      <c r="G553" s="1069"/>
      <c r="H553" s="1069"/>
      <c r="I553" s="1069"/>
      <c r="CM553" s="1076"/>
      <c r="CQ553" s="1069"/>
    </row>
    <row r="554" spans="7:95" ht="14.25" customHeight="1">
      <c r="G554" s="1069"/>
      <c r="H554" s="1069"/>
      <c r="I554" s="1069"/>
      <c r="CM554" s="1076"/>
      <c r="CQ554" s="1069"/>
    </row>
    <row r="555" spans="7:95" ht="14.25" customHeight="1">
      <c r="G555" s="1069"/>
      <c r="H555" s="1069"/>
      <c r="I555" s="1069"/>
      <c r="CM555" s="1076"/>
      <c r="CQ555" s="1069"/>
    </row>
    <row r="556" spans="7:95" ht="14.25" customHeight="1">
      <c r="G556" s="1069"/>
      <c r="H556" s="1069"/>
      <c r="I556" s="1069"/>
      <c r="CM556" s="1076"/>
      <c r="CQ556" s="1069"/>
    </row>
    <row r="557" spans="7:95" ht="14.25" customHeight="1">
      <c r="G557" s="1069"/>
      <c r="H557" s="1069"/>
      <c r="I557" s="1069"/>
      <c r="CM557" s="1076"/>
      <c r="CQ557" s="1069"/>
    </row>
    <row r="558" spans="7:95" ht="14.25" customHeight="1">
      <c r="G558" s="1069"/>
      <c r="H558" s="1069"/>
      <c r="I558" s="1069"/>
      <c r="CM558" s="1076"/>
      <c r="CQ558" s="1069"/>
    </row>
    <row r="559" spans="7:95" ht="14.25" customHeight="1">
      <c r="G559" s="1069"/>
      <c r="H559" s="1069"/>
      <c r="I559" s="1069"/>
      <c r="CM559" s="1076"/>
      <c r="CQ559" s="1069"/>
    </row>
    <row r="560" spans="7:95" ht="14.25" customHeight="1">
      <c r="G560" s="1069"/>
      <c r="H560" s="1069"/>
      <c r="I560" s="1069"/>
      <c r="CM560" s="1076"/>
      <c r="CQ560" s="1069"/>
    </row>
    <row r="561" spans="7:95" ht="14.25" customHeight="1">
      <c r="G561" s="1069"/>
      <c r="H561" s="1069"/>
      <c r="I561" s="1069"/>
      <c r="CM561" s="1076"/>
      <c r="CQ561" s="1069"/>
    </row>
    <row r="562" spans="7:95" ht="14.25" customHeight="1">
      <c r="G562" s="1069"/>
      <c r="H562" s="1069"/>
      <c r="I562" s="1069"/>
      <c r="CM562" s="1076"/>
      <c r="CQ562" s="1069"/>
    </row>
    <row r="563" spans="7:95" ht="14.25" customHeight="1">
      <c r="G563" s="1069"/>
      <c r="H563" s="1069"/>
      <c r="I563" s="1069"/>
      <c r="CM563" s="1076"/>
      <c r="CQ563" s="1069"/>
    </row>
    <row r="564" spans="7:95" ht="14.25" customHeight="1">
      <c r="G564" s="1069"/>
      <c r="H564" s="1069"/>
      <c r="I564" s="1069"/>
      <c r="CM564" s="1076"/>
      <c r="CQ564" s="1069"/>
    </row>
    <row r="565" spans="7:95" ht="14.25" customHeight="1">
      <c r="G565" s="1069"/>
      <c r="H565" s="1069"/>
      <c r="I565" s="1069"/>
      <c r="CM565" s="1076"/>
      <c r="CQ565" s="1069"/>
    </row>
    <row r="566" spans="7:95" ht="14.25" customHeight="1">
      <c r="G566" s="1069"/>
      <c r="H566" s="1069"/>
      <c r="I566" s="1069"/>
      <c r="CM566" s="1076"/>
      <c r="CQ566" s="1069"/>
    </row>
    <row r="567" spans="7:95" ht="14.25" customHeight="1">
      <c r="G567" s="1069"/>
      <c r="H567" s="1069"/>
      <c r="I567" s="1069"/>
      <c r="CM567" s="1076"/>
      <c r="CQ567" s="1069"/>
    </row>
    <row r="568" spans="7:95" ht="14.25" customHeight="1">
      <c r="G568" s="1069"/>
      <c r="H568" s="1069"/>
      <c r="I568" s="1069"/>
      <c r="CM568" s="1076"/>
      <c r="CQ568" s="1069"/>
    </row>
    <row r="569" spans="7:95" ht="14.25" customHeight="1">
      <c r="G569" s="1069"/>
      <c r="H569" s="1069"/>
      <c r="I569" s="1069"/>
      <c r="CM569" s="1076"/>
      <c r="CQ569" s="1069"/>
    </row>
    <row r="570" spans="7:95" ht="14.25" customHeight="1">
      <c r="G570" s="1069"/>
      <c r="H570" s="1069"/>
      <c r="I570" s="1069"/>
      <c r="CM570" s="1076"/>
      <c r="CQ570" s="1069"/>
    </row>
    <row r="571" spans="7:95" ht="14.25" customHeight="1">
      <c r="G571" s="1069"/>
      <c r="H571" s="1069"/>
      <c r="I571" s="1069"/>
      <c r="CM571" s="1076"/>
      <c r="CQ571" s="1069"/>
    </row>
    <row r="572" spans="7:95" ht="14.25" customHeight="1">
      <c r="G572" s="1069"/>
      <c r="H572" s="1069"/>
      <c r="I572" s="1069"/>
      <c r="CM572" s="1076"/>
      <c r="CQ572" s="1069"/>
    </row>
    <row r="573" spans="7:95" ht="14.25" customHeight="1">
      <c r="G573" s="1069"/>
      <c r="H573" s="1069"/>
      <c r="I573" s="1069"/>
      <c r="CM573" s="1076"/>
      <c r="CQ573" s="1069"/>
    </row>
    <row r="574" spans="7:95" ht="14.25" customHeight="1">
      <c r="G574" s="1069"/>
      <c r="H574" s="1069"/>
      <c r="I574" s="1069"/>
      <c r="CM574" s="1076"/>
      <c r="CQ574" s="1069"/>
    </row>
    <row r="575" spans="7:95" ht="14.25" customHeight="1">
      <c r="G575" s="1069"/>
      <c r="H575" s="1069"/>
      <c r="I575" s="1069"/>
      <c r="CM575" s="1076"/>
      <c r="CQ575" s="1069"/>
    </row>
    <row r="576" spans="7:95" ht="14.25" customHeight="1">
      <c r="G576" s="1069"/>
      <c r="H576" s="1069"/>
      <c r="I576" s="1069"/>
      <c r="CM576" s="1076"/>
      <c r="CQ576" s="1069"/>
    </row>
    <row r="577" spans="7:95" ht="14.25" customHeight="1">
      <c r="G577" s="1069"/>
      <c r="H577" s="1069"/>
      <c r="I577" s="1069"/>
      <c r="CM577" s="1076"/>
      <c r="CQ577" s="1069"/>
    </row>
    <row r="578" spans="7:95" ht="14.25" customHeight="1">
      <c r="G578" s="1069"/>
      <c r="H578" s="1069"/>
      <c r="I578" s="1069"/>
      <c r="CM578" s="1076"/>
      <c r="CQ578" s="1069"/>
    </row>
    <row r="579" spans="7:95" ht="14.25" customHeight="1">
      <c r="G579" s="1069"/>
      <c r="H579" s="1069"/>
      <c r="I579" s="1069"/>
      <c r="CM579" s="1076"/>
      <c r="CQ579" s="1069"/>
    </row>
    <row r="580" spans="7:95" ht="14.25" customHeight="1">
      <c r="G580" s="1069"/>
      <c r="H580" s="1069"/>
      <c r="I580" s="1069"/>
      <c r="CM580" s="1076"/>
      <c r="CQ580" s="1069"/>
    </row>
    <row r="581" spans="7:95" ht="14.25" customHeight="1">
      <c r="G581" s="1069"/>
      <c r="H581" s="1069"/>
      <c r="I581" s="1069"/>
      <c r="CM581" s="1076"/>
      <c r="CQ581" s="1069"/>
    </row>
    <row r="582" spans="7:95" ht="14.25" customHeight="1">
      <c r="G582" s="1069"/>
      <c r="H582" s="1069"/>
      <c r="I582" s="1069"/>
      <c r="CM582" s="1076"/>
      <c r="CQ582" s="1069"/>
    </row>
    <row r="583" spans="7:95" ht="14.25" customHeight="1">
      <c r="G583" s="1069"/>
      <c r="H583" s="1069"/>
      <c r="I583" s="1069"/>
      <c r="CM583" s="1076"/>
      <c r="CQ583" s="1069"/>
    </row>
    <row r="584" spans="7:95" ht="14.25" customHeight="1">
      <c r="G584" s="1069"/>
      <c r="H584" s="1069"/>
      <c r="I584" s="1069"/>
      <c r="CM584" s="1076"/>
      <c r="CQ584" s="1069"/>
    </row>
    <row r="585" spans="7:95" ht="14.25" customHeight="1">
      <c r="G585" s="1069"/>
      <c r="H585" s="1069"/>
      <c r="I585" s="1069"/>
      <c r="CM585" s="1076"/>
      <c r="CQ585" s="1069"/>
    </row>
    <row r="586" spans="7:95" ht="14.25" customHeight="1">
      <c r="G586" s="1069"/>
      <c r="H586" s="1069"/>
      <c r="I586" s="1069"/>
      <c r="CM586" s="1076"/>
      <c r="CQ586" s="1069"/>
    </row>
    <row r="587" spans="7:95" ht="14.25" customHeight="1">
      <c r="G587" s="1069"/>
      <c r="H587" s="1069"/>
      <c r="I587" s="1069"/>
      <c r="CM587" s="1076"/>
      <c r="CQ587" s="1069"/>
    </row>
    <row r="588" spans="7:95" ht="14.25" customHeight="1">
      <c r="G588" s="1069"/>
      <c r="H588" s="1069"/>
      <c r="I588" s="1069"/>
      <c r="CM588" s="1076"/>
      <c r="CQ588" s="1069"/>
    </row>
    <row r="589" spans="7:95" ht="14.25" customHeight="1">
      <c r="G589" s="1069"/>
      <c r="H589" s="1069"/>
      <c r="I589" s="1069"/>
      <c r="CM589" s="1076"/>
      <c r="CQ589" s="1069"/>
    </row>
    <row r="590" spans="7:95" ht="14.25" customHeight="1">
      <c r="G590" s="1069"/>
      <c r="H590" s="1069"/>
      <c r="I590" s="1069"/>
      <c r="CM590" s="1076"/>
      <c r="CQ590" s="1069"/>
    </row>
    <row r="591" spans="7:95" ht="14.25" customHeight="1">
      <c r="G591" s="1069"/>
      <c r="H591" s="1069"/>
      <c r="I591" s="1069"/>
      <c r="CM591" s="1076"/>
      <c r="CQ591" s="1069"/>
    </row>
    <row r="592" spans="7:95" ht="14.25" customHeight="1">
      <c r="G592" s="1069"/>
      <c r="H592" s="1069"/>
      <c r="I592" s="1069"/>
      <c r="CM592" s="1076"/>
      <c r="CQ592" s="1069"/>
    </row>
    <row r="593" spans="7:95" ht="14.25" customHeight="1">
      <c r="G593" s="1069"/>
      <c r="H593" s="1069"/>
      <c r="I593" s="1069"/>
      <c r="CM593" s="1076"/>
      <c r="CQ593" s="1069"/>
    </row>
    <row r="594" spans="7:95" ht="14.25" customHeight="1">
      <c r="G594" s="1069"/>
      <c r="H594" s="1069"/>
      <c r="I594" s="1069"/>
      <c r="CM594" s="1076"/>
      <c r="CQ594" s="1069"/>
    </row>
    <row r="595" spans="7:95" ht="14.25" customHeight="1">
      <c r="G595" s="1069"/>
      <c r="H595" s="1069"/>
      <c r="I595" s="1069"/>
      <c r="CM595" s="1076"/>
      <c r="CQ595" s="1069"/>
    </row>
    <row r="596" spans="7:95" ht="14.25" customHeight="1">
      <c r="G596" s="1069"/>
      <c r="H596" s="1069"/>
      <c r="I596" s="1069"/>
      <c r="CM596" s="1076"/>
      <c r="CQ596" s="1069"/>
    </row>
    <row r="597" spans="7:95" ht="14.25" customHeight="1">
      <c r="G597" s="1069"/>
      <c r="H597" s="1069"/>
      <c r="I597" s="1069"/>
      <c r="CM597" s="1076"/>
      <c r="CQ597" s="1069"/>
    </row>
    <row r="598" spans="7:95" ht="14.25" customHeight="1">
      <c r="G598" s="1069"/>
      <c r="H598" s="1069"/>
      <c r="I598" s="1069"/>
      <c r="CM598" s="1076"/>
      <c r="CQ598" s="1069"/>
    </row>
    <row r="599" spans="7:95" ht="14.25" customHeight="1">
      <c r="G599" s="1069"/>
      <c r="H599" s="1069"/>
      <c r="I599" s="1069"/>
      <c r="CM599" s="1076"/>
      <c r="CQ599" s="1069"/>
    </row>
    <row r="600" spans="7:95" ht="14.25" customHeight="1">
      <c r="G600" s="1069"/>
      <c r="H600" s="1069"/>
      <c r="I600" s="1069"/>
      <c r="CM600" s="1076"/>
      <c r="CQ600" s="1069"/>
    </row>
    <row r="601" spans="7:95" ht="14.25" customHeight="1">
      <c r="G601" s="1069"/>
      <c r="H601" s="1069"/>
      <c r="I601" s="1069"/>
      <c r="CM601" s="1076"/>
      <c r="CQ601" s="1069"/>
    </row>
    <row r="602" spans="7:95" ht="14.25" customHeight="1">
      <c r="G602" s="1069"/>
      <c r="H602" s="1069"/>
      <c r="I602" s="1069"/>
      <c r="CM602" s="1076"/>
      <c r="CQ602" s="1069"/>
    </row>
    <row r="603" spans="7:95" ht="14.25" customHeight="1">
      <c r="G603" s="1069"/>
      <c r="H603" s="1069"/>
      <c r="I603" s="1069"/>
      <c r="CM603" s="1076"/>
      <c r="CQ603" s="1069"/>
    </row>
    <row r="604" spans="7:95" ht="14.25" customHeight="1">
      <c r="G604" s="1069"/>
      <c r="H604" s="1069"/>
      <c r="I604" s="1069"/>
      <c r="CM604" s="1076"/>
      <c r="CQ604" s="1069"/>
    </row>
    <row r="605" spans="7:95" ht="14.25" customHeight="1">
      <c r="G605" s="1069"/>
      <c r="H605" s="1069"/>
      <c r="I605" s="1069"/>
      <c r="CM605" s="1076"/>
      <c r="CQ605" s="1069"/>
    </row>
    <row r="606" spans="7:95" ht="14.25" customHeight="1">
      <c r="G606" s="1069"/>
      <c r="H606" s="1069"/>
      <c r="I606" s="1069"/>
      <c r="CM606" s="1076"/>
      <c r="CQ606" s="1069"/>
    </row>
    <row r="607" spans="7:95" ht="14.25" customHeight="1">
      <c r="G607" s="1069"/>
      <c r="H607" s="1069"/>
      <c r="I607" s="1069"/>
      <c r="CM607" s="1076"/>
      <c r="CQ607" s="1069"/>
    </row>
    <row r="608" spans="7:95" ht="14.25" customHeight="1">
      <c r="G608" s="1069"/>
      <c r="H608" s="1069"/>
      <c r="I608" s="1069"/>
      <c r="CM608" s="1076"/>
      <c r="CQ608" s="1069"/>
    </row>
    <row r="609" spans="7:95" ht="14.25" customHeight="1">
      <c r="G609" s="1069"/>
      <c r="H609" s="1069"/>
      <c r="I609" s="1069"/>
      <c r="CM609" s="1076"/>
      <c r="CQ609" s="1069"/>
    </row>
    <row r="610" spans="7:95" ht="14.25" customHeight="1">
      <c r="G610" s="1069"/>
      <c r="H610" s="1069"/>
      <c r="I610" s="1069"/>
      <c r="CM610" s="1076"/>
      <c r="CQ610" s="1069"/>
    </row>
    <row r="611" spans="7:95" ht="14.25" customHeight="1">
      <c r="G611" s="1069"/>
      <c r="H611" s="1069"/>
      <c r="I611" s="1069"/>
      <c r="CM611" s="1076"/>
      <c r="CQ611" s="1069"/>
    </row>
    <row r="612" spans="7:95" ht="14.25" customHeight="1">
      <c r="G612" s="1069"/>
      <c r="H612" s="1069"/>
      <c r="I612" s="1069"/>
      <c r="CM612" s="1076"/>
      <c r="CQ612" s="1069"/>
    </row>
    <row r="613" spans="7:95" ht="14.25" customHeight="1">
      <c r="G613" s="1069"/>
      <c r="H613" s="1069"/>
      <c r="I613" s="1069"/>
      <c r="CM613" s="1076"/>
      <c r="CQ613" s="1069"/>
    </row>
    <row r="614" spans="7:95" ht="14.25" customHeight="1">
      <c r="G614" s="1069"/>
      <c r="H614" s="1069"/>
      <c r="I614" s="1069"/>
      <c r="CM614" s="1076"/>
      <c r="CQ614" s="1069"/>
    </row>
    <row r="615" spans="7:95" ht="14.25" customHeight="1">
      <c r="G615" s="1069"/>
      <c r="H615" s="1069"/>
      <c r="I615" s="1069"/>
      <c r="CM615" s="1076"/>
      <c r="CQ615" s="1069"/>
    </row>
    <row r="616" spans="7:95" ht="14.25" customHeight="1">
      <c r="G616" s="1069"/>
      <c r="H616" s="1069"/>
      <c r="I616" s="1069"/>
      <c r="CM616" s="1076"/>
      <c r="CQ616" s="1069"/>
    </row>
    <row r="617" spans="7:95" ht="14.25" customHeight="1">
      <c r="G617" s="1069"/>
      <c r="H617" s="1069"/>
      <c r="I617" s="1069"/>
      <c r="CM617" s="1076"/>
      <c r="CQ617" s="1069"/>
    </row>
    <row r="618" spans="7:95" ht="14.25" customHeight="1">
      <c r="G618" s="1069"/>
      <c r="H618" s="1069"/>
      <c r="I618" s="1069"/>
      <c r="CM618" s="1076"/>
      <c r="CQ618" s="1069"/>
    </row>
    <row r="619" spans="7:95" ht="14.25" customHeight="1">
      <c r="G619" s="1069"/>
      <c r="H619" s="1069"/>
      <c r="I619" s="1069"/>
      <c r="CM619" s="1076"/>
      <c r="CQ619" s="1069"/>
    </row>
    <row r="620" spans="7:95" ht="14.25" customHeight="1">
      <c r="G620" s="1069"/>
      <c r="H620" s="1069"/>
      <c r="I620" s="1069"/>
      <c r="CM620" s="1076"/>
      <c r="CQ620" s="1069"/>
    </row>
    <row r="621" spans="7:95" ht="14.25" customHeight="1">
      <c r="G621" s="1069"/>
      <c r="H621" s="1069"/>
      <c r="I621" s="1069"/>
      <c r="CM621" s="1076"/>
      <c r="CQ621" s="1069"/>
    </row>
    <row r="622" spans="7:95" ht="14.25" customHeight="1">
      <c r="G622" s="1069"/>
      <c r="H622" s="1069"/>
      <c r="I622" s="1069"/>
      <c r="CM622" s="1076"/>
      <c r="CQ622" s="1069"/>
    </row>
    <row r="623" spans="7:95" ht="14.25" customHeight="1">
      <c r="G623" s="1069"/>
      <c r="H623" s="1069"/>
      <c r="I623" s="1069"/>
      <c r="CM623" s="1076"/>
      <c r="CQ623" s="1069"/>
    </row>
    <row r="624" spans="7:95" ht="14.25" customHeight="1">
      <c r="G624" s="1069"/>
      <c r="H624" s="1069"/>
      <c r="I624" s="1069"/>
      <c r="CM624" s="1076"/>
      <c r="CQ624" s="1069"/>
    </row>
    <row r="625" spans="7:95" ht="14.25" customHeight="1">
      <c r="G625" s="1069"/>
      <c r="H625" s="1069"/>
      <c r="I625" s="1069"/>
      <c r="CM625" s="1076"/>
      <c r="CQ625" s="1069"/>
    </row>
    <row r="626" spans="7:95" ht="14.25" customHeight="1">
      <c r="G626" s="1069"/>
      <c r="H626" s="1069"/>
      <c r="I626" s="1069"/>
      <c r="CM626" s="1076"/>
      <c r="CQ626" s="1069"/>
    </row>
    <row r="627" spans="7:95" ht="14.25" customHeight="1">
      <c r="G627" s="1069"/>
      <c r="H627" s="1069"/>
      <c r="I627" s="1069"/>
      <c r="CM627" s="1076"/>
      <c r="CQ627" s="1069"/>
    </row>
    <row r="628" spans="7:95" ht="14.25" customHeight="1">
      <c r="G628" s="1069"/>
      <c r="H628" s="1069"/>
      <c r="I628" s="1069"/>
      <c r="CM628" s="1076"/>
      <c r="CQ628" s="1069"/>
    </row>
    <row r="629" spans="7:95" ht="14.25" customHeight="1">
      <c r="G629" s="1069"/>
      <c r="H629" s="1069"/>
      <c r="I629" s="1069"/>
      <c r="CM629" s="1076"/>
      <c r="CQ629" s="1069"/>
    </row>
    <row r="630" spans="7:95" ht="14.25" customHeight="1">
      <c r="G630" s="1069"/>
      <c r="H630" s="1069"/>
      <c r="I630" s="1069"/>
      <c r="CM630" s="1076"/>
      <c r="CQ630" s="1069"/>
    </row>
    <row r="631" spans="7:95" ht="14.25" customHeight="1">
      <c r="G631" s="1069"/>
      <c r="H631" s="1069"/>
      <c r="I631" s="1069"/>
      <c r="CM631" s="1076"/>
      <c r="CQ631" s="1069"/>
    </row>
    <row r="632" spans="7:95" ht="14.25" customHeight="1">
      <c r="G632" s="1069"/>
      <c r="H632" s="1069"/>
      <c r="I632" s="1069"/>
      <c r="CM632" s="1076"/>
      <c r="CQ632" s="1069"/>
    </row>
    <row r="633" spans="7:95" ht="14.25" customHeight="1">
      <c r="G633" s="1069"/>
      <c r="H633" s="1069"/>
      <c r="I633" s="1069"/>
      <c r="CM633" s="1076"/>
      <c r="CQ633" s="1069"/>
    </row>
    <row r="634" spans="7:95" ht="14.25" customHeight="1">
      <c r="G634" s="1069"/>
      <c r="H634" s="1069"/>
      <c r="I634" s="1069"/>
      <c r="CM634" s="1076"/>
      <c r="CQ634" s="1069"/>
    </row>
    <row r="635" spans="7:95" ht="14.25" customHeight="1">
      <c r="G635" s="1069"/>
      <c r="H635" s="1069"/>
      <c r="I635" s="1069"/>
      <c r="CM635" s="1076"/>
      <c r="CQ635" s="1069"/>
    </row>
    <row r="636" spans="7:95" ht="14.25" customHeight="1">
      <c r="G636" s="1069"/>
      <c r="H636" s="1069"/>
      <c r="I636" s="1069"/>
      <c r="CM636" s="1076"/>
      <c r="CQ636" s="1069"/>
    </row>
    <row r="637" spans="7:95" ht="14.25" customHeight="1">
      <c r="G637" s="1069"/>
      <c r="H637" s="1069"/>
      <c r="I637" s="1069"/>
      <c r="CM637" s="1076"/>
      <c r="CQ637" s="1069"/>
    </row>
    <row r="638" spans="7:95" ht="14.25" customHeight="1">
      <c r="G638" s="1069"/>
      <c r="H638" s="1069"/>
      <c r="I638" s="1069"/>
      <c r="CM638" s="1076"/>
      <c r="CQ638" s="1069"/>
    </row>
    <row r="639" spans="7:95" ht="14.25" customHeight="1">
      <c r="G639" s="1069"/>
      <c r="H639" s="1069"/>
      <c r="I639" s="1069"/>
      <c r="CM639" s="1076"/>
      <c r="CQ639" s="1069"/>
    </row>
    <row r="640" spans="7:95" ht="14.25" customHeight="1">
      <c r="G640" s="1069"/>
      <c r="H640" s="1069"/>
      <c r="I640" s="1069"/>
      <c r="CM640" s="1076"/>
      <c r="CQ640" s="1069"/>
    </row>
    <row r="641" spans="7:95" ht="14.25" customHeight="1">
      <c r="G641" s="1069"/>
      <c r="H641" s="1069"/>
      <c r="I641" s="1069"/>
      <c r="CM641" s="1076"/>
      <c r="CQ641" s="1069"/>
    </row>
    <row r="642" spans="7:95" ht="14.25" customHeight="1">
      <c r="G642" s="1069"/>
      <c r="H642" s="1069"/>
      <c r="I642" s="1069"/>
      <c r="CM642" s="1076"/>
      <c r="CQ642" s="1069"/>
    </row>
    <row r="643" spans="7:95" ht="14.25" customHeight="1">
      <c r="G643" s="1069"/>
      <c r="H643" s="1069"/>
      <c r="I643" s="1069"/>
      <c r="CM643" s="1076"/>
      <c r="CQ643" s="1069"/>
    </row>
    <row r="644" spans="7:95" ht="14.25" customHeight="1">
      <c r="G644" s="1069"/>
      <c r="H644" s="1069"/>
      <c r="I644" s="1069"/>
      <c r="CM644" s="1076"/>
      <c r="CQ644" s="1069"/>
    </row>
    <row r="645" spans="7:95" ht="14.25" customHeight="1">
      <c r="G645" s="1069"/>
      <c r="H645" s="1069"/>
      <c r="I645" s="1069"/>
      <c r="CM645" s="1076"/>
      <c r="CQ645" s="1069"/>
    </row>
    <row r="646" spans="7:95" ht="14.25" customHeight="1">
      <c r="G646" s="1069"/>
      <c r="H646" s="1069"/>
      <c r="I646" s="1069"/>
      <c r="CM646" s="1076"/>
      <c r="CQ646" s="1069"/>
    </row>
    <row r="647" spans="7:95" ht="14.25" customHeight="1">
      <c r="G647" s="1069"/>
      <c r="H647" s="1069"/>
      <c r="I647" s="1069"/>
      <c r="CM647" s="1076"/>
      <c r="CQ647" s="1069"/>
    </row>
    <row r="648" spans="7:95" ht="14.25" customHeight="1">
      <c r="G648" s="1069"/>
      <c r="H648" s="1069"/>
      <c r="I648" s="1069"/>
      <c r="CM648" s="1076"/>
      <c r="CQ648" s="1069"/>
    </row>
    <row r="649" spans="7:95" ht="14.25" customHeight="1">
      <c r="G649" s="1069"/>
      <c r="H649" s="1069"/>
      <c r="I649" s="1069"/>
      <c r="CM649" s="1076"/>
      <c r="CQ649" s="1069"/>
    </row>
    <row r="650" spans="7:95" ht="14.25" customHeight="1">
      <c r="G650" s="1069"/>
      <c r="H650" s="1069"/>
      <c r="I650" s="1069"/>
      <c r="CM650" s="1076"/>
      <c r="CQ650" s="1069"/>
    </row>
    <row r="651" spans="7:95" ht="14.25" customHeight="1">
      <c r="G651" s="1069"/>
      <c r="H651" s="1069"/>
      <c r="I651" s="1069"/>
      <c r="CM651" s="1076"/>
      <c r="CQ651" s="1069"/>
    </row>
    <row r="652" spans="7:95" ht="14.25" customHeight="1">
      <c r="G652" s="1069"/>
      <c r="H652" s="1069"/>
      <c r="I652" s="1069"/>
      <c r="CM652" s="1076"/>
      <c r="CQ652" s="1069"/>
    </row>
    <row r="653" spans="7:95" ht="14.25" customHeight="1">
      <c r="G653" s="1069"/>
      <c r="H653" s="1069"/>
      <c r="I653" s="1069"/>
      <c r="CM653" s="1076"/>
      <c r="CQ653" s="1069"/>
    </row>
    <row r="654" spans="7:95" ht="14.25" customHeight="1">
      <c r="G654" s="1069"/>
      <c r="H654" s="1069"/>
      <c r="I654" s="1069"/>
      <c r="CM654" s="1076"/>
      <c r="CQ654" s="1069"/>
    </row>
    <row r="655" spans="7:95" ht="14.25" customHeight="1">
      <c r="G655" s="1069"/>
      <c r="H655" s="1069"/>
      <c r="I655" s="1069"/>
      <c r="CM655" s="1076"/>
      <c r="CQ655" s="1069"/>
    </row>
    <row r="656" spans="7:95" ht="14.25" customHeight="1">
      <c r="G656" s="1069"/>
      <c r="H656" s="1069"/>
      <c r="I656" s="1069"/>
      <c r="CM656" s="1076"/>
      <c r="CQ656" s="1069"/>
    </row>
    <row r="657" spans="7:95" ht="14.25" customHeight="1">
      <c r="G657" s="1069"/>
      <c r="H657" s="1069"/>
      <c r="I657" s="1069"/>
      <c r="CM657" s="1076"/>
      <c r="CQ657" s="1069"/>
    </row>
    <row r="658" spans="7:95" ht="14.25" customHeight="1">
      <c r="G658" s="1069"/>
      <c r="H658" s="1069"/>
      <c r="I658" s="1069"/>
      <c r="CM658" s="1076"/>
      <c r="CQ658" s="1069"/>
    </row>
    <row r="659" spans="7:95" ht="14.25" customHeight="1">
      <c r="G659" s="1069"/>
      <c r="H659" s="1069"/>
      <c r="I659" s="1069"/>
      <c r="CM659" s="1076"/>
      <c r="CQ659" s="1069"/>
    </row>
    <row r="660" spans="7:95" ht="14.25" customHeight="1">
      <c r="G660" s="1069"/>
      <c r="H660" s="1069"/>
      <c r="I660" s="1069"/>
      <c r="CM660" s="1076"/>
      <c r="CQ660" s="1069"/>
    </row>
    <row r="661" spans="7:95" ht="14.25" customHeight="1">
      <c r="G661" s="1069"/>
      <c r="H661" s="1069"/>
      <c r="I661" s="1069"/>
      <c r="CM661" s="1076"/>
      <c r="CQ661" s="1069"/>
    </row>
    <row r="662" spans="7:95" ht="14.25" customHeight="1">
      <c r="G662" s="1069"/>
      <c r="H662" s="1069"/>
      <c r="I662" s="1069"/>
      <c r="CM662" s="1076"/>
      <c r="CQ662" s="1069"/>
    </row>
    <row r="663" spans="7:95" ht="14.25" customHeight="1">
      <c r="G663" s="1069"/>
      <c r="H663" s="1069"/>
      <c r="I663" s="1069"/>
      <c r="CM663" s="1076"/>
      <c r="CQ663" s="1069"/>
    </row>
    <row r="664" spans="7:95" ht="14.25" customHeight="1">
      <c r="G664" s="1069"/>
      <c r="H664" s="1069"/>
      <c r="I664" s="1069"/>
      <c r="CM664" s="1076"/>
      <c r="CQ664" s="1069"/>
    </row>
    <row r="665" spans="7:95" ht="14.25" customHeight="1">
      <c r="G665" s="1069"/>
      <c r="H665" s="1069"/>
      <c r="I665" s="1069"/>
      <c r="CM665" s="1076"/>
      <c r="CQ665" s="1069"/>
    </row>
    <row r="666" spans="7:95" ht="14.25" customHeight="1">
      <c r="G666" s="1069"/>
      <c r="H666" s="1069"/>
      <c r="I666" s="1069"/>
      <c r="CM666" s="1076"/>
      <c r="CQ666" s="1069"/>
    </row>
    <row r="667" spans="7:95" ht="14.25" customHeight="1">
      <c r="G667" s="1069"/>
      <c r="H667" s="1069"/>
      <c r="I667" s="1069"/>
      <c r="CM667" s="1076"/>
      <c r="CQ667" s="1069"/>
    </row>
    <row r="668" spans="7:95" ht="14.25" customHeight="1">
      <c r="G668" s="1069"/>
      <c r="H668" s="1069"/>
      <c r="I668" s="1069"/>
      <c r="CM668" s="1076"/>
      <c r="CQ668" s="1069"/>
    </row>
    <row r="669" spans="7:95" ht="14.25" customHeight="1">
      <c r="G669" s="1069"/>
      <c r="H669" s="1069"/>
      <c r="I669" s="1069"/>
      <c r="CM669" s="1076"/>
      <c r="CQ669" s="1069"/>
    </row>
    <row r="670" spans="7:95" ht="14.25" customHeight="1">
      <c r="G670" s="1069"/>
      <c r="H670" s="1069"/>
      <c r="I670" s="1069"/>
      <c r="CM670" s="1076"/>
      <c r="CQ670" s="1069"/>
    </row>
    <row r="671" spans="7:95" ht="14.25" customHeight="1">
      <c r="G671" s="1069"/>
      <c r="H671" s="1069"/>
      <c r="I671" s="1069"/>
      <c r="CM671" s="1076"/>
      <c r="CQ671" s="1069"/>
    </row>
    <row r="672" spans="7:95" ht="14.25" customHeight="1">
      <c r="G672" s="1069"/>
      <c r="H672" s="1069"/>
      <c r="I672" s="1069"/>
      <c r="CM672" s="1076"/>
      <c r="CQ672" s="1069"/>
    </row>
    <row r="673" spans="7:95" ht="14.25" customHeight="1">
      <c r="G673" s="1069"/>
      <c r="H673" s="1069"/>
      <c r="I673" s="1069"/>
      <c r="CM673" s="1076"/>
      <c r="CQ673" s="1069"/>
    </row>
    <row r="674" spans="7:95" ht="14.25" customHeight="1">
      <c r="G674" s="1069"/>
      <c r="H674" s="1069"/>
      <c r="I674" s="1069"/>
      <c r="CM674" s="1076"/>
      <c r="CQ674" s="1069"/>
    </row>
    <row r="675" spans="7:95" ht="14.25" customHeight="1">
      <c r="G675" s="1069"/>
      <c r="H675" s="1069"/>
      <c r="I675" s="1069"/>
      <c r="CM675" s="1076"/>
      <c r="CQ675" s="1069"/>
    </row>
    <row r="676" spans="7:95" ht="14.25" customHeight="1">
      <c r="G676" s="1069"/>
      <c r="H676" s="1069"/>
      <c r="I676" s="1069"/>
      <c r="CM676" s="1076"/>
      <c r="CQ676" s="1069"/>
    </row>
    <row r="677" spans="7:95" ht="14.25" customHeight="1">
      <c r="G677" s="1069"/>
      <c r="H677" s="1069"/>
      <c r="I677" s="1069"/>
      <c r="CM677" s="1076"/>
      <c r="CQ677" s="1069"/>
    </row>
    <row r="678" spans="7:95" ht="14.25" customHeight="1">
      <c r="G678" s="1069"/>
      <c r="H678" s="1069"/>
      <c r="I678" s="1069"/>
      <c r="CM678" s="1076"/>
      <c r="CQ678" s="1069"/>
    </row>
    <row r="679" spans="7:95" ht="14.25" customHeight="1">
      <c r="G679" s="1069"/>
      <c r="H679" s="1069"/>
      <c r="I679" s="1069"/>
      <c r="CM679" s="1076"/>
      <c r="CQ679" s="1069"/>
    </row>
    <row r="680" spans="7:95" ht="14.25" customHeight="1">
      <c r="G680" s="1069"/>
      <c r="H680" s="1069"/>
      <c r="I680" s="1069"/>
      <c r="CM680" s="1076"/>
      <c r="CQ680" s="1069"/>
    </row>
    <row r="681" spans="7:95" ht="14.25" customHeight="1">
      <c r="G681" s="1069"/>
      <c r="H681" s="1069"/>
      <c r="I681" s="1069"/>
      <c r="CM681" s="1076"/>
      <c r="CQ681" s="1069"/>
    </row>
    <row r="682" spans="7:95" ht="14.25" customHeight="1">
      <c r="G682" s="1069"/>
      <c r="H682" s="1069"/>
      <c r="I682" s="1069"/>
      <c r="CM682" s="1076"/>
      <c r="CQ682" s="1069"/>
    </row>
    <row r="683" spans="7:95" ht="14.25" customHeight="1">
      <c r="G683" s="1069"/>
      <c r="H683" s="1069"/>
      <c r="I683" s="1069"/>
      <c r="CM683" s="1076"/>
      <c r="CQ683" s="1069"/>
    </row>
    <row r="684" spans="7:95" ht="14.25" customHeight="1">
      <c r="G684" s="1069"/>
      <c r="H684" s="1069"/>
      <c r="I684" s="1069"/>
      <c r="CM684" s="1076"/>
      <c r="CQ684" s="1069"/>
    </row>
    <row r="685" spans="7:95" ht="14.25" customHeight="1">
      <c r="G685" s="1069"/>
      <c r="H685" s="1069"/>
      <c r="I685" s="1069"/>
      <c r="CM685" s="1076"/>
      <c r="CQ685" s="1069"/>
    </row>
    <row r="686" spans="7:95" ht="14.25" customHeight="1">
      <c r="G686" s="1069"/>
      <c r="H686" s="1069"/>
      <c r="I686" s="1069"/>
      <c r="CM686" s="1076"/>
      <c r="CQ686" s="1069"/>
    </row>
    <row r="687" spans="7:95" ht="14.25" customHeight="1">
      <c r="G687" s="1069"/>
      <c r="H687" s="1069"/>
      <c r="I687" s="1069"/>
      <c r="CM687" s="1076"/>
      <c r="CQ687" s="1069"/>
    </row>
    <row r="688" spans="7:95" ht="14.25" customHeight="1">
      <c r="G688" s="1069"/>
      <c r="H688" s="1069"/>
      <c r="I688" s="1069"/>
      <c r="CM688" s="1076"/>
      <c r="CQ688" s="1069"/>
    </row>
    <row r="689" spans="7:95" ht="14.25" customHeight="1">
      <c r="G689" s="1069"/>
      <c r="H689" s="1069"/>
      <c r="I689" s="1069"/>
      <c r="CM689" s="1076"/>
      <c r="CQ689" s="1069"/>
    </row>
    <row r="690" spans="7:95" ht="14.25" customHeight="1">
      <c r="G690" s="1069"/>
      <c r="H690" s="1069"/>
      <c r="I690" s="1069"/>
      <c r="CM690" s="1076"/>
      <c r="CQ690" s="1069"/>
    </row>
    <row r="691" spans="7:95" ht="14.25" customHeight="1">
      <c r="G691" s="1069"/>
      <c r="H691" s="1069"/>
      <c r="I691" s="1069"/>
      <c r="CM691" s="1076"/>
      <c r="CQ691" s="1069"/>
    </row>
    <row r="692" spans="7:95" ht="14.25" customHeight="1">
      <c r="G692" s="1069"/>
      <c r="H692" s="1069"/>
      <c r="I692" s="1069"/>
      <c r="CM692" s="1076"/>
      <c r="CQ692" s="1069"/>
    </row>
    <row r="693" spans="7:95" ht="14.25" customHeight="1">
      <c r="G693" s="1069"/>
      <c r="H693" s="1069"/>
      <c r="I693" s="1069"/>
      <c r="CM693" s="1076"/>
      <c r="CQ693" s="1069"/>
    </row>
    <row r="694" spans="7:95" ht="14.25" customHeight="1">
      <c r="G694" s="1069"/>
      <c r="H694" s="1069"/>
      <c r="I694" s="1069"/>
      <c r="CM694" s="1076"/>
      <c r="CQ694" s="1069"/>
    </row>
    <row r="695" spans="7:95" ht="14.25" customHeight="1">
      <c r="G695" s="1069"/>
      <c r="H695" s="1069"/>
      <c r="I695" s="1069"/>
      <c r="CM695" s="1076"/>
      <c r="CQ695" s="1069"/>
    </row>
    <row r="696" spans="7:95" ht="14.25" customHeight="1">
      <c r="G696" s="1069"/>
      <c r="H696" s="1069"/>
      <c r="I696" s="1069"/>
      <c r="CM696" s="1076"/>
      <c r="CQ696" s="1069"/>
    </row>
    <row r="697" spans="7:95" ht="14.25" customHeight="1">
      <c r="G697" s="1069"/>
      <c r="H697" s="1069"/>
      <c r="I697" s="1069"/>
      <c r="CM697" s="1076"/>
      <c r="CQ697" s="1069"/>
    </row>
    <row r="698" spans="7:95" ht="14.25" customHeight="1">
      <c r="G698" s="1069"/>
      <c r="H698" s="1069"/>
      <c r="I698" s="1069"/>
      <c r="CM698" s="1076"/>
      <c r="CQ698" s="1069"/>
    </row>
    <row r="699" spans="7:95" ht="14.25" customHeight="1">
      <c r="G699" s="1069"/>
      <c r="H699" s="1069"/>
      <c r="I699" s="1069"/>
      <c r="CM699" s="1076"/>
      <c r="CQ699" s="1069"/>
    </row>
    <row r="700" spans="7:95" ht="14.25" customHeight="1">
      <c r="G700" s="1069"/>
      <c r="H700" s="1069"/>
      <c r="I700" s="1069"/>
      <c r="CM700" s="1076"/>
      <c r="CQ700" s="1069"/>
    </row>
    <row r="701" spans="7:95" ht="14.25" customHeight="1">
      <c r="G701" s="1069"/>
      <c r="H701" s="1069"/>
      <c r="I701" s="1069"/>
      <c r="CM701" s="1076"/>
      <c r="CQ701" s="1069"/>
    </row>
    <row r="702" spans="7:95" ht="14.25" customHeight="1">
      <c r="G702" s="1069"/>
      <c r="H702" s="1069"/>
      <c r="I702" s="1069"/>
      <c r="CM702" s="1076"/>
      <c r="CQ702" s="1069"/>
    </row>
    <row r="703" spans="7:95" ht="14.25" customHeight="1">
      <c r="G703" s="1069"/>
      <c r="H703" s="1069"/>
      <c r="I703" s="1069"/>
      <c r="CM703" s="1076"/>
      <c r="CQ703" s="1069"/>
    </row>
    <row r="704" spans="7:95" ht="14.25" customHeight="1">
      <c r="G704" s="1069"/>
      <c r="H704" s="1069"/>
      <c r="I704" s="1069"/>
      <c r="CM704" s="1076"/>
      <c r="CQ704" s="1069"/>
    </row>
    <row r="705" spans="7:95" ht="14.25" customHeight="1">
      <c r="G705" s="1069"/>
      <c r="H705" s="1069"/>
      <c r="I705" s="1069"/>
      <c r="CM705" s="1076"/>
      <c r="CQ705" s="1069"/>
    </row>
    <row r="706" spans="7:95" ht="14.25" customHeight="1">
      <c r="G706" s="1069"/>
      <c r="H706" s="1069"/>
      <c r="I706" s="1069"/>
      <c r="CM706" s="1076"/>
      <c r="CQ706" s="1069"/>
    </row>
    <row r="707" spans="7:95" ht="14.25" customHeight="1">
      <c r="G707" s="1069"/>
      <c r="H707" s="1069"/>
      <c r="I707" s="1069"/>
      <c r="CM707" s="1076"/>
      <c r="CQ707" s="1069"/>
    </row>
    <row r="708" spans="7:95" ht="14.25" customHeight="1">
      <c r="G708" s="1069"/>
      <c r="H708" s="1069"/>
      <c r="I708" s="1069"/>
      <c r="CM708" s="1076"/>
      <c r="CQ708" s="1069"/>
    </row>
    <row r="709" spans="7:95" ht="14.25" customHeight="1">
      <c r="G709" s="1069"/>
      <c r="H709" s="1069"/>
      <c r="I709" s="1069"/>
      <c r="CM709" s="1076"/>
      <c r="CQ709" s="1069"/>
    </row>
    <row r="710" spans="7:95" ht="14.25" customHeight="1">
      <c r="G710" s="1069"/>
      <c r="H710" s="1069"/>
      <c r="I710" s="1069"/>
      <c r="CM710" s="1076"/>
      <c r="CQ710" s="1069"/>
    </row>
    <row r="711" spans="7:95" ht="14.25" customHeight="1">
      <c r="G711" s="1069"/>
      <c r="H711" s="1069"/>
      <c r="I711" s="1069"/>
      <c r="CM711" s="1076"/>
      <c r="CQ711" s="1069"/>
    </row>
    <row r="712" spans="7:95" ht="14.25" customHeight="1">
      <c r="G712" s="1069"/>
      <c r="H712" s="1069"/>
      <c r="I712" s="1069"/>
      <c r="CM712" s="1076"/>
      <c r="CQ712" s="1069"/>
    </row>
    <row r="713" spans="7:95" ht="14.25" customHeight="1">
      <c r="G713" s="1069"/>
      <c r="H713" s="1069"/>
      <c r="I713" s="1069"/>
      <c r="CM713" s="1076"/>
      <c r="CQ713" s="1069"/>
    </row>
    <row r="714" spans="7:95" ht="14.25" customHeight="1">
      <c r="G714" s="1069"/>
      <c r="H714" s="1069"/>
      <c r="I714" s="1069"/>
      <c r="CM714" s="1076"/>
      <c r="CQ714" s="1069"/>
    </row>
    <row r="715" spans="7:95" ht="14.25" customHeight="1">
      <c r="G715" s="1069"/>
      <c r="H715" s="1069"/>
      <c r="I715" s="1069"/>
      <c r="CM715" s="1076"/>
      <c r="CQ715" s="1069"/>
    </row>
    <row r="716" spans="7:95" ht="14.25" customHeight="1">
      <c r="G716" s="1069"/>
      <c r="H716" s="1069"/>
      <c r="I716" s="1069"/>
      <c r="CM716" s="1076"/>
      <c r="CQ716" s="1069"/>
    </row>
    <row r="717" spans="7:95" ht="14.25" customHeight="1">
      <c r="G717" s="1069"/>
      <c r="H717" s="1069"/>
      <c r="I717" s="1069"/>
      <c r="CM717" s="1076"/>
      <c r="CQ717" s="1069"/>
    </row>
    <row r="718" spans="7:95" ht="14.25" customHeight="1">
      <c r="G718" s="1069"/>
      <c r="H718" s="1069"/>
      <c r="I718" s="1069"/>
      <c r="CM718" s="1076"/>
      <c r="CQ718" s="1069"/>
    </row>
    <row r="719" spans="7:95" ht="14.25" customHeight="1">
      <c r="G719" s="1069"/>
      <c r="H719" s="1069"/>
      <c r="I719" s="1069"/>
      <c r="CM719" s="1076"/>
      <c r="CQ719" s="1069"/>
    </row>
    <row r="720" spans="7:95" ht="14.25" customHeight="1">
      <c r="G720" s="1069"/>
      <c r="H720" s="1069"/>
      <c r="I720" s="1069"/>
      <c r="CM720" s="1076"/>
      <c r="CQ720" s="1069"/>
    </row>
    <row r="721" spans="7:95" ht="14.25" customHeight="1">
      <c r="G721" s="1069"/>
      <c r="H721" s="1069"/>
      <c r="I721" s="1069"/>
      <c r="CM721" s="1076"/>
      <c r="CQ721" s="1069"/>
    </row>
    <row r="722" spans="7:95" ht="14.25" customHeight="1">
      <c r="G722" s="1069"/>
      <c r="H722" s="1069"/>
      <c r="I722" s="1069"/>
      <c r="CM722" s="1076"/>
      <c r="CQ722" s="1069"/>
    </row>
    <row r="723" spans="7:95" ht="14.25" customHeight="1">
      <c r="G723" s="1069"/>
      <c r="H723" s="1069"/>
      <c r="I723" s="1069"/>
      <c r="CM723" s="1076"/>
      <c r="CQ723" s="1069"/>
    </row>
    <row r="724" spans="7:95" ht="14.25" customHeight="1">
      <c r="G724" s="1069"/>
      <c r="H724" s="1069"/>
      <c r="I724" s="1069"/>
      <c r="CM724" s="1076"/>
      <c r="CQ724" s="1069"/>
    </row>
    <row r="725" spans="7:95" ht="14.25" customHeight="1">
      <c r="G725" s="1069"/>
      <c r="H725" s="1069"/>
      <c r="I725" s="1069"/>
      <c r="CM725" s="1076"/>
      <c r="CQ725" s="1069"/>
    </row>
    <row r="726" spans="7:95" ht="14.25" customHeight="1">
      <c r="G726" s="1069"/>
      <c r="H726" s="1069"/>
      <c r="I726" s="1069"/>
      <c r="CM726" s="1076"/>
      <c r="CQ726" s="1069"/>
    </row>
    <row r="727" spans="7:95" ht="14.25" customHeight="1">
      <c r="G727" s="1069"/>
      <c r="H727" s="1069"/>
      <c r="I727" s="1069"/>
      <c r="CM727" s="1076"/>
      <c r="CQ727" s="1069"/>
    </row>
    <row r="728" spans="7:95" ht="14.25" customHeight="1">
      <c r="G728" s="1069"/>
      <c r="H728" s="1069"/>
      <c r="I728" s="1069"/>
      <c r="CM728" s="1076"/>
      <c r="CQ728" s="1069"/>
    </row>
    <row r="729" spans="7:95" ht="14.25" customHeight="1">
      <c r="G729" s="1069"/>
      <c r="H729" s="1069"/>
      <c r="I729" s="1069"/>
      <c r="CM729" s="1076"/>
      <c r="CQ729" s="1069"/>
    </row>
    <row r="730" spans="7:95" ht="14.25" customHeight="1">
      <c r="G730" s="1069"/>
      <c r="H730" s="1069"/>
      <c r="I730" s="1069"/>
      <c r="CM730" s="1076"/>
      <c r="CQ730" s="1069"/>
    </row>
    <row r="731" spans="7:95" ht="14.25" customHeight="1">
      <c r="G731" s="1069"/>
      <c r="H731" s="1069"/>
      <c r="I731" s="1069"/>
      <c r="CM731" s="1076"/>
      <c r="CQ731" s="1069"/>
    </row>
    <row r="732" spans="7:95" ht="14.25" customHeight="1">
      <c r="G732" s="1069"/>
      <c r="H732" s="1069"/>
      <c r="I732" s="1069"/>
      <c r="CM732" s="1076"/>
      <c r="CQ732" s="1069"/>
    </row>
    <row r="733" spans="7:95" ht="14.25" customHeight="1">
      <c r="G733" s="1069"/>
      <c r="H733" s="1069"/>
      <c r="I733" s="1069"/>
      <c r="CM733" s="1076"/>
      <c r="CQ733" s="1069"/>
    </row>
    <row r="734" spans="7:95" ht="14.25" customHeight="1">
      <c r="G734" s="1069"/>
      <c r="H734" s="1069"/>
      <c r="I734" s="1069"/>
      <c r="CM734" s="1076"/>
      <c r="CQ734" s="1069"/>
    </row>
    <row r="735" spans="7:95" ht="14.25" customHeight="1">
      <c r="G735" s="1069"/>
      <c r="H735" s="1069"/>
      <c r="I735" s="1069"/>
      <c r="CM735" s="1076"/>
      <c r="CQ735" s="1069"/>
    </row>
    <row r="736" spans="7:95" ht="14.25" customHeight="1">
      <c r="G736" s="1069"/>
      <c r="H736" s="1069"/>
      <c r="I736" s="1069"/>
      <c r="CM736" s="1076"/>
      <c r="CQ736" s="1069"/>
    </row>
    <row r="737" spans="7:95" ht="14.25" customHeight="1">
      <c r="G737" s="1069"/>
      <c r="H737" s="1069"/>
      <c r="I737" s="1069"/>
      <c r="CM737" s="1076"/>
      <c r="CQ737" s="1069"/>
    </row>
    <row r="738" spans="7:95" ht="14.25" customHeight="1">
      <c r="G738" s="1069"/>
      <c r="H738" s="1069"/>
      <c r="I738" s="1069"/>
      <c r="CM738" s="1076"/>
      <c r="CQ738" s="1069"/>
    </row>
    <row r="739" spans="7:95" ht="14.25" customHeight="1">
      <c r="G739" s="1069"/>
      <c r="H739" s="1069"/>
      <c r="I739" s="1069"/>
      <c r="CM739" s="1076"/>
      <c r="CQ739" s="1069"/>
    </row>
    <row r="740" spans="7:95" ht="14.25" customHeight="1">
      <c r="G740" s="1069"/>
      <c r="H740" s="1069"/>
      <c r="I740" s="1069"/>
      <c r="CM740" s="1076"/>
      <c r="CQ740" s="1069"/>
    </row>
    <row r="741" spans="7:95" ht="14.25" customHeight="1">
      <c r="G741" s="1069"/>
      <c r="H741" s="1069"/>
      <c r="I741" s="1069"/>
      <c r="CM741" s="1076"/>
      <c r="CQ741" s="1069"/>
    </row>
    <row r="742" spans="7:95" ht="14.25" customHeight="1">
      <c r="G742" s="1069"/>
      <c r="H742" s="1069"/>
      <c r="I742" s="1069"/>
      <c r="CM742" s="1076"/>
      <c r="CQ742" s="1069"/>
    </row>
    <row r="743" spans="7:95" ht="14.25" customHeight="1">
      <c r="G743" s="1069"/>
      <c r="H743" s="1069"/>
      <c r="I743" s="1069"/>
      <c r="CM743" s="1076"/>
      <c r="CQ743" s="1069"/>
    </row>
    <row r="744" spans="7:95" ht="14.25" customHeight="1">
      <c r="G744" s="1069"/>
      <c r="H744" s="1069"/>
      <c r="I744" s="1069"/>
      <c r="CM744" s="1076"/>
      <c r="CQ744" s="1069"/>
    </row>
    <row r="745" spans="7:95" ht="14.25" customHeight="1">
      <c r="G745" s="1069"/>
      <c r="H745" s="1069"/>
      <c r="I745" s="1069"/>
      <c r="CM745" s="1076"/>
      <c r="CQ745" s="1069"/>
    </row>
    <row r="746" spans="7:95" ht="14.25" customHeight="1">
      <c r="G746" s="1069"/>
      <c r="H746" s="1069"/>
      <c r="I746" s="1069"/>
      <c r="CM746" s="1076"/>
      <c r="CQ746" s="1069"/>
    </row>
    <row r="747" spans="7:95" ht="14.25" customHeight="1">
      <c r="G747" s="1069"/>
      <c r="H747" s="1069"/>
      <c r="I747" s="1069"/>
      <c r="CM747" s="1076"/>
      <c r="CQ747" s="1069"/>
    </row>
    <row r="748" spans="7:95" ht="14.25" customHeight="1">
      <c r="G748" s="1069"/>
      <c r="H748" s="1069"/>
      <c r="I748" s="1069"/>
      <c r="CM748" s="1076"/>
      <c r="CQ748" s="1069"/>
    </row>
    <row r="749" spans="7:95" ht="14.25" customHeight="1">
      <c r="G749" s="1069"/>
      <c r="H749" s="1069"/>
      <c r="I749" s="1069"/>
      <c r="CM749" s="1076"/>
      <c r="CQ749" s="1069"/>
    </row>
    <row r="750" spans="7:95" ht="14.25" customHeight="1">
      <c r="G750" s="1069"/>
      <c r="H750" s="1069"/>
      <c r="I750" s="1069"/>
      <c r="CM750" s="1076"/>
      <c r="CQ750" s="1069"/>
    </row>
    <row r="751" spans="7:95" ht="14.25" customHeight="1">
      <c r="G751" s="1069"/>
      <c r="H751" s="1069"/>
      <c r="I751" s="1069"/>
      <c r="CM751" s="1076"/>
      <c r="CQ751" s="1069"/>
    </row>
    <row r="752" spans="7:95" ht="14.25" customHeight="1">
      <c r="G752" s="1069"/>
      <c r="H752" s="1069"/>
      <c r="I752" s="1069"/>
      <c r="CM752" s="1076"/>
      <c r="CQ752" s="1069"/>
    </row>
    <row r="753" spans="7:95" ht="14.25" customHeight="1">
      <c r="G753" s="1069"/>
      <c r="H753" s="1069"/>
      <c r="I753" s="1069"/>
      <c r="CM753" s="1076"/>
      <c r="CQ753" s="1069"/>
    </row>
    <row r="754" spans="7:95" ht="14.25" customHeight="1">
      <c r="G754" s="1069"/>
      <c r="H754" s="1069"/>
      <c r="I754" s="1069"/>
      <c r="CM754" s="1076"/>
      <c r="CQ754" s="1069"/>
    </row>
    <row r="755" spans="7:95" ht="14.25" customHeight="1">
      <c r="G755" s="1069"/>
      <c r="H755" s="1069"/>
      <c r="I755" s="1069"/>
      <c r="CM755" s="1076"/>
      <c r="CQ755" s="1069"/>
    </row>
    <row r="756" spans="7:95" ht="14.25" customHeight="1">
      <c r="G756" s="1069"/>
      <c r="H756" s="1069"/>
      <c r="I756" s="1069"/>
      <c r="CM756" s="1076"/>
      <c r="CQ756" s="1069"/>
    </row>
    <row r="757" spans="7:95" ht="14.25" customHeight="1">
      <c r="G757" s="1069"/>
      <c r="H757" s="1069"/>
      <c r="I757" s="1069"/>
      <c r="CM757" s="1076"/>
      <c r="CQ757" s="1069"/>
    </row>
    <row r="758" spans="7:95" ht="14.25" customHeight="1">
      <c r="G758" s="1069"/>
      <c r="H758" s="1069"/>
      <c r="I758" s="1069"/>
      <c r="CM758" s="1076"/>
      <c r="CQ758" s="1069"/>
    </row>
    <row r="759" spans="7:95" ht="14.25" customHeight="1">
      <c r="G759" s="1069"/>
      <c r="H759" s="1069"/>
      <c r="I759" s="1069"/>
      <c r="CM759" s="1076"/>
      <c r="CQ759" s="1069"/>
    </row>
    <row r="760" spans="7:95" ht="14.25" customHeight="1">
      <c r="G760" s="1069"/>
      <c r="H760" s="1069"/>
      <c r="I760" s="1069"/>
      <c r="CM760" s="1076"/>
      <c r="CQ760" s="1069"/>
    </row>
    <row r="761" spans="7:95" ht="14.25" customHeight="1">
      <c r="G761" s="1069"/>
      <c r="H761" s="1069"/>
      <c r="I761" s="1069"/>
      <c r="CM761" s="1076"/>
      <c r="CQ761" s="1069"/>
    </row>
    <row r="762" spans="7:95" ht="14.25" customHeight="1">
      <c r="G762" s="1069"/>
      <c r="H762" s="1069"/>
      <c r="I762" s="1069"/>
      <c r="CM762" s="1076"/>
      <c r="CQ762" s="1069"/>
    </row>
    <row r="763" spans="7:95" ht="14.25" customHeight="1">
      <c r="G763" s="1069"/>
      <c r="H763" s="1069"/>
      <c r="I763" s="1069"/>
      <c r="CM763" s="1076"/>
      <c r="CQ763" s="1069"/>
    </row>
    <row r="764" spans="7:95" ht="14.25" customHeight="1">
      <c r="G764" s="1069"/>
      <c r="H764" s="1069"/>
      <c r="I764" s="1069"/>
      <c r="CM764" s="1076"/>
      <c r="CQ764" s="1069"/>
    </row>
    <row r="765" spans="7:95" ht="14.25" customHeight="1">
      <c r="G765" s="1069"/>
      <c r="H765" s="1069"/>
      <c r="I765" s="1069"/>
      <c r="CM765" s="1076"/>
      <c r="CQ765" s="1069"/>
    </row>
    <row r="766" spans="7:95" ht="14.25" customHeight="1">
      <c r="G766" s="1069"/>
      <c r="H766" s="1069"/>
      <c r="I766" s="1069"/>
      <c r="CM766" s="1076"/>
      <c r="CQ766" s="1069"/>
    </row>
    <row r="767" spans="7:95" ht="14.25" customHeight="1">
      <c r="G767" s="1069"/>
      <c r="H767" s="1069"/>
      <c r="I767" s="1069"/>
      <c r="CM767" s="1076"/>
      <c r="CQ767" s="1069"/>
    </row>
    <row r="768" spans="7:95" ht="14.25" customHeight="1">
      <c r="G768" s="1069"/>
      <c r="H768" s="1069"/>
      <c r="I768" s="1069"/>
      <c r="CM768" s="1076"/>
      <c r="CQ768" s="1069"/>
    </row>
    <row r="769" spans="7:95" ht="14.25" customHeight="1">
      <c r="G769" s="1069"/>
      <c r="H769" s="1069"/>
      <c r="I769" s="1069"/>
      <c r="CM769" s="1076"/>
      <c r="CQ769" s="1069"/>
    </row>
    <row r="770" spans="7:95" ht="14.25" customHeight="1">
      <c r="G770" s="1069"/>
      <c r="H770" s="1069"/>
      <c r="I770" s="1069"/>
      <c r="CM770" s="1076"/>
      <c r="CQ770" s="1069"/>
    </row>
    <row r="771" spans="7:95" ht="14.25" customHeight="1">
      <c r="G771" s="1069"/>
      <c r="H771" s="1069"/>
      <c r="I771" s="1069"/>
      <c r="CM771" s="1076"/>
      <c r="CQ771" s="1069"/>
    </row>
    <row r="772" spans="7:95" ht="14.25" customHeight="1">
      <c r="G772" s="1069"/>
      <c r="H772" s="1069"/>
      <c r="I772" s="1069"/>
      <c r="CM772" s="1076"/>
      <c r="CQ772" s="1069"/>
    </row>
    <row r="773" spans="7:95" ht="14.25" customHeight="1">
      <c r="G773" s="1069"/>
      <c r="H773" s="1069"/>
      <c r="I773" s="1069"/>
      <c r="CM773" s="1076"/>
      <c r="CQ773" s="1069"/>
    </row>
    <row r="774" spans="7:95" ht="14.25" customHeight="1">
      <c r="G774" s="1069"/>
      <c r="H774" s="1069"/>
      <c r="I774" s="1069"/>
      <c r="CM774" s="1076"/>
      <c r="CQ774" s="1069"/>
    </row>
    <row r="775" spans="7:95" ht="14.25" customHeight="1">
      <c r="G775" s="1069"/>
      <c r="H775" s="1069"/>
      <c r="I775" s="1069"/>
      <c r="CM775" s="1076"/>
      <c r="CQ775" s="1069"/>
    </row>
    <row r="776" spans="7:95" ht="14.25" customHeight="1">
      <c r="G776" s="1069"/>
      <c r="H776" s="1069"/>
      <c r="I776" s="1069"/>
      <c r="CM776" s="1076"/>
      <c r="CQ776" s="1069"/>
    </row>
    <row r="777" spans="7:95" ht="14.25" customHeight="1">
      <c r="G777" s="1069"/>
      <c r="H777" s="1069"/>
      <c r="I777" s="1069"/>
      <c r="CM777" s="1076"/>
      <c r="CQ777" s="1069"/>
    </row>
    <row r="778" spans="7:95" ht="14.25" customHeight="1">
      <c r="G778" s="1069"/>
      <c r="H778" s="1069"/>
      <c r="I778" s="1069"/>
      <c r="CM778" s="1076"/>
      <c r="CQ778" s="1069"/>
    </row>
    <row r="779" spans="7:95" ht="14.25" customHeight="1">
      <c r="G779" s="1069"/>
      <c r="H779" s="1069"/>
      <c r="I779" s="1069"/>
      <c r="CM779" s="1076"/>
      <c r="CQ779" s="1069"/>
    </row>
    <row r="780" spans="7:95" ht="14.25" customHeight="1">
      <c r="G780" s="1069"/>
      <c r="H780" s="1069"/>
      <c r="I780" s="1069"/>
      <c r="CM780" s="1076"/>
      <c r="CQ780" s="1069"/>
    </row>
    <row r="781" spans="7:95" ht="14.25" customHeight="1">
      <c r="G781" s="1069"/>
      <c r="H781" s="1069"/>
      <c r="I781" s="1069"/>
      <c r="CM781" s="1076"/>
      <c r="CQ781" s="1069"/>
    </row>
    <row r="782" spans="7:95" ht="14.25" customHeight="1">
      <c r="G782" s="1069"/>
      <c r="H782" s="1069"/>
      <c r="I782" s="1069"/>
      <c r="CM782" s="1076"/>
      <c r="CQ782" s="1069"/>
    </row>
    <row r="783" spans="7:95" ht="14.25" customHeight="1">
      <c r="G783" s="1069"/>
      <c r="H783" s="1069"/>
      <c r="I783" s="1069"/>
      <c r="CM783" s="1076"/>
      <c r="CQ783" s="1069"/>
    </row>
    <row r="784" spans="7:95" ht="14.25" customHeight="1">
      <c r="G784" s="1069"/>
      <c r="H784" s="1069"/>
      <c r="I784" s="1069"/>
      <c r="CM784" s="1076"/>
      <c r="CQ784" s="1069"/>
    </row>
    <row r="785" spans="7:95" ht="14.25" customHeight="1">
      <c r="G785" s="1069"/>
      <c r="H785" s="1069"/>
      <c r="I785" s="1069"/>
      <c r="CM785" s="1076"/>
      <c r="CQ785" s="1069"/>
    </row>
    <row r="786" spans="7:95" ht="14.25" customHeight="1">
      <c r="G786" s="1069"/>
      <c r="H786" s="1069"/>
      <c r="I786" s="1069"/>
      <c r="CM786" s="1076"/>
      <c r="CQ786" s="1069"/>
    </row>
    <row r="787" spans="7:95" ht="14.25" customHeight="1">
      <c r="G787" s="1069"/>
      <c r="H787" s="1069"/>
      <c r="I787" s="1069"/>
      <c r="CM787" s="1076"/>
      <c r="CQ787" s="1069"/>
    </row>
    <row r="788" spans="7:95" ht="14.25" customHeight="1">
      <c r="G788" s="1069"/>
      <c r="H788" s="1069"/>
      <c r="I788" s="1069"/>
      <c r="CM788" s="1076"/>
      <c r="CQ788" s="1069"/>
    </row>
    <row r="789" spans="7:95" ht="14.25" customHeight="1">
      <c r="G789" s="1069"/>
      <c r="H789" s="1069"/>
      <c r="I789" s="1069"/>
      <c r="CM789" s="1076"/>
      <c r="CQ789" s="1069"/>
    </row>
    <row r="790" spans="7:95" ht="14.25" customHeight="1">
      <c r="G790" s="1069"/>
      <c r="H790" s="1069"/>
      <c r="I790" s="1069"/>
      <c r="CM790" s="1076"/>
      <c r="CQ790" s="1069"/>
    </row>
    <row r="791" spans="7:95" ht="14.25" customHeight="1">
      <c r="G791" s="1069"/>
      <c r="H791" s="1069"/>
      <c r="I791" s="1069"/>
      <c r="CM791" s="1076"/>
      <c r="CQ791" s="1069"/>
    </row>
    <row r="792" spans="7:95" ht="14.25" customHeight="1">
      <c r="G792" s="1069"/>
      <c r="H792" s="1069"/>
      <c r="I792" s="1069"/>
      <c r="CM792" s="1076"/>
      <c r="CQ792" s="1069"/>
    </row>
    <row r="793" spans="7:95" ht="14.25" customHeight="1">
      <c r="G793" s="1069"/>
      <c r="H793" s="1069"/>
      <c r="I793" s="1069"/>
      <c r="CM793" s="1076"/>
      <c r="CQ793" s="1069"/>
    </row>
    <row r="794" spans="7:95" ht="14.25" customHeight="1">
      <c r="G794" s="1069"/>
      <c r="H794" s="1069"/>
      <c r="I794" s="1069"/>
      <c r="CM794" s="1076"/>
      <c r="CQ794" s="1069"/>
    </row>
    <row r="795" spans="7:95" ht="14.25" customHeight="1">
      <c r="G795" s="1069"/>
      <c r="H795" s="1069"/>
      <c r="I795" s="1069"/>
      <c r="CM795" s="1076"/>
      <c r="CQ795" s="1069"/>
    </row>
    <row r="796" spans="7:95" ht="14.25" customHeight="1">
      <c r="G796" s="1069"/>
      <c r="H796" s="1069"/>
      <c r="I796" s="1069"/>
      <c r="CM796" s="1076"/>
      <c r="CQ796" s="1069"/>
    </row>
    <row r="797" spans="7:95" ht="14.25" customHeight="1">
      <c r="G797" s="1069"/>
      <c r="H797" s="1069"/>
      <c r="I797" s="1069"/>
      <c r="CM797" s="1076"/>
      <c r="CQ797" s="1069"/>
    </row>
    <row r="798" spans="7:95" ht="14.25" customHeight="1">
      <c r="G798" s="1069"/>
      <c r="H798" s="1069"/>
      <c r="I798" s="1069"/>
      <c r="CM798" s="1076"/>
      <c r="CQ798" s="1069"/>
    </row>
    <row r="799" spans="7:95" ht="14.25" customHeight="1">
      <c r="G799" s="1069"/>
      <c r="H799" s="1069"/>
      <c r="I799" s="1069"/>
      <c r="CM799" s="1076"/>
      <c r="CQ799" s="1069"/>
    </row>
    <row r="800" spans="7:95" ht="14.25" customHeight="1">
      <c r="G800" s="1069"/>
      <c r="H800" s="1069"/>
      <c r="I800" s="1069"/>
      <c r="CM800" s="1076"/>
      <c r="CQ800" s="1069"/>
    </row>
    <row r="801" spans="7:95" ht="14.25" customHeight="1">
      <c r="G801" s="1069"/>
      <c r="H801" s="1069"/>
      <c r="I801" s="1069"/>
      <c r="CM801" s="1076"/>
      <c r="CQ801" s="1069"/>
    </row>
    <row r="802" spans="7:95" ht="14.25" customHeight="1">
      <c r="G802" s="1069"/>
      <c r="H802" s="1069"/>
      <c r="I802" s="1069"/>
      <c r="CM802" s="1076"/>
      <c r="CQ802" s="1069"/>
    </row>
    <row r="803" spans="7:95" ht="14.25" customHeight="1">
      <c r="G803" s="1069"/>
      <c r="H803" s="1069"/>
      <c r="I803" s="1069"/>
      <c r="CM803" s="1076"/>
      <c r="CQ803" s="1069"/>
    </row>
    <row r="804" spans="7:95" ht="14.25" customHeight="1">
      <c r="G804" s="1069"/>
      <c r="H804" s="1069"/>
      <c r="I804" s="1069"/>
      <c r="CM804" s="1076"/>
      <c r="CQ804" s="1069"/>
    </row>
    <row r="805" spans="7:95" ht="14.25" customHeight="1">
      <c r="G805" s="1069"/>
      <c r="H805" s="1069"/>
      <c r="I805" s="1069"/>
      <c r="CM805" s="1076"/>
      <c r="CQ805" s="1069"/>
    </row>
    <row r="806" spans="7:95" ht="14.25" customHeight="1">
      <c r="G806" s="1069"/>
      <c r="H806" s="1069"/>
      <c r="I806" s="1069"/>
      <c r="CM806" s="1076"/>
      <c r="CQ806" s="1069"/>
    </row>
    <row r="807" spans="7:95" ht="14.25" customHeight="1">
      <c r="G807" s="1069"/>
      <c r="H807" s="1069"/>
      <c r="I807" s="1069"/>
      <c r="CM807" s="1076"/>
      <c r="CQ807" s="1069"/>
    </row>
    <row r="808" spans="7:95" ht="14.25" customHeight="1">
      <c r="G808" s="1069"/>
      <c r="H808" s="1069"/>
      <c r="I808" s="1069"/>
      <c r="CM808" s="1076"/>
      <c r="CQ808" s="1069"/>
    </row>
    <row r="809" spans="7:95" ht="14.25" customHeight="1">
      <c r="G809" s="1069"/>
      <c r="H809" s="1069"/>
      <c r="I809" s="1069"/>
      <c r="CM809" s="1076"/>
      <c r="CQ809" s="1069"/>
    </row>
    <row r="810" spans="7:95" ht="14.25" customHeight="1">
      <c r="G810" s="1069"/>
      <c r="H810" s="1069"/>
      <c r="I810" s="1069"/>
      <c r="CM810" s="1076"/>
      <c r="CQ810" s="1069"/>
    </row>
    <row r="811" spans="7:95" ht="14.25" customHeight="1">
      <c r="G811" s="1069"/>
      <c r="H811" s="1069"/>
      <c r="I811" s="1069"/>
      <c r="CM811" s="1076"/>
      <c r="CQ811" s="1069"/>
    </row>
    <row r="812" spans="7:95" ht="14.25" customHeight="1">
      <c r="G812" s="1069"/>
      <c r="H812" s="1069"/>
      <c r="I812" s="1069"/>
      <c r="CM812" s="1076"/>
      <c r="CQ812" s="1069"/>
    </row>
    <row r="813" spans="7:95" ht="14.25" customHeight="1">
      <c r="G813" s="1069"/>
      <c r="H813" s="1069"/>
      <c r="I813" s="1069"/>
      <c r="CM813" s="1076"/>
      <c r="CQ813" s="1069"/>
    </row>
    <row r="814" spans="7:95" ht="14.25" customHeight="1">
      <c r="G814" s="1069"/>
      <c r="H814" s="1069"/>
      <c r="I814" s="1069"/>
      <c r="CM814" s="1076"/>
      <c r="CQ814" s="1069"/>
    </row>
    <row r="815" spans="7:95" ht="14.25" customHeight="1">
      <c r="G815" s="1069"/>
      <c r="H815" s="1069"/>
      <c r="I815" s="1069"/>
      <c r="CM815" s="1076"/>
      <c r="CQ815" s="1069"/>
    </row>
    <row r="816" spans="7:95" ht="14.25" customHeight="1">
      <c r="G816" s="1069"/>
      <c r="H816" s="1069"/>
      <c r="I816" s="1069"/>
      <c r="CM816" s="1076"/>
      <c r="CQ816" s="1069"/>
    </row>
    <row r="817" spans="7:95" ht="14.25" customHeight="1">
      <c r="G817" s="1069"/>
      <c r="H817" s="1069"/>
      <c r="I817" s="1069"/>
      <c r="CM817" s="1076"/>
      <c r="CQ817" s="1069"/>
    </row>
    <row r="818" spans="7:95" ht="14.25" customHeight="1">
      <c r="G818" s="1069"/>
      <c r="H818" s="1069"/>
      <c r="I818" s="1069"/>
      <c r="CM818" s="1076"/>
      <c r="CQ818" s="1069"/>
    </row>
    <row r="819" spans="7:95" ht="14.25" customHeight="1">
      <c r="G819" s="1069"/>
      <c r="H819" s="1069"/>
      <c r="I819" s="1069"/>
      <c r="CM819" s="1076"/>
      <c r="CQ819" s="1069"/>
    </row>
    <row r="820" spans="7:95" ht="14.25" customHeight="1">
      <c r="G820" s="1069"/>
      <c r="H820" s="1069"/>
      <c r="I820" s="1069"/>
      <c r="CM820" s="1076"/>
      <c r="CQ820" s="1069"/>
    </row>
    <row r="821" spans="7:95" ht="14.25" customHeight="1">
      <c r="G821" s="1069"/>
      <c r="H821" s="1069"/>
      <c r="I821" s="1069"/>
      <c r="CM821" s="1076"/>
      <c r="CQ821" s="1069"/>
    </row>
    <row r="822" spans="7:95" ht="14.25" customHeight="1">
      <c r="G822" s="1069"/>
      <c r="H822" s="1069"/>
      <c r="I822" s="1069"/>
      <c r="CM822" s="1076"/>
      <c r="CQ822" s="1069"/>
    </row>
    <row r="823" spans="7:95" ht="14.25" customHeight="1">
      <c r="G823" s="1069"/>
      <c r="H823" s="1069"/>
      <c r="I823" s="1069"/>
      <c r="CM823" s="1076"/>
      <c r="CQ823" s="1069"/>
    </row>
    <row r="824" spans="7:95" ht="14.25" customHeight="1">
      <c r="G824" s="1069"/>
      <c r="H824" s="1069"/>
      <c r="I824" s="1069"/>
      <c r="CM824" s="1076"/>
      <c r="CQ824" s="1069"/>
    </row>
    <row r="825" spans="7:95" ht="14.25" customHeight="1">
      <c r="G825" s="1069"/>
      <c r="H825" s="1069"/>
      <c r="I825" s="1069"/>
      <c r="CM825" s="1076"/>
      <c r="CQ825" s="1069"/>
    </row>
    <row r="826" spans="7:95" ht="14.25" customHeight="1">
      <c r="G826" s="1069"/>
      <c r="H826" s="1069"/>
      <c r="I826" s="1069"/>
      <c r="CM826" s="1076"/>
      <c r="CQ826" s="1069"/>
    </row>
    <row r="827" spans="7:95" ht="14.25" customHeight="1">
      <c r="G827" s="1069"/>
      <c r="H827" s="1069"/>
      <c r="I827" s="1069"/>
      <c r="CM827" s="1076"/>
      <c r="CQ827" s="1069"/>
    </row>
    <row r="828" spans="7:95" ht="14.25" customHeight="1">
      <c r="G828" s="1069"/>
      <c r="H828" s="1069"/>
      <c r="I828" s="1069"/>
      <c r="CM828" s="1076"/>
      <c r="CQ828" s="1069"/>
    </row>
    <row r="829" spans="7:95" ht="14.25" customHeight="1">
      <c r="G829" s="1069"/>
      <c r="H829" s="1069"/>
      <c r="I829" s="1069"/>
      <c r="CM829" s="1076"/>
      <c r="CQ829" s="1069"/>
    </row>
    <row r="830" spans="7:95" ht="14.25" customHeight="1">
      <c r="G830" s="1069"/>
      <c r="H830" s="1069"/>
      <c r="I830" s="1069"/>
      <c r="CM830" s="1076"/>
      <c r="CQ830" s="1069"/>
    </row>
    <row r="831" spans="7:95" ht="14.25" customHeight="1">
      <c r="G831" s="1069"/>
      <c r="H831" s="1069"/>
      <c r="I831" s="1069"/>
      <c r="CM831" s="1076"/>
      <c r="CQ831" s="1069"/>
    </row>
    <row r="832" spans="7:95" ht="14.25" customHeight="1">
      <c r="G832" s="1069"/>
      <c r="H832" s="1069"/>
      <c r="I832" s="1069"/>
      <c r="CM832" s="1076"/>
      <c r="CQ832" s="1069"/>
    </row>
    <row r="833" spans="7:95" ht="14.25" customHeight="1">
      <c r="G833" s="1069"/>
      <c r="H833" s="1069"/>
      <c r="I833" s="1069"/>
      <c r="CM833" s="1076"/>
      <c r="CQ833" s="1069"/>
    </row>
    <row r="834" spans="7:95" ht="14.25" customHeight="1">
      <c r="G834" s="1069"/>
      <c r="H834" s="1069"/>
      <c r="I834" s="1069"/>
      <c r="CM834" s="1076"/>
      <c r="CQ834" s="1069"/>
    </row>
    <row r="835" spans="7:95" ht="14.25" customHeight="1">
      <c r="G835" s="1069"/>
      <c r="H835" s="1069"/>
      <c r="I835" s="1069"/>
      <c r="CM835" s="1076"/>
      <c r="CQ835" s="1069"/>
    </row>
    <row r="836" spans="7:95" ht="14.25" customHeight="1">
      <c r="G836" s="1069"/>
      <c r="H836" s="1069"/>
      <c r="I836" s="1069"/>
      <c r="CM836" s="1076"/>
      <c r="CQ836" s="1069"/>
    </row>
    <row r="837" spans="7:95" ht="14.25" customHeight="1">
      <c r="G837" s="1069"/>
      <c r="H837" s="1069"/>
      <c r="I837" s="1069"/>
      <c r="CM837" s="1076"/>
      <c r="CQ837" s="1069"/>
    </row>
    <row r="838" spans="7:95" ht="14.25" customHeight="1">
      <c r="G838" s="1069"/>
      <c r="H838" s="1069"/>
      <c r="I838" s="1069"/>
      <c r="CM838" s="1076"/>
      <c r="CQ838" s="1069"/>
    </row>
    <row r="839" spans="7:95" ht="14.25" customHeight="1">
      <c r="G839" s="1069"/>
      <c r="H839" s="1069"/>
      <c r="I839" s="1069"/>
      <c r="CM839" s="1076"/>
      <c r="CQ839" s="1069"/>
    </row>
    <row r="840" spans="7:95" ht="14.25" customHeight="1">
      <c r="G840" s="1069"/>
      <c r="H840" s="1069"/>
      <c r="I840" s="1069"/>
      <c r="CM840" s="1076"/>
      <c r="CQ840" s="1069"/>
    </row>
    <row r="841" spans="7:95" ht="14.25" customHeight="1">
      <c r="G841" s="1069"/>
      <c r="H841" s="1069"/>
      <c r="I841" s="1069"/>
      <c r="CM841" s="1076"/>
      <c r="CQ841" s="1069"/>
    </row>
    <row r="842" spans="7:95" ht="14.25" customHeight="1">
      <c r="G842" s="1069"/>
      <c r="H842" s="1069"/>
      <c r="I842" s="1069"/>
      <c r="CM842" s="1076"/>
      <c r="CQ842" s="1069"/>
    </row>
    <row r="843" spans="7:95" ht="14.25" customHeight="1">
      <c r="G843" s="1069"/>
      <c r="H843" s="1069"/>
      <c r="I843" s="1069"/>
      <c r="CM843" s="1076"/>
      <c r="CQ843" s="1069"/>
    </row>
    <row r="844" spans="7:95" ht="14.25" customHeight="1">
      <c r="G844" s="1069"/>
      <c r="H844" s="1069"/>
      <c r="I844" s="1069"/>
      <c r="CM844" s="1076"/>
      <c r="CQ844" s="1069"/>
    </row>
    <row r="845" spans="7:95" ht="14.25" customHeight="1">
      <c r="G845" s="1069"/>
      <c r="H845" s="1069"/>
      <c r="I845" s="1069"/>
      <c r="CM845" s="1076"/>
      <c r="CQ845" s="1069"/>
    </row>
    <row r="846" spans="7:95" ht="14.25" customHeight="1">
      <c r="G846" s="1069"/>
      <c r="H846" s="1069"/>
      <c r="I846" s="1069"/>
      <c r="CM846" s="1076"/>
      <c r="CQ846" s="1069"/>
    </row>
    <row r="847" spans="7:95" ht="14.25" customHeight="1">
      <c r="G847" s="1069"/>
      <c r="H847" s="1069"/>
      <c r="I847" s="1069"/>
      <c r="CM847" s="1076"/>
      <c r="CQ847" s="1069"/>
    </row>
    <row r="848" spans="7:95" ht="14.25" customHeight="1">
      <c r="G848" s="1069"/>
      <c r="H848" s="1069"/>
      <c r="I848" s="1069"/>
      <c r="CM848" s="1076"/>
      <c r="CQ848" s="1069"/>
    </row>
    <row r="849" spans="7:95" ht="14.25" customHeight="1">
      <c r="G849" s="1069"/>
      <c r="H849" s="1069"/>
      <c r="I849" s="1069"/>
      <c r="CM849" s="1076"/>
      <c r="CQ849" s="1069"/>
    </row>
    <row r="850" spans="7:95" ht="14.25" customHeight="1">
      <c r="G850" s="1069"/>
      <c r="H850" s="1069"/>
      <c r="I850" s="1069"/>
      <c r="CM850" s="1076"/>
      <c r="CQ850" s="1069"/>
    </row>
    <row r="851" spans="7:95" ht="14.25" customHeight="1">
      <c r="G851" s="1069"/>
      <c r="H851" s="1069"/>
      <c r="I851" s="1069"/>
      <c r="CM851" s="1076"/>
      <c r="CQ851" s="1069"/>
    </row>
    <row r="852" spans="7:95" ht="14.25" customHeight="1">
      <c r="G852" s="1069"/>
      <c r="H852" s="1069"/>
      <c r="I852" s="1069"/>
      <c r="CM852" s="1076"/>
      <c r="CQ852" s="1069"/>
    </row>
    <row r="853" spans="7:95" ht="14.25" customHeight="1">
      <c r="G853" s="1069"/>
      <c r="H853" s="1069"/>
      <c r="I853" s="1069"/>
      <c r="CM853" s="1076"/>
      <c r="CQ853" s="1069"/>
    </row>
    <row r="854" spans="7:95" ht="14.25" customHeight="1">
      <c r="G854" s="1069"/>
      <c r="H854" s="1069"/>
      <c r="I854" s="1069"/>
      <c r="CM854" s="1076"/>
      <c r="CQ854" s="1069"/>
    </row>
    <row r="855" spans="7:95" ht="14.25" customHeight="1">
      <c r="G855" s="1069"/>
      <c r="H855" s="1069"/>
      <c r="I855" s="1069"/>
      <c r="CM855" s="1076"/>
      <c r="CQ855" s="1069"/>
    </row>
    <row r="856" spans="7:95" ht="14.25" customHeight="1">
      <c r="G856" s="1069"/>
      <c r="H856" s="1069"/>
      <c r="I856" s="1069"/>
      <c r="CM856" s="1076"/>
      <c r="CQ856" s="1069"/>
    </row>
    <row r="857" spans="7:95" ht="14.25" customHeight="1">
      <c r="G857" s="1069"/>
      <c r="H857" s="1069"/>
      <c r="I857" s="1069"/>
      <c r="CM857" s="1076"/>
      <c r="CQ857" s="1069"/>
    </row>
    <row r="858" spans="7:95" ht="14.25" customHeight="1">
      <c r="G858" s="1069"/>
      <c r="H858" s="1069"/>
      <c r="I858" s="1069"/>
      <c r="CM858" s="1076"/>
      <c r="CQ858" s="1069"/>
    </row>
    <row r="859" spans="7:95" ht="14.25" customHeight="1">
      <c r="G859" s="1069"/>
      <c r="H859" s="1069"/>
      <c r="I859" s="1069"/>
      <c r="CM859" s="1076"/>
      <c r="CQ859" s="1069"/>
    </row>
    <row r="860" spans="7:95" ht="14.25" customHeight="1">
      <c r="G860" s="1069"/>
      <c r="H860" s="1069"/>
      <c r="I860" s="1069"/>
      <c r="CM860" s="1076"/>
      <c r="CQ860" s="1069"/>
    </row>
    <row r="861" spans="7:95" ht="14.25" customHeight="1">
      <c r="G861" s="1069"/>
      <c r="H861" s="1069"/>
      <c r="I861" s="1069"/>
      <c r="CM861" s="1076"/>
      <c r="CQ861" s="1069"/>
    </row>
    <row r="862" spans="7:95" ht="14.25" customHeight="1">
      <c r="G862" s="1069"/>
      <c r="H862" s="1069"/>
      <c r="I862" s="1069"/>
      <c r="CM862" s="1076"/>
      <c r="CQ862" s="1069"/>
    </row>
    <row r="863" spans="7:95" ht="14.25" customHeight="1">
      <c r="G863" s="1069"/>
      <c r="H863" s="1069"/>
      <c r="I863" s="1069"/>
      <c r="CM863" s="1076"/>
      <c r="CQ863" s="1069"/>
    </row>
    <row r="864" spans="7:95" ht="14.25" customHeight="1">
      <c r="G864" s="1069"/>
      <c r="H864" s="1069"/>
      <c r="I864" s="1069"/>
      <c r="CM864" s="1076"/>
      <c r="CQ864" s="1069"/>
    </row>
    <row r="865" spans="7:95" ht="14.25" customHeight="1">
      <c r="G865" s="1069"/>
      <c r="H865" s="1069"/>
      <c r="I865" s="1069"/>
      <c r="CM865" s="1076"/>
      <c r="CQ865" s="1069"/>
    </row>
    <row r="866" spans="7:95" ht="14.25" customHeight="1">
      <c r="G866" s="1069"/>
      <c r="H866" s="1069"/>
      <c r="I866" s="1069"/>
      <c r="CM866" s="1076"/>
      <c r="CQ866" s="1069"/>
    </row>
    <row r="867" spans="7:95" ht="14.25" customHeight="1">
      <c r="G867" s="1069"/>
      <c r="H867" s="1069"/>
      <c r="I867" s="1069"/>
      <c r="CM867" s="1076"/>
      <c r="CQ867" s="1069"/>
    </row>
    <row r="868" spans="7:95" ht="14.25" customHeight="1">
      <c r="G868" s="1069"/>
      <c r="H868" s="1069"/>
      <c r="I868" s="1069"/>
      <c r="CM868" s="1076"/>
      <c r="CQ868" s="1069"/>
    </row>
    <row r="869" spans="7:95" ht="14.25" customHeight="1">
      <c r="G869" s="1069"/>
      <c r="H869" s="1069"/>
      <c r="I869" s="1069"/>
      <c r="CM869" s="1076"/>
      <c r="CQ869" s="1069"/>
    </row>
    <row r="870" spans="7:95" ht="14.25" customHeight="1">
      <c r="G870" s="1069"/>
      <c r="H870" s="1069"/>
      <c r="I870" s="1069"/>
      <c r="CM870" s="1076"/>
      <c r="CQ870" s="1069"/>
    </row>
    <row r="871" spans="7:95" ht="14.25" customHeight="1">
      <c r="G871" s="1069"/>
      <c r="H871" s="1069"/>
      <c r="I871" s="1069"/>
      <c r="CM871" s="1076"/>
      <c r="CQ871" s="1069"/>
    </row>
    <row r="872" spans="7:95" ht="14.25" customHeight="1">
      <c r="G872" s="1069"/>
      <c r="H872" s="1069"/>
      <c r="I872" s="1069"/>
      <c r="CM872" s="1076"/>
      <c r="CQ872" s="1069"/>
    </row>
    <row r="873" spans="7:95" ht="14.25" customHeight="1">
      <c r="G873" s="1069"/>
      <c r="H873" s="1069"/>
      <c r="I873" s="1069"/>
      <c r="CM873" s="1076"/>
      <c r="CQ873" s="1069"/>
    </row>
    <row r="874" spans="7:95" ht="14.25" customHeight="1">
      <c r="G874" s="1069"/>
      <c r="H874" s="1069"/>
      <c r="I874" s="1069"/>
      <c r="CM874" s="1076"/>
      <c r="CQ874" s="1069"/>
    </row>
    <row r="875" spans="7:95" ht="14.25" customHeight="1">
      <c r="G875" s="1069"/>
      <c r="H875" s="1069"/>
      <c r="I875" s="1069"/>
      <c r="CM875" s="1076"/>
      <c r="CQ875" s="1069"/>
    </row>
    <row r="876" spans="7:95" ht="14.25" customHeight="1">
      <c r="G876" s="1069"/>
      <c r="H876" s="1069"/>
      <c r="I876" s="1069"/>
      <c r="CM876" s="1076"/>
      <c r="CQ876" s="1069"/>
    </row>
    <row r="877" spans="7:95" ht="14.25" customHeight="1">
      <c r="G877" s="1069"/>
      <c r="H877" s="1069"/>
      <c r="I877" s="1069"/>
      <c r="CM877" s="1076"/>
      <c r="CQ877" s="1069"/>
    </row>
    <row r="878" spans="7:95" ht="14.25" customHeight="1">
      <c r="G878" s="1069"/>
      <c r="H878" s="1069"/>
      <c r="I878" s="1069"/>
      <c r="CM878" s="1076"/>
      <c r="CQ878" s="1069"/>
    </row>
    <row r="879" spans="7:95" ht="14.25" customHeight="1">
      <c r="G879" s="1069"/>
      <c r="H879" s="1069"/>
      <c r="I879" s="1069"/>
      <c r="CM879" s="1076"/>
      <c r="CQ879" s="1069"/>
    </row>
    <row r="880" spans="7:95" ht="14.25" customHeight="1">
      <c r="G880" s="1069"/>
      <c r="H880" s="1069"/>
      <c r="I880" s="1069"/>
      <c r="CM880" s="1076"/>
      <c r="CQ880" s="1069"/>
    </row>
    <row r="881" spans="7:95" ht="14.25" customHeight="1">
      <c r="G881" s="1069"/>
      <c r="H881" s="1069"/>
      <c r="I881" s="1069"/>
      <c r="CM881" s="1076"/>
      <c r="CQ881" s="1069"/>
    </row>
    <row r="882" spans="7:95" ht="14.25" customHeight="1">
      <c r="G882" s="1069"/>
      <c r="H882" s="1069"/>
      <c r="I882" s="1069"/>
      <c r="CM882" s="1076"/>
      <c r="CQ882" s="1069"/>
    </row>
    <row r="883" spans="7:95" ht="14.25" customHeight="1">
      <c r="G883" s="1069"/>
      <c r="H883" s="1069"/>
      <c r="I883" s="1069"/>
      <c r="CM883" s="1076"/>
      <c r="CQ883" s="1069"/>
    </row>
    <row r="884" spans="7:95" ht="14.25" customHeight="1">
      <c r="G884" s="1069"/>
      <c r="H884" s="1069"/>
      <c r="I884" s="1069"/>
      <c r="CM884" s="1076"/>
      <c r="CQ884" s="1069"/>
    </row>
    <row r="885" spans="7:95" ht="14.25" customHeight="1">
      <c r="G885" s="1069"/>
      <c r="H885" s="1069"/>
      <c r="I885" s="1069"/>
      <c r="CM885" s="1076"/>
      <c r="CQ885" s="1069"/>
    </row>
    <row r="886" spans="7:95" ht="14.25" customHeight="1">
      <c r="G886" s="1069"/>
      <c r="H886" s="1069"/>
      <c r="I886" s="1069"/>
      <c r="CM886" s="1076"/>
      <c r="CQ886" s="1069"/>
    </row>
    <row r="887" spans="7:95" ht="14.25" customHeight="1">
      <c r="G887" s="1069"/>
      <c r="H887" s="1069"/>
      <c r="I887" s="1069"/>
      <c r="CM887" s="1076"/>
      <c r="CQ887" s="1069"/>
    </row>
    <row r="888" spans="7:95" ht="14.25" customHeight="1">
      <c r="G888" s="1069"/>
      <c r="H888" s="1069"/>
      <c r="I888" s="1069"/>
      <c r="CM888" s="1076"/>
      <c r="CQ888" s="1069"/>
    </row>
    <row r="889" spans="7:95" ht="14.25" customHeight="1">
      <c r="G889" s="1069"/>
      <c r="H889" s="1069"/>
      <c r="I889" s="1069"/>
      <c r="CM889" s="1076"/>
      <c r="CQ889" s="1069"/>
    </row>
    <row r="890" spans="7:95" ht="14.25" customHeight="1">
      <c r="G890" s="1069"/>
      <c r="H890" s="1069"/>
      <c r="I890" s="1069"/>
      <c r="CM890" s="1076"/>
      <c r="CQ890" s="1069"/>
    </row>
    <row r="891" spans="7:95" ht="14.25" customHeight="1">
      <c r="G891" s="1069"/>
      <c r="H891" s="1069"/>
      <c r="I891" s="1069"/>
      <c r="CM891" s="1076"/>
      <c r="CQ891" s="1069"/>
    </row>
    <row r="892" spans="7:95" ht="14.25" customHeight="1">
      <c r="G892" s="1069"/>
      <c r="H892" s="1069"/>
      <c r="I892" s="1069"/>
      <c r="CM892" s="1076"/>
      <c r="CQ892" s="1069"/>
    </row>
    <row r="893" spans="7:95" ht="14.25" customHeight="1">
      <c r="G893" s="1069"/>
      <c r="H893" s="1069"/>
      <c r="I893" s="1069"/>
      <c r="CM893" s="1076"/>
      <c r="CQ893" s="1069"/>
    </row>
    <row r="894" spans="7:95" ht="14.25" customHeight="1">
      <c r="G894" s="1069"/>
      <c r="H894" s="1069"/>
      <c r="I894" s="1069"/>
      <c r="CM894" s="1076"/>
      <c r="CQ894" s="1069"/>
    </row>
    <row r="895" spans="7:95" ht="14.25" customHeight="1">
      <c r="G895" s="1069"/>
      <c r="H895" s="1069"/>
      <c r="I895" s="1069"/>
      <c r="CM895" s="1076"/>
      <c r="CQ895" s="1069"/>
    </row>
    <row r="896" spans="7:95" ht="14.25" customHeight="1">
      <c r="G896" s="1069"/>
      <c r="H896" s="1069"/>
      <c r="I896" s="1069"/>
      <c r="CM896" s="1076"/>
      <c r="CQ896" s="1069"/>
    </row>
    <row r="897" spans="7:95" ht="14.25" customHeight="1">
      <c r="G897" s="1069"/>
      <c r="H897" s="1069"/>
      <c r="I897" s="1069"/>
      <c r="CM897" s="1076"/>
      <c r="CQ897" s="1069"/>
    </row>
    <row r="898" spans="7:95" ht="14.25" customHeight="1">
      <c r="G898" s="1069"/>
      <c r="H898" s="1069"/>
      <c r="I898" s="1069"/>
      <c r="CM898" s="1076"/>
      <c r="CQ898" s="1069"/>
    </row>
    <row r="899" spans="7:95" ht="14.25" customHeight="1">
      <c r="G899" s="1069"/>
      <c r="H899" s="1069"/>
      <c r="I899" s="1069"/>
      <c r="CM899" s="1076"/>
      <c r="CQ899" s="1069"/>
    </row>
    <row r="900" spans="7:95" ht="14.25" customHeight="1">
      <c r="G900" s="1069"/>
      <c r="H900" s="1069"/>
      <c r="I900" s="1069"/>
      <c r="CM900" s="1076"/>
      <c r="CQ900" s="1069"/>
    </row>
    <row r="901" spans="7:95" ht="14.25" customHeight="1">
      <c r="G901" s="1069"/>
      <c r="H901" s="1069"/>
      <c r="I901" s="1069"/>
      <c r="CM901" s="1076"/>
      <c r="CQ901" s="1069"/>
    </row>
    <row r="902" spans="7:95" ht="14.25" customHeight="1">
      <c r="G902" s="1069"/>
      <c r="H902" s="1069"/>
      <c r="I902" s="1069"/>
      <c r="CM902" s="1076"/>
      <c r="CQ902" s="1069"/>
    </row>
    <row r="903" spans="7:95" ht="14.25" customHeight="1">
      <c r="G903" s="1069"/>
      <c r="H903" s="1069"/>
      <c r="I903" s="1069"/>
      <c r="CM903" s="1076"/>
      <c r="CQ903" s="1069"/>
    </row>
    <row r="904" spans="7:95" ht="14.25" customHeight="1">
      <c r="G904" s="1069"/>
      <c r="H904" s="1069"/>
      <c r="I904" s="1069"/>
      <c r="CM904" s="1076"/>
      <c r="CQ904" s="1069"/>
    </row>
    <row r="905" spans="7:95" ht="14.25" customHeight="1">
      <c r="G905" s="1069"/>
      <c r="H905" s="1069"/>
      <c r="I905" s="1069"/>
      <c r="CM905" s="1076"/>
      <c r="CQ905" s="1069"/>
    </row>
    <row r="906" spans="7:95" ht="14.25" customHeight="1">
      <c r="G906" s="1069"/>
      <c r="H906" s="1069"/>
      <c r="I906" s="1069"/>
      <c r="CM906" s="1076"/>
      <c r="CQ906" s="1069"/>
    </row>
    <row r="907" spans="7:95" ht="14.25" customHeight="1">
      <c r="G907" s="1069"/>
      <c r="H907" s="1069"/>
      <c r="I907" s="1069"/>
      <c r="CM907" s="1076"/>
      <c r="CQ907" s="1069"/>
    </row>
    <row r="908" spans="7:95" ht="14.25" customHeight="1">
      <c r="G908" s="1069"/>
      <c r="H908" s="1069"/>
      <c r="I908" s="1069"/>
      <c r="CM908" s="1076"/>
      <c r="CQ908" s="1069"/>
    </row>
    <row r="909" spans="7:95" ht="14.25" customHeight="1">
      <c r="G909" s="1069"/>
      <c r="H909" s="1069"/>
      <c r="I909" s="1069"/>
      <c r="CM909" s="1076"/>
      <c r="CQ909" s="1069"/>
    </row>
    <row r="910" spans="7:95" ht="14.25" customHeight="1">
      <c r="G910" s="1069"/>
      <c r="H910" s="1069"/>
      <c r="I910" s="1069"/>
      <c r="CM910" s="1076"/>
      <c r="CQ910" s="1069"/>
    </row>
    <row r="911" spans="7:95" ht="14.25" customHeight="1">
      <c r="G911" s="1069"/>
      <c r="H911" s="1069"/>
      <c r="I911" s="1069"/>
      <c r="CM911" s="1076"/>
      <c r="CQ911" s="1069"/>
    </row>
    <row r="912" spans="7:95" ht="14.25" customHeight="1">
      <c r="G912" s="1069"/>
      <c r="H912" s="1069"/>
      <c r="I912" s="1069"/>
      <c r="CM912" s="1076"/>
      <c r="CQ912" s="1069"/>
    </row>
    <row r="913" spans="7:95" ht="14.25" customHeight="1">
      <c r="G913" s="1069"/>
      <c r="H913" s="1069"/>
      <c r="I913" s="1069"/>
      <c r="CM913" s="1076"/>
      <c r="CQ913" s="1069"/>
    </row>
    <row r="914" spans="7:95" ht="14.25" customHeight="1">
      <c r="G914" s="1069"/>
      <c r="H914" s="1069"/>
      <c r="I914" s="1069"/>
      <c r="CM914" s="1076"/>
      <c r="CQ914" s="1069"/>
    </row>
    <row r="915" spans="7:95" ht="14.25" customHeight="1">
      <c r="G915" s="1069"/>
      <c r="H915" s="1069"/>
      <c r="I915" s="1069"/>
      <c r="CM915" s="1076"/>
      <c r="CQ915" s="1069"/>
    </row>
    <row r="916" spans="7:95" ht="14.25" customHeight="1">
      <c r="G916" s="1069"/>
      <c r="H916" s="1069"/>
      <c r="I916" s="1069"/>
      <c r="CM916" s="1076"/>
      <c r="CQ916" s="1069"/>
    </row>
    <row r="917" spans="7:95" ht="14.25" customHeight="1">
      <c r="G917" s="1069"/>
      <c r="H917" s="1069"/>
      <c r="I917" s="1069"/>
      <c r="CM917" s="1076"/>
      <c r="CQ917" s="1069"/>
    </row>
    <row r="918" spans="7:95" ht="14.25" customHeight="1">
      <c r="G918" s="1069"/>
      <c r="H918" s="1069"/>
      <c r="I918" s="1069"/>
      <c r="CM918" s="1076"/>
      <c r="CQ918" s="1069"/>
    </row>
    <row r="919" spans="7:95" ht="14.25" customHeight="1">
      <c r="G919" s="1069"/>
      <c r="H919" s="1069"/>
      <c r="I919" s="1069"/>
      <c r="CM919" s="1076"/>
      <c r="CQ919" s="1069"/>
    </row>
    <row r="920" spans="7:95" ht="14.25" customHeight="1">
      <c r="G920" s="1069"/>
      <c r="H920" s="1069"/>
      <c r="I920" s="1069"/>
      <c r="CM920" s="1076"/>
      <c r="CQ920" s="1069"/>
    </row>
    <row r="921" spans="7:95" ht="14.25" customHeight="1">
      <c r="G921" s="1069"/>
      <c r="H921" s="1069"/>
      <c r="I921" s="1069"/>
      <c r="CM921" s="1076"/>
      <c r="CQ921" s="1069"/>
    </row>
    <row r="922" spans="7:95" ht="14.25" customHeight="1">
      <c r="G922" s="1069"/>
      <c r="H922" s="1069"/>
      <c r="I922" s="1069"/>
      <c r="CM922" s="1076"/>
      <c r="CQ922" s="1069"/>
    </row>
    <row r="923" spans="7:95" ht="14.25" customHeight="1">
      <c r="G923" s="1069"/>
      <c r="H923" s="1069"/>
      <c r="I923" s="1069"/>
      <c r="CM923" s="1076"/>
      <c r="CQ923" s="1069"/>
    </row>
    <row r="924" spans="7:95" ht="14.25" customHeight="1">
      <c r="G924" s="1069"/>
      <c r="H924" s="1069"/>
      <c r="I924" s="1069"/>
      <c r="CM924" s="1076"/>
      <c r="CQ924" s="1069"/>
    </row>
    <row r="925" spans="7:95" ht="14.25" customHeight="1">
      <c r="G925" s="1069"/>
      <c r="H925" s="1069"/>
      <c r="I925" s="1069"/>
      <c r="CM925" s="1076"/>
      <c r="CQ925" s="1069"/>
    </row>
    <row r="926" spans="7:95" ht="14.25" customHeight="1">
      <c r="G926" s="1069"/>
      <c r="H926" s="1069"/>
      <c r="I926" s="1069"/>
      <c r="CM926" s="1076"/>
      <c r="CQ926" s="1069"/>
    </row>
    <row r="927" spans="7:95" ht="14.25" customHeight="1">
      <c r="G927" s="1069"/>
      <c r="H927" s="1069"/>
      <c r="I927" s="1069"/>
      <c r="CM927" s="1076"/>
      <c r="CQ927" s="1069"/>
    </row>
    <row r="928" spans="7:95" ht="14.25" customHeight="1">
      <c r="G928" s="1069"/>
      <c r="H928" s="1069"/>
      <c r="I928" s="1069"/>
      <c r="CM928" s="1076"/>
      <c r="CQ928" s="1069"/>
    </row>
    <row r="929" spans="7:95" ht="14.25" customHeight="1">
      <c r="G929" s="1069"/>
      <c r="H929" s="1069"/>
      <c r="I929" s="1069"/>
      <c r="CM929" s="1076"/>
      <c r="CQ929" s="1069"/>
    </row>
    <row r="930" spans="7:95" ht="14.25" customHeight="1">
      <c r="G930" s="1069"/>
      <c r="H930" s="1069"/>
      <c r="I930" s="1069"/>
      <c r="CM930" s="1076"/>
      <c r="CQ930" s="1069"/>
    </row>
    <row r="931" spans="7:95" ht="14.25" customHeight="1">
      <c r="G931" s="1069"/>
      <c r="H931" s="1069"/>
      <c r="I931" s="1069"/>
      <c r="CM931" s="1076"/>
      <c r="CQ931" s="1069"/>
    </row>
    <row r="932" spans="7:95" ht="14.25" customHeight="1">
      <c r="G932" s="1069"/>
      <c r="H932" s="1069"/>
      <c r="I932" s="1069"/>
      <c r="CM932" s="1076"/>
      <c r="CQ932" s="1069"/>
    </row>
    <row r="933" spans="7:95" ht="14.25" customHeight="1">
      <c r="G933" s="1069"/>
      <c r="H933" s="1069"/>
      <c r="I933" s="1069"/>
      <c r="CM933" s="1076"/>
      <c r="CQ933" s="1069"/>
    </row>
    <row r="934" spans="7:95" ht="14.25" customHeight="1">
      <c r="G934" s="1069"/>
      <c r="H934" s="1069"/>
      <c r="I934" s="1069"/>
      <c r="CM934" s="1076"/>
      <c r="CQ934" s="1069"/>
    </row>
    <row r="935" spans="7:95" ht="14.25" customHeight="1">
      <c r="G935" s="1069"/>
      <c r="H935" s="1069"/>
      <c r="I935" s="1069"/>
      <c r="CM935" s="1076"/>
      <c r="CQ935" s="1069"/>
    </row>
    <row r="936" spans="7:95" ht="14.25" customHeight="1">
      <c r="G936" s="1069"/>
      <c r="H936" s="1069"/>
      <c r="I936" s="1069"/>
      <c r="CM936" s="1076"/>
      <c r="CQ936" s="1069"/>
    </row>
    <row r="937" spans="7:95" ht="14.25" customHeight="1">
      <c r="G937" s="1069"/>
      <c r="H937" s="1069"/>
      <c r="I937" s="1069"/>
      <c r="CM937" s="1076"/>
      <c r="CQ937" s="1069"/>
    </row>
    <row r="938" spans="7:95" ht="14.25" customHeight="1">
      <c r="G938" s="1069"/>
      <c r="H938" s="1069"/>
      <c r="I938" s="1069"/>
      <c r="CM938" s="1076"/>
      <c r="CQ938" s="1069"/>
    </row>
    <row r="939" spans="7:95" ht="14.25" customHeight="1">
      <c r="G939" s="1069"/>
      <c r="H939" s="1069"/>
      <c r="I939" s="1069"/>
      <c r="CM939" s="1076"/>
      <c r="CQ939" s="1069"/>
    </row>
    <row r="940" spans="7:95" ht="14.25" customHeight="1">
      <c r="G940" s="1069"/>
      <c r="H940" s="1069"/>
      <c r="I940" s="1069"/>
      <c r="CM940" s="1076"/>
      <c r="CQ940" s="1069"/>
    </row>
    <row r="941" spans="7:95" ht="14.25" customHeight="1">
      <c r="G941" s="1069"/>
      <c r="H941" s="1069"/>
      <c r="I941" s="1069"/>
      <c r="CM941" s="1076"/>
      <c r="CQ941" s="1069"/>
    </row>
    <row r="942" spans="7:95" ht="14.25" customHeight="1">
      <c r="G942" s="1069"/>
      <c r="H942" s="1069"/>
      <c r="I942" s="1069"/>
      <c r="CM942" s="1076"/>
      <c r="CQ942" s="1069"/>
    </row>
    <row r="943" spans="7:95" ht="14.25" customHeight="1">
      <c r="G943" s="1069"/>
      <c r="H943" s="1069"/>
      <c r="I943" s="1069"/>
      <c r="CM943" s="1076"/>
      <c r="CQ943" s="1069"/>
    </row>
    <row r="944" spans="7:95" ht="14.25" customHeight="1">
      <c r="G944" s="1069"/>
      <c r="H944" s="1069"/>
      <c r="I944" s="1069"/>
      <c r="CM944" s="1076"/>
      <c r="CQ944" s="1069"/>
    </row>
    <row r="945" spans="7:95" ht="14.25" customHeight="1">
      <c r="G945" s="1069"/>
      <c r="H945" s="1069"/>
      <c r="I945" s="1069"/>
      <c r="CM945" s="1076"/>
      <c r="CQ945" s="1069"/>
    </row>
    <row r="946" spans="7:95" ht="14.25" customHeight="1">
      <c r="G946" s="1069"/>
      <c r="H946" s="1069"/>
      <c r="I946" s="1069"/>
      <c r="CM946" s="1076"/>
      <c r="CQ946" s="1069"/>
    </row>
    <row r="947" spans="7:95" ht="14.25" customHeight="1">
      <c r="G947" s="1069"/>
      <c r="H947" s="1069"/>
      <c r="I947" s="1069"/>
      <c r="CM947" s="1076"/>
      <c r="CQ947" s="1069"/>
    </row>
    <row r="948" spans="7:95" ht="14.25" customHeight="1">
      <c r="G948" s="1069"/>
      <c r="H948" s="1069"/>
      <c r="I948" s="1069"/>
      <c r="CM948" s="1076"/>
      <c r="CQ948" s="1069"/>
    </row>
    <row r="949" spans="7:95" ht="14.25" customHeight="1">
      <c r="G949" s="1069"/>
      <c r="H949" s="1069"/>
      <c r="I949" s="1069"/>
      <c r="CM949" s="1076"/>
      <c r="CQ949" s="1069"/>
    </row>
    <row r="950" spans="7:95" ht="14.25" customHeight="1">
      <c r="G950" s="1069"/>
      <c r="H950" s="1069"/>
      <c r="I950" s="1069"/>
      <c r="CM950" s="1076"/>
      <c r="CQ950" s="1069"/>
    </row>
    <row r="951" spans="7:95" ht="14.25" customHeight="1">
      <c r="G951" s="1069"/>
      <c r="H951" s="1069"/>
      <c r="I951" s="1069"/>
      <c r="CM951" s="1076"/>
      <c r="CQ951" s="1069"/>
    </row>
    <row r="952" spans="7:95" ht="14.25" customHeight="1">
      <c r="G952" s="1069"/>
      <c r="H952" s="1069"/>
      <c r="I952" s="1069"/>
      <c r="CM952" s="1076"/>
      <c r="CQ952" s="1069"/>
    </row>
    <row r="953" spans="7:95" ht="14.25" customHeight="1">
      <c r="G953" s="1069"/>
      <c r="H953" s="1069"/>
      <c r="I953" s="1069"/>
      <c r="CM953" s="1076"/>
      <c r="CQ953" s="1069"/>
    </row>
    <row r="954" spans="7:95" ht="14.25" customHeight="1">
      <c r="G954" s="1069"/>
      <c r="H954" s="1069"/>
      <c r="I954" s="1069"/>
      <c r="CM954" s="1076"/>
      <c r="CQ954" s="1069"/>
    </row>
    <row r="955" spans="7:95" ht="14.25" customHeight="1">
      <c r="G955" s="1069"/>
      <c r="H955" s="1069"/>
      <c r="I955" s="1069"/>
      <c r="CM955" s="1076"/>
      <c r="CQ955" s="1069"/>
    </row>
    <row r="956" spans="7:95" ht="14.25" customHeight="1">
      <c r="G956" s="1069"/>
      <c r="H956" s="1069"/>
      <c r="I956" s="1069"/>
      <c r="CM956" s="1076"/>
      <c r="CQ956" s="1069"/>
    </row>
    <row r="957" spans="7:95" ht="14.25" customHeight="1">
      <c r="G957" s="1069"/>
      <c r="H957" s="1069"/>
      <c r="I957" s="1069"/>
      <c r="CM957" s="1076"/>
      <c r="CQ957" s="1069"/>
    </row>
    <row r="958" spans="7:95" ht="14.25" customHeight="1">
      <c r="G958" s="1069"/>
      <c r="H958" s="1069"/>
      <c r="I958" s="1069"/>
      <c r="CM958" s="1076"/>
      <c r="CQ958" s="1069"/>
    </row>
    <row r="959" spans="7:95" ht="14.25" customHeight="1">
      <c r="G959" s="1069"/>
      <c r="H959" s="1069"/>
      <c r="I959" s="1069"/>
      <c r="CM959" s="1076"/>
      <c r="CQ959" s="1069"/>
    </row>
    <row r="960" spans="7:95" ht="14.25" customHeight="1">
      <c r="G960" s="1069"/>
      <c r="H960" s="1069"/>
      <c r="I960" s="1069"/>
      <c r="CM960" s="1076"/>
      <c r="CQ960" s="1069"/>
    </row>
    <row r="961" spans="7:95" ht="14.25" customHeight="1">
      <c r="G961" s="1069"/>
      <c r="H961" s="1069"/>
      <c r="I961" s="1069"/>
      <c r="CM961" s="1076"/>
      <c r="CQ961" s="1069"/>
    </row>
    <row r="962" spans="7:95" ht="14.25" customHeight="1">
      <c r="G962" s="1069"/>
      <c r="H962" s="1069"/>
      <c r="I962" s="1069"/>
      <c r="CM962" s="1076"/>
      <c r="CQ962" s="1069"/>
    </row>
    <row r="963" spans="7:95" ht="14.25" customHeight="1">
      <c r="G963" s="1069"/>
      <c r="H963" s="1069"/>
      <c r="I963" s="1069"/>
      <c r="CM963" s="1076"/>
      <c r="CQ963" s="1069"/>
    </row>
    <row r="964" spans="7:95" ht="14.25" customHeight="1">
      <c r="G964" s="1069"/>
      <c r="H964" s="1069"/>
      <c r="I964" s="1069"/>
      <c r="CM964" s="1076"/>
      <c r="CQ964" s="1069"/>
    </row>
    <row r="965" spans="7:95" ht="14.25" customHeight="1">
      <c r="G965" s="1069"/>
      <c r="H965" s="1069"/>
      <c r="I965" s="1069"/>
      <c r="CM965" s="1076"/>
      <c r="CQ965" s="1069"/>
    </row>
    <row r="966" spans="7:95" ht="14.25" customHeight="1">
      <c r="G966" s="1069"/>
      <c r="H966" s="1069"/>
      <c r="I966" s="1069"/>
      <c r="CM966" s="1076"/>
      <c r="CQ966" s="1069"/>
    </row>
    <row r="967" spans="7:95" ht="14.25" customHeight="1">
      <c r="G967" s="1069"/>
      <c r="H967" s="1069"/>
      <c r="I967" s="1069"/>
      <c r="CM967" s="1076"/>
      <c r="CQ967" s="1069"/>
    </row>
    <row r="968" spans="7:95" ht="14.25" customHeight="1">
      <c r="G968" s="1069"/>
      <c r="H968" s="1069"/>
      <c r="I968" s="1069"/>
      <c r="CM968" s="1076"/>
      <c r="CQ968" s="1069"/>
    </row>
    <row r="969" spans="7:95" ht="14.25" customHeight="1">
      <c r="G969" s="1069"/>
      <c r="H969" s="1069"/>
      <c r="I969" s="1069"/>
      <c r="CM969" s="1076"/>
      <c r="CQ969" s="1069"/>
    </row>
    <row r="970" spans="7:95" ht="14.25" customHeight="1">
      <c r="G970" s="1069"/>
      <c r="H970" s="1069"/>
      <c r="I970" s="1069"/>
      <c r="CM970" s="1076"/>
      <c r="CQ970" s="1069"/>
    </row>
    <row r="971" spans="7:95" ht="14.25" customHeight="1">
      <c r="G971" s="1069"/>
      <c r="H971" s="1069"/>
      <c r="I971" s="1069"/>
      <c r="CM971" s="1076"/>
      <c r="CQ971" s="1069"/>
    </row>
    <row r="972" spans="7:95" ht="14.25" customHeight="1">
      <c r="G972" s="1069"/>
      <c r="H972" s="1069"/>
      <c r="I972" s="1069"/>
      <c r="CM972" s="1076"/>
      <c r="CQ972" s="1069"/>
    </row>
    <row r="973" spans="7:95" ht="14.25" customHeight="1">
      <c r="G973" s="1069"/>
      <c r="H973" s="1069"/>
      <c r="I973" s="1069"/>
      <c r="CM973" s="1076"/>
      <c r="CQ973" s="1069"/>
    </row>
    <row r="974" spans="7:95" ht="14.25" customHeight="1">
      <c r="G974" s="1069"/>
      <c r="H974" s="1069"/>
      <c r="I974" s="1069"/>
      <c r="CM974" s="1076"/>
      <c r="CQ974" s="1069"/>
    </row>
    <row r="975" spans="7:95" ht="14.25" customHeight="1">
      <c r="G975" s="1069"/>
      <c r="H975" s="1069"/>
      <c r="I975" s="1069"/>
      <c r="CM975" s="1076"/>
      <c r="CQ975" s="1069"/>
    </row>
    <row r="976" spans="7:95" ht="14.25" customHeight="1">
      <c r="G976" s="1069"/>
      <c r="H976" s="1069"/>
      <c r="I976" s="1069"/>
      <c r="CM976" s="1076"/>
      <c r="CQ976" s="1069"/>
    </row>
    <row r="977" spans="7:95" ht="14.25" customHeight="1">
      <c r="G977" s="1069"/>
      <c r="H977" s="1069"/>
      <c r="I977" s="1069"/>
      <c r="CM977" s="1076"/>
      <c r="CQ977" s="1069"/>
    </row>
    <row r="978" spans="7:95" ht="14.25" customHeight="1">
      <c r="G978" s="1069"/>
      <c r="H978" s="1069"/>
      <c r="I978" s="1069"/>
      <c r="CM978" s="1076"/>
      <c r="CQ978" s="1069"/>
    </row>
    <row r="979" spans="7:95" ht="14.25" customHeight="1">
      <c r="G979" s="1069"/>
      <c r="H979" s="1069"/>
      <c r="I979" s="1069"/>
      <c r="CM979" s="1076"/>
      <c r="CQ979" s="1069"/>
    </row>
    <row r="980" spans="7:95" ht="14.25" customHeight="1">
      <c r="G980" s="1069"/>
      <c r="H980" s="1069"/>
      <c r="I980" s="1069"/>
      <c r="CM980" s="1076"/>
      <c r="CQ980" s="1069"/>
    </row>
    <row r="981" spans="7:95" ht="14.25" customHeight="1">
      <c r="G981" s="1069"/>
      <c r="H981" s="1069"/>
      <c r="I981" s="1069"/>
      <c r="CM981" s="1076"/>
      <c r="CQ981" s="1069"/>
    </row>
    <row r="982" spans="7:95" ht="14.25" customHeight="1">
      <c r="G982" s="1069"/>
      <c r="H982" s="1069"/>
      <c r="I982" s="1069"/>
      <c r="CM982" s="1076"/>
      <c r="CQ982" s="1069"/>
    </row>
    <row r="983" spans="7:95" ht="14.25" customHeight="1">
      <c r="G983" s="1069"/>
      <c r="H983" s="1069"/>
      <c r="I983" s="1069"/>
      <c r="CM983" s="1076"/>
      <c r="CQ983" s="1069"/>
    </row>
    <row r="984" spans="7:95" ht="14.25" customHeight="1">
      <c r="G984" s="1069"/>
      <c r="H984" s="1069"/>
      <c r="I984" s="1069"/>
      <c r="CM984" s="1076"/>
      <c r="CQ984" s="1069"/>
    </row>
    <row r="985" spans="7:95" ht="14.25" customHeight="1">
      <c r="G985" s="1069"/>
      <c r="H985" s="1069"/>
      <c r="I985" s="1069"/>
      <c r="CM985" s="1076"/>
      <c r="CQ985" s="1069"/>
    </row>
    <row r="986" spans="7:95" ht="14.25" customHeight="1">
      <c r="G986" s="1069"/>
      <c r="H986" s="1069"/>
      <c r="I986" s="1069"/>
      <c r="CM986" s="1076"/>
      <c r="CQ986" s="1069"/>
    </row>
    <row r="987" spans="7:95" ht="14.25" customHeight="1">
      <c r="G987" s="1069"/>
      <c r="H987" s="1069"/>
      <c r="I987" s="1069"/>
      <c r="CM987" s="1076"/>
      <c r="CQ987" s="1069"/>
    </row>
    <row r="988" spans="7:95" ht="14.25" customHeight="1">
      <c r="G988" s="1069"/>
      <c r="H988" s="1069"/>
      <c r="I988" s="1069"/>
      <c r="CM988" s="1076"/>
      <c r="CQ988" s="1069"/>
    </row>
    <row r="989" spans="7:95" ht="14.25" customHeight="1">
      <c r="G989" s="1069"/>
      <c r="H989" s="1069"/>
      <c r="I989" s="1069"/>
      <c r="CM989" s="1076"/>
      <c r="CQ989" s="1069"/>
    </row>
    <row r="990" spans="7:95" ht="14.25" customHeight="1">
      <c r="G990" s="1069"/>
      <c r="H990" s="1069"/>
      <c r="I990" s="1069"/>
      <c r="CM990" s="1076"/>
      <c r="CQ990" s="1069"/>
    </row>
    <row r="991" spans="7:95" ht="14.25" customHeight="1">
      <c r="G991" s="1069"/>
      <c r="H991" s="1069"/>
      <c r="I991" s="1069"/>
      <c r="CM991" s="1076"/>
      <c r="CQ991" s="1069"/>
    </row>
    <row r="992" spans="7:95" ht="14.25" customHeight="1">
      <c r="G992" s="1069"/>
      <c r="H992" s="1069"/>
      <c r="I992" s="1069"/>
      <c r="CM992" s="1076"/>
      <c r="CQ992" s="1069"/>
    </row>
    <row r="993" spans="7:95" ht="14.25" customHeight="1">
      <c r="G993" s="1069"/>
      <c r="H993" s="1069"/>
      <c r="I993" s="1069"/>
      <c r="CM993" s="1076"/>
      <c r="CQ993" s="1069"/>
    </row>
    <row r="994" spans="7:95" ht="14.25" customHeight="1">
      <c r="G994" s="1069"/>
      <c r="H994" s="1069"/>
      <c r="I994" s="1069"/>
      <c r="CM994" s="1076"/>
      <c r="CQ994" s="1069"/>
    </row>
    <row r="995" spans="7:95" ht="14.25" customHeight="1">
      <c r="G995" s="1069"/>
      <c r="H995" s="1069"/>
      <c r="I995" s="1069"/>
      <c r="CM995" s="1076"/>
      <c r="CQ995" s="1069"/>
    </row>
    <row r="996" spans="7:95" ht="14.25" customHeight="1">
      <c r="G996" s="1069"/>
      <c r="H996" s="1069"/>
      <c r="I996" s="1069"/>
      <c r="CM996" s="1076"/>
      <c r="CQ996" s="1069"/>
    </row>
    <row r="997" spans="7:95" ht="14.25" customHeight="1">
      <c r="G997" s="1069"/>
      <c r="H997" s="1069"/>
      <c r="I997" s="1069"/>
      <c r="CM997" s="1076"/>
      <c r="CQ997" s="1069"/>
    </row>
    <row r="998" spans="7:95" ht="14.25" customHeight="1">
      <c r="G998" s="1069"/>
      <c r="H998" s="1069"/>
      <c r="I998" s="1069"/>
      <c r="CM998" s="1076"/>
      <c r="CQ998" s="1069"/>
    </row>
    <row r="999" spans="7:95" ht="14.25" customHeight="1">
      <c r="G999" s="1069"/>
      <c r="H999" s="1069"/>
      <c r="I999" s="1069"/>
      <c r="CM999" s="1076"/>
      <c r="CQ999" s="1069"/>
    </row>
    <row r="1000" spans="7:95" ht="14.25" customHeight="1">
      <c r="G1000" s="1069"/>
      <c r="H1000" s="1069"/>
      <c r="I1000" s="1069"/>
      <c r="CM1000" s="1076"/>
      <c r="CQ1000" s="1069"/>
    </row>
    <row r="1001" spans="7:95" ht="14.25" customHeight="1">
      <c r="G1001" s="1069"/>
      <c r="H1001" s="1069"/>
      <c r="I1001" s="1069"/>
      <c r="CM1001" s="1076"/>
      <c r="CQ1001" s="1069"/>
    </row>
    <row r="1002" spans="7:95" ht="14.25" customHeight="1">
      <c r="G1002" s="1069"/>
      <c r="H1002" s="1069"/>
      <c r="I1002" s="1069"/>
      <c r="CM1002" s="1076"/>
      <c r="CQ1002" s="1069"/>
    </row>
    <row r="1003" spans="7:95" ht="14.25" customHeight="1">
      <c r="G1003" s="1069"/>
      <c r="H1003" s="1069"/>
      <c r="I1003" s="1069"/>
      <c r="CM1003" s="1076"/>
      <c r="CQ1003" s="1069"/>
    </row>
    <row r="1004" spans="7:95" ht="14.25" customHeight="1">
      <c r="G1004" s="1069"/>
      <c r="H1004" s="1069"/>
      <c r="I1004" s="1069"/>
      <c r="CM1004" s="1076"/>
      <c r="CQ1004" s="1069"/>
    </row>
    <row r="1005" spans="7:95" ht="14.25" customHeight="1">
      <c r="G1005" s="1069"/>
      <c r="H1005" s="1069"/>
      <c r="I1005" s="1069"/>
      <c r="CM1005" s="1076"/>
      <c r="CQ1005" s="1069"/>
    </row>
    <row r="1006" spans="7:95" ht="14.25" customHeight="1">
      <c r="G1006" s="1069"/>
      <c r="H1006" s="1069"/>
      <c r="I1006" s="1069"/>
      <c r="CM1006" s="1076"/>
      <c r="CQ1006" s="1069"/>
    </row>
    <row r="1007" spans="7:95" ht="14.25" customHeight="1">
      <c r="G1007" s="1069"/>
      <c r="H1007" s="1069"/>
      <c r="I1007" s="1069"/>
      <c r="CM1007" s="1076"/>
      <c r="CQ1007" s="1069"/>
    </row>
    <row r="1008" spans="7:95" ht="14.25" customHeight="1">
      <c r="G1008" s="1069"/>
      <c r="H1008" s="1069"/>
      <c r="I1008" s="1069"/>
      <c r="CM1008" s="1076"/>
      <c r="CQ1008" s="1069"/>
    </row>
    <row r="1009" spans="7:95" ht="14.25" customHeight="1">
      <c r="G1009" s="1069"/>
      <c r="H1009" s="1069"/>
      <c r="I1009" s="1069"/>
      <c r="CM1009" s="1076"/>
      <c r="CQ1009" s="1069"/>
    </row>
    <row r="1010" spans="7:95" ht="14.25" customHeight="1">
      <c r="G1010" s="1069"/>
      <c r="H1010" s="1069"/>
      <c r="I1010" s="1069"/>
      <c r="CM1010" s="1076"/>
      <c r="CQ1010" s="1069"/>
    </row>
    <row r="1011" spans="7:95" ht="14.25" customHeight="1">
      <c r="G1011" s="1069"/>
      <c r="H1011" s="1069"/>
      <c r="I1011" s="1069"/>
      <c r="CM1011" s="1076"/>
      <c r="CQ1011" s="1069"/>
    </row>
    <row r="1012" spans="7:95" ht="14.25" customHeight="1">
      <c r="G1012" s="1069"/>
      <c r="H1012" s="1069"/>
      <c r="I1012" s="1069"/>
      <c r="CM1012" s="1076"/>
      <c r="CQ1012" s="1069"/>
    </row>
    <row r="1013" spans="7:95" ht="14.25" customHeight="1">
      <c r="G1013" s="1069"/>
      <c r="H1013" s="1069"/>
      <c r="I1013" s="1069"/>
      <c r="CM1013" s="1076"/>
      <c r="CQ1013" s="1069"/>
    </row>
    <row r="1014" spans="7:95" ht="14.25" customHeight="1">
      <c r="G1014" s="1069"/>
      <c r="H1014" s="1069"/>
      <c r="I1014" s="1069"/>
      <c r="CM1014" s="1076"/>
      <c r="CQ1014" s="1069"/>
    </row>
    <row r="1015" spans="7:95" ht="14.25" customHeight="1">
      <c r="G1015" s="1069"/>
      <c r="H1015" s="1069"/>
      <c r="I1015" s="1069"/>
      <c r="CM1015" s="1076"/>
      <c r="CQ1015" s="1069"/>
    </row>
    <row r="1016" spans="7:95" ht="14.25" customHeight="1">
      <c r="G1016" s="1069"/>
      <c r="H1016" s="1069"/>
      <c r="I1016" s="1069"/>
      <c r="CM1016" s="1076"/>
      <c r="CQ1016" s="1069"/>
    </row>
    <row r="1017" spans="7:95" ht="14.25" customHeight="1">
      <c r="G1017" s="1069"/>
      <c r="H1017" s="1069"/>
      <c r="I1017" s="1069"/>
      <c r="CM1017" s="1076"/>
      <c r="CQ1017" s="1069"/>
    </row>
    <row r="1018" spans="7:95" ht="14.25" customHeight="1">
      <c r="G1018" s="1069"/>
      <c r="H1018" s="1069"/>
      <c r="I1018" s="1069"/>
      <c r="CM1018" s="1076"/>
      <c r="CQ1018" s="1069"/>
    </row>
    <row r="1019" spans="7:95" ht="14.25" customHeight="1">
      <c r="G1019" s="1069"/>
      <c r="H1019" s="1069"/>
      <c r="I1019" s="1069"/>
      <c r="CM1019" s="1076"/>
      <c r="CQ1019" s="1069"/>
    </row>
    <row r="1020" spans="7:95" ht="14.25" customHeight="1">
      <c r="G1020" s="1069"/>
      <c r="H1020" s="1069"/>
      <c r="I1020" s="1069"/>
      <c r="CM1020" s="1076"/>
      <c r="CQ1020" s="1069"/>
    </row>
    <row r="1021" spans="7:95" ht="14.25" customHeight="1">
      <c r="G1021" s="1069"/>
      <c r="H1021" s="1069"/>
      <c r="I1021" s="1069"/>
      <c r="CM1021" s="1076"/>
      <c r="CQ1021" s="1069"/>
    </row>
    <row r="1022" spans="7:95" ht="14.25" customHeight="1">
      <c r="G1022" s="1069"/>
      <c r="H1022" s="1069"/>
      <c r="I1022" s="1069"/>
      <c r="CM1022" s="1076"/>
      <c r="CQ1022" s="1069"/>
    </row>
    <row r="1023" spans="7:95" ht="14.25" customHeight="1">
      <c r="G1023" s="1069"/>
      <c r="H1023" s="1069"/>
      <c r="I1023" s="1069"/>
      <c r="CM1023" s="1076"/>
      <c r="CQ1023" s="1069"/>
    </row>
    <row r="1024" spans="7:95" ht="14.25" customHeight="1">
      <c r="G1024" s="1069"/>
      <c r="H1024" s="1069"/>
      <c r="I1024" s="1069"/>
      <c r="CM1024" s="1076"/>
      <c r="CQ1024" s="1069"/>
    </row>
    <row r="1025" spans="7:95" ht="14.25" customHeight="1">
      <c r="G1025" s="1069"/>
      <c r="H1025" s="1069"/>
      <c r="I1025" s="1069"/>
      <c r="CM1025" s="1076"/>
      <c r="CQ1025" s="1069"/>
    </row>
    <row r="1026" spans="7:95" ht="14.25" customHeight="1">
      <c r="G1026" s="1069"/>
      <c r="H1026" s="1069"/>
      <c r="I1026" s="1069"/>
      <c r="CM1026" s="1076"/>
      <c r="CQ1026" s="1069"/>
    </row>
    <row r="1027" spans="7:95" ht="14.25" customHeight="1">
      <c r="G1027" s="1069"/>
      <c r="H1027" s="1069"/>
      <c r="I1027" s="1069"/>
      <c r="CM1027" s="1076"/>
      <c r="CQ1027" s="1069"/>
    </row>
    <row r="1028" spans="7:95" ht="14.25" customHeight="1">
      <c r="G1028" s="1069"/>
      <c r="H1028" s="1069"/>
      <c r="I1028" s="1069"/>
      <c r="CM1028" s="1076"/>
      <c r="CQ1028" s="1069"/>
    </row>
    <row r="1029" spans="7:95" ht="14.25" customHeight="1">
      <c r="G1029" s="1069"/>
      <c r="H1029" s="1069"/>
      <c r="I1029" s="1069"/>
      <c r="CM1029" s="1076"/>
      <c r="CQ1029" s="1069"/>
    </row>
    <row r="1030" spans="7:95" ht="14.25" customHeight="1">
      <c r="G1030" s="1069"/>
      <c r="H1030" s="1069"/>
      <c r="I1030" s="1069"/>
      <c r="CM1030" s="1076"/>
      <c r="CQ1030" s="1069"/>
    </row>
    <row r="1031" spans="7:95" ht="14.25" customHeight="1">
      <c r="G1031" s="1069"/>
      <c r="H1031" s="1069"/>
      <c r="I1031" s="1069"/>
      <c r="CM1031" s="1076"/>
      <c r="CQ1031" s="1069"/>
    </row>
    <row r="1032" spans="7:95" ht="14.25" customHeight="1">
      <c r="G1032" s="1069"/>
      <c r="H1032" s="1069"/>
      <c r="I1032" s="1069"/>
      <c r="CM1032" s="1076"/>
      <c r="CQ1032" s="1069"/>
    </row>
    <row r="1033" spans="7:95" ht="14.25" customHeight="1">
      <c r="G1033" s="1069"/>
      <c r="H1033" s="1069"/>
      <c r="I1033" s="1069"/>
      <c r="CM1033" s="1076"/>
      <c r="CQ1033" s="1069"/>
    </row>
    <row r="1034" spans="7:95" ht="14.25" customHeight="1">
      <c r="G1034" s="1069"/>
      <c r="H1034" s="1069"/>
      <c r="I1034" s="1069"/>
      <c r="CM1034" s="1076"/>
      <c r="CQ1034" s="1069"/>
    </row>
    <row r="1035" spans="7:95" ht="14.25" customHeight="1">
      <c r="G1035" s="1069"/>
      <c r="H1035" s="1069"/>
      <c r="I1035" s="1069"/>
      <c r="CM1035" s="1076"/>
      <c r="CQ1035" s="1069"/>
    </row>
    <row r="1036" spans="7:95" ht="14.25" customHeight="1">
      <c r="G1036" s="1069"/>
      <c r="H1036" s="1069"/>
      <c r="I1036" s="1069"/>
      <c r="CM1036" s="1076"/>
      <c r="CQ1036" s="1069"/>
    </row>
    <row r="1037" spans="7:95" ht="14.25" customHeight="1">
      <c r="G1037" s="1069"/>
      <c r="H1037" s="1069"/>
      <c r="I1037" s="1069"/>
      <c r="CM1037" s="1076"/>
      <c r="CQ1037" s="1069"/>
    </row>
    <row r="1038" spans="7:95" ht="14.25" customHeight="1">
      <c r="G1038" s="1069"/>
      <c r="H1038" s="1069"/>
      <c r="I1038" s="1069"/>
      <c r="CM1038" s="1076"/>
      <c r="CQ1038" s="1069"/>
    </row>
    <row r="1039" spans="7:95" ht="14.25" customHeight="1">
      <c r="G1039" s="1069"/>
      <c r="H1039" s="1069"/>
      <c r="I1039" s="1069"/>
      <c r="CM1039" s="1076"/>
      <c r="CQ1039" s="1069"/>
    </row>
    <row r="1040" spans="7:95" ht="14.25" customHeight="1">
      <c r="G1040" s="1069"/>
      <c r="H1040" s="1069"/>
      <c r="I1040" s="1069"/>
      <c r="CM1040" s="1076"/>
      <c r="CQ1040" s="1069"/>
    </row>
    <row r="1041" spans="7:95" ht="14.25" customHeight="1">
      <c r="G1041" s="1069"/>
      <c r="H1041" s="1069"/>
      <c r="I1041" s="1069"/>
      <c r="CM1041" s="1076"/>
      <c r="CQ1041" s="1069"/>
    </row>
    <row r="1042" spans="7:95" ht="14.25" customHeight="1">
      <c r="G1042" s="1069"/>
      <c r="H1042" s="1069"/>
      <c r="I1042" s="1069"/>
      <c r="CM1042" s="1076"/>
      <c r="CQ1042" s="1069"/>
    </row>
    <row r="1043" spans="7:95" ht="14.25" customHeight="1">
      <c r="G1043" s="1069"/>
      <c r="H1043" s="1069"/>
      <c r="I1043" s="1069"/>
      <c r="CM1043" s="1076"/>
      <c r="CQ1043" s="1069"/>
    </row>
    <row r="1044" spans="7:95" ht="14.25" customHeight="1">
      <c r="G1044" s="1069"/>
      <c r="H1044" s="1069"/>
      <c r="I1044" s="1069"/>
      <c r="CM1044" s="1076"/>
      <c r="CQ1044" s="1069"/>
    </row>
    <row r="1045" spans="7:95" ht="14.25" customHeight="1">
      <c r="G1045" s="1069"/>
      <c r="H1045" s="1069"/>
      <c r="I1045" s="1069"/>
      <c r="CM1045" s="1076"/>
      <c r="CQ1045" s="1069"/>
    </row>
    <row r="1046" spans="7:95" ht="14.25" customHeight="1">
      <c r="G1046" s="1069"/>
      <c r="H1046" s="1069"/>
      <c r="I1046" s="1069"/>
      <c r="CM1046" s="1076"/>
      <c r="CQ1046" s="1069"/>
    </row>
    <row r="1047" spans="7:95" ht="14.25" customHeight="1">
      <c r="G1047" s="1069"/>
      <c r="H1047" s="1069"/>
      <c r="I1047" s="1069"/>
      <c r="CM1047" s="1076"/>
      <c r="CQ1047" s="1069"/>
    </row>
    <row r="1048" spans="7:95" ht="14.25" customHeight="1">
      <c r="G1048" s="1069"/>
      <c r="H1048" s="1069"/>
      <c r="I1048" s="1069"/>
      <c r="CM1048" s="1076"/>
      <c r="CQ1048" s="1069"/>
    </row>
    <row r="1049" spans="7:95" ht="14.25" customHeight="1">
      <c r="G1049" s="1069"/>
      <c r="H1049" s="1069"/>
      <c r="I1049" s="1069"/>
      <c r="CM1049" s="1076"/>
      <c r="CQ1049" s="1069"/>
    </row>
    <row r="1050" spans="7:95" ht="14.25" customHeight="1">
      <c r="G1050" s="1069"/>
      <c r="H1050" s="1069"/>
      <c r="I1050" s="1069"/>
      <c r="CM1050" s="1076"/>
      <c r="CQ1050" s="1069"/>
    </row>
    <row r="1051" spans="7:95" ht="14.25" customHeight="1">
      <c r="G1051" s="1069"/>
      <c r="H1051" s="1069"/>
      <c r="I1051" s="1069"/>
      <c r="CM1051" s="1076"/>
      <c r="CQ1051" s="1069"/>
    </row>
    <row r="1052" spans="7:95" ht="14.25" customHeight="1">
      <c r="G1052" s="1069"/>
      <c r="H1052" s="1069"/>
      <c r="I1052" s="1069"/>
      <c r="CM1052" s="1076"/>
      <c r="CQ1052" s="1069"/>
    </row>
  </sheetData>
  <sheetProtection password="CC2E" sheet="1" objects="1" scenarios="1"/>
  <autoFilter ref="A6:JD222" xr:uid="{F9F2A70D-FD09-4DEC-AAB7-C9AEACC87F19}">
    <filterColumn colId="157" showButton="0"/>
    <filterColumn colId="158" showButton="0"/>
    <filterColumn colId="159" showButton="0"/>
    <filterColumn colId="160" showButton="0"/>
    <filterColumn colId="161" showButton="0"/>
    <filterColumn colId="164">
      <filters>
        <filter val="UNSOLD"/>
      </filters>
    </filterColumn>
    <filterColumn colId="169" showButton="0"/>
    <filterColumn colId="171" showButton="0"/>
  </autoFilter>
  <mergeCells count="13">
    <mergeCell ref="AA5:AA6"/>
    <mergeCell ref="AG225:AG226"/>
    <mergeCell ref="AG227:AG228"/>
    <mergeCell ref="FB6:FG6"/>
    <mergeCell ref="AQ1:AW1"/>
    <mergeCell ref="CA1:CG1"/>
    <mergeCell ref="CY4:DB4"/>
    <mergeCell ref="FN6:FO6"/>
    <mergeCell ref="GS1:GY1"/>
    <mergeCell ref="HG1:HM1"/>
    <mergeCell ref="GA2:GG2"/>
    <mergeCell ref="GI2:GO2"/>
    <mergeCell ref="FP6:FQ6"/>
  </mergeCells>
  <pageMargins left="0.7" right="0.7" top="0.75" bottom="0.75" header="0.3" footer="0.3"/>
  <pageSetup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180B2-BF93-4F71-898F-5DACC5EB4900}">
  <dimension ref="D2:O101"/>
  <sheetViews>
    <sheetView topLeftCell="E85" workbookViewId="0">
      <selection activeCell="I99" sqref="I99"/>
    </sheetView>
  </sheetViews>
  <sheetFormatPr defaultRowHeight="14.45"/>
  <cols>
    <col min="4" max="4" width="13.140625" customWidth="1"/>
    <col min="5" max="5" width="7.42578125" bestFit="1" customWidth="1"/>
    <col min="6" max="6" width="25.140625" customWidth="1"/>
    <col min="7" max="7" width="16" customWidth="1"/>
    <col min="8" max="8" width="21.5703125" bestFit="1" customWidth="1"/>
    <col min="9" max="9" width="10.42578125" bestFit="1" customWidth="1"/>
    <col min="12" max="12" width="11.42578125" customWidth="1"/>
    <col min="14" max="14" width="17.85546875" customWidth="1"/>
    <col min="15" max="15" width="17.42578125" customWidth="1"/>
  </cols>
  <sheetData>
    <row r="2" spans="4:9">
      <c r="D2" s="1025">
        <v>45566</v>
      </c>
    </row>
    <row r="4" spans="4:9" ht="15" thickBot="1">
      <c r="D4" s="1270" t="s">
        <v>709</v>
      </c>
      <c r="E4" s="1270" t="s">
        <v>710</v>
      </c>
      <c r="F4" s="1270" t="s">
        <v>711</v>
      </c>
      <c r="G4" s="1270" t="s">
        <v>712</v>
      </c>
      <c r="H4" s="1270" t="s">
        <v>713</v>
      </c>
      <c r="I4" s="130"/>
    </row>
    <row r="5" spans="4:9" ht="15" thickTop="1">
      <c r="D5" s="1271">
        <v>45566</v>
      </c>
      <c r="E5" s="1272" t="s">
        <v>196</v>
      </c>
      <c r="F5" s="1272"/>
      <c r="G5" s="1273">
        <v>70500</v>
      </c>
      <c r="H5" s="1273">
        <f>G5*1.12</f>
        <v>78960.000000000015</v>
      </c>
    </row>
    <row r="6" spans="4:9">
      <c r="D6" s="1274">
        <v>45566</v>
      </c>
      <c r="E6" s="474" t="s">
        <v>197</v>
      </c>
      <c r="F6" s="474"/>
      <c r="G6" s="1275">
        <v>81300</v>
      </c>
      <c r="H6" s="1275">
        <f t="shared" ref="H6:H11" si="0">G6*1.12</f>
        <v>91056.000000000015</v>
      </c>
    </row>
    <row r="7" spans="4:9">
      <c r="D7" s="1274">
        <v>45566</v>
      </c>
      <c r="E7" s="474" t="s">
        <v>253</v>
      </c>
      <c r="F7" s="474"/>
      <c r="G7" s="1275">
        <v>13150</v>
      </c>
      <c r="H7" s="1275">
        <f t="shared" si="0"/>
        <v>14728.000000000002</v>
      </c>
    </row>
    <row r="8" spans="4:9">
      <c r="D8" s="1274">
        <v>45566</v>
      </c>
      <c r="E8" s="474" t="s">
        <v>655</v>
      </c>
      <c r="F8" s="474"/>
      <c r="G8" s="1275">
        <v>73495.929999999993</v>
      </c>
      <c r="H8" s="1275">
        <f t="shared" si="0"/>
        <v>82315.441600000006</v>
      </c>
    </row>
    <row r="9" spans="4:9">
      <c r="D9" s="1274">
        <v>45566</v>
      </c>
      <c r="E9" s="474" t="s">
        <v>656</v>
      </c>
      <c r="F9" s="474"/>
      <c r="G9" s="1275">
        <v>13150</v>
      </c>
      <c r="H9" s="1275">
        <f t="shared" si="0"/>
        <v>14728.000000000002</v>
      </c>
    </row>
    <row r="10" spans="4:9">
      <c r="D10" s="1274">
        <v>45566</v>
      </c>
      <c r="E10" s="474" t="s">
        <v>677</v>
      </c>
      <c r="F10" s="474"/>
      <c r="G10" s="1275">
        <v>11350</v>
      </c>
      <c r="H10" s="1275">
        <f t="shared" si="0"/>
        <v>12712.000000000002</v>
      </c>
    </row>
    <row r="11" spans="4:9">
      <c r="D11" s="1274">
        <v>45566</v>
      </c>
      <c r="E11" s="474" t="s">
        <v>692</v>
      </c>
      <c r="F11" s="474"/>
      <c r="G11" s="1275">
        <v>13150</v>
      </c>
      <c r="H11" s="1275">
        <f t="shared" si="0"/>
        <v>14728.000000000002</v>
      </c>
    </row>
    <row r="13" spans="4:9">
      <c r="G13" s="1276">
        <f>SUM(G5:G11)</f>
        <v>276095.93</v>
      </c>
      <c r="H13" s="1276">
        <f>SUM(H5:H11)</f>
        <v>309227.44160000002</v>
      </c>
      <c r="I13" s="544"/>
    </row>
    <row r="15" spans="4:9">
      <c r="D15" s="1284">
        <v>45581</v>
      </c>
    </row>
    <row r="17" spans="4:8">
      <c r="D17" s="1269" t="s">
        <v>709</v>
      </c>
      <c r="E17" s="1269" t="s">
        <v>710</v>
      </c>
      <c r="F17" s="1269" t="s">
        <v>711</v>
      </c>
      <c r="G17" s="1269" t="s">
        <v>712</v>
      </c>
      <c r="H17" s="1269" t="s">
        <v>713</v>
      </c>
    </row>
    <row r="18" spans="4:8">
      <c r="D18" s="1278"/>
      <c r="E18" s="1279"/>
      <c r="F18" s="1279"/>
      <c r="G18" s="1280"/>
      <c r="H18" s="1280"/>
    </row>
    <row r="19" spans="4:8">
      <c r="D19" s="1278"/>
      <c r="E19" s="1279"/>
      <c r="F19" s="1279"/>
      <c r="G19" s="1280"/>
      <c r="H19" s="1280"/>
    </row>
    <row r="20" spans="4:8">
      <c r="D20" s="1278"/>
      <c r="E20" s="1279"/>
      <c r="F20" s="1279"/>
      <c r="G20" s="1280"/>
      <c r="H20" s="1280"/>
    </row>
    <row r="21" spans="4:8">
      <c r="D21" s="1278"/>
      <c r="E21" s="1279"/>
      <c r="F21" s="1279"/>
      <c r="G21" s="1280"/>
      <c r="H21" s="1280"/>
    </row>
    <row r="22" spans="4:8">
      <c r="D22" s="1278"/>
      <c r="E22" s="1279"/>
      <c r="F22" s="1279"/>
      <c r="G22" s="1280"/>
      <c r="H22" s="1280"/>
    </row>
    <row r="23" spans="4:8">
      <c r="D23" s="1281"/>
      <c r="E23" s="1279"/>
      <c r="F23" s="1279"/>
      <c r="G23" s="1280"/>
      <c r="H23" s="1280"/>
    </row>
    <row r="24" spans="4:8">
      <c r="D24" s="1281"/>
      <c r="E24" s="1279"/>
      <c r="F24" s="1279"/>
      <c r="G24" s="1280"/>
      <c r="H24" s="1280"/>
    </row>
    <row r="25" spans="4:8">
      <c r="H25" s="544">
        <f>SUM(H18:H24)</f>
        <v>0</v>
      </c>
    </row>
    <row r="28" spans="4:8">
      <c r="D28" s="1284">
        <v>45594</v>
      </c>
    </row>
    <row r="30" spans="4:8">
      <c r="D30" s="1269" t="s">
        <v>709</v>
      </c>
      <c r="E30" s="1269" t="s">
        <v>710</v>
      </c>
      <c r="F30" s="1269" t="s">
        <v>711</v>
      </c>
      <c r="G30" s="1269" t="s">
        <v>712</v>
      </c>
      <c r="H30" s="1269" t="s">
        <v>713</v>
      </c>
    </row>
    <row r="31" spans="4:8">
      <c r="D31" s="1282">
        <v>45594</v>
      </c>
      <c r="E31" s="1279" t="s">
        <v>188</v>
      </c>
      <c r="F31" s="1279"/>
      <c r="G31" s="1280">
        <v>67800</v>
      </c>
      <c r="H31" s="1273">
        <f t="shared" ref="H31:H37" si="1">G31*1.12</f>
        <v>75936</v>
      </c>
    </row>
    <row r="32" spans="4:8">
      <c r="D32" s="1282">
        <v>45594</v>
      </c>
      <c r="E32" s="1279" t="s">
        <v>189</v>
      </c>
      <c r="F32" s="1279"/>
      <c r="G32" s="1280">
        <v>67800</v>
      </c>
      <c r="H32" s="1273">
        <f t="shared" si="1"/>
        <v>75936</v>
      </c>
    </row>
    <row r="33" spans="4:10">
      <c r="D33" s="1282">
        <v>45594</v>
      </c>
      <c r="E33" s="1279" t="s">
        <v>233</v>
      </c>
      <c r="F33" s="1279"/>
      <c r="G33" s="1280">
        <v>6750</v>
      </c>
      <c r="H33" s="1273">
        <f t="shared" si="1"/>
        <v>7560.0000000000009</v>
      </c>
    </row>
    <row r="34" spans="4:10">
      <c r="D34" s="1282">
        <v>45594</v>
      </c>
      <c r="E34" s="1279" t="s">
        <v>234</v>
      </c>
      <c r="F34" s="1279"/>
      <c r="G34" s="1280">
        <v>6750</v>
      </c>
      <c r="H34" s="1273">
        <f t="shared" si="1"/>
        <v>7560.0000000000009</v>
      </c>
    </row>
    <row r="35" spans="4:10">
      <c r="D35" s="1282">
        <v>45594</v>
      </c>
      <c r="E35" s="1279" t="s">
        <v>236</v>
      </c>
      <c r="F35" s="1279"/>
      <c r="G35" s="1280">
        <v>6750</v>
      </c>
      <c r="H35" s="1273">
        <f t="shared" si="1"/>
        <v>7560.0000000000009</v>
      </c>
    </row>
    <row r="36" spans="4:10">
      <c r="D36" s="1282">
        <v>45594</v>
      </c>
      <c r="E36" s="1279" t="s">
        <v>244</v>
      </c>
      <c r="F36" s="1279"/>
      <c r="G36" s="1280">
        <v>64800</v>
      </c>
      <c r="H36" s="1273">
        <f t="shared" si="1"/>
        <v>72576</v>
      </c>
    </row>
    <row r="37" spans="4:10">
      <c r="D37" s="1282">
        <v>45594</v>
      </c>
      <c r="E37" s="1279" t="s">
        <v>660</v>
      </c>
      <c r="F37" s="1279"/>
      <c r="G37" s="1280">
        <v>12150</v>
      </c>
      <c r="H37" s="1273">
        <f t="shared" si="1"/>
        <v>13608.000000000002</v>
      </c>
    </row>
    <row r="38" spans="4:10" ht="15" thickBot="1">
      <c r="G38" s="1283">
        <f>SUM(G31:G37)</f>
        <v>232800</v>
      </c>
      <c r="H38" s="1283">
        <f>SUM(H31:H37)</f>
        <v>260736</v>
      </c>
      <c r="I38" s="544" t="s">
        <v>714</v>
      </c>
    </row>
    <row r="39" spans="4:10" ht="15" thickTop="1">
      <c r="I39" s="1276">
        <f>H38/29</f>
        <v>8990.8965517241377</v>
      </c>
      <c r="J39" t="s">
        <v>715</v>
      </c>
    </row>
    <row r="42" spans="4:10" ht="15" thickBot="1">
      <c r="D42" s="1270" t="s">
        <v>709</v>
      </c>
      <c r="E42" s="1270" t="s">
        <v>710</v>
      </c>
      <c r="F42" s="1270" t="s">
        <v>711</v>
      </c>
      <c r="G42" s="1270" t="s">
        <v>712</v>
      </c>
      <c r="H42" s="1270" t="s">
        <v>713</v>
      </c>
    </row>
    <row r="43" spans="4:10" ht="15" thickTop="1">
      <c r="D43" s="1285">
        <v>45627</v>
      </c>
      <c r="E43" s="1286" t="s">
        <v>161</v>
      </c>
      <c r="F43" s="1286" t="s">
        <v>716</v>
      </c>
      <c r="G43" s="1287">
        <v>1048298.64</v>
      </c>
      <c r="H43" s="1288">
        <f t="shared" ref="H43:H46" si="2">G43*1.12</f>
        <v>1174094.4768000001</v>
      </c>
    </row>
    <row r="44" spans="4:10">
      <c r="D44" s="1289">
        <v>45627</v>
      </c>
      <c r="E44" s="765" t="s">
        <v>672</v>
      </c>
      <c r="F44" s="474" t="s">
        <v>717</v>
      </c>
      <c r="G44" s="1275">
        <v>57941.760000000002</v>
      </c>
      <c r="H44" s="1290">
        <f t="shared" si="2"/>
        <v>64894.77120000001</v>
      </c>
    </row>
    <row r="45" spans="4:10">
      <c r="D45" s="474"/>
      <c r="E45" s="765"/>
      <c r="F45" s="474"/>
      <c r="G45" s="1275"/>
      <c r="H45" s="1290">
        <f t="shared" si="2"/>
        <v>0</v>
      </c>
    </row>
    <row r="46" spans="4:10">
      <c r="D46" s="474"/>
      <c r="E46" s="765"/>
      <c r="F46" s="474"/>
      <c r="G46" s="474"/>
      <c r="H46" s="1290">
        <f t="shared" si="2"/>
        <v>0</v>
      </c>
    </row>
    <row r="47" spans="4:10">
      <c r="D47" s="474"/>
      <c r="E47" s="765"/>
      <c r="F47" s="474"/>
      <c r="G47" s="474"/>
      <c r="H47" s="1291"/>
    </row>
    <row r="48" spans="4:10">
      <c r="D48" s="474"/>
      <c r="E48" s="474"/>
      <c r="F48" s="474"/>
      <c r="G48" s="474"/>
      <c r="H48" s="1291"/>
    </row>
    <row r="49" spans="4:10">
      <c r="D49" s="474"/>
      <c r="E49" s="474"/>
      <c r="F49" s="474"/>
      <c r="G49" s="474"/>
      <c r="H49" s="1291"/>
    </row>
    <row r="50" spans="4:10">
      <c r="D50" s="474"/>
      <c r="E50" s="474"/>
      <c r="F50" s="474"/>
      <c r="G50" s="474"/>
      <c r="H50" s="1292">
        <f>SUM(H43:H49)</f>
        <v>1238989.2480000001</v>
      </c>
      <c r="I50" t="s">
        <v>714</v>
      </c>
    </row>
    <row r="51" spans="4:10">
      <c r="I51" s="544">
        <f>H50/29</f>
        <v>42723.767172413798</v>
      </c>
      <c r="J51" t="s">
        <v>715</v>
      </c>
    </row>
    <row r="54" spans="4:10" ht="15" thickBot="1">
      <c r="D54" s="1270" t="s">
        <v>709</v>
      </c>
      <c r="E54" s="1270" t="s">
        <v>710</v>
      </c>
      <c r="F54" s="1270" t="s">
        <v>711</v>
      </c>
      <c r="G54" s="1270" t="s">
        <v>712</v>
      </c>
      <c r="H54" s="1270" t="s">
        <v>713</v>
      </c>
    </row>
    <row r="55" spans="4:10" ht="15" thickTop="1">
      <c r="D55" s="1025">
        <v>45658</v>
      </c>
      <c r="F55" t="s">
        <v>718</v>
      </c>
    </row>
    <row r="58" spans="4:10" ht="15" thickBot="1">
      <c r="D58" s="1270" t="s">
        <v>709</v>
      </c>
      <c r="E58" s="1270" t="s">
        <v>710</v>
      </c>
      <c r="F58" s="1270" t="s">
        <v>711</v>
      </c>
      <c r="G58" s="1270" t="s">
        <v>712</v>
      </c>
      <c r="H58" s="1270" t="s">
        <v>713</v>
      </c>
    </row>
    <row r="59" spans="4:10" ht="15" thickTop="1">
      <c r="D59" s="1025">
        <v>45689</v>
      </c>
      <c r="F59" t="s">
        <v>718</v>
      </c>
    </row>
    <row r="62" spans="4:10" ht="15" thickBot="1">
      <c r="D62" s="1270" t="s">
        <v>709</v>
      </c>
      <c r="E62" s="1270" t="s">
        <v>710</v>
      </c>
      <c r="F62" s="1270" t="s">
        <v>711</v>
      </c>
      <c r="G62" s="1270" t="s">
        <v>712</v>
      </c>
      <c r="H62" s="1270" t="s">
        <v>713</v>
      </c>
    </row>
    <row r="63" spans="4:10" ht="15" thickTop="1">
      <c r="D63" s="1025">
        <v>45717</v>
      </c>
      <c r="F63" t="s">
        <v>719</v>
      </c>
      <c r="G63">
        <v>0</v>
      </c>
      <c r="H63" s="1290">
        <f t="shared" ref="H63" si="3">G63*1.12</f>
        <v>0</v>
      </c>
    </row>
    <row r="66" spans="4:14" ht="15" thickBot="1">
      <c r="D66" s="1270" t="s">
        <v>709</v>
      </c>
      <c r="E66" s="1270" t="s">
        <v>710</v>
      </c>
      <c r="F66" s="1270" t="s">
        <v>711</v>
      </c>
      <c r="G66" s="1270" t="s">
        <v>712</v>
      </c>
      <c r="H66" s="1270" t="s">
        <v>713</v>
      </c>
    </row>
    <row r="67" spans="4:14" ht="15" thickTop="1">
      <c r="D67" s="1025">
        <v>45748</v>
      </c>
      <c r="F67" t="s">
        <v>719</v>
      </c>
      <c r="G67">
        <v>0</v>
      </c>
      <c r="H67" s="1290">
        <f t="shared" ref="H67" si="4">G67*1.12</f>
        <v>0</v>
      </c>
    </row>
    <row r="70" spans="4:14" ht="15" thickBot="1">
      <c r="D70" s="1270" t="s">
        <v>709</v>
      </c>
      <c r="E70" s="1270" t="s">
        <v>710</v>
      </c>
      <c r="F70" s="1270" t="s">
        <v>711</v>
      </c>
      <c r="G70" s="1270" t="s">
        <v>712</v>
      </c>
      <c r="H70" s="1270" t="s">
        <v>713</v>
      </c>
    </row>
    <row r="71" spans="4:14" ht="15" thickTop="1">
      <c r="D71" s="1025">
        <v>45778</v>
      </c>
      <c r="E71" t="s">
        <v>284</v>
      </c>
      <c r="F71" t="s">
        <v>720</v>
      </c>
      <c r="G71" s="1305">
        <v>48600</v>
      </c>
      <c r="H71" s="1290">
        <f>G71*1.12</f>
        <v>54432.000000000007</v>
      </c>
    </row>
    <row r="72" spans="4:14">
      <c r="E72" t="s">
        <v>285</v>
      </c>
      <c r="F72" t="s">
        <v>720</v>
      </c>
      <c r="G72" s="1305">
        <v>72900</v>
      </c>
      <c r="H72" s="1290">
        <f t="shared" ref="H72:H73" si="5">G72*1.12</f>
        <v>81648.000000000015</v>
      </c>
    </row>
    <row r="73" spans="4:14">
      <c r="E73" t="s">
        <v>289</v>
      </c>
      <c r="F73" t="s">
        <v>720</v>
      </c>
      <c r="G73" s="1305">
        <v>45838.15</v>
      </c>
      <c r="H73" s="1290">
        <f t="shared" si="5"/>
        <v>51338.72800000001</v>
      </c>
    </row>
    <row r="75" spans="4:14">
      <c r="H75" s="1306">
        <f>SUM(H71:H73)</f>
        <v>187418.72800000003</v>
      </c>
      <c r="M75" t="s">
        <v>216</v>
      </c>
      <c r="N75">
        <v>44663.95</v>
      </c>
    </row>
    <row r="76" spans="4:14">
      <c r="M76" t="s">
        <v>313</v>
      </c>
      <c r="N76">
        <v>56108.94</v>
      </c>
    </row>
    <row r="77" spans="4:14" ht="15" thickBot="1">
      <c r="D77" s="1270" t="s">
        <v>709</v>
      </c>
      <c r="E77" s="1270" t="s">
        <v>710</v>
      </c>
      <c r="F77" s="1270" t="s">
        <v>711</v>
      </c>
      <c r="G77" s="1270" t="s">
        <v>712</v>
      </c>
      <c r="H77" s="1270" t="s">
        <v>713</v>
      </c>
      <c r="M77" t="s">
        <v>647</v>
      </c>
      <c r="N77">
        <v>13150</v>
      </c>
    </row>
    <row r="78" spans="4:14" ht="15" thickTop="1">
      <c r="D78" s="1025">
        <v>45838</v>
      </c>
      <c r="E78" t="s">
        <v>216</v>
      </c>
      <c r="F78" t="s">
        <v>720</v>
      </c>
      <c r="G78" s="1305">
        <v>44663.95</v>
      </c>
      <c r="H78" s="1290">
        <f>G78*1.12</f>
        <v>50023.624000000003</v>
      </c>
      <c r="M78" t="s">
        <v>677</v>
      </c>
      <c r="N78">
        <v>19000</v>
      </c>
    </row>
    <row r="79" spans="4:14">
      <c r="E79" t="s">
        <v>313</v>
      </c>
      <c r="F79" t="s">
        <v>720</v>
      </c>
      <c r="G79" s="1305">
        <v>56108.94</v>
      </c>
      <c r="H79" s="1290">
        <f t="shared" ref="H79:H81" si="6">G79*1.12</f>
        <v>62842.012800000011</v>
      </c>
    </row>
    <row r="80" spans="4:14">
      <c r="E80" t="s">
        <v>647</v>
      </c>
      <c r="F80" t="s">
        <v>720</v>
      </c>
      <c r="G80" s="1305">
        <v>13150</v>
      </c>
      <c r="H80" s="1290">
        <f t="shared" si="6"/>
        <v>14728.000000000002</v>
      </c>
    </row>
    <row r="81" spans="4:15">
      <c r="E81" t="s">
        <v>677</v>
      </c>
      <c r="F81" t="s">
        <v>720</v>
      </c>
      <c r="G81" s="1305">
        <v>19000</v>
      </c>
      <c r="H81" s="1290">
        <f t="shared" si="6"/>
        <v>21280.000000000004</v>
      </c>
    </row>
    <row r="83" spans="4:15">
      <c r="H83" s="1306">
        <f>SUM(H78:H81)</f>
        <v>148873.63680000001</v>
      </c>
    </row>
    <row r="85" spans="4:15" ht="15" thickBot="1">
      <c r="D85" s="1270" t="s">
        <v>709</v>
      </c>
      <c r="E85" s="1270" t="s">
        <v>710</v>
      </c>
      <c r="F85" s="1270" t="s">
        <v>711</v>
      </c>
      <c r="G85" s="1270" t="s">
        <v>712</v>
      </c>
      <c r="H85" s="1270" t="s">
        <v>713</v>
      </c>
    </row>
    <row r="86" spans="4:15" ht="15" thickTop="1">
      <c r="D86" s="1025">
        <v>45868</v>
      </c>
      <c r="E86" t="s">
        <v>165</v>
      </c>
      <c r="F86" t="s">
        <v>720</v>
      </c>
      <c r="G86" s="1307">
        <v>58912.49</v>
      </c>
      <c r="H86" s="1290">
        <f>G86*1.12</f>
        <v>65981.988800000006</v>
      </c>
      <c r="M86" t="s">
        <v>301</v>
      </c>
      <c r="N86">
        <v>226321.62</v>
      </c>
    </row>
    <row r="88" spans="4:15">
      <c r="H88" s="1306">
        <f>SUM(H86:H86)</f>
        <v>65981.988800000006</v>
      </c>
    </row>
    <row r="90" spans="4:15" ht="15" thickBot="1">
      <c r="D90" s="1270" t="s">
        <v>709</v>
      </c>
      <c r="E90" s="1270" t="s">
        <v>710</v>
      </c>
      <c r="F90" s="1270" t="s">
        <v>711</v>
      </c>
      <c r="G90" s="1270" t="s">
        <v>712</v>
      </c>
      <c r="H90" s="1270" t="s">
        <v>713</v>
      </c>
      <c r="M90" s="1025">
        <v>45901</v>
      </c>
    </row>
    <row r="91" spans="4:15" ht="15" thickTop="1">
      <c r="D91" s="1025">
        <v>45899</v>
      </c>
      <c r="E91" t="s">
        <v>216</v>
      </c>
      <c r="F91" s="1305" t="s">
        <v>720</v>
      </c>
      <c r="G91" s="1305">
        <v>44663.95</v>
      </c>
      <c r="H91" s="1290">
        <f>G91*1.12</f>
        <v>50023.624000000003</v>
      </c>
      <c r="O91" t="s">
        <v>721</v>
      </c>
    </row>
    <row r="92" spans="4:15">
      <c r="F92" s="1305"/>
      <c r="G92" s="1305"/>
      <c r="H92" s="1305"/>
      <c r="M92" s="1321"/>
      <c r="N92" s="1321" t="s">
        <v>722</v>
      </c>
      <c r="O92" s="1322">
        <v>3272051.608294595</v>
      </c>
    </row>
    <row r="93" spans="4:15">
      <c r="F93" s="1305"/>
      <c r="G93" s="1305"/>
      <c r="H93" s="1319">
        <f>SUM(H91:H91)</f>
        <v>50023.624000000003</v>
      </c>
      <c r="M93" t="s">
        <v>4</v>
      </c>
      <c r="N93">
        <v>20</v>
      </c>
      <c r="O93" s="1320">
        <f>$O$92*N93/$N$96</f>
        <v>495765.39519615076</v>
      </c>
    </row>
    <row r="94" spans="4:15">
      <c r="M94" s="1326" t="s">
        <v>5</v>
      </c>
      <c r="N94" s="1326">
        <v>44</v>
      </c>
      <c r="O94" s="1327">
        <f t="shared" ref="O94:O95" si="7">$O$92*N94/$N$96</f>
        <v>1090683.8694315318</v>
      </c>
    </row>
    <row r="95" spans="4:15" ht="15" thickBot="1">
      <c r="D95" s="1270" t="s">
        <v>709</v>
      </c>
      <c r="E95" s="1270" t="s">
        <v>710</v>
      </c>
      <c r="F95" s="1270" t="s">
        <v>711</v>
      </c>
      <c r="G95" s="1270" t="s">
        <v>712</v>
      </c>
      <c r="H95" s="1270" t="s">
        <v>713</v>
      </c>
      <c r="M95" s="1321" t="s">
        <v>6</v>
      </c>
      <c r="N95" s="1321">
        <v>68</v>
      </c>
      <c r="O95" s="1323">
        <f t="shared" si="7"/>
        <v>1685602.3436669125</v>
      </c>
    </row>
    <row r="96" spans="4:15" ht="15" thickTop="1">
      <c r="D96" s="1025">
        <v>45930</v>
      </c>
      <c r="E96" t="s">
        <v>301</v>
      </c>
      <c r="F96" s="1305" t="s">
        <v>720</v>
      </c>
      <c r="G96" s="1305">
        <v>226321.62</v>
      </c>
      <c r="H96" s="1290">
        <f>G96*1.12</f>
        <v>253480.21440000003</v>
      </c>
      <c r="N96">
        <f>SUM(N93:N95)</f>
        <v>132</v>
      </c>
    </row>
    <row r="97" spans="6:8">
      <c r="F97" s="1305"/>
      <c r="G97" s="1305"/>
      <c r="H97" s="1305"/>
    </row>
    <row r="98" spans="6:8">
      <c r="F98" s="1305"/>
      <c r="G98" s="1305"/>
      <c r="H98" s="1319">
        <f>SUM(H96:H96)</f>
        <v>253480.21440000003</v>
      </c>
    </row>
    <row r="101" spans="6:8">
      <c r="G101" s="1328" t="s">
        <v>723</v>
      </c>
      <c r="H101" s="1329">
        <f>H98+O94</f>
        <v>1344164.0838315317</v>
      </c>
    </row>
  </sheetData>
  <sheetProtection password="CC2E"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7" filterMode="1">
    <tabColor rgb="FFFFFF00"/>
    <pageSetUpPr fitToPage="1"/>
  </sheetPr>
  <dimension ref="A1:AS304"/>
  <sheetViews>
    <sheetView tabSelected="1" zoomScale="85" zoomScaleNormal="85" workbookViewId="0">
      <pane xSplit="3" ySplit="6" topLeftCell="D14" activePane="bottomRight" state="frozen"/>
      <selection pane="bottomRight" activeCell="H36" sqref="H36"/>
      <selection pane="bottomLeft" activeCell="A7" sqref="A7"/>
      <selection pane="topRight" activeCell="D1" sqref="D1"/>
    </sheetView>
  </sheetViews>
  <sheetFormatPr defaultColWidth="8.85546875" defaultRowHeight="12.95"/>
  <cols>
    <col min="1" max="1" width="6.85546875" style="251" hidden="1" customWidth="1"/>
    <col min="2" max="2" width="10.85546875" style="251" hidden="1" customWidth="1"/>
    <col min="3" max="3" width="14.85546875" style="868" customWidth="1"/>
    <col min="4" max="4" width="9.85546875" style="866" bestFit="1" customWidth="1"/>
    <col min="5" max="5" width="11.140625" style="866" customWidth="1"/>
    <col min="6" max="6" width="10.5703125" style="153" customWidth="1"/>
    <col min="7" max="7" width="10.85546875" style="866" bestFit="1" customWidth="1"/>
    <col min="8" max="8" width="13.140625" style="866" bestFit="1" customWidth="1"/>
    <col min="9" max="9" width="11.5703125" style="866" bestFit="1" customWidth="1"/>
    <col min="10" max="10" width="16.140625" style="866" customWidth="1"/>
    <col min="11" max="11" width="11" style="867" customWidth="1"/>
    <col min="12" max="12" width="11.5703125" style="866" bestFit="1" customWidth="1"/>
    <col min="13" max="13" width="13.85546875" style="866" customWidth="1"/>
    <col min="14" max="14" width="13.140625" style="866" customWidth="1"/>
    <col min="15" max="15" width="10.5703125" style="868" customWidth="1"/>
    <col min="16" max="16" width="13.85546875" style="866" bestFit="1" customWidth="1"/>
    <col min="17" max="17" width="16.85546875" style="866" bestFit="1" customWidth="1"/>
    <col min="18" max="21" width="13.42578125" style="866" customWidth="1"/>
    <col min="22" max="22" width="14.42578125" style="866" customWidth="1"/>
    <col min="23" max="23" width="14.42578125" style="869" customWidth="1"/>
    <col min="24" max="25" width="14.42578125" style="822" customWidth="1"/>
    <col min="26" max="26" width="12.85546875" style="869" customWidth="1"/>
    <col min="27" max="27" width="11" style="869" customWidth="1"/>
    <col min="28" max="28" width="9.140625" style="869" customWidth="1"/>
    <col min="29" max="29" width="14.42578125" style="869" customWidth="1"/>
    <col min="30" max="30" width="13.5703125" style="869" customWidth="1"/>
    <col min="31" max="32" width="9.140625" style="869" customWidth="1"/>
    <col min="33" max="33" width="13.5703125" style="822" customWidth="1"/>
    <col min="34" max="34" width="11" style="822" customWidth="1"/>
    <col min="35" max="37" width="9.140625" style="869" customWidth="1"/>
    <col min="38" max="16384" width="8.85546875" style="866"/>
  </cols>
  <sheetData>
    <row r="1" spans="1:44">
      <c r="A1" s="866"/>
      <c r="B1" s="866"/>
      <c r="C1" s="1000" t="s">
        <v>51</v>
      </c>
      <c r="F1" s="866"/>
    </row>
    <row r="2" spans="1:44">
      <c r="A2" s="866"/>
      <c r="B2" s="866"/>
      <c r="C2" s="1000" t="s">
        <v>53</v>
      </c>
      <c r="F2" s="866"/>
    </row>
    <row r="3" spans="1:44">
      <c r="A3" s="866"/>
      <c r="B3" s="866"/>
      <c r="C3" s="1000" t="s">
        <v>724</v>
      </c>
      <c r="F3" s="866"/>
    </row>
    <row r="4" spans="1:44">
      <c r="A4" s="868"/>
      <c r="B4" s="868"/>
      <c r="C4" s="1001" t="s">
        <v>725</v>
      </c>
      <c r="D4" s="868"/>
      <c r="E4" s="868"/>
      <c r="F4" s="868"/>
      <c r="G4" s="868"/>
      <c r="H4" s="868"/>
      <c r="I4" s="868"/>
      <c r="J4" s="868"/>
      <c r="K4" s="870"/>
      <c r="L4" s="868"/>
      <c r="M4" s="868"/>
      <c r="N4" s="868"/>
      <c r="P4" s="868"/>
      <c r="Q4" s="868"/>
      <c r="R4" s="868"/>
      <c r="S4" s="868"/>
    </row>
    <row r="5" spans="1:44" ht="13.5" thickBot="1">
      <c r="A5" s="1352" t="s">
        <v>726</v>
      </c>
      <c r="B5" s="1352"/>
      <c r="F5" s="871"/>
      <c r="V5" s="1353" t="s">
        <v>727</v>
      </c>
      <c r="W5" s="1353"/>
      <c r="X5" s="1353"/>
      <c r="Y5" s="1353"/>
    </row>
    <row r="6" spans="1:44" ht="44.1" customHeight="1" thickBot="1">
      <c r="A6" s="872" t="s">
        <v>728</v>
      </c>
      <c r="B6" s="873" t="s">
        <v>366</v>
      </c>
      <c r="C6" s="1013" t="s">
        <v>61</v>
      </c>
      <c r="D6" s="1014" t="s">
        <v>63</v>
      </c>
      <c r="E6" s="1015" t="s">
        <v>64</v>
      </c>
      <c r="F6" s="1016" t="s">
        <v>66</v>
      </c>
      <c r="G6" s="1013" t="s">
        <v>65</v>
      </c>
      <c r="H6" s="1017" t="s">
        <v>67</v>
      </c>
      <c r="I6" s="1017" t="s">
        <v>729</v>
      </c>
      <c r="J6" s="1014" t="s">
        <v>77</v>
      </c>
      <c r="K6" s="1018" t="s">
        <v>78</v>
      </c>
      <c r="L6" s="1014" t="s">
        <v>79</v>
      </c>
      <c r="M6" s="1014" t="s">
        <v>80</v>
      </c>
      <c r="N6" s="1014" t="s">
        <v>81</v>
      </c>
      <c r="O6" s="1017" t="s">
        <v>82</v>
      </c>
      <c r="P6" s="1014" t="s">
        <v>83</v>
      </c>
      <c r="Q6" s="1014" t="s">
        <v>84</v>
      </c>
      <c r="R6" s="1017" t="s">
        <v>433</v>
      </c>
      <c r="S6" s="1017" t="s">
        <v>434</v>
      </c>
      <c r="T6" s="1017" t="s">
        <v>435</v>
      </c>
      <c r="U6" s="1019" t="s">
        <v>436</v>
      </c>
      <c r="V6" s="1242" t="s">
        <v>730</v>
      </c>
      <c r="W6" s="1242" t="s">
        <v>731</v>
      </c>
      <c r="X6" s="1242" t="s">
        <v>732</v>
      </c>
      <c r="Y6" s="1242" t="s">
        <v>733</v>
      </c>
      <c r="Z6" s="874" t="s">
        <v>707</v>
      </c>
      <c r="AA6" s="874" t="s">
        <v>75</v>
      </c>
      <c r="AB6" s="874" t="s">
        <v>734</v>
      </c>
      <c r="AC6" s="874" t="s">
        <v>735</v>
      </c>
      <c r="AD6" s="874" t="s">
        <v>736</v>
      </c>
      <c r="AE6" s="875" t="s">
        <v>737</v>
      </c>
      <c r="AF6" s="874" t="s">
        <v>738</v>
      </c>
      <c r="AG6" s="821"/>
      <c r="AH6" s="821"/>
      <c r="AI6" s="874" t="s">
        <v>739</v>
      </c>
      <c r="AJ6" s="874" t="s">
        <v>739</v>
      </c>
      <c r="AK6" s="874" t="s">
        <v>739</v>
      </c>
      <c r="AL6" s="822"/>
      <c r="AM6" s="822"/>
      <c r="AN6" s="822"/>
      <c r="AO6" s="822"/>
      <c r="AP6" s="822"/>
      <c r="AQ6" s="822"/>
      <c r="AR6" s="822"/>
    </row>
    <row r="7" spans="1:44" s="883" customFormat="1" hidden="1">
      <c r="A7" s="876" t="str">
        <f>E7</f>
        <v>2A</v>
      </c>
      <c r="B7" s="877" t="str">
        <f>'Corrected and Updated TSF 2'!FI7</f>
        <v>SOLD</v>
      </c>
      <c r="C7" s="878" t="str">
        <f>'Corrected and Updated TSF 2'!E7</f>
        <v>2nd Floor</v>
      </c>
      <c r="D7" s="763" t="str">
        <f>'Corrected and Updated TSF 2'!M7</f>
        <v>End</v>
      </c>
      <c r="E7" s="763" t="str">
        <f>'Corrected and Updated TSF 2'!G7</f>
        <v>2A</v>
      </c>
      <c r="F7" s="865" t="str">
        <f>'Corrected and Updated TSF 2'!I7</f>
        <v>Studio</v>
      </c>
      <c r="G7" s="879">
        <f>'Corrected and Updated TSF 2'!J7</f>
        <v>22</v>
      </c>
      <c r="H7" s="879">
        <f>'Corrected and Updated TSF 2'!CH7</f>
        <v>3376327.2357885418</v>
      </c>
      <c r="I7" s="879">
        <f>SUM('Corrected and Updated TSF 2'!CJ7:CK7)</f>
        <v>464244.99492092454</v>
      </c>
      <c r="J7" s="879">
        <f>'Corrected and Updated TSF 2'!CL7</f>
        <v>3840572.2307094666</v>
      </c>
      <c r="K7" s="880">
        <f>'Corrected and Updated TSF 2'!CM7</f>
        <v>0.125</v>
      </c>
      <c r="L7" s="879">
        <f>'Corrected and Updated TSF 2'!CN7</f>
        <v>480071.52883868333</v>
      </c>
      <c r="M7" s="879">
        <f>'Corrected and Updated TSF 2'!CO7</f>
        <v>30000</v>
      </c>
      <c r="N7" s="879">
        <f>'Corrected and Updated TSF 2'!CP7</f>
        <v>450071.52883868333</v>
      </c>
      <c r="O7" s="881">
        <f>'Corrected and Updated TSF 2'!CQ7</f>
        <v>18</v>
      </c>
      <c r="P7" s="879">
        <f>'Corrected and Updated TSF 2'!CR7</f>
        <v>25003.973824371296</v>
      </c>
      <c r="Q7" s="879">
        <f>'Corrected and Updated TSF 2'!CT7</f>
        <v>3360500.7018707832</v>
      </c>
      <c r="R7" s="879">
        <f>'Corrected and Updated TSF 2'!CU7</f>
        <v>26053.926173068994</v>
      </c>
      <c r="S7" s="879">
        <f>'Corrected and Updated TSF 2'!CV7</f>
        <v>30205.130350608837</v>
      </c>
      <c r="T7" s="882">
        <f>'Corrected and Updated TSF 2'!CW7</f>
        <v>39018.262590733539</v>
      </c>
      <c r="U7" s="882">
        <f>'Corrected and Updated TSF 2'!CX7</f>
        <v>66541.941592727337</v>
      </c>
      <c r="V7" s="1167">
        <f>'Corrected and Updated TSF 2'!CY7</f>
        <v>272984.15341245179</v>
      </c>
      <c r="W7" s="1167">
        <f>'Corrected and Updated TSF 2'!CZ7</f>
        <v>108018.49972314907</v>
      </c>
      <c r="X7" s="1233">
        <f>'Corrected and Updated TSF 2'!DA7</f>
        <v>78020.232462998407</v>
      </c>
      <c r="Y7" s="1233">
        <f>'Corrected and Updated TSF 2'!DB7</f>
        <v>59376.988770332202</v>
      </c>
      <c r="Z7" s="885">
        <f>H7-'Corrected and Updated TSF 2'!CH7</f>
        <v>0</v>
      </c>
      <c r="AA7" s="885">
        <f>I7-SUM('Corrected and Updated TSF 2'!CJ7:CK7)</f>
        <v>0</v>
      </c>
      <c r="AB7" s="885">
        <f>J7-'Corrected and Updated TSF 2'!CL7</f>
        <v>0</v>
      </c>
      <c r="AC7" s="886">
        <f>K7-'Corrected and Updated TSF 2'!CM7</f>
        <v>0</v>
      </c>
      <c r="AD7" s="885">
        <f>M7-'Corrected and Updated TSF 2'!CO7</f>
        <v>0</v>
      </c>
      <c r="AE7" s="887">
        <f>P7-'Corrected and Updated TSF 2'!CR7</f>
        <v>0</v>
      </c>
      <c r="AF7" s="885">
        <f>Q7-'Corrected and Updated TSF 2'!CT7</f>
        <v>0</v>
      </c>
      <c r="AG7" s="888"/>
      <c r="AH7" s="888"/>
      <c r="AI7" s="885">
        <f>S7-'INTERNAL PRICELIST'!AA7</f>
        <v>9477.5447240376852</v>
      </c>
      <c r="AJ7" s="885">
        <f>T7-'INTERNAL PRICELIST'!AB7</f>
        <v>12242.864827877373</v>
      </c>
      <c r="AK7" s="885">
        <f>U7-'INTERNAL PRICELIST'!AC7</f>
        <v>20879.043355911672</v>
      </c>
    </row>
    <row r="8" spans="1:44" s="883" customFormat="1" hidden="1">
      <c r="A8" s="876" t="str">
        <f t="shared" ref="A8:A71" si="0">E8</f>
        <v>2B</v>
      </c>
      <c r="B8" s="877" t="str">
        <f>'Corrected and Updated TSF 2'!FI8</f>
        <v>SOLD</v>
      </c>
      <c r="C8" s="878" t="str">
        <f>'Corrected and Updated TSF 2'!E8</f>
        <v>2nd Floor</v>
      </c>
      <c r="D8" s="763" t="str">
        <f>'Corrected and Updated TSF 2'!M8</f>
        <v>End</v>
      </c>
      <c r="E8" s="763" t="str">
        <f>'Corrected and Updated TSF 2'!G8</f>
        <v>2B</v>
      </c>
      <c r="F8" s="747" t="str">
        <f>'Corrected and Updated TSF 2'!I8</f>
        <v>Studio</v>
      </c>
      <c r="G8" s="879">
        <f>'Corrected and Updated TSF 2'!J8</f>
        <v>22</v>
      </c>
      <c r="H8" s="879">
        <f>'Corrected and Updated TSF 2'!CH8</f>
        <v>3376327.2357885418</v>
      </c>
      <c r="I8" s="879">
        <f>SUM('Corrected and Updated TSF 2'!CJ8:CK8)</f>
        <v>464244.99492092454</v>
      </c>
      <c r="J8" s="879">
        <f>'Corrected and Updated TSF 2'!CL8</f>
        <v>3840572.2307094666</v>
      </c>
      <c r="K8" s="880">
        <f>'Corrected and Updated TSF 2'!CM8</f>
        <v>0.125</v>
      </c>
      <c r="L8" s="879">
        <f>'Corrected and Updated TSF 2'!CN8</f>
        <v>480071.52883868333</v>
      </c>
      <c r="M8" s="879">
        <f>'Corrected and Updated TSF 2'!CO8</f>
        <v>30000</v>
      </c>
      <c r="N8" s="879">
        <f>'Corrected and Updated TSF 2'!CP8</f>
        <v>450071.52883868333</v>
      </c>
      <c r="O8" s="881">
        <f>'Corrected and Updated TSF 2'!CQ8</f>
        <v>18</v>
      </c>
      <c r="P8" s="879">
        <f>'Corrected and Updated TSF 2'!CR8</f>
        <v>25003.973824371296</v>
      </c>
      <c r="Q8" s="879">
        <f>'Corrected and Updated TSF 2'!CT8</f>
        <v>3360500.7018707832</v>
      </c>
      <c r="R8" s="879">
        <f>'Corrected and Updated TSF 2'!CU8</f>
        <v>26053.926173068994</v>
      </c>
      <c r="S8" s="879">
        <f>'Corrected and Updated TSF 2'!CV8</f>
        <v>30205.130350608837</v>
      </c>
      <c r="T8" s="882">
        <f>'Corrected and Updated TSF 2'!CW8</f>
        <v>39018.262590733539</v>
      </c>
      <c r="U8" s="882">
        <f>'Corrected and Updated TSF 2'!CX8</f>
        <v>66541.941592727337</v>
      </c>
      <c r="V8" s="1167">
        <f>'Corrected and Updated TSF 2'!CY8</f>
        <v>272984.15341245179</v>
      </c>
      <c r="W8" s="1167">
        <f>'Corrected and Updated TSF 2'!CZ8</f>
        <v>108018.49972314907</v>
      </c>
      <c r="X8" s="1233">
        <f>'Corrected and Updated TSF 2'!DA8</f>
        <v>78020.232462998407</v>
      </c>
      <c r="Y8" s="1233">
        <f>'Corrected and Updated TSF 2'!DB8</f>
        <v>59376.988770332202</v>
      </c>
      <c r="Z8" s="885">
        <f>H8-'Corrected and Updated TSF 2'!CH8</f>
        <v>0</v>
      </c>
      <c r="AA8" s="885">
        <f>I8-SUM('Corrected and Updated TSF 2'!CJ8:CK8)</f>
        <v>0</v>
      </c>
      <c r="AB8" s="885">
        <f>J8-'Corrected and Updated TSF 2'!CL8</f>
        <v>0</v>
      </c>
      <c r="AC8" s="886">
        <f>K8-'Corrected and Updated TSF 2'!CM8</f>
        <v>0</v>
      </c>
      <c r="AD8" s="885">
        <f>M8-'Corrected and Updated TSF 2'!CO8</f>
        <v>0</v>
      </c>
      <c r="AE8" s="887">
        <f>P8-'Corrected and Updated TSF 2'!CR8</f>
        <v>0</v>
      </c>
      <c r="AF8" s="885">
        <f>Q8-'Corrected and Updated TSF 2'!CT8</f>
        <v>0</v>
      </c>
      <c r="AG8" s="888"/>
      <c r="AH8" s="888"/>
      <c r="AI8" s="885">
        <f>S8-'INTERNAL PRICELIST'!AA8</f>
        <v>9477.5447240376852</v>
      </c>
      <c r="AJ8" s="885">
        <f>T8-'INTERNAL PRICELIST'!AB8</f>
        <v>12242.864827877373</v>
      </c>
      <c r="AK8" s="885">
        <f>U8-'INTERNAL PRICELIST'!AC8</f>
        <v>20879.043355911672</v>
      </c>
    </row>
    <row r="9" spans="1:44" s="883" customFormat="1" hidden="1">
      <c r="A9" s="876" t="str">
        <f t="shared" si="0"/>
        <v>2C</v>
      </c>
      <c r="B9" s="877" t="str">
        <f>'Corrected and Updated TSF 2'!FI9</f>
        <v>SOLD</v>
      </c>
      <c r="C9" s="878" t="str">
        <f>'Corrected and Updated TSF 2'!E9</f>
        <v>2nd Floor</v>
      </c>
      <c r="D9" s="763" t="str">
        <f>'Corrected and Updated TSF 2'!M9</f>
        <v>End</v>
      </c>
      <c r="E9" s="763" t="str">
        <f>'Corrected and Updated TSF 2'!G9</f>
        <v>2C</v>
      </c>
      <c r="F9" s="747" t="str">
        <f>'Corrected and Updated TSF 2'!I9</f>
        <v>Studio</v>
      </c>
      <c r="G9" s="879">
        <f>'Corrected and Updated TSF 2'!J9</f>
        <v>22</v>
      </c>
      <c r="H9" s="879">
        <f>'Corrected and Updated TSF 2'!CH9</f>
        <v>3376327.2357885418</v>
      </c>
      <c r="I9" s="879">
        <f>SUM('Corrected and Updated TSF 2'!CJ9:CK9)</f>
        <v>464244.99492092454</v>
      </c>
      <c r="J9" s="879">
        <f>'Corrected and Updated TSF 2'!CL9</f>
        <v>3840572.2307094666</v>
      </c>
      <c r="K9" s="880">
        <f>'Corrected and Updated TSF 2'!CM9</f>
        <v>0.125</v>
      </c>
      <c r="L9" s="879">
        <f>'Corrected and Updated TSF 2'!CN9</f>
        <v>480071.52883868333</v>
      </c>
      <c r="M9" s="879">
        <f>'Corrected and Updated TSF 2'!CO9</f>
        <v>30000</v>
      </c>
      <c r="N9" s="879">
        <f>'Corrected and Updated TSF 2'!CP9</f>
        <v>450071.52883868333</v>
      </c>
      <c r="O9" s="881">
        <f>'Corrected and Updated TSF 2'!CQ9</f>
        <v>18</v>
      </c>
      <c r="P9" s="879">
        <f>'Corrected and Updated TSF 2'!CR9</f>
        <v>25003.973824371296</v>
      </c>
      <c r="Q9" s="879">
        <f>'Corrected and Updated TSF 2'!CT9</f>
        <v>3360500.7018707832</v>
      </c>
      <c r="R9" s="879">
        <f>'Corrected and Updated TSF 2'!CU9</f>
        <v>26053.926173068994</v>
      </c>
      <c r="S9" s="879">
        <f>'Corrected and Updated TSF 2'!CV9</f>
        <v>30205.130350608837</v>
      </c>
      <c r="T9" s="882">
        <f>'Corrected and Updated TSF 2'!CW9</f>
        <v>39018.262590733539</v>
      </c>
      <c r="U9" s="882">
        <f>'Corrected and Updated TSF 2'!CX9</f>
        <v>66541.941592727337</v>
      </c>
      <c r="V9" s="1167">
        <f>'Corrected and Updated TSF 2'!CY9</f>
        <v>272984.15341245179</v>
      </c>
      <c r="W9" s="1167">
        <f>'Corrected and Updated TSF 2'!CZ9</f>
        <v>108018.49972314907</v>
      </c>
      <c r="X9" s="1233">
        <f>'Corrected and Updated TSF 2'!DA9</f>
        <v>78020.232462998407</v>
      </c>
      <c r="Y9" s="1233">
        <f>'Corrected and Updated TSF 2'!DB9</f>
        <v>59376.988770332202</v>
      </c>
      <c r="Z9" s="885">
        <f>H9-'Corrected and Updated TSF 2'!CH9</f>
        <v>0</v>
      </c>
      <c r="AA9" s="885">
        <f>I9-SUM('Corrected and Updated TSF 2'!CJ9:CK9)</f>
        <v>0</v>
      </c>
      <c r="AB9" s="885">
        <f>J9-'Corrected and Updated TSF 2'!CL9</f>
        <v>0</v>
      </c>
      <c r="AC9" s="886">
        <f>K9-'Corrected and Updated TSF 2'!CM9</f>
        <v>0</v>
      </c>
      <c r="AD9" s="885">
        <f>M9-'Corrected and Updated TSF 2'!CO9</f>
        <v>0</v>
      </c>
      <c r="AE9" s="887">
        <f>P9-'Corrected and Updated TSF 2'!CR9</f>
        <v>0</v>
      </c>
      <c r="AF9" s="885">
        <f>Q9-'Corrected and Updated TSF 2'!CT9</f>
        <v>0</v>
      </c>
      <c r="AG9" s="888"/>
      <c r="AH9" s="888"/>
      <c r="AI9" s="885">
        <f>S9-'INTERNAL PRICELIST'!AA9</f>
        <v>9477.5447240376852</v>
      </c>
      <c r="AJ9" s="885">
        <f>T9-'INTERNAL PRICELIST'!AB9</f>
        <v>12242.864827877373</v>
      </c>
      <c r="AK9" s="885">
        <f>U9-'INTERNAL PRICELIST'!AC9</f>
        <v>20879.043355911672</v>
      </c>
    </row>
    <row r="10" spans="1:44" s="883" customFormat="1" hidden="1">
      <c r="A10" s="876" t="str">
        <f t="shared" si="0"/>
        <v>2D</v>
      </c>
      <c r="B10" s="877" t="str">
        <f>'Corrected and Updated TSF 2'!FI10</f>
        <v>SOLD</v>
      </c>
      <c r="C10" s="878" t="str">
        <f>'Corrected and Updated TSF 2'!E10</f>
        <v>2nd Floor</v>
      </c>
      <c r="D10" s="763" t="str">
        <f>'Corrected and Updated TSF 2'!M10</f>
        <v>Corner</v>
      </c>
      <c r="E10" s="763" t="str">
        <f>'Corrected and Updated TSF 2'!G10</f>
        <v>2D</v>
      </c>
      <c r="F10" s="747" t="str">
        <f>'Corrected and Updated TSF 2'!I10</f>
        <v>Studio</v>
      </c>
      <c r="G10" s="879">
        <f>'Corrected and Updated TSF 2'!J10</f>
        <v>22</v>
      </c>
      <c r="H10" s="879">
        <f>'Corrected and Updated TSF 2'!CH10</f>
        <v>3421261.2489011637</v>
      </c>
      <c r="I10" s="879">
        <f>SUM('Corrected and Updated TSF 2'!CJ10:CK10)</f>
        <v>470423.42172390997</v>
      </c>
      <c r="J10" s="879">
        <f>'Corrected and Updated TSF 2'!CL10</f>
        <v>3891684.6706250738</v>
      </c>
      <c r="K10" s="880">
        <f>'Corrected and Updated TSF 2'!CM10</f>
        <v>0.125</v>
      </c>
      <c r="L10" s="879">
        <f>'Corrected and Updated TSF 2'!CN10</f>
        <v>486460.58382813423</v>
      </c>
      <c r="M10" s="879">
        <f>'Corrected and Updated TSF 2'!CO10</f>
        <v>30000</v>
      </c>
      <c r="N10" s="879">
        <f>'Corrected and Updated TSF 2'!CP10</f>
        <v>456460.58382813423</v>
      </c>
      <c r="O10" s="881">
        <f>'Corrected and Updated TSF 2'!CQ10</f>
        <v>18</v>
      </c>
      <c r="P10" s="879">
        <f>'Corrected and Updated TSF 2'!CR10</f>
        <v>25358.921323785235</v>
      </c>
      <c r="Q10" s="879">
        <f>'Corrected and Updated TSF 2'!CT10</f>
        <v>3405224.0867969394</v>
      </c>
      <c r="R10" s="879">
        <f>'Corrected and Updated TSF 2'!CU10</f>
        <v>26400.666100374212</v>
      </c>
      <c r="S10" s="879">
        <f>'Corrected and Updated TSF 2'!CV10</f>
        <v>30607.116778007276</v>
      </c>
      <c r="T10" s="882">
        <f>'Corrected and Updated TSF 2'!CW10</f>
        <v>39537.539011662055</v>
      </c>
      <c r="U10" s="882">
        <f>'Corrected and Updated TSF 2'!CX10</f>
        <v>67427.518217046629</v>
      </c>
      <c r="V10" s="1167">
        <f>'Corrected and Updated TSF 2'!CY10</f>
        <v>276617.17612392135</v>
      </c>
      <c r="W10" s="1167">
        <f>'Corrected and Updated TSF 2'!CZ10</f>
        <v>109456.06911260787</v>
      </c>
      <c r="X10" s="1233">
        <f>'Corrected and Updated TSF 2'!DA10</f>
        <v>79058.568472429484</v>
      </c>
      <c r="Y10" s="1233">
        <f>'Corrected and Updated TSF 2'!DB10</f>
        <v>60167.210276030237</v>
      </c>
      <c r="Z10" s="885">
        <f>H10-'Corrected and Updated TSF 2'!CH10</f>
        <v>0</v>
      </c>
      <c r="AA10" s="885">
        <f>I10-SUM('Corrected and Updated TSF 2'!CJ10:CK10)</f>
        <v>0</v>
      </c>
      <c r="AB10" s="885">
        <f>J10-'Corrected and Updated TSF 2'!CL10</f>
        <v>0</v>
      </c>
      <c r="AC10" s="886">
        <f>K10-'Corrected and Updated TSF 2'!CM10</f>
        <v>0</v>
      </c>
      <c r="AD10" s="885">
        <f>M10-'Corrected and Updated TSF 2'!CO10</f>
        <v>0</v>
      </c>
      <c r="AE10" s="887">
        <f>P10-'Corrected and Updated TSF 2'!CR10</f>
        <v>0</v>
      </c>
      <c r="AF10" s="885">
        <f>Q10-'Corrected and Updated TSF 2'!CT10</f>
        <v>0</v>
      </c>
      <c r="AG10" s="888"/>
      <c r="AH10" s="888"/>
      <c r="AI10" s="885">
        <f>S10-'INTERNAL PRICELIST'!AA10</f>
        <v>9879.5311514361238</v>
      </c>
      <c r="AJ10" s="885">
        <f>T10-'INTERNAL PRICELIST'!AB10</f>
        <v>12762.141248805889</v>
      </c>
      <c r="AK10" s="885">
        <f>U10-'INTERNAL PRICELIST'!AC10</f>
        <v>21764.619980230964</v>
      </c>
    </row>
    <row r="11" spans="1:44" s="883" customFormat="1" ht="12" hidden="1" customHeight="1">
      <c r="A11" s="876" t="str">
        <f t="shared" si="0"/>
        <v>2E</v>
      </c>
      <c r="B11" s="877" t="str">
        <f>'Corrected and Updated TSF 2'!FI11</f>
        <v>SOLD</v>
      </c>
      <c r="C11" s="878" t="str">
        <f>'Corrected and Updated TSF 2'!E11</f>
        <v>2nd Floor</v>
      </c>
      <c r="D11" s="763" t="str">
        <f>'Corrected and Updated TSF 2'!M11</f>
        <v>Corner</v>
      </c>
      <c r="E11" s="763" t="str">
        <f>'Corrected and Updated TSF 2'!G11</f>
        <v>2E</v>
      </c>
      <c r="F11" s="747" t="str">
        <f>'Corrected and Updated TSF 2'!I11</f>
        <v>Studio</v>
      </c>
      <c r="G11" s="879">
        <f>'Corrected and Updated TSF 2'!J11</f>
        <v>22</v>
      </c>
      <c r="H11" s="879">
        <f>'Corrected and Updated TSF 2'!CH11</f>
        <v>3421261.2489011637</v>
      </c>
      <c r="I11" s="879">
        <f>SUM('Corrected and Updated TSF 2'!CJ11:CK11)</f>
        <v>470423.42172390997</v>
      </c>
      <c r="J11" s="879">
        <f>'Corrected and Updated TSF 2'!CL11</f>
        <v>3891684.6706250738</v>
      </c>
      <c r="K11" s="880">
        <f>'Corrected and Updated TSF 2'!CM11</f>
        <v>0.125</v>
      </c>
      <c r="L11" s="879">
        <f>'Corrected and Updated TSF 2'!CN11</f>
        <v>486460.58382813423</v>
      </c>
      <c r="M11" s="879">
        <f>'Corrected and Updated TSF 2'!CO11</f>
        <v>30000</v>
      </c>
      <c r="N11" s="879">
        <f>'Corrected and Updated TSF 2'!CP11</f>
        <v>456460.58382813423</v>
      </c>
      <c r="O11" s="881">
        <f>'Corrected and Updated TSF 2'!CQ11</f>
        <v>18</v>
      </c>
      <c r="P11" s="879">
        <f>'Corrected and Updated TSF 2'!CR11</f>
        <v>25358.921323785235</v>
      </c>
      <c r="Q11" s="879">
        <f>'Corrected and Updated TSF 2'!CT11</f>
        <v>3405224.0867969394</v>
      </c>
      <c r="R11" s="879">
        <f>'Corrected and Updated TSF 2'!CU11</f>
        <v>26400.666100374212</v>
      </c>
      <c r="S11" s="879">
        <f>'Corrected and Updated TSF 2'!CV11</f>
        <v>30607.116778007276</v>
      </c>
      <c r="T11" s="882">
        <f>'Corrected and Updated TSF 2'!CW11</f>
        <v>39537.539011662055</v>
      </c>
      <c r="U11" s="882">
        <f>'Corrected and Updated TSF 2'!CX11</f>
        <v>67427.518217046629</v>
      </c>
      <c r="V11" s="1167">
        <f>'Corrected and Updated TSF 2'!CY11</f>
        <v>276617.17612392135</v>
      </c>
      <c r="W11" s="1167">
        <f>'Corrected and Updated TSF 2'!CZ11</f>
        <v>109456.06911260787</v>
      </c>
      <c r="X11" s="1233">
        <f>'Corrected and Updated TSF 2'!DA11</f>
        <v>79058.568472429484</v>
      </c>
      <c r="Y11" s="1233">
        <f>'Corrected and Updated TSF 2'!DB11</f>
        <v>60167.210276030237</v>
      </c>
      <c r="Z11" s="885">
        <f>H11-'Corrected and Updated TSF 2'!CH11</f>
        <v>0</v>
      </c>
      <c r="AA11" s="885">
        <f>I11-SUM('Corrected and Updated TSF 2'!CJ11:CK11)</f>
        <v>0</v>
      </c>
      <c r="AB11" s="885">
        <f>J11-'Corrected and Updated TSF 2'!CL11</f>
        <v>0</v>
      </c>
      <c r="AC11" s="886">
        <f>K11-'Corrected and Updated TSF 2'!CM11</f>
        <v>0</v>
      </c>
      <c r="AD11" s="885">
        <f>M11-'Corrected and Updated TSF 2'!CO11</f>
        <v>0</v>
      </c>
      <c r="AE11" s="887">
        <f>P11-'Corrected and Updated TSF 2'!CR11</f>
        <v>0</v>
      </c>
      <c r="AF11" s="885">
        <f>Q11-'Corrected and Updated TSF 2'!CT11</f>
        <v>0</v>
      </c>
      <c r="AG11" s="888"/>
      <c r="AH11" s="888"/>
      <c r="AI11" s="885">
        <f>S11-'INTERNAL PRICELIST'!AA11</f>
        <v>9879.5311514361238</v>
      </c>
      <c r="AJ11" s="885">
        <f>T11-'INTERNAL PRICELIST'!AB11</f>
        <v>12762.141248805889</v>
      </c>
      <c r="AK11" s="885">
        <f>U11-'INTERNAL PRICELIST'!AC11</f>
        <v>21764.619980230964</v>
      </c>
    </row>
    <row r="12" spans="1:44" s="883" customFormat="1" hidden="1">
      <c r="A12" s="876" t="str">
        <f t="shared" si="0"/>
        <v>2F</v>
      </c>
      <c r="B12" s="877" t="str">
        <f>'Corrected and Updated TSF 2'!FI12</f>
        <v>SOLD</v>
      </c>
      <c r="C12" s="878" t="str">
        <f>'Corrected and Updated TSF 2'!E12</f>
        <v>2nd Floor</v>
      </c>
      <c r="D12" s="763" t="str">
        <f>'Corrected and Updated TSF 2'!M12</f>
        <v>Inner</v>
      </c>
      <c r="E12" s="763" t="str">
        <f>'Corrected and Updated TSF 2'!G12</f>
        <v>2F</v>
      </c>
      <c r="F12" s="747" t="str">
        <f>'Corrected and Updated TSF 2'!I12</f>
        <v>Studio</v>
      </c>
      <c r="G12" s="879">
        <f>'Corrected and Updated TSF 2'!J12</f>
        <v>22</v>
      </c>
      <c r="H12" s="879">
        <f>'Corrected and Updated TSF 2'!CH12</f>
        <v>3346371.2270467947</v>
      </c>
      <c r="I12" s="879">
        <f>SUM('Corrected and Updated TSF 2'!CJ12:CK12)</f>
        <v>460126.04371893429</v>
      </c>
      <c r="J12" s="879">
        <f>'Corrected and Updated TSF 2'!CL12</f>
        <v>3806497.2707657288</v>
      </c>
      <c r="K12" s="880">
        <f>'Corrected and Updated TSF 2'!CM12</f>
        <v>0.125</v>
      </c>
      <c r="L12" s="879">
        <f>'Corrected and Updated TSF 2'!CN12</f>
        <v>475812.1588457161</v>
      </c>
      <c r="M12" s="879">
        <f>'Corrected and Updated TSF 2'!CO12</f>
        <v>30000</v>
      </c>
      <c r="N12" s="879">
        <f>'Corrected and Updated TSF 2'!CP12</f>
        <v>445812.1588457161</v>
      </c>
      <c r="O12" s="881">
        <f>'Corrected and Updated TSF 2'!CQ12</f>
        <v>18</v>
      </c>
      <c r="P12" s="879">
        <f>'Corrected and Updated TSF 2'!CR12</f>
        <v>24767.34215809534</v>
      </c>
      <c r="Q12" s="879">
        <f>'Corrected and Updated TSF 2'!CT12</f>
        <v>3330685.1119200126</v>
      </c>
      <c r="R12" s="879">
        <f>'Corrected and Updated TSF 2'!CU12</f>
        <v>25822.76622153218</v>
      </c>
      <c r="S12" s="879">
        <f>'Corrected and Updated TSF 2'!CV12</f>
        <v>29937.139399009873</v>
      </c>
      <c r="T12" s="882">
        <f>'Corrected and Updated TSF 2'!CW12</f>
        <v>38672.078310114535</v>
      </c>
      <c r="U12" s="882">
        <f>'Corrected and Updated TSF 2'!CX12</f>
        <v>65951.557176514485</v>
      </c>
      <c r="V12" s="1167">
        <f>'Corrected and Updated TSF 2'!CY12</f>
        <v>270562.13827147207</v>
      </c>
      <c r="W12" s="1167">
        <f>'Corrected and Updated TSF 2'!CZ12</f>
        <v>107060.12013017652</v>
      </c>
      <c r="X12" s="1233">
        <f>'Corrected and Updated TSF 2'!DA12</f>
        <v>77328.008456711017</v>
      </c>
      <c r="Y12" s="1233">
        <f>'Corrected and Updated TSF 2'!DB12</f>
        <v>58850.174433200184</v>
      </c>
      <c r="Z12" s="885">
        <f>H12-'Corrected and Updated TSF 2'!CH12</f>
        <v>0</v>
      </c>
      <c r="AA12" s="885">
        <f>I12-SUM('Corrected and Updated TSF 2'!CJ12:CK12)</f>
        <v>0</v>
      </c>
      <c r="AB12" s="885">
        <f>J12-'Corrected and Updated TSF 2'!CL12</f>
        <v>0</v>
      </c>
      <c r="AC12" s="886">
        <f>K12-'Corrected and Updated TSF 2'!CM12</f>
        <v>0</v>
      </c>
      <c r="AD12" s="885">
        <f>M12-'Corrected and Updated TSF 2'!CO12</f>
        <v>0</v>
      </c>
      <c r="AE12" s="887">
        <f>P12-'Corrected and Updated TSF 2'!CR12</f>
        <v>0</v>
      </c>
      <c r="AF12" s="885">
        <f>Q12-'Corrected and Updated TSF 2'!CT12</f>
        <v>0</v>
      </c>
      <c r="AG12" s="888"/>
      <c r="AH12" s="888"/>
      <c r="AI12" s="885">
        <f>S12-'INTERNAL PRICELIST'!AA12</f>
        <v>9209.5537724387214</v>
      </c>
      <c r="AJ12" s="885">
        <f>T12-'INTERNAL PRICELIST'!AB12</f>
        <v>11896.680547258369</v>
      </c>
      <c r="AK12" s="885">
        <f>U12-'INTERNAL PRICELIST'!AC12</f>
        <v>20288.65893969882</v>
      </c>
    </row>
    <row r="13" spans="1:44" s="883" customFormat="1" ht="12" hidden="1" customHeight="1">
      <c r="A13" s="876" t="str">
        <f t="shared" si="0"/>
        <v>2G</v>
      </c>
      <c r="B13" s="877" t="str">
        <f>'Corrected and Updated TSF 2'!FI13</f>
        <v>SOLD</v>
      </c>
      <c r="C13" s="878" t="str">
        <f>'Corrected and Updated TSF 2'!E13</f>
        <v>2nd Floor</v>
      </c>
      <c r="D13" s="763" t="str">
        <f>'Corrected and Updated TSF 2'!M13</f>
        <v>Inner</v>
      </c>
      <c r="E13" s="763" t="str">
        <f>'Corrected and Updated TSF 2'!G13</f>
        <v>2G</v>
      </c>
      <c r="F13" s="747" t="str">
        <f>'Corrected and Updated TSF 2'!I13</f>
        <v>Studio</v>
      </c>
      <c r="G13" s="879">
        <f>'Corrected and Updated TSF 2'!J13</f>
        <v>22</v>
      </c>
      <c r="H13" s="879">
        <f>'Corrected and Updated TSF 2'!CH13</f>
        <v>3346371.2270467947</v>
      </c>
      <c r="I13" s="879">
        <f>SUM('Corrected and Updated TSF 2'!CJ13:CK13)</f>
        <v>460126.04371893429</v>
      </c>
      <c r="J13" s="879">
        <f>'Corrected and Updated TSF 2'!CL13</f>
        <v>3806497.2707657288</v>
      </c>
      <c r="K13" s="880">
        <f>'Corrected and Updated TSF 2'!CM13</f>
        <v>0.125</v>
      </c>
      <c r="L13" s="879">
        <f>'Corrected and Updated TSF 2'!CN13</f>
        <v>475812.1588457161</v>
      </c>
      <c r="M13" s="879">
        <f>'Corrected and Updated TSF 2'!CO13</f>
        <v>30000</v>
      </c>
      <c r="N13" s="879">
        <f>'Corrected and Updated TSF 2'!CP13</f>
        <v>445812.1588457161</v>
      </c>
      <c r="O13" s="881">
        <f>'Corrected and Updated TSF 2'!CQ13</f>
        <v>18</v>
      </c>
      <c r="P13" s="879">
        <f>'Corrected and Updated TSF 2'!CR13</f>
        <v>24767.34215809534</v>
      </c>
      <c r="Q13" s="879">
        <f>'Corrected and Updated TSF 2'!CT13</f>
        <v>3330685.1119200126</v>
      </c>
      <c r="R13" s="879">
        <f>'Corrected and Updated TSF 2'!CU13</f>
        <v>25822.76622153218</v>
      </c>
      <c r="S13" s="879">
        <f>'Corrected and Updated TSF 2'!CV13</f>
        <v>29937.139399009873</v>
      </c>
      <c r="T13" s="882">
        <f>'Corrected and Updated TSF 2'!CW13</f>
        <v>38672.078310114535</v>
      </c>
      <c r="U13" s="882">
        <f>'Corrected and Updated TSF 2'!CX13</f>
        <v>65951.557176514485</v>
      </c>
      <c r="V13" s="1167">
        <f>'Corrected and Updated TSF 2'!CY13</f>
        <v>270562.13827147207</v>
      </c>
      <c r="W13" s="1167">
        <f>'Corrected and Updated TSF 2'!CZ13</f>
        <v>107060.12013017652</v>
      </c>
      <c r="X13" s="1233">
        <f>'Corrected and Updated TSF 2'!DA13</f>
        <v>77328.008456711017</v>
      </c>
      <c r="Y13" s="1233">
        <f>'Corrected and Updated TSF 2'!DB13</f>
        <v>58850.174433200184</v>
      </c>
      <c r="Z13" s="885">
        <f>H13-'Corrected and Updated TSF 2'!CH13</f>
        <v>0</v>
      </c>
      <c r="AA13" s="885">
        <f>I13-SUM('Corrected and Updated TSF 2'!CJ13:CK13)</f>
        <v>0</v>
      </c>
      <c r="AB13" s="885">
        <f>J13-'Corrected and Updated TSF 2'!CL13</f>
        <v>0</v>
      </c>
      <c r="AC13" s="886">
        <f>K13-'Corrected and Updated TSF 2'!CM13</f>
        <v>0</v>
      </c>
      <c r="AD13" s="885">
        <f>M13-'Corrected and Updated TSF 2'!CO13</f>
        <v>0</v>
      </c>
      <c r="AE13" s="887">
        <f>P13-'Corrected and Updated TSF 2'!CR13</f>
        <v>0</v>
      </c>
      <c r="AF13" s="885">
        <f>Q13-'Corrected and Updated TSF 2'!CT13</f>
        <v>0</v>
      </c>
      <c r="AG13" s="888"/>
      <c r="AH13" s="888"/>
      <c r="AI13" s="885">
        <f>S13-'INTERNAL PRICELIST'!AA13</f>
        <v>9192.1574006870069</v>
      </c>
      <c r="AJ13" s="885">
        <f>T13-'INTERNAL PRICELIST'!AB13</f>
        <v>11874.208331648006</v>
      </c>
      <c r="AK13" s="885">
        <f>U13-'INTERNAL PRICELIST'!AC13</f>
        <v>20250.334709983908</v>
      </c>
    </row>
    <row r="14" spans="1:44" s="883" customFormat="1" ht="12.6" customHeight="1">
      <c r="A14" s="876" t="str">
        <f t="shared" si="0"/>
        <v>2H</v>
      </c>
      <c r="B14" s="877" t="str">
        <f>'Corrected and Updated TSF 2'!FI14</f>
        <v>UNSOLD</v>
      </c>
      <c r="C14" s="878" t="str">
        <f>'Corrected and Updated TSF 2'!E14</f>
        <v>2nd Floor</v>
      </c>
      <c r="D14" s="763" t="str">
        <f>'Corrected and Updated TSF 2'!M14</f>
        <v>Inner</v>
      </c>
      <c r="E14" s="763" t="str">
        <f>'Corrected and Updated TSF 2'!G14</f>
        <v>2H</v>
      </c>
      <c r="F14" s="747" t="str">
        <f>'Corrected and Updated TSF 2'!I14</f>
        <v>Studio</v>
      </c>
      <c r="G14" s="879">
        <f>'Corrected and Updated TSF 2'!J14</f>
        <v>22</v>
      </c>
      <c r="H14" s="879">
        <f>'Corrected and Updated TSF 2'!CH14</f>
        <v>3419644.1779426527</v>
      </c>
      <c r="I14" s="879">
        <f>SUM('Corrected and Updated TSF 2'!CJ14:CK14)</f>
        <v>470201.07446711475</v>
      </c>
      <c r="J14" s="879">
        <f>'Corrected and Updated TSF 2'!CL14</f>
        <v>3889845.2524097678</v>
      </c>
      <c r="K14" s="880">
        <f>'Corrected and Updated TSF 2'!CM14</f>
        <v>0.125</v>
      </c>
      <c r="L14" s="879">
        <f>'Corrected and Updated TSF 2'!CN14</f>
        <v>486230.65655122098</v>
      </c>
      <c r="M14" s="879">
        <f>'Corrected and Updated TSF 2'!CO14</f>
        <v>30000</v>
      </c>
      <c r="N14" s="879">
        <f>'Corrected and Updated TSF 2'!CP14</f>
        <v>456230.65655122098</v>
      </c>
      <c r="O14" s="881">
        <f>'Corrected and Updated TSF 2'!CQ14</f>
        <v>18</v>
      </c>
      <c r="P14" s="879">
        <f>'Corrected and Updated TSF 2'!CR14</f>
        <v>25346.147586178944</v>
      </c>
      <c r="Q14" s="879">
        <f>'Corrected and Updated TSF 2'!CT14</f>
        <v>3403614.5958585469</v>
      </c>
      <c r="R14" s="879">
        <f>'Corrected and Updated TSF 2'!CU14</f>
        <v>26388.187734259976</v>
      </c>
      <c r="S14" s="879">
        <f>'Corrected and Updated TSF 2'!CV14</f>
        <v>30592.6502184362</v>
      </c>
      <c r="T14" s="882">
        <f>'Corrected and Updated TSF 2'!CW14</f>
        <v>39518.851457144759</v>
      </c>
      <c r="U14" s="882">
        <f>'Corrected and Updated TSF 2'!CX14</f>
        <v>67395.648367426635</v>
      </c>
      <c r="V14" s="1167">
        <f>'Corrected and Updated TSF 2'!CY14</f>
        <v>276486.43205920578</v>
      </c>
      <c r="W14" s="1167">
        <f>'Corrected and Updated TSF 2'!CZ14</f>
        <v>109404.33432309084</v>
      </c>
      <c r="X14" s="1233">
        <f>'Corrected and Updated TSF 2'!DA14</f>
        <v>79021.201166691215</v>
      </c>
      <c r="Y14" s="1233">
        <f>'Corrected and Updated TSF 2'!DB14</f>
        <v>60138.772036061506</v>
      </c>
      <c r="Z14" s="885">
        <f>H14-'Corrected and Updated TSF 2'!CH14</f>
        <v>0</v>
      </c>
      <c r="AA14" s="885">
        <f>I14-SUM('Corrected and Updated TSF 2'!CJ14:CK14)</f>
        <v>0</v>
      </c>
      <c r="AB14" s="885">
        <f>J14-'Corrected and Updated TSF 2'!CL14</f>
        <v>0</v>
      </c>
      <c r="AC14" s="886">
        <f>K14-'Corrected and Updated TSF 2'!CM14</f>
        <v>0</v>
      </c>
      <c r="AD14" s="885">
        <f>M14-'Corrected and Updated TSF 2'!CO14</f>
        <v>0</v>
      </c>
      <c r="AE14" s="887">
        <f>P14-'Corrected and Updated TSF 2'!CR14</f>
        <v>0</v>
      </c>
      <c r="AF14" s="885">
        <f>Q14-'Corrected and Updated TSF 2'!CT14</f>
        <v>0</v>
      </c>
      <c r="AG14" s="888"/>
      <c r="AH14" s="888"/>
      <c r="AI14" s="885">
        <f>S14-'INTERNAL PRICELIST'!AA14</f>
        <v>9865.064591865048</v>
      </c>
      <c r="AJ14" s="885">
        <f>T14-'INTERNAL PRICELIST'!AB14</f>
        <v>12743.453694288593</v>
      </c>
      <c r="AK14" s="885">
        <f>U14-'INTERNAL PRICELIST'!AC14</f>
        <v>21732.75013061097</v>
      </c>
    </row>
    <row r="15" spans="1:44" s="883" customFormat="1" ht="12.75" hidden="1" customHeight="1">
      <c r="A15" s="876" t="str">
        <f t="shared" si="0"/>
        <v>2I</v>
      </c>
      <c r="B15" s="877" t="str">
        <f>'Corrected and Updated TSF 2'!FI15</f>
        <v>SOLD</v>
      </c>
      <c r="C15" s="878" t="str">
        <f>'Corrected and Updated TSF 2'!E15</f>
        <v>2nd Floor</v>
      </c>
      <c r="D15" s="763" t="str">
        <f>'Corrected and Updated TSF 2'!M15</f>
        <v>Inner</v>
      </c>
      <c r="E15" s="763" t="str">
        <f>'Corrected and Updated TSF 2'!G15</f>
        <v>2I</v>
      </c>
      <c r="F15" s="747" t="str">
        <f>'Corrected and Updated TSF 2'!I15</f>
        <v>Studio</v>
      </c>
      <c r="G15" s="879">
        <f>'Corrected and Updated TSF 2'!J15</f>
        <v>22</v>
      </c>
      <c r="H15" s="879">
        <f>'Corrected and Updated TSF 2'!CH15</f>
        <v>3346371.2270467947</v>
      </c>
      <c r="I15" s="879">
        <f>SUM('Corrected and Updated TSF 2'!CJ15:CK15)</f>
        <v>460126.04371893429</v>
      </c>
      <c r="J15" s="879">
        <f>'Corrected and Updated TSF 2'!CL15</f>
        <v>3806497.2707657288</v>
      </c>
      <c r="K15" s="880">
        <f>'Corrected and Updated TSF 2'!CM15</f>
        <v>0.125</v>
      </c>
      <c r="L15" s="879">
        <f>'Corrected and Updated TSF 2'!CN15</f>
        <v>475812.1588457161</v>
      </c>
      <c r="M15" s="879">
        <f>'Corrected and Updated TSF 2'!CO15</f>
        <v>30000</v>
      </c>
      <c r="N15" s="879">
        <f>'Corrected and Updated TSF 2'!CP15</f>
        <v>445812.1588457161</v>
      </c>
      <c r="O15" s="881">
        <f>'Corrected and Updated TSF 2'!CQ15</f>
        <v>18</v>
      </c>
      <c r="P15" s="879">
        <f>'Corrected and Updated TSF 2'!CR15</f>
        <v>24767.34215809534</v>
      </c>
      <c r="Q15" s="879">
        <f>'Corrected and Updated TSF 2'!CT15</f>
        <v>3330685.1119200126</v>
      </c>
      <c r="R15" s="879">
        <f>'Corrected and Updated TSF 2'!CU15</f>
        <v>25822.76622153218</v>
      </c>
      <c r="S15" s="879">
        <f>'Corrected and Updated TSF 2'!CV15</f>
        <v>29937.139399009873</v>
      </c>
      <c r="T15" s="882">
        <f>'Corrected and Updated TSF 2'!CW15</f>
        <v>38672.078310114535</v>
      </c>
      <c r="U15" s="882">
        <f>'Corrected and Updated TSF 2'!CX15</f>
        <v>65951.557176514485</v>
      </c>
      <c r="V15" s="1167">
        <f>'Corrected and Updated TSF 2'!CY15</f>
        <v>270562.13827147207</v>
      </c>
      <c r="W15" s="1167">
        <f>'Corrected and Updated TSF 2'!CZ15</f>
        <v>107060.12013017652</v>
      </c>
      <c r="X15" s="1233">
        <f>'Corrected and Updated TSF 2'!DA15</f>
        <v>77328.008456711017</v>
      </c>
      <c r="Y15" s="1233">
        <f>'Corrected and Updated TSF 2'!DB15</f>
        <v>58850.174433200184</v>
      </c>
      <c r="Z15" s="885">
        <f>H15-'Corrected and Updated TSF 2'!CH15</f>
        <v>0</v>
      </c>
      <c r="AA15" s="885">
        <f>I15-SUM('Corrected and Updated TSF 2'!CJ15:CK15)</f>
        <v>0</v>
      </c>
      <c r="AB15" s="885">
        <f>J15-'Corrected and Updated TSF 2'!CL15</f>
        <v>0</v>
      </c>
      <c r="AC15" s="886">
        <f>K15-'Corrected and Updated TSF 2'!CM15</f>
        <v>0</v>
      </c>
      <c r="AD15" s="885">
        <f>M15-'Corrected and Updated TSF 2'!CO15</f>
        <v>0</v>
      </c>
      <c r="AE15" s="887">
        <f>P15-'Corrected and Updated TSF 2'!CR15</f>
        <v>0</v>
      </c>
      <c r="AF15" s="885">
        <f>Q15-'Corrected and Updated TSF 2'!CT15</f>
        <v>0</v>
      </c>
      <c r="AG15" s="888"/>
      <c r="AH15" s="888"/>
      <c r="AI15" s="885">
        <f>S15-'INTERNAL PRICELIST'!AA15</f>
        <v>9209.5537724387214</v>
      </c>
      <c r="AJ15" s="885">
        <f>T15-'INTERNAL PRICELIST'!AB15</f>
        <v>11896.680547258369</v>
      </c>
      <c r="AK15" s="885">
        <f>U15-'INTERNAL PRICELIST'!AC15</f>
        <v>20288.65893969882</v>
      </c>
    </row>
    <row r="16" spans="1:44" s="883" customFormat="1" ht="12.75" hidden="1" customHeight="1">
      <c r="A16" s="876" t="str">
        <f t="shared" si="0"/>
        <v>2J</v>
      </c>
      <c r="B16" s="877" t="str">
        <f>'Corrected and Updated TSF 2'!FI16</f>
        <v>SOLD</v>
      </c>
      <c r="C16" s="878" t="str">
        <f>'Corrected and Updated TSF 2'!E16</f>
        <v>2nd Floor</v>
      </c>
      <c r="D16" s="763" t="str">
        <f>'Corrected and Updated TSF 2'!M16</f>
        <v>Inner</v>
      </c>
      <c r="E16" s="763" t="str">
        <f>'Corrected and Updated TSF 2'!G16</f>
        <v>2J</v>
      </c>
      <c r="F16" s="747" t="str">
        <f>'Corrected and Updated TSF 2'!I16</f>
        <v>Studio</v>
      </c>
      <c r="G16" s="879">
        <f>'Corrected and Updated TSF 2'!J16</f>
        <v>22</v>
      </c>
      <c r="H16" s="879">
        <f>'Corrected and Updated TSF 2'!CH16</f>
        <v>3346371.2270467947</v>
      </c>
      <c r="I16" s="879">
        <f>SUM('Corrected and Updated TSF 2'!CJ16:CK16)</f>
        <v>460126.04371893429</v>
      </c>
      <c r="J16" s="879">
        <f>'Corrected and Updated TSF 2'!CL16</f>
        <v>3806497.2707657288</v>
      </c>
      <c r="K16" s="880">
        <f>'Corrected and Updated TSF 2'!CM16</f>
        <v>0.125</v>
      </c>
      <c r="L16" s="879">
        <f>'Corrected and Updated TSF 2'!CN16</f>
        <v>475812.1588457161</v>
      </c>
      <c r="M16" s="879">
        <f>'Corrected and Updated TSF 2'!CO16</f>
        <v>30000</v>
      </c>
      <c r="N16" s="879">
        <f>'Corrected and Updated TSF 2'!CP16</f>
        <v>445812.1588457161</v>
      </c>
      <c r="O16" s="881">
        <f>'Corrected and Updated TSF 2'!CQ16</f>
        <v>18</v>
      </c>
      <c r="P16" s="879">
        <f>'Corrected and Updated TSF 2'!CR16</f>
        <v>24767.34215809534</v>
      </c>
      <c r="Q16" s="879">
        <f>'Corrected and Updated TSF 2'!CT16</f>
        <v>3330685.1119200126</v>
      </c>
      <c r="R16" s="879">
        <f>'Corrected and Updated TSF 2'!CU16</f>
        <v>25822.76622153218</v>
      </c>
      <c r="S16" s="879">
        <f>'Corrected and Updated TSF 2'!CV16</f>
        <v>29937.139399009873</v>
      </c>
      <c r="T16" s="882">
        <f>'Corrected and Updated TSF 2'!CW16</f>
        <v>38672.078310114535</v>
      </c>
      <c r="U16" s="882">
        <f>'Corrected and Updated TSF 2'!CX16</f>
        <v>65951.557176514485</v>
      </c>
      <c r="V16" s="1167">
        <f>'Corrected and Updated TSF 2'!CY16</f>
        <v>270562.13827147207</v>
      </c>
      <c r="W16" s="1167">
        <f>'Corrected and Updated TSF 2'!CZ16</f>
        <v>107060.12013017652</v>
      </c>
      <c r="X16" s="1233">
        <f>'Corrected and Updated TSF 2'!DA16</f>
        <v>77328.008456711017</v>
      </c>
      <c r="Y16" s="1233">
        <f>'Corrected and Updated TSF 2'!DB16</f>
        <v>58850.174433200184</v>
      </c>
      <c r="Z16" s="885">
        <f>H16-'Corrected and Updated TSF 2'!CH16</f>
        <v>0</v>
      </c>
      <c r="AA16" s="885">
        <f>I16-SUM('Corrected and Updated TSF 2'!CJ16:CK16)</f>
        <v>0</v>
      </c>
      <c r="AB16" s="885">
        <f>J16-'Corrected and Updated TSF 2'!CL16</f>
        <v>0</v>
      </c>
      <c r="AC16" s="886">
        <f>K16-'Corrected and Updated TSF 2'!CM16</f>
        <v>0</v>
      </c>
      <c r="AD16" s="885">
        <f>M16-'Corrected and Updated TSF 2'!CO16</f>
        <v>0</v>
      </c>
      <c r="AE16" s="887">
        <f>P16-'Corrected and Updated TSF 2'!CR16</f>
        <v>0</v>
      </c>
      <c r="AF16" s="885">
        <f>Q16-'Corrected and Updated TSF 2'!CT16</f>
        <v>0</v>
      </c>
      <c r="AG16" s="888"/>
      <c r="AH16" s="888"/>
      <c r="AI16" s="885">
        <f>S16-'INTERNAL PRICELIST'!AA16</f>
        <v>9209.5537724387214</v>
      </c>
      <c r="AJ16" s="885">
        <f>T16-'INTERNAL PRICELIST'!AB16</f>
        <v>11896.680547258369</v>
      </c>
      <c r="AK16" s="885">
        <f>U16-'INTERNAL PRICELIST'!AC16</f>
        <v>20288.65893969882</v>
      </c>
    </row>
    <row r="17" spans="1:45" s="883" customFormat="1" ht="12.75" hidden="1" customHeight="1">
      <c r="A17" s="876" t="str">
        <f t="shared" si="0"/>
        <v>2K</v>
      </c>
      <c r="B17" s="877" t="str">
        <f>'Corrected and Updated TSF 2'!FI17</f>
        <v>SOLD</v>
      </c>
      <c r="C17" s="878" t="str">
        <f>'Corrected and Updated TSF 2'!E17</f>
        <v>2nd Floor</v>
      </c>
      <c r="D17" s="763" t="str">
        <f>'Corrected and Updated TSF 2'!M17</f>
        <v>Inner</v>
      </c>
      <c r="E17" s="763" t="str">
        <f>'Corrected and Updated TSF 2'!G17</f>
        <v>2K</v>
      </c>
      <c r="F17" s="747" t="str">
        <f>'Corrected and Updated TSF 2'!I17</f>
        <v>Studio</v>
      </c>
      <c r="G17" s="879">
        <f>'Corrected and Updated TSF 2'!J17</f>
        <v>22</v>
      </c>
      <c r="H17" s="879">
        <f>'Corrected and Updated TSF 2'!CH17</f>
        <v>3346371.2270467947</v>
      </c>
      <c r="I17" s="879">
        <f>SUM('Corrected and Updated TSF 2'!CJ17:CK17)</f>
        <v>460126.04371893429</v>
      </c>
      <c r="J17" s="879">
        <f>'Corrected and Updated TSF 2'!CL17</f>
        <v>3806497.2707657288</v>
      </c>
      <c r="K17" s="880">
        <f>'Corrected and Updated TSF 2'!CM17</f>
        <v>0.125</v>
      </c>
      <c r="L17" s="879">
        <f>'Corrected and Updated TSF 2'!CN17</f>
        <v>475812.1588457161</v>
      </c>
      <c r="M17" s="879">
        <f>'Corrected and Updated TSF 2'!CO17</f>
        <v>30000</v>
      </c>
      <c r="N17" s="879">
        <f>'Corrected and Updated TSF 2'!CP17</f>
        <v>445812.1588457161</v>
      </c>
      <c r="O17" s="881">
        <f>'Corrected and Updated TSF 2'!CQ17</f>
        <v>18</v>
      </c>
      <c r="P17" s="879">
        <f>'Corrected and Updated TSF 2'!CR17</f>
        <v>24767.34215809534</v>
      </c>
      <c r="Q17" s="879">
        <f>'Corrected and Updated TSF 2'!CT17</f>
        <v>3330685.1119200126</v>
      </c>
      <c r="R17" s="879">
        <f>'Corrected and Updated TSF 2'!CU17</f>
        <v>25822.76622153218</v>
      </c>
      <c r="S17" s="879">
        <f>'Corrected and Updated TSF 2'!CV17</f>
        <v>29937.139399009873</v>
      </c>
      <c r="T17" s="882">
        <f>'Corrected and Updated TSF 2'!CW17</f>
        <v>38672.078310114535</v>
      </c>
      <c r="U17" s="882">
        <f>'Corrected and Updated TSF 2'!CX17</f>
        <v>65951.557176514485</v>
      </c>
      <c r="V17" s="1167">
        <f>'Corrected and Updated TSF 2'!CY17</f>
        <v>270562.13827147207</v>
      </c>
      <c r="W17" s="1167">
        <f>'Corrected and Updated TSF 2'!CZ17</f>
        <v>107060.12013017652</v>
      </c>
      <c r="X17" s="1233">
        <f>'Corrected and Updated TSF 2'!DA17</f>
        <v>77328.008456711017</v>
      </c>
      <c r="Y17" s="1233">
        <f>'Corrected and Updated TSF 2'!DB17</f>
        <v>58850.174433200184</v>
      </c>
      <c r="Z17" s="885">
        <f>H17-'Corrected and Updated TSF 2'!CH17</f>
        <v>0</v>
      </c>
      <c r="AA17" s="885">
        <f>I17-SUM('Corrected and Updated TSF 2'!CJ17:CK17)</f>
        <v>0</v>
      </c>
      <c r="AB17" s="885">
        <f>J17-'Corrected and Updated TSF 2'!CL17</f>
        <v>0</v>
      </c>
      <c r="AC17" s="886">
        <f>K17-'Corrected and Updated TSF 2'!CM17</f>
        <v>0</v>
      </c>
      <c r="AD17" s="885">
        <f>M17-'Corrected and Updated TSF 2'!CO17</f>
        <v>0</v>
      </c>
      <c r="AE17" s="887">
        <f>P17-'Corrected and Updated TSF 2'!CR17</f>
        <v>0</v>
      </c>
      <c r="AF17" s="885">
        <f>Q17-'Corrected and Updated TSF 2'!CT17</f>
        <v>0</v>
      </c>
      <c r="AG17" s="888"/>
      <c r="AH17" s="888"/>
      <c r="AI17" s="885">
        <f>S17-'INTERNAL PRICELIST'!AA17</f>
        <v>9209.5537724387214</v>
      </c>
      <c r="AJ17" s="885">
        <f>T17-'INTERNAL PRICELIST'!AB17</f>
        <v>11896.680547258369</v>
      </c>
      <c r="AK17" s="885">
        <f>U17-'INTERNAL PRICELIST'!AC17</f>
        <v>20288.65893969882</v>
      </c>
    </row>
    <row r="18" spans="1:45" s="883" customFormat="1" ht="12.75" customHeight="1">
      <c r="A18" s="876" t="str">
        <f t="shared" si="0"/>
        <v>2L</v>
      </c>
      <c r="B18" s="877" t="str">
        <f>'Corrected and Updated TSF 2'!FI18</f>
        <v>UNSOLD</v>
      </c>
      <c r="C18" s="1002" t="str">
        <f>'Corrected and Updated TSF 2'!E18</f>
        <v>2nd Floor</v>
      </c>
      <c r="D18" s="1003" t="str">
        <f>'Corrected and Updated TSF 2'!M18</f>
        <v>Inner</v>
      </c>
      <c r="E18" s="1003" t="str">
        <f>'Corrected and Updated TSF 2'!G18</f>
        <v>2L</v>
      </c>
      <c r="F18" s="1004" t="str">
        <f>'Corrected and Updated TSF 2'!I18</f>
        <v>Studio</v>
      </c>
      <c r="G18" s="1005">
        <f>'Corrected and Updated TSF 2'!J18</f>
        <v>22</v>
      </c>
      <c r="H18" s="1005">
        <f>'Corrected and Updated TSF 2'!CH18</f>
        <v>3379693.0676632621</v>
      </c>
      <c r="I18" s="1005">
        <f>SUM('Corrected and Updated TSF 2'!CJ18:CK18)</f>
        <v>464707.79680369853</v>
      </c>
      <c r="J18" s="1005">
        <f>'Corrected and Updated TSF 2'!CL18</f>
        <v>3844400.8644669605</v>
      </c>
      <c r="K18" s="1006">
        <f>'Corrected and Updated TSF 2'!CM18</f>
        <v>0.125</v>
      </c>
      <c r="L18" s="1005">
        <f>'Corrected and Updated TSF 2'!CN18</f>
        <v>480550.10805837007</v>
      </c>
      <c r="M18" s="1005">
        <f>'Corrected and Updated TSF 2'!CO18</f>
        <v>30000</v>
      </c>
      <c r="N18" s="1005">
        <f>'Corrected and Updated TSF 2'!CP18</f>
        <v>450550.10805837007</v>
      </c>
      <c r="O18" s="1007">
        <f>'Corrected and Updated TSF 2'!CQ18</f>
        <v>18</v>
      </c>
      <c r="P18" s="1005">
        <f>'Corrected and Updated TSF 2'!CR18</f>
        <v>25030.561558798338</v>
      </c>
      <c r="Q18" s="1005">
        <f>'Corrected and Updated TSF 2'!CT18</f>
        <v>3363850.7564085904</v>
      </c>
      <c r="R18" s="1005">
        <f>'Corrected and Updated TSF 2'!CU18</f>
        <v>26079.899110243263</v>
      </c>
      <c r="S18" s="1005">
        <f>'Corrected and Updated TSF 2'!CV18</f>
        <v>30235.241587883618</v>
      </c>
      <c r="T18" s="882">
        <f>'Corrected and Updated TSF 2'!CW18</f>
        <v>39057.15956450197</v>
      </c>
      <c r="U18" s="882">
        <f>'Corrected and Updated TSF 2'!CX18</f>
        <v>66608.276687751466</v>
      </c>
      <c r="V18" s="1167">
        <f>'Corrected and Updated TSF 2'!CY18</f>
        <v>273256.28899075405</v>
      </c>
      <c r="W18" s="1167">
        <f>'Corrected and Updated TSF 2'!CZ18</f>
        <v>108126.18244583477</v>
      </c>
      <c r="X18" s="1233">
        <f>'Corrected and Updated TSF 2'!DA18</f>
        <v>78098.010168462934</v>
      </c>
      <c r="Y18" s="1233">
        <f>'Corrected and Updated TSF 2'!DB18</f>
        <v>59436.181184891328</v>
      </c>
      <c r="Z18" s="885">
        <f>H18-'Corrected and Updated TSF 2'!CH18</f>
        <v>0</v>
      </c>
      <c r="AA18" s="885">
        <f>I18-SUM('Corrected and Updated TSF 2'!CJ18:CK18)</f>
        <v>0</v>
      </c>
      <c r="AB18" s="885">
        <f>J18-'Corrected and Updated TSF 2'!CL18</f>
        <v>0</v>
      </c>
      <c r="AC18" s="886">
        <f>K18-'Corrected and Updated TSF 2'!CM18</f>
        <v>0</v>
      </c>
      <c r="AD18" s="885">
        <f>M18-'Corrected and Updated TSF 2'!CO18</f>
        <v>0</v>
      </c>
      <c r="AE18" s="887">
        <f>P18-'Corrected and Updated TSF 2'!CR18</f>
        <v>0</v>
      </c>
      <c r="AF18" s="885">
        <f>Q18-'Corrected and Updated TSF 2'!CT18</f>
        <v>0</v>
      </c>
      <c r="AG18" s="888"/>
      <c r="AH18" s="888"/>
      <c r="AI18" s="885">
        <f>S18-'INTERNAL PRICELIST'!AA18</f>
        <v>9507.6559613124664</v>
      </c>
      <c r="AJ18" s="885">
        <f>T18-'INTERNAL PRICELIST'!AB18</f>
        <v>12281.761801645804</v>
      </c>
      <c r="AK18" s="885">
        <f>U18-'INTERNAL PRICELIST'!AC18</f>
        <v>20945.378450935801</v>
      </c>
    </row>
    <row r="19" spans="1:45" s="883" customFormat="1" ht="12.75" hidden="1" customHeight="1">
      <c r="A19" s="876" t="str">
        <f t="shared" si="0"/>
        <v>2M</v>
      </c>
      <c r="B19" s="877" t="str">
        <f>'Corrected and Updated TSF 2'!FI19</f>
        <v>SOLD</v>
      </c>
      <c r="C19" s="878" t="str">
        <f>'Corrected and Updated TSF 2'!E19</f>
        <v>2nd Floor</v>
      </c>
      <c r="D19" s="763" t="str">
        <f>'Corrected and Updated TSF 2'!M19</f>
        <v>Inner</v>
      </c>
      <c r="E19" s="763" t="str">
        <f>'Corrected and Updated TSF 2'!G19</f>
        <v>2M</v>
      </c>
      <c r="F19" s="747" t="str">
        <f>'Corrected and Updated TSF 2'!I19</f>
        <v>Studio</v>
      </c>
      <c r="G19" s="879">
        <f>'Corrected and Updated TSF 2'!J19</f>
        <v>22</v>
      </c>
      <c r="H19" s="879">
        <f>'Corrected and Updated TSF 2'!CH19</f>
        <v>3346371.2270467947</v>
      </c>
      <c r="I19" s="879">
        <f>SUM('Corrected and Updated TSF 2'!CJ19:CK19)</f>
        <v>460126.04371893429</v>
      </c>
      <c r="J19" s="879">
        <f>'Corrected and Updated TSF 2'!CL19</f>
        <v>3806497.2707657288</v>
      </c>
      <c r="K19" s="880">
        <f>'Corrected and Updated TSF 2'!CM19</f>
        <v>0.125</v>
      </c>
      <c r="L19" s="879">
        <f>'Corrected and Updated TSF 2'!CN19</f>
        <v>475812.1588457161</v>
      </c>
      <c r="M19" s="879">
        <f>'Corrected and Updated TSF 2'!CO19</f>
        <v>30000</v>
      </c>
      <c r="N19" s="879">
        <f>'Corrected and Updated TSF 2'!CP19</f>
        <v>445812.1588457161</v>
      </c>
      <c r="O19" s="881">
        <f>'Corrected and Updated TSF 2'!CQ19</f>
        <v>18</v>
      </c>
      <c r="P19" s="879">
        <f>'Corrected and Updated TSF 2'!CR19</f>
        <v>24767.34215809534</v>
      </c>
      <c r="Q19" s="879">
        <f>'Corrected and Updated TSF 2'!CT19</f>
        <v>3330685.1119200126</v>
      </c>
      <c r="R19" s="879">
        <f>'Corrected and Updated TSF 2'!CU19</f>
        <v>25822.76622153218</v>
      </c>
      <c r="S19" s="879">
        <f>'Corrected and Updated TSF 2'!CV19</f>
        <v>29937.139399009873</v>
      </c>
      <c r="T19" s="882">
        <f>'Corrected and Updated TSF 2'!CW19</f>
        <v>38672.078310114535</v>
      </c>
      <c r="U19" s="882">
        <f>'Corrected and Updated TSF 2'!CX19</f>
        <v>65951.557176514485</v>
      </c>
      <c r="V19" s="1167">
        <f>'Corrected and Updated TSF 2'!CY19</f>
        <v>270562.13827147207</v>
      </c>
      <c r="W19" s="1167">
        <f>'Corrected and Updated TSF 2'!CZ19</f>
        <v>107060.12013017652</v>
      </c>
      <c r="X19" s="1233">
        <f>'Corrected and Updated TSF 2'!DA19</f>
        <v>77328.008456711017</v>
      </c>
      <c r="Y19" s="1233">
        <f>'Corrected and Updated TSF 2'!DB19</f>
        <v>58850.174433200184</v>
      </c>
      <c r="Z19" s="885">
        <f>H19-'Corrected and Updated TSF 2'!CH19</f>
        <v>0</v>
      </c>
      <c r="AA19" s="885">
        <f>I19-SUM('Corrected and Updated TSF 2'!CJ19:CK19)</f>
        <v>0</v>
      </c>
      <c r="AB19" s="885">
        <f>J19-'Corrected and Updated TSF 2'!CL19</f>
        <v>0</v>
      </c>
      <c r="AC19" s="886">
        <f>K19-'Corrected and Updated TSF 2'!CM19</f>
        <v>0</v>
      </c>
      <c r="AD19" s="885">
        <f>M19-'Corrected and Updated TSF 2'!CO19</f>
        <v>0</v>
      </c>
      <c r="AE19" s="887">
        <f>P19-'Corrected and Updated TSF 2'!CR19</f>
        <v>0</v>
      </c>
      <c r="AF19" s="885">
        <f>Q19-'Corrected and Updated TSF 2'!CT19</f>
        <v>0</v>
      </c>
      <c r="AG19" s="888"/>
      <c r="AH19" s="888"/>
      <c r="AI19" s="885">
        <f>S19-'INTERNAL PRICELIST'!AA19</f>
        <v>9209.5537724387214</v>
      </c>
      <c r="AJ19" s="885">
        <f>T19-'INTERNAL PRICELIST'!AB19</f>
        <v>11896.680547258369</v>
      </c>
      <c r="AK19" s="885">
        <f>U19-'INTERNAL PRICELIST'!AC19</f>
        <v>20288.65893969882</v>
      </c>
    </row>
    <row r="20" spans="1:45" s="883" customFormat="1" ht="12.75" hidden="1" customHeight="1">
      <c r="A20" s="876" t="str">
        <f t="shared" si="0"/>
        <v>2N</v>
      </c>
      <c r="B20" s="877" t="str">
        <f>'Corrected and Updated TSF 2'!FI20</f>
        <v>SOLD</v>
      </c>
      <c r="C20" s="1002" t="str">
        <f>'Corrected and Updated TSF 2'!E20</f>
        <v>2nd Floor</v>
      </c>
      <c r="D20" s="1003" t="str">
        <f>'Corrected and Updated TSF 2'!M20</f>
        <v>Inner</v>
      </c>
      <c r="E20" s="1003" t="str">
        <f>'Corrected and Updated TSF 2'!G20</f>
        <v>2N</v>
      </c>
      <c r="F20" s="1004" t="str">
        <f>'Corrected and Updated TSF 2'!I20</f>
        <v>Studio</v>
      </c>
      <c r="G20" s="1005">
        <f>'Corrected and Updated TSF 2'!J20</f>
        <v>22</v>
      </c>
      <c r="H20" s="1005">
        <f>'Corrected and Updated TSF 2'!CH20</f>
        <v>3346371.2270467947</v>
      </c>
      <c r="I20" s="1005">
        <f>SUM('Corrected and Updated TSF 2'!CJ20:CK20)</f>
        <v>460126.04371893429</v>
      </c>
      <c r="J20" s="1005">
        <f>'Corrected and Updated TSF 2'!CL20</f>
        <v>3806497.2707657288</v>
      </c>
      <c r="K20" s="1006">
        <f>'Corrected and Updated TSF 2'!CM20</f>
        <v>0.125</v>
      </c>
      <c r="L20" s="1005">
        <f>'Corrected and Updated TSF 2'!CN20</f>
        <v>475812.1588457161</v>
      </c>
      <c r="M20" s="1005">
        <f>'Corrected and Updated TSF 2'!CO20</f>
        <v>30000</v>
      </c>
      <c r="N20" s="1005">
        <f>'Corrected and Updated TSF 2'!CP20</f>
        <v>445812.1588457161</v>
      </c>
      <c r="O20" s="1007">
        <f>'Corrected and Updated TSF 2'!CQ20</f>
        <v>18</v>
      </c>
      <c r="P20" s="1005">
        <f>'Corrected and Updated TSF 2'!CR20</f>
        <v>24767.34215809534</v>
      </c>
      <c r="Q20" s="1005">
        <f>'Corrected and Updated TSF 2'!CT20</f>
        <v>3330685.1119200126</v>
      </c>
      <c r="R20" s="1005">
        <f>'Corrected and Updated TSF 2'!CU20</f>
        <v>25822.76622153218</v>
      </c>
      <c r="S20" s="1005">
        <f>'Corrected and Updated TSF 2'!CV20</f>
        <v>29937.139399009873</v>
      </c>
      <c r="T20" s="882">
        <f>'Corrected and Updated TSF 2'!CW20</f>
        <v>38672.078310114535</v>
      </c>
      <c r="U20" s="882">
        <f>'Corrected and Updated TSF 2'!CX20</f>
        <v>65951.557176514485</v>
      </c>
      <c r="V20" s="1167">
        <f>'Corrected and Updated TSF 2'!CY20</f>
        <v>270562.13827147207</v>
      </c>
      <c r="W20" s="1167">
        <f>'Corrected and Updated TSF 2'!CZ20</f>
        <v>107060.12013017652</v>
      </c>
      <c r="X20" s="1233">
        <f>'Corrected and Updated TSF 2'!DA20</f>
        <v>77328.008456711017</v>
      </c>
      <c r="Y20" s="1233">
        <f>'Corrected and Updated TSF 2'!DB20</f>
        <v>58850.174433200184</v>
      </c>
      <c r="Z20" s="885">
        <f>H20-'Corrected and Updated TSF 2'!CH20</f>
        <v>0</v>
      </c>
      <c r="AA20" s="885">
        <f>I20-SUM('Corrected and Updated TSF 2'!CJ20:CK20)</f>
        <v>0</v>
      </c>
      <c r="AB20" s="885">
        <f>J20-'Corrected and Updated TSF 2'!CL20</f>
        <v>0</v>
      </c>
      <c r="AC20" s="886">
        <f>K20-'Corrected and Updated TSF 2'!CM20</f>
        <v>0</v>
      </c>
      <c r="AD20" s="885">
        <f>M20-'Corrected and Updated TSF 2'!CO20</f>
        <v>0</v>
      </c>
      <c r="AE20" s="887">
        <f>P20-'Corrected and Updated TSF 2'!CR20</f>
        <v>0</v>
      </c>
      <c r="AF20" s="885">
        <f>Q20-'Corrected and Updated TSF 2'!CT20</f>
        <v>0</v>
      </c>
      <c r="AG20" s="888"/>
      <c r="AH20" s="888"/>
      <c r="AI20" s="885">
        <f>S20-'INTERNAL PRICELIST'!AA20</f>
        <v>9209.5537724387214</v>
      </c>
      <c r="AJ20" s="885">
        <f>T20-'INTERNAL PRICELIST'!AB20</f>
        <v>11896.680547258369</v>
      </c>
      <c r="AK20" s="885">
        <f>U20-'INTERNAL PRICELIST'!AC20</f>
        <v>20288.65893969882</v>
      </c>
    </row>
    <row r="21" spans="1:45" s="883" customFormat="1" hidden="1">
      <c r="A21" s="876" t="str">
        <f t="shared" si="0"/>
        <v>2O</v>
      </c>
      <c r="B21" s="877" t="str">
        <f>'Corrected and Updated TSF 2'!FI21</f>
        <v>SOLD</v>
      </c>
      <c r="C21" s="878" t="str">
        <f>'Corrected and Updated TSF 2'!E21</f>
        <v>2nd Floor</v>
      </c>
      <c r="D21" s="763" t="str">
        <f>'Corrected and Updated TSF 2'!M21</f>
        <v>Corner</v>
      </c>
      <c r="E21" s="763" t="str">
        <f>'Corrected and Updated TSF 2'!G21</f>
        <v>2O</v>
      </c>
      <c r="F21" s="747" t="str">
        <f>'Corrected and Updated TSF 2'!I21</f>
        <v>Studio</v>
      </c>
      <c r="G21" s="879">
        <f>'Corrected and Updated TSF 2'!J21</f>
        <v>22</v>
      </c>
      <c r="H21" s="879">
        <f>'Corrected and Updated TSF 2'!CH21</f>
        <v>3421261.2489011637</v>
      </c>
      <c r="I21" s="879">
        <f>SUM('Corrected and Updated TSF 2'!CJ21:CK21)</f>
        <v>470423.42172390997</v>
      </c>
      <c r="J21" s="879">
        <f>'Corrected and Updated TSF 2'!CL21</f>
        <v>3891684.6706250738</v>
      </c>
      <c r="K21" s="880">
        <f>'Corrected and Updated TSF 2'!CM21</f>
        <v>0.125</v>
      </c>
      <c r="L21" s="879">
        <f>'Corrected and Updated TSF 2'!CN21</f>
        <v>486460.58382813423</v>
      </c>
      <c r="M21" s="879">
        <f>'Corrected and Updated TSF 2'!CO21</f>
        <v>30000</v>
      </c>
      <c r="N21" s="879">
        <f>'Corrected and Updated TSF 2'!CP21</f>
        <v>456460.58382813423</v>
      </c>
      <c r="O21" s="881">
        <f>'Corrected and Updated TSF 2'!CQ21</f>
        <v>18</v>
      </c>
      <c r="P21" s="879">
        <f>'Corrected and Updated TSF 2'!CR21</f>
        <v>25358.921323785235</v>
      </c>
      <c r="Q21" s="879">
        <f>'Corrected and Updated TSF 2'!CT21</f>
        <v>3405224.0867969394</v>
      </c>
      <c r="R21" s="879">
        <f>'Corrected and Updated TSF 2'!CU21</f>
        <v>26400.666100374212</v>
      </c>
      <c r="S21" s="879">
        <f>'Corrected and Updated TSF 2'!CV21</f>
        <v>30607.116778007276</v>
      </c>
      <c r="T21" s="882">
        <f>'Corrected and Updated TSF 2'!CW21</f>
        <v>39537.539011662055</v>
      </c>
      <c r="U21" s="882">
        <f>'Corrected and Updated TSF 2'!CX21</f>
        <v>67427.518217046629</v>
      </c>
      <c r="V21" s="1167">
        <f>'Corrected and Updated TSF 2'!CY21</f>
        <v>276617.17612392135</v>
      </c>
      <c r="W21" s="1167">
        <f>'Corrected and Updated TSF 2'!CZ21</f>
        <v>109456.06911260787</v>
      </c>
      <c r="X21" s="1233">
        <f>'Corrected and Updated TSF 2'!DA21</f>
        <v>79058.568472429484</v>
      </c>
      <c r="Y21" s="1233">
        <f>'Corrected and Updated TSF 2'!DB21</f>
        <v>60167.210276030237</v>
      </c>
      <c r="Z21" s="885">
        <f>H21-'Corrected and Updated TSF 2'!CH21</f>
        <v>0</v>
      </c>
      <c r="AA21" s="885">
        <f>I21-SUM('Corrected and Updated TSF 2'!CJ21:CK21)</f>
        <v>0</v>
      </c>
      <c r="AB21" s="885">
        <f>J21-'Corrected and Updated TSF 2'!CL21</f>
        <v>0</v>
      </c>
      <c r="AC21" s="886">
        <f>K21-'Corrected and Updated TSF 2'!CM21</f>
        <v>0</v>
      </c>
      <c r="AD21" s="885">
        <f>M21-'Corrected and Updated TSF 2'!CO21</f>
        <v>0</v>
      </c>
      <c r="AE21" s="887">
        <f>P21-'Corrected and Updated TSF 2'!CR21</f>
        <v>0</v>
      </c>
      <c r="AF21" s="885">
        <f>Q21-'Corrected and Updated TSF 2'!CT21</f>
        <v>0</v>
      </c>
      <c r="AG21" s="888"/>
      <c r="AH21" s="888"/>
      <c r="AI21" s="885">
        <f>S21-'INTERNAL PRICELIST'!AA21</f>
        <v>9879.5311514361238</v>
      </c>
      <c r="AJ21" s="885">
        <f>T21-'INTERNAL PRICELIST'!AB21</f>
        <v>12762.141248805889</v>
      </c>
      <c r="AK21" s="885">
        <f>U21-'INTERNAL PRICELIST'!AC21</f>
        <v>21764.619980230964</v>
      </c>
    </row>
    <row r="22" spans="1:45" s="883" customFormat="1" hidden="1">
      <c r="A22" s="876" t="str">
        <f t="shared" si="0"/>
        <v>3A</v>
      </c>
      <c r="B22" s="877" t="str">
        <f>'Corrected and Updated TSF 2'!FI22</f>
        <v>SOLD</v>
      </c>
      <c r="C22" s="878" t="str">
        <f>'Corrected and Updated TSF 2'!E22</f>
        <v>3rd Floor</v>
      </c>
      <c r="D22" s="763" t="str">
        <f>'Corrected and Updated TSF 2'!M22</f>
        <v>End</v>
      </c>
      <c r="E22" s="763" t="str">
        <f>'Corrected and Updated TSF 2'!G22</f>
        <v>3A</v>
      </c>
      <c r="F22" s="747" t="str">
        <f>'Corrected and Updated TSF 2'!I22</f>
        <v>Studio</v>
      </c>
      <c r="G22" s="879">
        <f>'Corrected and Updated TSF 2'!J22</f>
        <v>22</v>
      </c>
      <c r="H22" s="879">
        <f>'Corrected and Updated TSF 2'!CH22</f>
        <v>3376327.2357885418</v>
      </c>
      <c r="I22" s="879">
        <f>SUM('Corrected and Updated TSF 2'!CJ22:CK22)</f>
        <v>464244.99492092454</v>
      </c>
      <c r="J22" s="879">
        <f>'Corrected and Updated TSF 2'!CL22</f>
        <v>3840572.2307094666</v>
      </c>
      <c r="K22" s="880">
        <f>'Corrected and Updated TSF 2'!CM22</f>
        <v>0.125</v>
      </c>
      <c r="L22" s="879">
        <f>'Corrected and Updated TSF 2'!CN22</f>
        <v>480071.52883868333</v>
      </c>
      <c r="M22" s="879">
        <f>'Corrected and Updated TSF 2'!CO22</f>
        <v>30000</v>
      </c>
      <c r="N22" s="879">
        <f>'Corrected and Updated TSF 2'!CP22</f>
        <v>450071.52883868333</v>
      </c>
      <c r="O22" s="881">
        <f>'Corrected and Updated TSF 2'!CQ22</f>
        <v>13</v>
      </c>
      <c r="P22" s="879">
        <f>'Corrected and Updated TSF 2'!CR22</f>
        <v>34620.886833744873</v>
      </c>
      <c r="Q22" s="879">
        <f>'Corrected and Updated TSF 2'!CT22</f>
        <v>3360500.7018707832</v>
      </c>
      <c r="R22" s="879">
        <f>'Corrected and Updated TSF 2'!CU22</f>
        <v>26053.926173068994</v>
      </c>
      <c r="S22" s="879">
        <f>'Corrected and Updated TSF 2'!CV22</f>
        <v>30205.130350608837</v>
      </c>
      <c r="T22" s="882">
        <f>'Corrected and Updated TSF 2'!CW22</f>
        <v>39018.262590733539</v>
      </c>
      <c r="U22" s="882">
        <f>'Corrected and Updated TSF 2'!CX22</f>
        <v>66541.941592727337</v>
      </c>
      <c r="V22" s="1167">
        <f>'Corrected and Updated TSF 2'!CY22</f>
        <v>272984.15341245179</v>
      </c>
      <c r="W22" s="1167">
        <f>'Corrected and Updated TSF 2'!CZ22</f>
        <v>108018.49972314907</v>
      </c>
      <c r="X22" s="1233">
        <f>'Corrected and Updated TSF 2'!DA22</f>
        <v>78020.232462998407</v>
      </c>
      <c r="Y22" s="1233">
        <f>'Corrected and Updated TSF 2'!DB22</f>
        <v>59376.988770332202</v>
      </c>
      <c r="Z22" s="885">
        <f>H22-'Corrected and Updated TSF 2'!CH22</f>
        <v>0</v>
      </c>
      <c r="AA22" s="885">
        <f>I22-SUM('Corrected and Updated TSF 2'!CJ22:CK22)</f>
        <v>0</v>
      </c>
      <c r="AB22" s="885">
        <f>J22-'Corrected and Updated TSF 2'!CL22</f>
        <v>0</v>
      </c>
      <c r="AC22" s="886">
        <f>K22-'Corrected and Updated TSF 2'!CM22</f>
        <v>0</v>
      </c>
      <c r="AD22" s="885">
        <f>M22-'Corrected and Updated TSF 2'!CO22</f>
        <v>0</v>
      </c>
      <c r="AE22" s="887">
        <f>P22-'Corrected and Updated TSF 2'!CR22</f>
        <v>0</v>
      </c>
      <c r="AF22" s="885">
        <f>Q22-'Corrected and Updated TSF 2'!CT22</f>
        <v>0</v>
      </c>
      <c r="AG22" s="888"/>
      <c r="AH22" s="888"/>
      <c r="AI22" s="885">
        <f>S22-'INTERNAL PRICELIST'!AA22</f>
        <v>9477.5447240376852</v>
      </c>
      <c r="AJ22" s="885">
        <f>T22-'INTERNAL PRICELIST'!AB22</f>
        <v>12242.864827877373</v>
      </c>
      <c r="AK22" s="885">
        <f>U22-'INTERNAL PRICELIST'!AC22</f>
        <v>20879.043355911672</v>
      </c>
    </row>
    <row r="23" spans="1:45" s="883" customFormat="1" hidden="1">
      <c r="A23" s="876" t="str">
        <f t="shared" si="0"/>
        <v>3B</v>
      </c>
      <c r="B23" s="877" t="str">
        <f>'Corrected and Updated TSF 2'!FI23</f>
        <v>SOLD</v>
      </c>
      <c r="C23" s="1002" t="str">
        <f>'Corrected and Updated TSF 2'!E23</f>
        <v>3rd Floor</v>
      </c>
      <c r="D23" s="1003" t="str">
        <f>'Corrected and Updated TSF 2'!M23</f>
        <v>Inner</v>
      </c>
      <c r="E23" s="1003" t="str">
        <f>'Corrected and Updated TSF 2'!G23</f>
        <v>3B</v>
      </c>
      <c r="F23" s="1004" t="str">
        <f>'Corrected and Updated TSF 2'!I23</f>
        <v>Studio</v>
      </c>
      <c r="G23" s="1005">
        <f>'Corrected and Updated TSF 2'!J23</f>
        <v>22</v>
      </c>
      <c r="H23" s="1005">
        <f>'Corrected and Updated TSF 2'!CH23</f>
        <v>3346371.2270467947</v>
      </c>
      <c r="I23" s="1005">
        <f>SUM('Corrected and Updated TSF 2'!CJ23:CK23)</f>
        <v>460126.04371893429</v>
      </c>
      <c r="J23" s="1005">
        <f>'Corrected and Updated TSF 2'!CL23</f>
        <v>3806497.2707657288</v>
      </c>
      <c r="K23" s="1006">
        <f>'Corrected and Updated TSF 2'!CM23</f>
        <v>0.125</v>
      </c>
      <c r="L23" s="1005">
        <f>'Corrected and Updated TSF 2'!CN23</f>
        <v>475812.1588457161</v>
      </c>
      <c r="M23" s="1005">
        <f>'Corrected and Updated TSF 2'!CO23</f>
        <v>30000</v>
      </c>
      <c r="N23" s="1005">
        <f>'Corrected and Updated TSF 2'!CP23</f>
        <v>445812.1588457161</v>
      </c>
      <c r="O23" s="1007">
        <f>'Corrected and Updated TSF 2'!CQ23</f>
        <v>13</v>
      </c>
      <c r="P23" s="1005">
        <f>'Corrected and Updated TSF 2'!CR23</f>
        <v>34293.242988132006</v>
      </c>
      <c r="Q23" s="1005">
        <f>'Corrected and Updated TSF 2'!CT23</f>
        <v>3330685.1119200126</v>
      </c>
      <c r="R23" s="1005">
        <f>'Corrected and Updated TSF 2'!CU23</f>
        <v>25822.76622153218</v>
      </c>
      <c r="S23" s="1005">
        <f>'Corrected and Updated TSF 2'!CV23</f>
        <v>29937.139399009873</v>
      </c>
      <c r="T23" s="882">
        <f>'Corrected and Updated TSF 2'!CW23</f>
        <v>38672.078310114535</v>
      </c>
      <c r="U23" s="882">
        <f>'Corrected and Updated TSF 2'!CX23</f>
        <v>65951.557176514485</v>
      </c>
      <c r="V23" s="1167">
        <f>'Corrected and Updated TSF 2'!CY23</f>
        <v>270562.13827147207</v>
      </c>
      <c r="W23" s="1167">
        <f>'Corrected and Updated TSF 2'!CZ23</f>
        <v>107060.12013017652</v>
      </c>
      <c r="X23" s="1233">
        <f>'Corrected and Updated TSF 2'!DA23</f>
        <v>77328.008456711017</v>
      </c>
      <c r="Y23" s="1233">
        <f>'Corrected and Updated TSF 2'!DB23</f>
        <v>58850.174433200184</v>
      </c>
      <c r="Z23" s="885">
        <f>H23-'Corrected and Updated TSF 2'!CH23</f>
        <v>0</v>
      </c>
      <c r="AA23" s="885">
        <f>I23-SUM('Corrected and Updated TSF 2'!CJ23:CK23)</f>
        <v>0</v>
      </c>
      <c r="AB23" s="885">
        <f>J23-'Corrected and Updated TSF 2'!CL23</f>
        <v>0</v>
      </c>
      <c r="AC23" s="886">
        <f>K23-'Corrected and Updated TSF 2'!CM23</f>
        <v>0</v>
      </c>
      <c r="AD23" s="885">
        <f>M23-'Corrected and Updated TSF 2'!CO23</f>
        <v>0</v>
      </c>
      <c r="AE23" s="887">
        <f>P23-'Corrected and Updated TSF 2'!CR23</f>
        <v>0</v>
      </c>
      <c r="AF23" s="885">
        <f>Q23-'Corrected and Updated TSF 2'!CT23</f>
        <v>0</v>
      </c>
      <c r="AG23" s="888"/>
      <c r="AH23" s="888"/>
      <c r="AI23" s="885">
        <f>S23-'INTERNAL PRICELIST'!AA23</f>
        <v>9192.1574006870069</v>
      </c>
      <c r="AJ23" s="885">
        <f>T23-'INTERNAL PRICELIST'!AB23</f>
        <v>11874.208331648006</v>
      </c>
      <c r="AK23" s="885">
        <f>U23-'INTERNAL PRICELIST'!AC23</f>
        <v>20250.334709983908</v>
      </c>
    </row>
    <row r="24" spans="1:45" s="152" customFormat="1" ht="12.75" hidden="1" customHeight="1">
      <c r="A24" s="876" t="str">
        <f t="shared" si="0"/>
        <v>3C</v>
      </c>
      <c r="B24" s="877" t="str">
        <f>'Corrected and Updated TSF 2'!FI24</f>
        <v>SOLD</v>
      </c>
      <c r="C24" s="1002" t="str">
        <f>'Corrected and Updated TSF 2'!E24</f>
        <v>3rd Floor</v>
      </c>
      <c r="D24" s="1003" t="str">
        <f>'Corrected and Updated TSF 2'!M24</f>
        <v>End</v>
      </c>
      <c r="E24" s="1003" t="str">
        <f>'Corrected and Updated TSF 2'!G24</f>
        <v>3C</v>
      </c>
      <c r="F24" s="1004" t="str">
        <f>'Corrected and Updated TSF 2'!I24</f>
        <v>Studio</v>
      </c>
      <c r="G24" s="1005">
        <f>'Corrected and Updated TSF 2'!J24</f>
        <v>22</v>
      </c>
      <c r="H24" s="1005">
        <f>'Corrected and Updated TSF 2'!CH24</f>
        <v>3376327.2357885418</v>
      </c>
      <c r="I24" s="1005">
        <f>SUM('Corrected and Updated TSF 2'!CJ24:CK24)</f>
        <v>464244.99492092454</v>
      </c>
      <c r="J24" s="1005">
        <f>'Corrected and Updated TSF 2'!CL24</f>
        <v>3840572.2307094666</v>
      </c>
      <c r="K24" s="1006">
        <f>'Corrected and Updated TSF 2'!CM24</f>
        <v>0.125</v>
      </c>
      <c r="L24" s="1005">
        <f>'Corrected and Updated TSF 2'!CN24</f>
        <v>480071.52883868333</v>
      </c>
      <c r="M24" s="1005">
        <f>'Corrected and Updated TSF 2'!CO24</f>
        <v>30000</v>
      </c>
      <c r="N24" s="1005">
        <f>'Corrected and Updated TSF 2'!CP24</f>
        <v>450071.52883868333</v>
      </c>
      <c r="O24" s="1007">
        <f>'Corrected and Updated TSF 2'!CQ24</f>
        <v>13</v>
      </c>
      <c r="P24" s="1005">
        <f>'Corrected and Updated TSF 2'!CR24</f>
        <v>34620.886833744873</v>
      </c>
      <c r="Q24" s="1005">
        <f>'Corrected and Updated TSF 2'!CT24</f>
        <v>3360500.7018707832</v>
      </c>
      <c r="R24" s="1005">
        <f>'Corrected and Updated TSF 2'!CU24</f>
        <v>26053.926173068994</v>
      </c>
      <c r="S24" s="1005">
        <f>'Corrected and Updated TSF 2'!CV24</f>
        <v>30205.130350608837</v>
      </c>
      <c r="T24" s="882">
        <f>'Corrected and Updated TSF 2'!CW24</f>
        <v>39018.262590733539</v>
      </c>
      <c r="U24" s="882">
        <f>'Corrected and Updated TSF 2'!CX24</f>
        <v>66541.941592727337</v>
      </c>
      <c r="V24" s="1167">
        <f>'Corrected and Updated TSF 2'!CY24</f>
        <v>272984.15341245179</v>
      </c>
      <c r="W24" s="1167">
        <f>'Corrected and Updated TSF 2'!CZ24</f>
        <v>108018.49972314907</v>
      </c>
      <c r="X24" s="1233">
        <f>'Corrected and Updated TSF 2'!DA24</f>
        <v>78020.232462998407</v>
      </c>
      <c r="Y24" s="1233">
        <f>'Corrected and Updated TSF 2'!DB24</f>
        <v>59376.988770332202</v>
      </c>
      <c r="Z24" s="885">
        <f>H24-'Corrected and Updated TSF 2'!CH24</f>
        <v>0</v>
      </c>
      <c r="AA24" s="885">
        <f>I24-SUM('Corrected and Updated TSF 2'!CJ24:CK24)</f>
        <v>0</v>
      </c>
      <c r="AB24" s="885">
        <f>J24-'Corrected and Updated TSF 2'!CL24</f>
        <v>0</v>
      </c>
      <c r="AC24" s="886">
        <f>K24-'Corrected and Updated TSF 2'!CM24</f>
        <v>0</v>
      </c>
      <c r="AD24" s="885">
        <f>M24-'Corrected and Updated TSF 2'!CO24</f>
        <v>0</v>
      </c>
      <c r="AE24" s="887">
        <f>P24-'Corrected and Updated TSF 2'!CR24</f>
        <v>0</v>
      </c>
      <c r="AF24" s="885">
        <f>Q24-'Corrected and Updated TSF 2'!CT24</f>
        <v>0</v>
      </c>
      <c r="AG24" s="888"/>
      <c r="AH24" s="888"/>
      <c r="AI24" s="885">
        <f>S24-'INTERNAL PRICELIST'!AA24</f>
        <v>9477.5447240376852</v>
      </c>
      <c r="AJ24" s="885">
        <f>T24-'INTERNAL PRICELIST'!AB24</f>
        <v>12242.864827877373</v>
      </c>
      <c r="AK24" s="885">
        <f>U24-'INTERNAL PRICELIST'!AC24</f>
        <v>20879.043355911672</v>
      </c>
      <c r="AL24" s="883"/>
      <c r="AM24" s="883"/>
      <c r="AN24" s="883"/>
      <c r="AO24" s="883"/>
      <c r="AP24" s="883"/>
      <c r="AQ24" s="883"/>
      <c r="AR24" s="883"/>
      <c r="AS24" s="883"/>
    </row>
    <row r="25" spans="1:45" s="152" customFormat="1" ht="12.75" hidden="1" customHeight="1">
      <c r="A25" s="876" t="str">
        <f t="shared" si="0"/>
        <v>3D</v>
      </c>
      <c r="B25" s="877" t="str">
        <f>'Corrected and Updated TSF 2'!FI25</f>
        <v>SOLD</v>
      </c>
      <c r="C25" s="1002" t="str">
        <f>'Corrected and Updated TSF 2'!E25</f>
        <v>3rd Floor</v>
      </c>
      <c r="D25" s="1003" t="str">
        <f>'Corrected and Updated TSF 2'!M25</f>
        <v>End</v>
      </c>
      <c r="E25" s="1003" t="str">
        <f>'Corrected and Updated TSF 2'!G25</f>
        <v>3D</v>
      </c>
      <c r="F25" s="1004" t="str">
        <f>'Corrected and Updated TSF 2'!I25</f>
        <v>Studio</v>
      </c>
      <c r="G25" s="1005">
        <f>'Corrected and Updated TSF 2'!J25</f>
        <v>22</v>
      </c>
      <c r="H25" s="1005">
        <f>'Corrected and Updated TSF 2'!CH25</f>
        <v>3376327.2357885418</v>
      </c>
      <c r="I25" s="1005">
        <f>SUM('Corrected and Updated TSF 2'!CJ25:CK25)</f>
        <v>464244.99492092454</v>
      </c>
      <c r="J25" s="1005">
        <f>'Corrected and Updated TSF 2'!CL25</f>
        <v>3840572.2307094666</v>
      </c>
      <c r="K25" s="1006">
        <f>'Corrected and Updated TSF 2'!CM25</f>
        <v>0.125</v>
      </c>
      <c r="L25" s="1005">
        <f>'Corrected and Updated TSF 2'!CN25</f>
        <v>480071.52883868333</v>
      </c>
      <c r="M25" s="1005">
        <f>'Corrected and Updated TSF 2'!CO25</f>
        <v>30000</v>
      </c>
      <c r="N25" s="1005">
        <f>'Corrected and Updated TSF 2'!CP25</f>
        <v>450071.52883868333</v>
      </c>
      <c r="O25" s="1007">
        <f>'Corrected and Updated TSF 2'!CQ25</f>
        <v>13</v>
      </c>
      <c r="P25" s="1005">
        <f>'Corrected and Updated TSF 2'!CR25</f>
        <v>34620.886833744873</v>
      </c>
      <c r="Q25" s="1005">
        <f>'Corrected and Updated TSF 2'!CT25</f>
        <v>3360500.7018707832</v>
      </c>
      <c r="R25" s="1005">
        <f>'Corrected and Updated TSF 2'!CU25</f>
        <v>26053.926173068994</v>
      </c>
      <c r="S25" s="1005">
        <f>'Corrected and Updated TSF 2'!CV25</f>
        <v>30205.130350608837</v>
      </c>
      <c r="T25" s="882">
        <f>'Corrected and Updated TSF 2'!CW25</f>
        <v>39018.262590733539</v>
      </c>
      <c r="U25" s="882">
        <f>'Corrected and Updated TSF 2'!CX25</f>
        <v>66541.941592727337</v>
      </c>
      <c r="V25" s="1167">
        <f>'Corrected and Updated TSF 2'!CY25</f>
        <v>272984.15341245179</v>
      </c>
      <c r="W25" s="1167">
        <f>'Corrected and Updated TSF 2'!CZ25</f>
        <v>108018.49972314907</v>
      </c>
      <c r="X25" s="1233">
        <f>'Corrected and Updated TSF 2'!DA25</f>
        <v>78020.232462998407</v>
      </c>
      <c r="Y25" s="1233">
        <f>'Corrected and Updated TSF 2'!DB25</f>
        <v>59376.988770332202</v>
      </c>
      <c r="Z25" s="885">
        <f>H25-'Corrected and Updated TSF 2'!CH25</f>
        <v>0</v>
      </c>
      <c r="AA25" s="885">
        <f>I25-SUM('Corrected and Updated TSF 2'!CJ25:CK25)</f>
        <v>0</v>
      </c>
      <c r="AB25" s="885">
        <f>J25-'Corrected and Updated TSF 2'!CL25</f>
        <v>0</v>
      </c>
      <c r="AC25" s="886">
        <f>K25-'Corrected and Updated TSF 2'!CM25</f>
        <v>0</v>
      </c>
      <c r="AD25" s="885">
        <f>M25-'Corrected and Updated TSF 2'!CO25</f>
        <v>0</v>
      </c>
      <c r="AE25" s="887">
        <f>P25-'Corrected and Updated TSF 2'!CR25</f>
        <v>0</v>
      </c>
      <c r="AF25" s="885">
        <f>Q25-'Corrected and Updated TSF 2'!CT25</f>
        <v>0</v>
      </c>
      <c r="AG25" s="888"/>
      <c r="AH25" s="888"/>
      <c r="AI25" s="885">
        <f>S25-'INTERNAL PRICELIST'!AA25</f>
        <v>9477.5447240376852</v>
      </c>
      <c r="AJ25" s="885">
        <f>T25-'INTERNAL PRICELIST'!AB25</f>
        <v>12242.864827877373</v>
      </c>
      <c r="AK25" s="885">
        <f>U25-'INTERNAL PRICELIST'!AC25</f>
        <v>20879.043355911672</v>
      </c>
      <c r="AL25" s="883"/>
      <c r="AM25" s="883"/>
      <c r="AN25" s="883"/>
      <c r="AO25" s="883"/>
      <c r="AP25" s="883"/>
      <c r="AQ25" s="883"/>
      <c r="AR25" s="883"/>
      <c r="AS25" s="883"/>
    </row>
    <row r="26" spans="1:45" s="152" customFormat="1" ht="12.75" customHeight="1">
      <c r="A26" s="876" t="str">
        <f t="shared" si="0"/>
        <v>3E</v>
      </c>
      <c r="B26" s="877" t="str">
        <f>'Corrected and Updated TSF 2'!FI26</f>
        <v>UNSOLD</v>
      </c>
      <c r="C26" s="1002" t="str">
        <f>'Corrected and Updated TSF 2'!E26</f>
        <v>3rd Floor</v>
      </c>
      <c r="D26" s="1003" t="str">
        <f>'Corrected and Updated TSF 2'!M26</f>
        <v>End</v>
      </c>
      <c r="E26" s="1003" t="str">
        <f>'Corrected and Updated TSF 2'!G26</f>
        <v>3E</v>
      </c>
      <c r="F26" s="1004" t="str">
        <f>'Corrected and Updated TSF 2'!I26</f>
        <v>Studio</v>
      </c>
      <c r="G26" s="1005">
        <f>'Corrected and Updated TSF 2'!J26</f>
        <v>22</v>
      </c>
      <c r="H26" s="1005">
        <f>'Corrected and Updated TSF 2'!CH26</f>
        <v>3469973.7215561746</v>
      </c>
      <c r="I26" s="1005">
        <f>SUM('Corrected and Updated TSF 2'!CJ26:CK26)</f>
        <v>477121.38671397395</v>
      </c>
      <c r="J26" s="1005">
        <f>'Corrected and Updated TSF 2'!CL26</f>
        <v>3947095.1082701487</v>
      </c>
      <c r="K26" s="1006">
        <f>'Corrected and Updated TSF 2'!CM26</f>
        <v>0.125</v>
      </c>
      <c r="L26" s="1005">
        <f>'Corrected and Updated TSF 2'!CN26</f>
        <v>493386.88853376859</v>
      </c>
      <c r="M26" s="1005">
        <f>'Corrected and Updated TSF 2'!CO26</f>
        <v>30000</v>
      </c>
      <c r="N26" s="1005">
        <f>'Corrected and Updated TSF 2'!CP26</f>
        <v>463386.88853376859</v>
      </c>
      <c r="O26" s="1007">
        <f>'Corrected and Updated TSF 2'!CQ26</f>
        <v>13</v>
      </c>
      <c r="P26" s="1005">
        <f>'Corrected and Updated TSF 2'!CR26</f>
        <v>35645.145271828354</v>
      </c>
      <c r="Q26" s="1005">
        <f>'Corrected and Updated TSF 2'!CT26</f>
        <v>3453708.21973638</v>
      </c>
      <c r="R26" s="1005">
        <f>'Corrected and Updated TSF 2'!CU26</f>
        <v>26776.563066997736</v>
      </c>
      <c r="S26" s="1005">
        <f>'Corrected and Updated TSF 2'!CV26</f>
        <v>31042.905871744646</v>
      </c>
      <c r="T26" s="882">
        <f>'Corrected and Updated TSF 2'!CW26</f>
        <v>40100.480905845259</v>
      </c>
      <c r="U26" s="882">
        <f>'Corrected and Updated TSF 2'!CX26</f>
        <v>68387.562159437191</v>
      </c>
      <c r="V26" s="1167">
        <f>'Corrected and Updated TSF 2'!CY26</f>
        <v>280555.69635010132</v>
      </c>
      <c r="W26" s="1167">
        <f>'Corrected and Updated TSF 2'!CZ26</f>
        <v>111014.52238047376</v>
      </c>
      <c r="X26" s="1233">
        <f>'Corrected and Updated TSF 2'!DA26</f>
        <v>80184.217195132107</v>
      </c>
      <c r="Y26" s="1233">
        <f>'Corrected and Updated TSF 2'!DB26</f>
        <v>61023.880776197613</v>
      </c>
      <c r="Z26" s="885">
        <f>H26-'Corrected and Updated TSF 2'!CH26</f>
        <v>0</v>
      </c>
      <c r="AA26" s="885">
        <f>I26-SUM('Corrected and Updated TSF 2'!CJ26:CK26)</f>
        <v>0</v>
      </c>
      <c r="AB26" s="885">
        <f>J26-'Corrected and Updated TSF 2'!CL26</f>
        <v>0</v>
      </c>
      <c r="AC26" s="886">
        <f>K26-'Corrected and Updated TSF 2'!CM26</f>
        <v>0</v>
      </c>
      <c r="AD26" s="885">
        <f>M26-'Corrected and Updated TSF 2'!CO26</f>
        <v>0</v>
      </c>
      <c r="AE26" s="887">
        <f>P26-'Corrected and Updated TSF 2'!CR26</f>
        <v>0</v>
      </c>
      <c r="AF26" s="885">
        <f>Q26-'Corrected and Updated TSF 2'!CT26</f>
        <v>0</v>
      </c>
      <c r="AG26" s="888"/>
      <c r="AH26" s="888"/>
      <c r="AI26" s="885">
        <f>S26-'INTERNAL PRICELIST'!AA26</f>
        <v>10315.320245173494</v>
      </c>
      <c r="AJ26" s="885">
        <f>T26-'INTERNAL PRICELIST'!AB26</f>
        <v>13325.083142989093</v>
      </c>
      <c r="AK26" s="885">
        <f>U26-'INTERNAL PRICELIST'!AC26</f>
        <v>22724.663922621527</v>
      </c>
      <c r="AL26" s="883"/>
      <c r="AM26" s="883"/>
      <c r="AN26" s="883"/>
      <c r="AO26" s="883"/>
      <c r="AP26" s="883"/>
      <c r="AQ26" s="883"/>
      <c r="AR26" s="883"/>
      <c r="AS26" s="883"/>
    </row>
    <row r="27" spans="1:45" s="152" customFormat="1" hidden="1">
      <c r="A27" s="876" t="str">
        <f t="shared" si="0"/>
        <v>3F</v>
      </c>
      <c r="B27" s="877" t="str">
        <f>'Corrected and Updated TSF 2'!FI27</f>
        <v>SOLD</v>
      </c>
      <c r="C27" s="1002" t="str">
        <f>'Corrected and Updated TSF 2'!E27</f>
        <v>3rd Floor</v>
      </c>
      <c r="D27" s="1003" t="str">
        <f>'Corrected and Updated TSF 2'!M27</f>
        <v>End</v>
      </c>
      <c r="E27" s="1003" t="str">
        <f>'Corrected and Updated TSF 2'!G27</f>
        <v>3F</v>
      </c>
      <c r="F27" s="1004" t="str">
        <f>'Corrected and Updated TSF 2'!I27</f>
        <v>Studio</v>
      </c>
      <c r="G27" s="1005">
        <f>'Corrected and Updated TSF 2'!J27</f>
        <v>22</v>
      </c>
      <c r="H27" s="1005">
        <f>'Corrected and Updated TSF 2'!CH27</f>
        <v>3376327.2357885418</v>
      </c>
      <c r="I27" s="1005">
        <f>SUM('Corrected and Updated TSF 2'!CJ27:CK27)</f>
        <v>464244.99492092454</v>
      </c>
      <c r="J27" s="1005">
        <f>'Corrected and Updated TSF 2'!CL27</f>
        <v>3840572.2307094666</v>
      </c>
      <c r="K27" s="1006">
        <f>'Corrected and Updated TSF 2'!CM27</f>
        <v>0.125</v>
      </c>
      <c r="L27" s="1005">
        <f>'Corrected and Updated TSF 2'!CN27</f>
        <v>480071.52883868333</v>
      </c>
      <c r="M27" s="1005">
        <f>'Corrected and Updated TSF 2'!CO27</f>
        <v>30000</v>
      </c>
      <c r="N27" s="1005">
        <f>'Corrected and Updated TSF 2'!CP27</f>
        <v>450071.52883868333</v>
      </c>
      <c r="O27" s="1007">
        <f>'Corrected and Updated TSF 2'!CQ27</f>
        <v>13</v>
      </c>
      <c r="P27" s="1005">
        <f>'Corrected and Updated TSF 2'!CR27</f>
        <v>34620.886833744873</v>
      </c>
      <c r="Q27" s="1005">
        <f>'Corrected and Updated TSF 2'!CT27</f>
        <v>3360500.7018707832</v>
      </c>
      <c r="R27" s="1005">
        <f>'Corrected and Updated TSF 2'!CU27</f>
        <v>26053.926173068994</v>
      </c>
      <c r="S27" s="1005">
        <f>'Corrected and Updated TSF 2'!CV27</f>
        <v>30205.130350608837</v>
      </c>
      <c r="T27" s="882">
        <f>'Corrected and Updated TSF 2'!CW27</f>
        <v>39018.262590733539</v>
      </c>
      <c r="U27" s="882">
        <f>'Corrected and Updated TSF 2'!CX27</f>
        <v>66541.941592727337</v>
      </c>
      <c r="V27" s="1167">
        <f>'Corrected and Updated TSF 2'!CY27</f>
        <v>272984.15341245179</v>
      </c>
      <c r="W27" s="1167">
        <f>'Corrected and Updated TSF 2'!CZ27</f>
        <v>108018.49972314907</v>
      </c>
      <c r="X27" s="1233">
        <f>'Corrected and Updated TSF 2'!DA27</f>
        <v>78020.232462998407</v>
      </c>
      <c r="Y27" s="1233">
        <f>'Corrected and Updated TSF 2'!DB27</f>
        <v>59376.988770332202</v>
      </c>
      <c r="Z27" s="885">
        <f>H27-'Corrected and Updated TSF 2'!CH27</f>
        <v>0</v>
      </c>
      <c r="AA27" s="885">
        <f>I27-SUM('Corrected and Updated TSF 2'!CJ27:CK27)</f>
        <v>0</v>
      </c>
      <c r="AB27" s="885">
        <f>J27-'Corrected and Updated TSF 2'!CL27</f>
        <v>0</v>
      </c>
      <c r="AC27" s="886">
        <f>K27-'Corrected and Updated TSF 2'!CM27</f>
        <v>0</v>
      </c>
      <c r="AD27" s="885">
        <f>M27-'Corrected and Updated TSF 2'!CO27</f>
        <v>0</v>
      </c>
      <c r="AE27" s="887">
        <f>P27-'Corrected and Updated TSF 2'!CR27</f>
        <v>0</v>
      </c>
      <c r="AF27" s="885">
        <f>Q27-'Corrected and Updated TSF 2'!CT27</f>
        <v>0</v>
      </c>
      <c r="AG27" s="888"/>
      <c r="AH27" s="888"/>
      <c r="AI27" s="885">
        <f>S27-'INTERNAL PRICELIST'!AA27</f>
        <v>9477.5447240376852</v>
      </c>
      <c r="AJ27" s="885">
        <f>T27-'INTERNAL PRICELIST'!AB27</f>
        <v>12242.864827877373</v>
      </c>
      <c r="AK27" s="885">
        <f>U27-'INTERNAL PRICELIST'!AC27</f>
        <v>20879.043355911672</v>
      </c>
      <c r="AL27" s="883"/>
      <c r="AM27" s="883"/>
      <c r="AN27" s="883"/>
      <c r="AO27" s="883"/>
      <c r="AP27" s="883"/>
      <c r="AQ27" s="883"/>
      <c r="AR27" s="883"/>
      <c r="AS27" s="883"/>
    </row>
    <row r="28" spans="1:45" s="152" customFormat="1" hidden="1">
      <c r="A28" s="876" t="str">
        <f t="shared" si="0"/>
        <v>3G</v>
      </c>
      <c r="B28" s="877" t="str">
        <f>'Corrected and Updated TSF 2'!FI28</f>
        <v>SOLD</v>
      </c>
      <c r="C28" s="878" t="str">
        <f>'Corrected and Updated TSF 2'!E28</f>
        <v>3rd Floor</v>
      </c>
      <c r="D28" s="763" t="str">
        <f>'Corrected and Updated TSF 2'!M28</f>
        <v>Corner</v>
      </c>
      <c r="E28" s="763" t="str">
        <f>'Corrected and Updated TSF 2'!G28</f>
        <v>3G</v>
      </c>
      <c r="F28" s="747" t="str">
        <f>'Corrected and Updated TSF 2'!I28</f>
        <v>Studio</v>
      </c>
      <c r="G28" s="879">
        <f>'Corrected and Updated TSF 2'!J28</f>
        <v>22</v>
      </c>
      <c r="H28" s="879">
        <f>'Corrected and Updated TSF 2'!CH28</f>
        <v>3421261.2489011637</v>
      </c>
      <c r="I28" s="879">
        <f>SUM('Corrected and Updated TSF 2'!CJ28:CK28)</f>
        <v>470423.42172390997</v>
      </c>
      <c r="J28" s="879">
        <f>'Corrected and Updated TSF 2'!CL28</f>
        <v>3891684.6706250738</v>
      </c>
      <c r="K28" s="880">
        <f>'Corrected and Updated TSF 2'!CM28</f>
        <v>0.125</v>
      </c>
      <c r="L28" s="879">
        <f>'Corrected and Updated TSF 2'!CN28</f>
        <v>486460.58382813423</v>
      </c>
      <c r="M28" s="879">
        <f>'Corrected and Updated TSF 2'!CO28</f>
        <v>30000</v>
      </c>
      <c r="N28" s="879">
        <f>'Corrected and Updated TSF 2'!CP28</f>
        <v>456460.58382813423</v>
      </c>
      <c r="O28" s="881">
        <f>'Corrected and Updated TSF 2'!CQ28</f>
        <v>13</v>
      </c>
      <c r="P28" s="879">
        <f>'Corrected and Updated TSF 2'!CR28</f>
        <v>35112.352602164174</v>
      </c>
      <c r="Q28" s="879">
        <f>'Corrected and Updated TSF 2'!CT28</f>
        <v>3405224.0867969394</v>
      </c>
      <c r="R28" s="879">
        <f>'Corrected and Updated TSF 2'!CU28</f>
        <v>26400.666100374212</v>
      </c>
      <c r="S28" s="879">
        <f>'Corrected and Updated TSF 2'!CV28</f>
        <v>30607.116778007276</v>
      </c>
      <c r="T28" s="882">
        <f>'Corrected and Updated TSF 2'!CW28</f>
        <v>39537.539011662055</v>
      </c>
      <c r="U28" s="882">
        <f>'Corrected and Updated TSF 2'!CX28</f>
        <v>67427.518217046629</v>
      </c>
      <c r="V28" s="1167">
        <f>'Corrected and Updated TSF 2'!CY28</f>
        <v>276617.17612392135</v>
      </c>
      <c r="W28" s="1167">
        <f>'Corrected and Updated TSF 2'!CZ28</f>
        <v>109456.06911260787</v>
      </c>
      <c r="X28" s="1233">
        <f>'Corrected and Updated TSF 2'!DA28</f>
        <v>79058.568472429484</v>
      </c>
      <c r="Y28" s="1233">
        <f>'Corrected and Updated TSF 2'!DB28</f>
        <v>60167.210276030237</v>
      </c>
      <c r="Z28" s="885">
        <f>H28-'Corrected and Updated TSF 2'!CH28</f>
        <v>0</v>
      </c>
      <c r="AA28" s="885">
        <f>I28-SUM('Corrected and Updated TSF 2'!CJ28:CK28)</f>
        <v>0</v>
      </c>
      <c r="AB28" s="885">
        <f>J28-'Corrected and Updated TSF 2'!CL28</f>
        <v>0</v>
      </c>
      <c r="AC28" s="886">
        <f>K28-'Corrected and Updated TSF 2'!CM28</f>
        <v>0</v>
      </c>
      <c r="AD28" s="885">
        <f>M28-'Corrected and Updated TSF 2'!CO28</f>
        <v>0</v>
      </c>
      <c r="AE28" s="887">
        <f>P28-'Corrected and Updated TSF 2'!CR28</f>
        <v>0</v>
      </c>
      <c r="AF28" s="885">
        <f>Q28-'Corrected and Updated TSF 2'!CT28</f>
        <v>0</v>
      </c>
      <c r="AG28" s="888"/>
      <c r="AH28" s="888"/>
      <c r="AI28" s="885">
        <f>S28-'INTERNAL PRICELIST'!AA28</f>
        <v>9879.5311514361238</v>
      </c>
      <c r="AJ28" s="885">
        <f>T28-'INTERNAL PRICELIST'!AB28</f>
        <v>12762.141248805889</v>
      </c>
      <c r="AK28" s="885">
        <f>U28-'INTERNAL PRICELIST'!AC28</f>
        <v>21764.619980230964</v>
      </c>
    </row>
    <row r="29" spans="1:45" s="152" customFormat="1" ht="12.75" hidden="1" customHeight="1">
      <c r="A29" s="876" t="str">
        <f t="shared" si="0"/>
        <v>3H</v>
      </c>
      <c r="B29" s="877" t="str">
        <f>'Corrected and Updated TSF 2'!FI29</f>
        <v>SOLD</v>
      </c>
      <c r="C29" s="878" t="str">
        <f>'Corrected and Updated TSF 2'!E29</f>
        <v>3rd Floor</v>
      </c>
      <c r="D29" s="763" t="str">
        <f>'Corrected and Updated TSF 2'!M29</f>
        <v>Corner</v>
      </c>
      <c r="E29" s="763" t="str">
        <f>'Corrected and Updated TSF 2'!G29</f>
        <v>3H</v>
      </c>
      <c r="F29" s="747" t="str">
        <f>'Corrected and Updated TSF 2'!I29</f>
        <v>Studio</v>
      </c>
      <c r="G29" s="879">
        <f>'Corrected and Updated TSF 2'!J29</f>
        <v>22</v>
      </c>
      <c r="H29" s="879">
        <f>'Corrected and Updated TSF 2'!CH29</f>
        <v>3421261.2489011637</v>
      </c>
      <c r="I29" s="879">
        <f>SUM('Corrected and Updated TSF 2'!CJ29:CK29)</f>
        <v>470423.42172390997</v>
      </c>
      <c r="J29" s="879">
        <f>'Corrected and Updated TSF 2'!CL29</f>
        <v>3891684.6706250738</v>
      </c>
      <c r="K29" s="880">
        <f>'Corrected and Updated TSF 2'!CM29</f>
        <v>0.125</v>
      </c>
      <c r="L29" s="879">
        <f>'Corrected and Updated TSF 2'!CN29</f>
        <v>486460.58382813423</v>
      </c>
      <c r="M29" s="879">
        <f>'Corrected and Updated TSF 2'!CO29</f>
        <v>30000</v>
      </c>
      <c r="N29" s="879">
        <f>'Corrected and Updated TSF 2'!CP29</f>
        <v>456460.58382813423</v>
      </c>
      <c r="O29" s="881">
        <f>'Corrected and Updated TSF 2'!CQ29</f>
        <v>13</v>
      </c>
      <c r="P29" s="879">
        <f>'Corrected and Updated TSF 2'!CR29</f>
        <v>35112.352602164174</v>
      </c>
      <c r="Q29" s="879">
        <f>'Corrected and Updated TSF 2'!CT29</f>
        <v>3405224.0867969394</v>
      </c>
      <c r="R29" s="879">
        <f>'Corrected and Updated TSF 2'!CU29</f>
        <v>26400.666100374212</v>
      </c>
      <c r="S29" s="879">
        <f>'Corrected and Updated TSF 2'!CV29</f>
        <v>30607.116778007276</v>
      </c>
      <c r="T29" s="882">
        <f>'Corrected and Updated TSF 2'!CW29</f>
        <v>39537.539011662055</v>
      </c>
      <c r="U29" s="882">
        <f>'Corrected and Updated TSF 2'!CX29</f>
        <v>67427.518217046629</v>
      </c>
      <c r="V29" s="1167">
        <f>'Corrected and Updated TSF 2'!CY29</f>
        <v>276617.17612392135</v>
      </c>
      <c r="W29" s="1167">
        <f>'Corrected and Updated TSF 2'!CZ29</f>
        <v>109456.06911260787</v>
      </c>
      <c r="X29" s="1233">
        <f>'Corrected and Updated TSF 2'!DA29</f>
        <v>79058.568472429484</v>
      </c>
      <c r="Y29" s="1233">
        <f>'Corrected and Updated TSF 2'!DB29</f>
        <v>60167.210276030237</v>
      </c>
      <c r="Z29" s="885">
        <f>H29-'Corrected and Updated TSF 2'!CH29</f>
        <v>0</v>
      </c>
      <c r="AA29" s="885">
        <f>I29-SUM('Corrected and Updated TSF 2'!CJ29:CK29)</f>
        <v>0</v>
      </c>
      <c r="AB29" s="885">
        <f>J29-'Corrected and Updated TSF 2'!CL29</f>
        <v>0</v>
      </c>
      <c r="AC29" s="886">
        <f>K29-'Corrected and Updated TSF 2'!CM29</f>
        <v>0</v>
      </c>
      <c r="AD29" s="885">
        <f>M29-'Corrected and Updated TSF 2'!CO29</f>
        <v>0</v>
      </c>
      <c r="AE29" s="887">
        <f>P29-'Corrected and Updated TSF 2'!CR29</f>
        <v>0</v>
      </c>
      <c r="AF29" s="885">
        <f>Q29-'Corrected and Updated TSF 2'!CT29</f>
        <v>0</v>
      </c>
      <c r="AG29" s="888"/>
      <c r="AH29" s="888"/>
      <c r="AI29" s="885">
        <f>S29-'INTERNAL PRICELIST'!AA29</f>
        <v>9879.5311514361238</v>
      </c>
      <c r="AJ29" s="885">
        <f>T29-'INTERNAL PRICELIST'!AB29</f>
        <v>12762.141248805889</v>
      </c>
      <c r="AK29" s="885">
        <f>U29-'INTERNAL PRICELIST'!AC29</f>
        <v>21764.619980230964</v>
      </c>
    </row>
    <row r="30" spans="1:45" s="152" customFormat="1" ht="12.75" hidden="1" customHeight="1">
      <c r="A30" s="876" t="str">
        <f t="shared" si="0"/>
        <v>3I</v>
      </c>
      <c r="B30" s="877" t="str">
        <f>'Corrected and Updated TSF 2'!FI30</f>
        <v>SOLD</v>
      </c>
      <c r="C30" s="878" t="str">
        <f>'Corrected and Updated TSF 2'!E30</f>
        <v>3rd Floor</v>
      </c>
      <c r="D30" s="763" t="str">
        <f>'Corrected and Updated TSF 2'!M30</f>
        <v>Inner</v>
      </c>
      <c r="E30" s="763" t="str">
        <f>'Corrected and Updated TSF 2'!G30</f>
        <v>3I</v>
      </c>
      <c r="F30" s="747" t="str">
        <f>'Corrected and Updated TSF 2'!I30</f>
        <v>Studio</v>
      </c>
      <c r="G30" s="879">
        <f>'Corrected and Updated TSF 2'!J30</f>
        <v>22</v>
      </c>
      <c r="H30" s="879">
        <f>'Corrected and Updated TSF 2'!CH30</f>
        <v>3346371.2270467947</v>
      </c>
      <c r="I30" s="879">
        <f>SUM('Corrected and Updated TSF 2'!CJ30:CK30)</f>
        <v>460126.04371893429</v>
      </c>
      <c r="J30" s="879">
        <f>'Corrected and Updated TSF 2'!CL30</f>
        <v>3806497.2707657288</v>
      </c>
      <c r="K30" s="880">
        <f>'Corrected and Updated TSF 2'!CM30</f>
        <v>0.125</v>
      </c>
      <c r="L30" s="879">
        <f>'Corrected and Updated TSF 2'!CN30</f>
        <v>475812.1588457161</v>
      </c>
      <c r="M30" s="879">
        <f>'Corrected and Updated TSF 2'!CO30</f>
        <v>30000</v>
      </c>
      <c r="N30" s="879">
        <f>'Corrected and Updated TSF 2'!CP30</f>
        <v>445812.1588457161</v>
      </c>
      <c r="O30" s="881">
        <f>'Corrected and Updated TSF 2'!CQ30</f>
        <v>13</v>
      </c>
      <c r="P30" s="879">
        <f>'Corrected and Updated TSF 2'!CR30</f>
        <v>34293.242988132006</v>
      </c>
      <c r="Q30" s="879">
        <f>'Corrected and Updated TSF 2'!CT30</f>
        <v>3330685.1119200126</v>
      </c>
      <c r="R30" s="879">
        <f>'Corrected and Updated TSF 2'!CU30</f>
        <v>25822.76622153218</v>
      </c>
      <c r="S30" s="879">
        <f>'Corrected and Updated TSF 2'!CV30</f>
        <v>29937.139399009873</v>
      </c>
      <c r="T30" s="882">
        <f>'Corrected and Updated TSF 2'!CW30</f>
        <v>38672.078310114535</v>
      </c>
      <c r="U30" s="882">
        <f>'Corrected and Updated TSF 2'!CX30</f>
        <v>65951.557176514485</v>
      </c>
      <c r="V30" s="1167">
        <f>'Corrected and Updated TSF 2'!CY30</f>
        <v>270562.13827147207</v>
      </c>
      <c r="W30" s="1167">
        <f>'Corrected and Updated TSF 2'!CZ30</f>
        <v>107060.12013017652</v>
      </c>
      <c r="X30" s="1233">
        <f>'Corrected and Updated TSF 2'!DA30</f>
        <v>77328.008456711017</v>
      </c>
      <c r="Y30" s="1233">
        <f>'Corrected and Updated TSF 2'!DB30</f>
        <v>58850.174433200184</v>
      </c>
      <c r="Z30" s="885">
        <f>H30-'Corrected and Updated TSF 2'!CH30</f>
        <v>0</v>
      </c>
      <c r="AA30" s="885">
        <f>I30-SUM('Corrected and Updated TSF 2'!CJ30:CK30)</f>
        <v>0</v>
      </c>
      <c r="AB30" s="885">
        <f>J30-'Corrected and Updated TSF 2'!CL30</f>
        <v>0</v>
      </c>
      <c r="AC30" s="886">
        <f>K30-'Corrected and Updated TSF 2'!CM30</f>
        <v>0</v>
      </c>
      <c r="AD30" s="885">
        <f>M30-'Corrected and Updated TSF 2'!CO30</f>
        <v>0</v>
      </c>
      <c r="AE30" s="887">
        <f>P30-'Corrected and Updated TSF 2'!CR30</f>
        <v>0</v>
      </c>
      <c r="AF30" s="885">
        <f>Q30-'Corrected and Updated TSF 2'!CT30</f>
        <v>0</v>
      </c>
      <c r="AG30" s="888"/>
      <c r="AH30" s="888"/>
      <c r="AI30" s="885">
        <f>S30-'INTERNAL PRICELIST'!AA30</f>
        <v>9209.5537724387214</v>
      </c>
      <c r="AJ30" s="885">
        <f>T30-'INTERNAL PRICELIST'!AB30</f>
        <v>11896.680547258369</v>
      </c>
      <c r="AK30" s="885">
        <f>U30-'INTERNAL PRICELIST'!AC30</f>
        <v>20288.65893969882</v>
      </c>
    </row>
    <row r="31" spans="1:45" s="152" customFormat="1" ht="12.75" hidden="1" customHeight="1">
      <c r="A31" s="876" t="str">
        <f t="shared" si="0"/>
        <v>3J</v>
      </c>
      <c r="B31" s="877" t="str">
        <f>'Corrected and Updated TSF 2'!FI31</f>
        <v>SOLD</v>
      </c>
      <c r="C31" s="878" t="str">
        <f>'Corrected and Updated TSF 2'!E31</f>
        <v>3rd Floor</v>
      </c>
      <c r="D31" s="763" t="str">
        <f>'Corrected and Updated TSF 2'!M31</f>
        <v>Inner</v>
      </c>
      <c r="E31" s="763" t="str">
        <f>'Corrected and Updated TSF 2'!G31</f>
        <v>3J</v>
      </c>
      <c r="F31" s="747" t="str">
        <f>'Corrected and Updated TSF 2'!I31</f>
        <v>Studio</v>
      </c>
      <c r="G31" s="879">
        <f>'Corrected and Updated TSF 2'!J31</f>
        <v>22</v>
      </c>
      <c r="H31" s="879">
        <f>'Corrected and Updated TSF 2'!CH31</f>
        <v>3346371.2270467947</v>
      </c>
      <c r="I31" s="879">
        <f>SUM('Corrected and Updated TSF 2'!CJ31:CK31)</f>
        <v>460126.04371893429</v>
      </c>
      <c r="J31" s="879">
        <f>'Corrected and Updated TSF 2'!CL31</f>
        <v>3806497.2707657288</v>
      </c>
      <c r="K31" s="880">
        <f>'Corrected and Updated TSF 2'!CM31</f>
        <v>0.125</v>
      </c>
      <c r="L31" s="879">
        <f>'Corrected and Updated TSF 2'!CN31</f>
        <v>475812.1588457161</v>
      </c>
      <c r="M31" s="879">
        <f>'Corrected and Updated TSF 2'!CO31</f>
        <v>30000</v>
      </c>
      <c r="N31" s="879">
        <f>'Corrected and Updated TSF 2'!CP31</f>
        <v>445812.1588457161</v>
      </c>
      <c r="O31" s="881">
        <f>'Corrected and Updated TSF 2'!CQ31</f>
        <v>13</v>
      </c>
      <c r="P31" s="879">
        <f>'Corrected and Updated TSF 2'!CR31</f>
        <v>34293.242988132006</v>
      </c>
      <c r="Q31" s="879">
        <f>'Corrected and Updated TSF 2'!CT31</f>
        <v>3330685.1119200126</v>
      </c>
      <c r="R31" s="879">
        <f>'Corrected and Updated TSF 2'!CU31</f>
        <v>25822.76622153218</v>
      </c>
      <c r="S31" s="879">
        <f>'Corrected and Updated TSF 2'!CV31</f>
        <v>29937.139399009873</v>
      </c>
      <c r="T31" s="882">
        <f>'Corrected and Updated TSF 2'!CW31</f>
        <v>38672.078310114535</v>
      </c>
      <c r="U31" s="882">
        <f>'Corrected and Updated TSF 2'!CX31</f>
        <v>65951.557176514485</v>
      </c>
      <c r="V31" s="1167">
        <f>'Corrected and Updated TSF 2'!CY31</f>
        <v>270562.13827147207</v>
      </c>
      <c r="W31" s="1167">
        <f>'Corrected and Updated TSF 2'!CZ31</f>
        <v>107060.12013017652</v>
      </c>
      <c r="X31" s="1233">
        <f>'Corrected and Updated TSF 2'!DA31</f>
        <v>77328.008456711017</v>
      </c>
      <c r="Y31" s="1233">
        <f>'Corrected and Updated TSF 2'!DB31</f>
        <v>58850.174433200184</v>
      </c>
      <c r="Z31" s="885">
        <f>H31-'Corrected and Updated TSF 2'!CH31</f>
        <v>0</v>
      </c>
      <c r="AA31" s="885">
        <f>I31-SUM('Corrected and Updated TSF 2'!CJ31:CK31)</f>
        <v>0</v>
      </c>
      <c r="AB31" s="885">
        <f>J31-'Corrected and Updated TSF 2'!CL31</f>
        <v>0</v>
      </c>
      <c r="AC31" s="886">
        <f>K31-'Corrected and Updated TSF 2'!CM31</f>
        <v>0</v>
      </c>
      <c r="AD31" s="885">
        <f>M31-'Corrected and Updated TSF 2'!CO31</f>
        <v>0</v>
      </c>
      <c r="AE31" s="887">
        <f>P31-'Corrected and Updated TSF 2'!CR31</f>
        <v>0</v>
      </c>
      <c r="AF31" s="885">
        <f>Q31-'Corrected and Updated TSF 2'!CT31</f>
        <v>0</v>
      </c>
      <c r="AG31" s="888"/>
      <c r="AH31" s="888"/>
      <c r="AI31" s="885">
        <f>S31-'INTERNAL PRICELIST'!AA31</f>
        <v>9192.1574006870069</v>
      </c>
      <c r="AJ31" s="885">
        <f>T31-'INTERNAL PRICELIST'!AB31</f>
        <v>11874.208331648006</v>
      </c>
      <c r="AK31" s="885">
        <f>U31-'INTERNAL PRICELIST'!AC31</f>
        <v>20250.334709983908</v>
      </c>
    </row>
    <row r="32" spans="1:45" s="152" customFormat="1" ht="12.75" hidden="1" customHeight="1">
      <c r="A32" s="876" t="str">
        <f t="shared" si="0"/>
        <v>3K</v>
      </c>
      <c r="B32" s="877" t="str">
        <f>'Corrected and Updated TSF 2'!FI32</f>
        <v>SOLD</v>
      </c>
      <c r="C32" s="878" t="str">
        <f>'Corrected and Updated TSF 2'!E32</f>
        <v>3rd Floor</v>
      </c>
      <c r="D32" s="763" t="str">
        <f>'Corrected and Updated TSF 2'!M32</f>
        <v>Inner</v>
      </c>
      <c r="E32" s="763" t="str">
        <f>'Corrected and Updated TSF 2'!G32</f>
        <v>3K</v>
      </c>
      <c r="F32" s="747" t="str">
        <f>'Corrected and Updated TSF 2'!I32</f>
        <v>Studio</v>
      </c>
      <c r="G32" s="879">
        <f>'Corrected and Updated TSF 2'!J32</f>
        <v>22</v>
      </c>
      <c r="H32" s="879">
        <f>'Corrected and Updated TSF 2'!CH32</f>
        <v>3346371.2270467947</v>
      </c>
      <c r="I32" s="879">
        <f>SUM('Corrected and Updated TSF 2'!CJ32:CK32)</f>
        <v>460126.04371893429</v>
      </c>
      <c r="J32" s="879">
        <f>'Corrected and Updated TSF 2'!CL32</f>
        <v>3806497.2707657288</v>
      </c>
      <c r="K32" s="880">
        <f>'Corrected and Updated TSF 2'!CM32</f>
        <v>0.125</v>
      </c>
      <c r="L32" s="879">
        <f>'Corrected and Updated TSF 2'!CN32</f>
        <v>475812.1588457161</v>
      </c>
      <c r="M32" s="879">
        <f>'Corrected and Updated TSF 2'!CO32</f>
        <v>30000</v>
      </c>
      <c r="N32" s="879">
        <f>'Corrected and Updated TSF 2'!CP32</f>
        <v>445812.1588457161</v>
      </c>
      <c r="O32" s="881">
        <f>'Corrected and Updated TSF 2'!CQ32</f>
        <v>13</v>
      </c>
      <c r="P32" s="879">
        <f>'Corrected and Updated TSF 2'!CR32</f>
        <v>34293.242988132006</v>
      </c>
      <c r="Q32" s="879">
        <f>'Corrected and Updated TSF 2'!CT32</f>
        <v>3330685.1119200126</v>
      </c>
      <c r="R32" s="879">
        <f>'Corrected and Updated TSF 2'!CU32</f>
        <v>25822.76622153218</v>
      </c>
      <c r="S32" s="879">
        <f>'Corrected and Updated TSF 2'!CV32</f>
        <v>29937.139399009873</v>
      </c>
      <c r="T32" s="882">
        <f>'Corrected and Updated TSF 2'!CW32</f>
        <v>38672.078310114535</v>
      </c>
      <c r="U32" s="882">
        <f>'Corrected and Updated TSF 2'!CX32</f>
        <v>65951.557176514485</v>
      </c>
      <c r="V32" s="1167">
        <f>'Corrected and Updated TSF 2'!CY32</f>
        <v>270562.13827147207</v>
      </c>
      <c r="W32" s="1167">
        <f>'Corrected and Updated TSF 2'!CZ32</f>
        <v>107060.12013017652</v>
      </c>
      <c r="X32" s="1233">
        <f>'Corrected and Updated TSF 2'!DA32</f>
        <v>77328.008456711017</v>
      </c>
      <c r="Y32" s="1233">
        <f>'Corrected and Updated TSF 2'!DB32</f>
        <v>58850.174433200184</v>
      </c>
      <c r="Z32" s="885">
        <f>H32-'Corrected and Updated TSF 2'!CH32</f>
        <v>0</v>
      </c>
      <c r="AA32" s="885">
        <f>I32-SUM('Corrected and Updated TSF 2'!CJ32:CK32)</f>
        <v>0</v>
      </c>
      <c r="AB32" s="885">
        <f>J32-'Corrected and Updated TSF 2'!CL32</f>
        <v>0</v>
      </c>
      <c r="AC32" s="886">
        <f>K32-'Corrected and Updated TSF 2'!CM32</f>
        <v>0</v>
      </c>
      <c r="AD32" s="885">
        <f>M32-'Corrected and Updated TSF 2'!CO32</f>
        <v>0</v>
      </c>
      <c r="AE32" s="887">
        <f>P32-'Corrected and Updated TSF 2'!CR32</f>
        <v>0</v>
      </c>
      <c r="AF32" s="885">
        <f>Q32-'Corrected and Updated TSF 2'!CT32</f>
        <v>0</v>
      </c>
      <c r="AG32" s="888"/>
      <c r="AH32" s="888"/>
      <c r="AI32" s="885">
        <f>S32-'INTERNAL PRICELIST'!AA32</f>
        <v>9209.5537724387214</v>
      </c>
      <c r="AJ32" s="885">
        <f>T32-'INTERNAL PRICELIST'!AB32</f>
        <v>11896.680547258369</v>
      </c>
      <c r="AK32" s="885">
        <f>U32-'INTERNAL PRICELIST'!AC32</f>
        <v>20288.65893969882</v>
      </c>
    </row>
    <row r="33" spans="1:45" s="152" customFormat="1" ht="12.75" hidden="1" customHeight="1">
      <c r="A33" s="876" t="str">
        <f t="shared" si="0"/>
        <v>3L</v>
      </c>
      <c r="B33" s="877" t="str">
        <f>'Corrected and Updated TSF 2'!FI33</f>
        <v>SOLD</v>
      </c>
      <c r="C33" s="1002" t="str">
        <f>'Corrected and Updated TSF 2'!E33</f>
        <v>3rd Floor</v>
      </c>
      <c r="D33" s="1003" t="str">
        <f>'Corrected and Updated TSF 2'!M33</f>
        <v>Inner</v>
      </c>
      <c r="E33" s="1003" t="str">
        <f>'Corrected and Updated TSF 2'!G33</f>
        <v>3L</v>
      </c>
      <c r="F33" s="1004" t="str">
        <f>'Corrected and Updated TSF 2'!I33</f>
        <v>Studio</v>
      </c>
      <c r="G33" s="1005">
        <f>'Corrected and Updated TSF 2'!J33</f>
        <v>22</v>
      </c>
      <c r="H33" s="1005">
        <f>'Corrected and Updated TSF 2'!CH33</f>
        <v>3346371.2270467947</v>
      </c>
      <c r="I33" s="1005">
        <f>SUM('Corrected and Updated TSF 2'!CJ33:CK33)</f>
        <v>460126.04371893429</v>
      </c>
      <c r="J33" s="1005">
        <f>'Corrected and Updated TSF 2'!CL33</f>
        <v>3806497.2707657288</v>
      </c>
      <c r="K33" s="1006">
        <f>'Corrected and Updated TSF 2'!CM33</f>
        <v>0.125</v>
      </c>
      <c r="L33" s="1005">
        <f>'Corrected and Updated TSF 2'!CN33</f>
        <v>475812.1588457161</v>
      </c>
      <c r="M33" s="1005">
        <f>'Corrected and Updated TSF 2'!CO33</f>
        <v>30000</v>
      </c>
      <c r="N33" s="1005">
        <f>'Corrected and Updated TSF 2'!CP33</f>
        <v>445812.1588457161</v>
      </c>
      <c r="O33" s="1007">
        <f>'Corrected and Updated TSF 2'!CQ33</f>
        <v>13</v>
      </c>
      <c r="P33" s="1005">
        <f>'Corrected and Updated TSF 2'!CR33</f>
        <v>34293.242988132006</v>
      </c>
      <c r="Q33" s="1005">
        <f>'Corrected and Updated TSF 2'!CT33</f>
        <v>3330685.1119200126</v>
      </c>
      <c r="R33" s="1005">
        <f>'Corrected and Updated TSF 2'!CU33</f>
        <v>25822.76622153218</v>
      </c>
      <c r="S33" s="1005">
        <f>'Corrected and Updated TSF 2'!CV33</f>
        <v>29937.139399009873</v>
      </c>
      <c r="T33" s="882">
        <f>'Corrected and Updated TSF 2'!CW33</f>
        <v>38672.078310114535</v>
      </c>
      <c r="U33" s="882">
        <f>'Corrected and Updated TSF 2'!CX33</f>
        <v>65951.557176514485</v>
      </c>
      <c r="V33" s="1167">
        <f>'Corrected and Updated TSF 2'!CY33</f>
        <v>270562.13827147207</v>
      </c>
      <c r="W33" s="1167">
        <f>'Corrected and Updated TSF 2'!CZ33</f>
        <v>107060.12013017652</v>
      </c>
      <c r="X33" s="1233">
        <f>'Corrected and Updated TSF 2'!DA33</f>
        <v>77328.008456711017</v>
      </c>
      <c r="Y33" s="1233">
        <f>'Corrected and Updated TSF 2'!DB33</f>
        <v>58850.174433200184</v>
      </c>
      <c r="Z33" s="885">
        <f>H33-'Corrected and Updated TSF 2'!CH33</f>
        <v>0</v>
      </c>
      <c r="AA33" s="885">
        <f>I33-SUM('Corrected and Updated TSF 2'!CJ33:CK33)</f>
        <v>0</v>
      </c>
      <c r="AB33" s="885">
        <f>J33-'Corrected and Updated TSF 2'!CL33</f>
        <v>0</v>
      </c>
      <c r="AC33" s="886">
        <f>K33-'Corrected and Updated TSF 2'!CM33</f>
        <v>0</v>
      </c>
      <c r="AD33" s="885">
        <f>M33-'Corrected and Updated TSF 2'!CO33</f>
        <v>0</v>
      </c>
      <c r="AE33" s="887">
        <f>P33-'Corrected and Updated TSF 2'!CR33</f>
        <v>0</v>
      </c>
      <c r="AF33" s="885">
        <f>Q33-'Corrected and Updated TSF 2'!CT33</f>
        <v>0</v>
      </c>
      <c r="AG33" s="888"/>
      <c r="AH33" s="888"/>
      <c r="AI33" s="885">
        <f>S33-'INTERNAL PRICELIST'!AA33</f>
        <v>9209.5537724387214</v>
      </c>
      <c r="AJ33" s="885">
        <f>T33-'INTERNAL PRICELIST'!AB33</f>
        <v>11896.680547258369</v>
      </c>
      <c r="AK33" s="885">
        <f>U33-'INTERNAL PRICELIST'!AC33</f>
        <v>20288.65893969882</v>
      </c>
      <c r="AL33" s="883"/>
      <c r="AM33" s="883"/>
      <c r="AN33" s="883"/>
      <c r="AO33" s="883"/>
      <c r="AP33" s="883"/>
      <c r="AQ33" s="883"/>
      <c r="AR33" s="883"/>
      <c r="AS33" s="883"/>
    </row>
    <row r="34" spans="1:45" s="152" customFormat="1" ht="12.75" hidden="1" customHeight="1">
      <c r="A34" s="876" t="str">
        <f t="shared" si="0"/>
        <v>3M</v>
      </c>
      <c r="B34" s="877" t="str">
        <f>'Corrected and Updated TSF 2'!FI34</f>
        <v>SOLD</v>
      </c>
      <c r="C34" s="878" t="str">
        <f>'Corrected and Updated TSF 2'!E34</f>
        <v>3rd Floor</v>
      </c>
      <c r="D34" s="763" t="str">
        <f>'Corrected and Updated TSF 2'!M34</f>
        <v>Inner</v>
      </c>
      <c r="E34" s="763" t="str">
        <f>'Corrected and Updated TSF 2'!G34</f>
        <v>3M</v>
      </c>
      <c r="F34" s="747" t="str">
        <f>'Corrected and Updated TSF 2'!I34</f>
        <v>Studio</v>
      </c>
      <c r="G34" s="879">
        <f>'Corrected and Updated TSF 2'!J34</f>
        <v>22</v>
      </c>
      <c r="H34" s="879">
        <f>'Corrected and Updated TSF 2'!CH34</f>
        <v>3346371.2270467947</v>
      </c>
      <c r="I34" s="879">
        <f>SUM('Corrected and Updated TSF 2'!CJ34:CK34)</f>
        <v>460126.04371893429</v>
      </c>
      <c r="J34" s="879">
        <f>'Corrected and Updated TSF 2'!CL34</f>
        <v>3806497.2707657288</v>
      </c>
      <c r="K34" s="880">
        <f>'Corrected and Updated TSF 2'!CM34</f>
        <v>0.125</v>
      </c>
      <c r="L34" s="879">
        <f>'Corrected and Updated TSF 2'!CN34</f>
        <v>475812.1588457161</v>
      </c>
      <c r="M34" s="879">
        <f>'Corrected and Updated TSF 2'!CO34</f>
        <v>30000</v>
      </c>
      <c r="N34" s="879">
        <f>'Corrected and Updated TSF 2'!CP34</f>
        <v>445812.1588457161</v>
      </c>
      <c r="O34" s="881">
        <f>'Corrected and Updated TSF 2'!CQ34</f>
        <v>13</v>
      </c>
      <c r="P34" s="879">
        <f>'Corrected and Updated TSF 2'!CR34</f>
        <v>34293.242988132006</v>
      </c>
      <c r="Q34" s="879">
        <f>'Corrected and Updated TSF 2'!CT34</f>
        <v>3330685.1119200126</v>
      </c>
      <c r="R34" s="879">
        <f>'Corrected and Updated TSF 2'!CU34</f>
        <v>25822.76622153218</v>
      </c>
      <c r="S34" s="879">
        <f>'Corrected and Updated TSF 2'!CV34</f>
        <v>29937.139399009873</v>
      </c>
      <c r="T34" s="882">
        <f>'Corrected and Updated TSF 2'!CW34</f>
        <v>38672.078310114535</v>
      </c>
      <c r="U34" s="882">
        <f>'Corrected and Updated TSF 2'!CX34</f>
        <v>65951.557176514485</v>
      </c>
      <c r="V34" s="1167">
        <f>'Corrected and Updated TSF 2'!CY34</f>
        <v>270562.13827147207</v>
      </c>
      <c r="W34" s="1167">
        <f>'Corrected and Updated TSF 2'!CZ34</f>
        <v>107060.12013017652</v>
      </c>
      <c r="X34" s="1233">
        <f>'Corrected and Updated TSF 2'!DA34</f>
        <v>77328.008456711017</v>
      </c>
      <c r="Y34" s="1233">
        <f>'Corrected and Updated TSF 2'!DB34</f>
        <v>58850.174433200184</v>
      </c>
      <c r="Z34" s="885">
        <f>H34-'Corrected and Updated TSF 2'!CH34</f>
        <v>0</v>
      </c>
      <c r="AA34" s="885">
        <f>I34-SUM('Corrected and Updated TSF 2'!CJ34:CK34)</f>
        <v>0</v>
      </c>
      <c r="AB34" s="885">
        <f>J34-'Corrected and Updated TSF 2'!CL34</f>
        <v>0</v>
      </c>
      <c r="AC34" s="886">
        <f>K34-'Corrected and Updated TSF 2'!CM34</f>
        <v>0</v>
      </c>
      <c r="AD34" s="885">
        <f>M34-'Corrected and Updated TSF 2'!CO34</f>
        <v>0</v>
      </c>
      <c r="AE34" s="887">
        <f>P34-'Corrected and Updated TSF 2'!CR34</f>
        <v>0</v>
      </c>
      <c r="AF34" s="885">
        <f>Q34-'Corrected and Updated TSF 2'!CT34</f>
        <v>0</v>
      </c>
      <c r="AG34" s="888"/>
      <c r="AH34" s="888"/>
      <c r="AI34" s="885">
        <f>S34-'INTERNAL PRICELIST'!AA34</f>
        <v>9209.5537724387214</v>
      </c>
      <c r="AJ34" s="885">
        <f>T34-'INTERNAL PRICELIST'!AB34</f>
        <v>11896.680547258369</v>
      </c>
      <c r="AK34" s="885">
        <f>U34-'INTERNAL PRICELIST'!AC34</f>
        <v>20288.65893969882</v>
      </c>
    </row>
    <row r="35" spans="1:45" s="883" customFormat="1" ht="12.75" customHeight="1">
      <c r="A35" s="876" t="str">
        <f t="shared" si="0"/>
        <v>3N</v>
      </c>
      <c r="B35" s="877" t="str">
        <f>'Corrected and Updated TSF 2'!FI35</f>
        <v>UNSOLD</v>
      </c>
      <c r="C35" s="878" t="str">
        <f>'Corrected and Updated TSF 2'!E35</f>
        <v>3rd Floor</v>
      </c>
      <c r="D35" s="763" t="str">
        <f>'Corrected and Updated TSF 2'!M35</f>
        <v>Inner</v>
      </c>
      <c r="E35" s="763" t="str">
        <f>'Corrected and Updated TSF 2'!G35</f>
        <v>3N</v>
      </c>
      <c r="F35" s="747" t="str">
        <f>'Corrected and Updated TSF 2'!I35</f>
        <v>Studio</v>
      </c>
      <c r="G35" s="879">
        <f>'Corrected and Updated TSF 2'!J35</f>
        <v>22</v>
      </c>
      <c r="H35" s="879">
        <f>'Corrected and Updated TSF 2'!CH35</f>
        <v>3440017.7128144274</v>
      </c>
      <c r="I35" s="879">
        <f>SUM('Corrected and Updated TSF 2'!CJ35:CK35)</f>
        <v>473002.43551198376</v>
      </c>
      <c r="J35" s="879">
        <f>'Corrected and Updated TSF 2'!CL35</f>
        <v>3913020.1483264114</v>
      </c>
      <c r="K35" s="880">
        <f>'Corrected and Updated TSF 2'!CM35</f>
        <v>0.125</v>
      </c>
      <c r="L35" s="879">
        <f>'Corrected and Updated TSF 2'!CN35</f>
        <v>489127.51854080142</v>
      </c>
      <c r="M35" s="879">
        <f>'Corrected and Updated TSF 2'!CO35</f>
        <v>30000</v>
      </c>
      <c r="N35" s="879">
        <f>'Corrected and Updated TSF 2'!CP35</f>
        <v>459127.51854080142</v>
      </c>
      <c r="O35" s="881">
        <f>'Corrected and Updated TSF 2'!CQ35</f>
        <v>13</v>
      </c>
      <c r="P35" s="879">
        <f>'Corrected and Updated TSF 2'!CR35</f>
        <v>35317.501426215495</v>
      </c>
      <c r="Q35" s="879">
        <f>'Corrected and Updated TSF 2'!CT35</f>
        <v>3423892.6297856099</v>
      </c>
      <c r="R35" s="879">
        <f>'Corrected and Updated TSF 2'!CU35</f>
        <v>26545.403115460929</v>
      </c>
      <c r="S35" s="879">
        <f>'Corrected and Updated TSF 2'!CV35</f>
        <v>30774.914920145686</v>
      </c>
      <c r="T35" s="882">
        <f>'Corrected and Updated TSF 2'!CW35</f>
        <v>39754.296625226256</v>
      </c>
      <c r="U35" s="882">
        <f>'Corrected and Updated TSF 2'!CX35</f>
        <v>67797.177743224354</v>
      </c>
      <c r="V35" s="1167">
        <f>'Corrected and Updated TSF 2'!CY35</f>
        <v>278133.68120912166</v>
      </c>
      <c r="W35" s="1167">
        <f>'Corrected and Updated TSF 2'!CZ35</f>
        <v>110056.14278750123</v>
      </c>
      <c r="X35" s="1233">
        <f>'Corrected and Updated TSF 2'!DA35</f>
        <v>79491.993188844732</v>
      </c>
      <c r="Y35" s="1233">
        <f>'Corrected and Updated TSF 2'!DB35</f>
        <v>60497.066439065602</v>
      </c>
      <c r="Z35" s="885">
        <f>H35-'Corrected and Updated TSF 2'!CH35</f>
        <v>0</v>
      </c>
      <c r="AA35" s="885">
        <f>I35-SUM('Corrected and Updated TSF 2'!CJ35:CK35)</f>
        <v>0</v>
      </c>
      <c r="AB35" s="885">
        <f>J35-'Corrected and Updated TSF 2'!CL35</f>
        <v>0</v>
      </c>
      <c r="AC35" s="886">
        <f>K35-'Corrected and Updated TSF 2'!CM35</f>
        <v>0</v>
      </c>
      <c r="AD35" s="885">
        <f>M35-'Corrected and Updated TSF 2'!CO35</f>
        <v>0</v>
      </c>
      <c r="AE35" s="887">
        <f>P35-'Corrected and Updated TSF 2'!CR35</f>
        <v>0</v>
      </c>
      <c r="AF35" s="885">
        <f>Q35-'Corrected and Updated TSF 2'!CT35</f>
        <v>0</v>
      </c>
      <c r="AG35" s="888"/>
      <c r="AH35" s="888"/>
      <c r="AI35" s="885">
        <f>S35-'INTERNAL PRICELIST'!AA35</f>
        <v>10047.329293574534</v>
      </c>
      <c r="AJ35" s="885">
        <f>T35-'INTERNAL PRICELIST'!AB35</f>
        <v>12978.89886237009</v>
      </c>
      <c r="AK35" s="885">
        <f>U35-'INTERNAL PRICELIST'!AC35</f>
        <v>22134.279506408689</v>
      </c>
    </row>
    <row r="36" spans="1:45" s="152" customFormat="1" ht="12.75" customHeight="1">
      <c r="A36" s="876" t="str">
        <f t="shared" si="0"/>
        <v>3O</v>
      </c>
      <c r="B36" s="877" t="str">
        <f>'Corrected and Updated TSF 2'!FI36</f>
        <v>UNSOLD</v>
      </c>
      <c r="C36" s="878" t="str">
        <f>'Corrected and Updated TSF 2'!E36</f>
        <v>3rd Floor</v>
      </c>
      <c r="D36" s="763" t="str">
        <f>'Corrected and Updated TSF 2'!M36</f>
        <v>Inner</v>
      </c>
      <c r="E36" s="763" t="str">
        <f>'Corrected and Updated TSF 2'!G36</f>
        <v>3O</v>
      </c>
      <c r="F36" s="747" t="str">
        <f>'Corrected and Updated TSF 2'!I36</f>
        <v>Studio</v>
      </c>
      <c r="G36" s="879">
        <f>'Corrected and Updated TSF 2'!J36</f>
        <v>22</v>
      </c>
      <c r="H36" s="879">
        <f>'Corrected and Updated TSF 2'!CH36</f>
        <v>3440017.7128144274</v>
      </c>
      <c r="I36" s="879">
        <f>SUM('Corrected and Updated TSF 2'!CJ36:CK36)</f>
        <v>473002.43551198376</v>
      </c>
      <c r="J36" s="879">
        <f>'Corrected and Updated TSF 2'!CL36</f>
        <v>3913020.1483264114</v>
      </c>
      <c r="K36" s="880">
        <f>'Corrected and Updated TSF 2'!CM36</f>
        <v>0.125</v>
      </c>
      <c r="L36" s="879">
        <f>'Corrected and Updated TSF 2'!CN36</f>
        <v>489127.51854080142</v>
      </c>
      <c r="M36" s="879">
        <f>'Corrected and Updated TSF 2'!CO36</f>
        <v>30000</v>
      </c>
      <c r="N36" s="879">
        <f>'Corrected and Updated TSF 2'!CP36</f>
        <v>459127.51854080142</v>
      </c>
      <c r="O36" s="881">
        <f>'Corrected and Updated TSF 2'!CQ36</f>
        <v>13</v>
      </c>
      <c r="P36" s="879">
        <f>'Corrected and Updated TSF 2'!CR36</f>
        <v>35317.501426215495</v>
      </c>
      <c r="Q36" s="879">
        <f>'Corrected and Updated TSF 2'!CT36</f>
        <v>3423892.6297856099</v>
      </c>
      <c r="R36" s="879">
        <f>'Corrected and Updated TSF 2'!CU36</f>
        <v>26545.403115460929</v>
      </c>
      <c r="S36" s="879">
        <f>'Corrected and Updated TSF 2'!CV36</f>
        <v>30774.914920145686</v>
      </c>
      <c r="T36" s="882">
        <f>'Corrected and Updated TSF 2'!CW36</f>
        <v>39754.296625226256</v>
      </c>
      <c r="U36" s="882">
        <f>'Corrected and Updated TSF 2'!CX36</f>
        <v>67797.177743224354</v>
      </c>
      <c r="V36" s="1167">
        <f>'Corrected and Updated TSF 2'!CY36</f>
        <v>278133.68120912166</v>
      </c>
      <c r="W36" s="1167">
        <f>'Corrected and Updated TSF 2'!CZ36</f>
        <v>110056.14278750123</v>
      </c>
      <c r="X36" s="1233">
        <f>'Corrected and Updated TSF 2'!DA36</f>
        <v>79491.993188844732</v>
      </c>
      <c r="Y36" s="1233">
        <f>'Corrected and Updated TSF 2'!DB36</f>
        <v>60497.066439065602</v>
      </c>
      <c r="Z36" s="885">
        <f>H36-'Corrected and Updated TSF 2'!CH36</f>
        <v>0</v>
      </c>
      <c r="AA36" s="885">
        <f>I36-SUM('Corrected and Updated TSF 2'!CJ36:CK36)</f>
        <v>0</v>
      </c>
      <c r="AB36" s="885">
        <f>J36-'Corrected and Updated TSF 2'!CL36</f>
        <v>0</v>
      </c>
      <c r="AC36" s="886">
        <f>K36-'Corrected and Updated TSF 2'!CM36</f>
        <v>0</v>
      </c>
      <c r="AD36" s="885">
        <f>M36-'Corrected and Updated TSF 2'!CO36</f>
        <v>0</v>
      </c>
      <c r="AE36" s="887">
        <f>P36-'Corrected and Updated TSF 2'!CR36</f>
        <v>0</v>
      </c>
      <c r="AF36" s="885">
        <f>Q36-'Corrected and Updated TSF 2'!CT36</f>
        <v>0</v>
      </c>
      <c r="AG36" s="888"/>
      <c r="AH36" s="888"/>
      <c r="AI36" s="885">
        <f>S36-'INTERNAL PRICELIST'!AA36</f>
        <v>10047.329293574534</v>
      </c>
      <c r="AJ36" s="885">
        <f>T36-'INTERNAL PRICELIST'!AB36</f>
        <v>12978.89886237009</v>
      </c>
      <c r="AK36" s="885">
        <f>U36-'INTERNAL PRICELIST'!AC36</f>
        <v>22134.279506408689</v>
      </c>
    </row>
    <row r="37" spans="1:45" s="152" customFormat="1" ht="12.75" hidden="1" customHeight="1">
      <c r="A37" s="876" t="str">
        <f t="shared" si="0"/>
        <v>3P</v>
      </c>
      <c r="B37" s="877" t="str">
        <f>'Corrected and Updated TSF 2'!FI37</f>
        <v>SOLD</v>
      </c>
      <c r="C37" s="878" t="str">
        <f>'Corrected and Updated TSF 2'!E37</f>
        <v>3rd Floor</v>
      </c>
      <c r="D37" s="763" t="str">
        <f>'Corrected and Updated TSF 2'!M37</f>
        <v>Inner</v>
      </c>
      <c r="E37" s="763" t="str">
        <f>'Corrected and Updated TSF 2'!G37</f>
        <v>3P</v>
      </c>
      <c r="F37" s="747" t="str">
        <f>'Corrected and Updated TSF 2'!I37</f>
        <v>Studio</v>
      </c>
      <c r="G37" s="879">
        <f>'Corrected and Updated TSF 2'!J37</f>
        <v>22</v>
      </c>
      <c r="H37" s="879">
        <f>'Corrected and Updated TSF 2'!CH37</f>
        <v>3346371.2270467947</v>
      </c>
      <c r="I37" s="879">
        <f>SUM('Corrected and Updated TSF 2'!CJ37:CK37)</f>
        <v>460126.04371893429</v>
      </c>
      <c r="J37" s="879">
        <f>'Corrected and Updated TSF 2'!CL37</f>
        <v>3806497.2707657288</v>
      </c>
      <c r="K37" s="880">
        <f>'Corrected and Updated TSF 2'!CM37</f>
        <v>0.125</v>
      </c>
      <c r="L37" s="879">
        <f>'Corrected and Updated TSF 2'!CN37</f>
        <v>475812.1588457161</v>
      </c>
      <c r="M37" s="879">
        <f>'Corrected and Updated TSF 2'!CO37</f>
        <v>30000</v>
      </c>
      <c r="N37" s="879">
        <f>'Corrected and Updated TSF 2'!CP37</f>
        <v>445812.1588457161</v>
      </c>
      <c r="O37" s="881">
        <f>'Corrected and Updated TSF 2'!CQ37</f>
        <v>13</v>
      </c>
      <c r="P37" s="879">
        <f>'Corrected and Updated TSF 2'!CR37</f>
        <v>34293.242988132006</v>
      </c>
      <c r="Q37" s="879">
        <f>'Corrected and Updated TSF 2'!CT37</f>
        <v>3330685.1119200126</v>
      </c>
      <c r="R37" s="879">
        <f>'Corrected and Updated TSF 2'!CU37</f>
        <v>25822.76622153218</v>
      </c>
      <c r="S37" s="879">
        <f>'Corrected and Updated TSF 2'!CV37</f>
        <v>29937.139399009873</v>
      </c>
      <c r="T37" s="882">
        <f>'Corrected and Updated TSF 2'!CW37</f>
        <v>38672.078310114535</v>
      </c>
      <c r="U37" s="882">
        <f>'Corrected and Updated TSF 2'!CX37</f>
        <v>65951.557176514485</v>
      </c>
      <c r="V37" s="1167">
        <f>'Corrected and Updated TSF 2'!CY37</f>
        <v>270562.13827147207</v>
      </c>
      <c r="W37" s="1167">
        <f>'Corrected and Updated TSF 2'!CZ37</f>
        <v>107060.12013017652</v>
      </c>
      <c r="X37" s="1233">
        <f>'Corrected and Updated TSF 2'!DA37</f>
        <v>77328.008456711017</v>
      </c>
      <c r="Y37" s="1233">
        <f>'Corrected and Updated TSF 2'!DB37</f>
        <v>58850.174433200184</v>
      </c>
      <c r="Z37" s="885">
        <f>H37-'Corrected and Updated TSF 2'!CH37</f>
        <v>0</v>
      </c>
      <c r="AA37" s="885">
        <f>I37-SUM('Corrected and Updated TSF 2'!CJ37:CK37)</f>
        <v>0</v>
      </c>
      <c r="AB37" s="885">
        <f>J37-'Corrected and Updated TSF 2'!CL37</f>
        <v>0</v>
      </c>
      <c r="AC37" s="886">
        <f>K37-'Corrected and Updated TSF 2'!CM37</f>
        <v>0</v>
      </c>
      <c r="AD37" s="885">
        <f>M37-'Corrected and Updated TSF 2'!CO37</f>
        <v>0</v>
      </c>
      <c r="AE37" s="887">
        <f>P37-'Corrected and Updated TSF 2'!CR37</f>
        <v>0</v>
      </c>
      <c r="AF37" s="885">
        <f>Q37-'Corrected and Updated TSF 2'!CT37</f>
        <v>0</v>
      </c>
      <c r="AG37" s="888"/>
      <c r="AH37" s="888"/>
      <c r="AI37" s="885">
        <f>S37-'INTERNAL PRICELIST'!AA37</f>
        <v>9209.5537724387214</v>
      </c>
      <c r="AJ37" s="885">
        <f>T37-'INTERNAL PRICELIST'!AB37</f>
        <v>11896.680547258369</v>
      </c>
      <c r="AK37" s="885">
        <f>U37-'INTERNAL PRICELIST'!AC37</f>
        <v>20288.65893969882</v>
      </c>
    </row>
    <row r="38" spans="1:45" s="152" customFormat="1" ht="12.75" hidden="1" customHeight="1">
      <c r="A38" s="876" t="str">
        <f t="shared" si="0"/>
        <v>3Q</v>
      </c>
      <c r="B38" s="877" t="str">
        <f>'Corrected and Updated TSF 2'!FI38</f>
        <v>SOLD</v>
      </c>
      <c r="C38" s="878" t="str">
        <f>'Corrected and Updated TSF 2'!E38</f>
        <v>3rd Floor</v>
      </c>
      <c r="D38" s="763" t="str">
        <f>'Corrected and Updated TSF 2'!M38</f>
        <v>Inner</v>
      </c>
      <c r="E38" s="763" t="str">
        <f>'Corrected and Updated TSF 2'!G38</f>
        <v>3Q</v>
      </c>
      <c r="F38" s="747" t="str">
        <f>'Corrected and Updated TSF 2'!I38</f>
        <v>Studio</v>
      </c>
      <c r="G38" s="879">
        <f>'Corrected and Updated TSF 2'!J38</f>
        <v>22</v>
      </c>
      <c r="H38" s="879">
        <f>'Corrected and Updated TSF 2'!CH38</f>
        <v>3346371.2270467947</v>
      </c>
      <c r="I38" s="879">
        <f>SUM('Corrected and Updated TSF 2'!CJ38:CK38)</f>
        <v>460126.04371893429</v>
      </c>
      <c r="J38" s="879">
        <f>'Corrected and Updated TSF 2'!CL38</f>
        <v>3806497.2707657288</v>
      </c>
      <c r="K38" s="880">
        <f>'Corrected and Updated TSF 2'!CM38</f>
        <v>0.125</v>
      </c>
      <c r="L38" s="879">
        <f>'Corrected and Updated TSF 2'!CN38</f>
        <v>475812.1588457161</v>
      </c>
      <c r="M38" s="879">
        <f>'Corrected and Updated TSF 2'!CO38</f>
        <v>30000</v>
      </c>
      <c r="N38" s="879">
        <f>'Corrected and Updated TSF 2'!CP38</f>
        <v>445812.1588457161</v>
      </c>
      <c r="O38" s="881">
        <f>'Corrected and Updated TSF 2'!CQ38</f>
        <v>13</v>
      </c>
      <c r="P38" s="879">
        <f>'Corrected and Updated TSF 2'!CR38</f>
        <v>34293.242988132006</v>
      </c>
      <c r="Q38" s="879">
        <f>'Corrected and Updated TSF 2'!CT38</f>
        <v>3330685.1119200126</v>
      </c>
      <c r="R38" s="879">
        <f>'Corrected and Updated TSF 2'!CU38</f>
        <v>25822.76622153218</v>
      </c>
      <c r="S38" s="879">
        <f>'Corrected and Updated TSF 2'!CV38</f>
        <v>29937.139399009873</v>
      </c>
      <c r="T38" s="882">
        <f>'Corrected and Updated TSF 2'!CW38</f>
        <v>38672.078310114535</v>
      </c>
      <c r="U38" s="882">
        <f>'Corrected and Updated TSF 2'!CX38</f>
        <v>65951.557176514485</v>
      </c>
      <c r="V38" s="1167">
        <f>'Corrected and Updated TSF 2'!CY38</f>
        <v>270562.13827147207</v>
      </c>
      <c r="W38" s="1167">
        <f>'Corrected and Updated TSF 2'!CZ38</f>
        <v>107060.12013017652</v>
      </c>
      <c r="X38" s="1233">
        <f>'Corrected and Updated TSF 2'!DA38</f>
        <v>77328.008456711017</v>
      </c>
      <c r="Y38" s="1233">
        <f>'Corrected and Updated TSF 2'!DB38</f>
        <v>58850.174433200184</v>
      </c>
      <c r="Z38" s="885">
        <f>H38-'Corrected and Updated TSF 2'!CH38</f>
        <v>0</v>
      </c>
      <c r="AA38" s="885">
        <f>I38-SUM('Corrected and Updated TSF 2'!CJ38:CK38)</f>
        <v>0</v>
      </c>
      <c r="AB38" s="885">
        <f>J38-'Corrected and Updated TSF 2'!CL38</f>
        <v>0</v>
      </c>
      <c r="AC38" s="886">
        <f>K38-'Corrected and Updated TSF 2'!CM38</f>
        <v>0</v>
      </c>
      <c r="AD38" s="885">
        <f>M38-'Corrected and Updated TSF 2'!CO38</f>
        <v>0</v>
      </c>
      <c r="AE38" s="887">
        <f>P38-'Corrected and Updated TSF 2'!CR38</f>
        <v>0</v>
      </c>
      <c r="AF38" s="885">
        <f>Q38-'Corrected and Updated TSF 2'!CT38</f>
        <v>0</v>
      </c>
      <c r="AG38" s="888"/>
      <c r="AH38" s="888"/>
      <c r="AI38" s="885">
        <f>S38-'INTERNAL PRICELIST'!AA38</f>
        <v>9209.5537724387214</v>
      </c>
      <c r="AJ38" s="885">
        <f>T38-'INTERNAL PRICELIST'!AB38</f>
        <v>11896.680547258369</v>
      </c>
      <c r="AK38" s="885">
        <f>U38-'INTERNAL PRICELIST'!AC38</f>
        <v>20288.65893969882</v>
      </c>
    </row>
    <row r="39" spans="1:45" s="152" customFormat="1" ht="12.75" hidden="1" customHeight="1">
      <c r="A39" s="876" t="str">
        <f t="shared" si="0"/>
        <v>3R</v>
      </c>
      <c r="B39" s="877" t="str">
        <f>'Corrected and Updated TSF 2'!FI39</f>
        <v>SOLD</v>
      </c>
      <c r="C39" s="878" t="str">
        <f>'Corrected and Updated TSF 2'!E39</f>
        <v>3rd Floor</v>
      </c>
      <c r="D39" s="763" t="str">
        <f>'Corrected and Updated TSF 2'!M39</f>
        <v>Corner</v>
      </c>
      <c r="E39" s="763" t="str">
        <f>'Corrected and Updated TSF 2'!G39</f>
        <v>3R</v>
      </c>
      <c r="F39" s="747" t="str">
        <f>'Corrected and Updated TSF 2'!I39</f>
        <v>Studio</v>
      </c>
      <c r="G39" s="879">
        <f>'Corrected and Updated TSF 2'!J39</f>
        <v>22</v>
      </c>
      <c r="H39" s="879">
        <f>'Corrected and Updated TSF 2'!CH39</f>
        <v>3421261.2489011637</v>
      </c>
      <c r="I39" s="879">
        <f>SUM('Corrected and Updated TSF 2'!CJ39:CK39)</f>
        <v>470423.42172390997</v>
      </c>
      <c r="J39" s="879">
        <f>'Corrected and Updated TSF 2'!CL39</f>
        <v>3891684.6706250738</v>
      </c>
      <c r="K39" s="880">
        <f>'Corrected and Updated TSF 2'!CM39</f>
        <v>0.125</v>
      </c>
      <c r="L39" s="879">
        <f>'Corrected and Updated TSF 2'!CN39</f>
        <v>486460.58382813423</v>
      </c>
      <c r="M39" s="879">
        <f>'Corrected and Updated TSF 2'!CO39</f>
        <v>30000</v>
      </c>
      <c r="N39" s="879">
        <f>'Corrected and Updated TSF 2'!CP39</f>
        <v>456460.58382813423</v>
      </c>
      <c r="O39" s="881">
        <f>'Corrected and Updated TSF 2'!CQ39</f>
        <v>13</v>
      </c>
      <c r="P39" s="879">
        <f>'Corrected and Updated TSF 2'!CR39</f>
        <v>35112.352602164174</v>
      </c>
      <c r="Q39" s="879">
        <f>'Corrected and Updated TSF 2'!CT39</f>
        <v>3405224.0867969394</v>
      </c>
      <c r="R39" s="879">
        <f>'Corrected and Updated TSF 2'!CU39</f>
        <v>26400.666100374212</v>
      </c>
      <c r="S39" s="879">
        <f>'Corrected and Updated TSF 2'!CV39</f>
        <v>30607.116778007276</v>
      </c>
      <c r="T39" s="882">
        <f>'Corrected and Updated TSF 2'!CW39</f>
        <v>39537.539011662055</v>
      </c>
      <c r="U39" s="882">
        <f>'Corrected and Updated TSF 2'!CX39</f>
        <v>67427.518217046629</v>
      </c>
      <c r="V39" s="1167">
        <f>'Corrected and Updated TSF 2'!CY39</f>
        <v>276617.17612392135</v>
      </c>
      <c r="W39" s="1167">
        <f>'Corrected and Updated TSF 2'!CZ39</f>
        <v>109456.06911260787</v>
      </c>
      <c r="X39" s="1233">
        <f>'Corrected and Updated TSF 2'!DA39</f>
        <v>79058.568472429484</v>
      </c>
      <c r="Y39" s="1233">
        <f>'Corrected and Updated TSF 2'!DB39</f>
        <v>60167.210276030237</v>
      </c>
      <c r="Z39" s="885">
        <f>H39-'Corrected and Updated TSF 2'!CH39</f>
        <v>0</v>
      </c>
      <c r="AA39" s="885">
        <f>I39-SUM('Corrected and Updated TSF 2'!CJ39:CK39)</f>
        <v>0</v>
      </c>
      <c r="AB39" s="885">
        <f>J39-'Corrected and Updated TSF 2'!CL39</f>
        <v>0</v>
      </c>
      <c r="AC39" s="886">
        <f>K39-'Corrected and Updated TSF 2'!CM39</f>
        <v>0</v>
      </c>
      <c r="AD39" s="885">
        <f>M39-'Corrected and Updated TSF 2'!CO39</f>
        <v>0</v>
      </c>
      <c r="AE39" s="887">
        <f>P39-'Corrected and Updated TSF 2'!CR39</f>
        <v>0</v>
      </c>
      <c r="AF39" s="885">
        <f>Q39-'Corrected and Updated TSF 2'!CT39</f>
        <v>0</v>
      </c>
      <c r="AG39" s="888"/>
      <c r="AH39" s="888"/>
      <c r="AI39" s="885">
        <f>S39-'INTERNAL PRICELIST'!AA39</f>
        <v>9879.5311514361238</v>
      </c>
      <c r="AJ39" s="885">
        <f>T39-'INTERNAL PRICELIST'!AB39</f>
        <v>12762.141248805889</v>
      </c>
      <c r="AK39" s="885">
        <f>U39-'INTERNAL PRICELIST'!AC39</f>
        <v>21764.619980230964</v>
      </c>
    </row>
    <row r="40" spans="1:45" s="152" customFormat="1" ht="12.75" hidden="1" customHeight="1">
      <c r="A40" s="876" t="str">
        <f t="shared" si="0"/>
        <v>4A</v>
      </c>
      <c r="B40" s="877" t="str">
        <f>'Corrected and Updated TSF 2'!FI40</f>
        <v>SOLD</v>
      </c>
      <c r="C40" s="878" t="str">
        <f>'Corrected and Updated TSF 2'!E40</f>
        <v>4th Floor</v>
      </c>
      <c r="D40" s="763" t="str">
        <f>'Corrected and Updated TSF 2'!M40</f>
        <v>End</v>
      </c>
      <c r="E40" s="763" t="str">
        <f>'Corrected and Updated TSF 2'!G40</f>
        <v>4A</v>
      </c>
      <c r="F40" s="747" t="str">
        <f>'Corrected and Updated TSF 2'!I40</f>
        <v>Studio</v>
      </c>
      <c r="G40" s="879">
        <f>'Corrected and Updated TSF 2'!J40</f>
        <v>22</v>
      </c>
      <c r="H40" s="879">
        <f>'Corrected and Updated TSF 2'!CH40</f>
        <v>3376327.2357885418</v>
      </c>
      <c r="I40" s="879">
        <f>SUM('Corrected and Updated TSF 2'!CJ40:CK40)</f>
        <v>464244.99492092454</v>
      </c>
      <c r="J40" s="879">
        <f>'Corrected and Updated TSF 2'!CL40</f>
        <v>3840572.2307094666</v>
      </c>
      <c r="K40" s="880">
        <f>'Corrected and Updated TSF 2'!CM40</f>
        <v>0.125</v>
      </c>
      <c r="L40" s="879">
        <f>'Corrected and Updated TSF 2'!CN40</f>
        <v>480071.52883868333</v>
      </c>
      <c r="M40" s="879">
        <f>'Corrected and Updated TSF 2'!CO40</f>
        <v>30000</v>
      </c>
      <c r="N40" s="879">
        <f>'Corrected and Updated TSF 2'!CP40</f>
        <v>450071.52883868333</v>
      </c>
      <c r="O40" s="881">
        <f>'Corrected and Updated TSF 2'!CQ40</f>
        <v>13</v>
      </c>
      <c r="P40" s="879">
        <f>'Corrected and Updated TSF 2'!CR40</f>
        <v>34620.886833744873</v>
      </c>
      <c r="Q40" s="879">
        <f>'Corrected and Updated TSF 2'!CT40</f>
        <v>3360500.7018707832</v>
      </c>
      <c r="R40" s="879">
        <f>'Corrected and Updated TSF 2'!CU40</f>
        <v>26053.926173068994</v>
      </c>
      <c r="S40" s="879">
        <f>'Corrected and Updated TSF 2'!CV40</f>
        <v>30205.130350608837</v>
      </c>
      <c r="T40" s="882">
        <f>'Corrected and Updated TSF 2'!CW40</f>
        <v>39018.262590733539</v>
      </c>
      <c r="U40" s="882">
        <f>'Corrected and Updated TSF 2'!CX40</f>
        <v>66541.941592727337</v>
      </c>
      <c r="V40" s="1167">
        <f>'Corrected and Updated TSF 2'!CY40</f>
        <v>272984.15341245179</v>
      </c>
      <c r="W40" s="1167">
        <f>'Corrected and Updated TSF 2'!CZ40</f>
        <v>108018.49972314907</v>
      </c>
      <c r="X40" s="1233">
        <f>'Corrected and Updated TSF 2'!DA40</f>
        <v>78020.232462998407</v>
      </c>
      <c r="Y40" s="1233">
        <f>'Corrected and Updated TSF 2'!DB40</f>
        <v>59376.988770332202</v>
      </c>
      <c r="Z40" s="885">
        <f>H40-'Corrected and Updated TSF 2'!CH40</f>
        <v>0</v>
      </c>
      <c r="AA40" s="885">
        <f>I40-SUM('Corrected and Updated TSF 2'!CJ40:CK40)</f>
        <v>0</v>
      </c>
      <c r="AB40" s="885">
        <f>J40-'Corrected and Updated TSF 2'!CL40</f>
        <v>0</v>
      </c>
      <c r="AC40" s="886">
        <f>K40-'Corrected and Updated TSF 2'!CM40</f>
        <v>0</v>
      </c>
      <c r="AD40" s="885">
        <f>M40-'Corrected and Updated TSF 2'!CO40</f>
        <v>0</v>
      </c>
      <c r="AE40" s="887">
        <f>P40-'Corrected and Updated TSF 2'!CR40</f>
        <v>0</v>
      </c>
      <c r="AF40" s="885">
        <f>Q40-'Corrected and Updated TSF 2'!CT40</f>
        <v>0</v>
      </c>
      <c r="AG40" s="888"/>
      <c r="AH40" s="888"/>
      <c r="AI40" s="885">
        <f>S40-'INTERNAL PRICELIST'!AA40</f>
        <v>9477.5447240376852</v>
      </c>
      <c r="AJ40" s="885">
        <f>T40-'INTERNAL PRICELIST'!AB40</f>
        <v>12242.864827877373</v>
      </c>
      <c r="AK40" s="885">
        <f>U40-'INTERNAL PRICELIST'!AC40</f>
        <v>20879.043355911672</v>
      </c>
    </row>
    <row r="41" spans="1:45" s="883" customFormat="1" ht="12.75" hidden="1" customHeight="1">
      <c r="A41" s="876" t="str">
        <f t="shared" si="0"/>
        <v>4B</v>
      </c>
      <c r="B41" s="877" t="str">
        <f>'Corrected and Updated TSF 2'!FI41</f>
        <v>SOLD</v>
      </c>
      <c r="C41" s="878" t="str">
        <f>'Corrected and Updated TSF 2'!E41</f>
        <v>4th Floor</v>
      </c>
      <c r="D41" s="763" t="str">
        <f>'Corrected and Updated TSF 2'!M41</f>
        <v>Inner</v>
      </c>
      <c r="E41" s="763" t="str">
        <f>'Corrected and Updated TSF 2'!G41</f>
        <v>4B</v>
      </c>
      <c r="F41" s="747" t="str">
        <f>'Corrected and Updated TSF 2'!I41</f>
        <v>Studio</v>
      </c>
      <c r="G41" s="879">
        <f>'Corrected and Updated TSF 2'!J41</f>
        <v>22</v>
      </c>
      <c r="H41" s="879">
        <f>'Corrected and Updated TSF 2'!CH41</f>
        <v>3346371.2270467947</v>
      </c>
      <c r="I41" s="879">
        <f>SUM('Corrected and Updated TSF 2'!CJ41:CK41)</f>
        <v>460126.04371893429</v>
      </c>
      <c r="J41" s="879">
        <f>'Corrected and Updated TSF 2'!CL41</f>
        <v>3806497.2707657288</v>
      </c>
      <c r="K41" s="880">
        <f>'Corrected and Updated TSF 2'!CM41</f>
        <v>0.125</v>
      </c>
      <c r="L41" s="879">
        <f>'Corrected and Updated TSF 2'!CN41</f>
        <v>475812.1588457161</v>
      </c>
      <c r="M41" s="879">
        <f>'Corrected and Updated TSF 2'!CO41</f>
        <v>30000</v>
      </c>
      <c r="N41" s="879">
        <f>'Corrected and Updated TSF 2'!CP41</f>
        <v>445812.1588457161</v>
      </c>
      <c r="O41" s="881">
        <f>'Corrected and Updated TSF 2'!CQ41</f>
        <v>13</v>
      </c>
      <c r="P41" s="879">
        <f>'Corrected and Updated TSF 2'!CR41</f>
        <v>34293.242988132006</v>
      </c>
      <c r="Q41" s="879">
        <f>'Corrected and Updated TSF 2'!CT41</f>
        <v>3330685.1119200126</v>
      </c>
      <c r="R41" s="879">
        <f>'Corrected and Updated TSF 2'!CU41</f>
        <v>25822.76622153218</v>
      </c>
      <c r="S41" s="879">
        <f>'Corrected and Updated TSF 2'!CV41</f>
        <v>29937.139399009873</v>
      </c>
      <c r="T41" s="882">
        <f>'Corrected and Updated TSF 2'!CW41</f>
        <v>38672.078310114535</v>
      </c>
      <c r="U41" s="882">
        <f>'Corrected and Updated TSF 2'!CX41</f>
        <v>65951.557176514485</v>
      </c>
      <c r="V41" s="1167">
        <f>'Corrected and Updated TSF 2'!CY41</f>
        <v>270562.13827147207</v>
      </c>
      <c r="W41" s="1167">
        <f>'Corrected and Updated TSF 2'!CZ41</f>
        <v>107060.12013017652</v>
      </c>
      <c r="X41" s="1233">
        <f>'Corrected and Updated TSF 2'!DA41</f>
        <v>77328.008456711017</v>
      </c>
      <c r="Y41" s="1233">
        <f>'Corrected and Updated TSF 2'!DB41</f>
        <v>58850.174433200184</v>
      </c>
      <c r="Z41" s="885">
        <f>H41-'Corrected and Updated TSF 2'!CH41</f>
        <v>0</v>
      </c>
      <c r="AA41" s="885">
        <f>I41-SUM('Corrected and Updated TSF 2'!CJ41:CK41)</f>
        <v>0</v>
      </c>
      <c r="AB41" s="885">
        <f>J41-'Corrected and Updated TSF 2'!CL41</f>
        <v>0</v>
      </c>
      <c r="AC41" s="886">
        <f>K41-'Corrected and Updated TSF 2'!CM41</f>
        <v>0</v>
      </c>
      <c r="AD41" s="885">
        <f>M41-'Corrected and Updated TSF 2'!CO41</f>
        <v>0</v>
      </c>
      <c r="AE41" s="887">
        <f>P41-'Corrected and Updated TSF 2'!CR41</f>
        <v>0</v>
      </c>
      <c r="AF41" s="885">
        <f>Q41-'Corrected and Updated TSF 2'!CT41</f>
        <v>0</v>
      </c>
      <c r="AG41" s="888"/>
      <c r="AH41" s="888"/>
      <c r="AI41" s="885">
        <f>S41-'INTERNAL PRICELIST'!AA41</f>
        <v>9192.1574006870069</v>
      </c>
      <c r="AJ41" s="885">
        <f>T41-'INTERNAL PRICELIST'!AB41</f>
        <v>11874.208331648006</v>
      </c>
      <c r="AK41" s="885">
        <f>U41-'INTERNAL PRICELIST'!AC41</f>
        <v>20250.334709983908</v>
      </c>
    </row>
    <row r="42" spans="1:45" s="152" customFormat="1" ht="12.75" customHeight="1">
      <c r="A42" s="876" t="str">
        <f t="shared" si="0"/>
        <v>4C</v>
      </c>
      <c r="B42" s="877" t="str">
        <f>'Corrected and Updated TSF 2'!FI42</f>
        <v>UNSOLD</v>
      </c>
      <c r="C42" s="878" t="str">
        <f>'Corrected and Updated TSF 2'!E42</f>
        <v>4th Floor</v>
      </c>
      <c r="D42" s="763" t="str">
        <f>'Corrected and Updated TSF 2'!M42</f>
        <v>End</v>
      </c>
      <c r="E42" s="763" t="str">
        <f>'Corrected and Updated TSF 2'!G42</f>
        <v>4C</v>
      </c>
      <c r="F42" s="747" t="str">
        <f>'Corrected and Updated TSF 2'!I42</f>
        <v>Studio</v>
      </c>
      <c r="G42" s="879">
        <f>'Corrected and Updated TSF 2'!J42</f>
        <v>22</v>
      </c>
      <c r="H42" s="879">
        <f>'Corrected and Updated TSF 2'!CH42</f>
        <v>3483922.5681066094</v>
      </c>
      <c r="I42" s="879">
        <f>SUM('Corrected and Updated TSF 2'!CJ42:CK42)</f>
        <v>479039.35311465879</v>
      </c>
      <c r="J42" s="879">
        <f>'Corrected and Updated TSF 2'!CL42</f>
        <v>3962961.9212212684</v>
      </c>
      <c r="K42" s="880">
        <f>'Corrected and Updated TSF 2'!CM42</f>
        <v>0.125</v>
      </c>
      <c r="L42" s="879">
        <f>'Corrected and Updated TSF 2'!CN42</f>
        <v>495370.24015265855</v>
      </c>
      <c r="M42" s="879">
        <f>'Corrected and Updated TSF 2'!CO42</f>
        <v>30000</v>
      </c>
      <c r="N42" s="879">
        <f>'Corrected and Updated TSF 2'!CP42</f>
        <v>465370.24015265855</v>
      </c>
      <c r="O42" s="881">
        <f>'Corrected and Updated TSF 2'!CQ42</f>
        <v>13</v>
      </c>
      <c r="P42" s="879">
        <f>'Corrected and Updated TSF 2'!CR42</f>
        <v>35797.710780973735</v>
      </c>
      <c r="Q42" s="879">
        <f>'Corrected and Updated TSF 2'!CT42</f>
        <v>3467591.6810686099</v>
      </c>
      <c r="R42" s="879">
        <f>'Corrected and Updated TSF 2'!CU42</f>
        <v>26884.201394933571</v>
      </c>
      <c r="S42" s="879">
        <f>'Corrected and Updated TSF 2'!CV42</f>
        <v>31167.694347171593</v>
      </c>
      <c r="T42" s="882">
        <f>'Corrected and Updated TSF 2'!CW42</f>
        <v>40261.679664002833</v>
      </c>
      <c r="U42" s="882">
        <f>'Corrected and Updated TSF 2'!CX42</f>
        <v>68662.471333703943</v>
      </c>
      <c r="V42" s="1167">
        <f>'Corrected and Updated TSF 2'!CY42</f>
        <v>281683.49404289847</v>
      </c>
      <c r="W42" s="1167">
        <f>'Corrected and Updated TSF 2'!CZ42</f>
        <v>111460.78643369563</v>
      </c>
      <c r="X42" s="1233">
        <f>'Corrected and Updated TSF 2'!DA42</f>
        <v>80506.547400249634</v>
      </c>
      <c r="Y42" s="1233">
        <f>'Corrected and Updated TSF 2'!DB42</f>
        <v>61269.188901608279</v>
      </c>
      <c r="Z42" s="885">
        <f>H42-'Corrected and Updated TSF 2'!CH42</f>
        <v>0</v>
      </c>
      <c r="AA42" s="885">
        <f>I42-SUM('Corrected and Updated TSF 2'!CJ42:CK42)</f>
        <v>0</v>
      </c>
      <c r="AB42" s="885">
        <f>J42-'Corrected and Updated TSF 2'!CL42</f>
        <v>0</v>
      </c>
      <c r="AC42" s="886">
        <f>K42-'Corrected and Updated TSF 2'!CM42</f>
        <v>0</v>
      </c>
      <c r="AD42" s="885">
        <f>M42-'Corrected and Updated TSF 2'!CO42</f>
        <v>0</v>
      </c>
      <c r="AE42" s="887">
        <f>P42-'Corrected and Updated TSF 2'!CR42</f>
        <v>0</v>
      </c>
      <c r="AF42" s="885">
        <f>Q42-'Corrected and Updated TSF 2'!CT42</f>
        <v>0</v>
      </c>
      <c r="AG42" s="888"/>
      <c r="AH42" s="888"/>
      <c r="AI42" s="885">
        <f>S42-'INTERNAL PRICELIST'!AA42</f>
        <v>10440.108720600441</v>
      </c>
      <c r="AJ42" s="885">
        <f>T42-'INTERNAL PRICELIST'!AB42</f>
        <v>13486.281901146667</v>
      </c>
      <c r="AK42" s="885">
        <f>U42-'INTERNAL PRICELIST'!AC42</f>
        <v>22999.573096888278</v>
      </c>
    </row>
    <row r="43" spans="1:45" s="152" customFormat="1" ht="12.75" customHeight="1">
      <c r="A43" s="876" t="str">
        <f t="shared" si="0"/>
        <v>4D</v>
      </c>
      <c r="B43" s="877" t="str">
        <f>'Corrected and Updated TSF 2'!FI43</f>
        <v>UNSOLD</v>
      </c>
      <c r="C43" s="878" t="str">
        <f>'Corrected and Updated TSF 2'!E43</f>
        <v>4th Floor</v>
      </c>
      <c r="D43" s="763" t="str">
        <f>'Corrected and Updated TSF 2'!M43</f>
        <v>End</v>
      </c>
      <c r="E43" s="763" t="str">
        <f>'Corrected and Updated TSF 2'!G43</f>
        <v>4D</v>
      </c>
      <c r="F43" s="747" t="str">
        <f>'Corrected and Updated TSF 2'!I43</f>
        <v>Studio</v>
      </c>
      <c r="G43" s="879">
        <f>'Corrected and Updated TSF 2'!J43</f>
        <v>22</v>
      </c>
      <c r="H43" s="879">
        <f>'Corrected and Updated TSF 2'!CH43</f>
        <v>3483922.5681066094</v>
      </c>
      <c r="I43" s="879">
        <f>SUM('Corrected and Updated TSF 2'!CJ43:CK43)</f>
        <v>479039.35311465879</v>
      </c>
      <c r="J43" s="879">
        <f>'Corrected and Updated TSF 2'!CL43</f>
        <v>3962961.9212212684</v>
      </c>
      <c r="K43" s="880">
        <f>'Corrected and Updated TSF 2'!CM43</f>
        <v>0.125</v>
      </c>
      <c r="L43" s="879">
        <f>'Corrected and Updated TSF 2'!CN43</f>
        <v>495370.24015265855</v>
      </c>
      <c r="M43" s="879">
        <f>'Corrected and Updated TSF 2'!CO43</f>
        <v>30000</v>
      </c>
      <c r="N43" s="879">
        <f>'Corrected and Updated TSF 2'!CP43</f>
        <v>465370.24015265855</v>
      </c>
      <c r="O43" s="881">
        <f>'Corrected and Updated TSF 2'!CQ43</f>
        <v>13</v>
      </c>
      <c r="P43" s="879">
        <f>'Corrected and Updated TSF 2'!CR43</f>
        <v>35797.710780973735</v>
      </c>
      <c r="Q43" s="879">
        <f>'Corrected and Updated TSF 2'!CT43</f>
        <v>3467591.6810686099</v>
      </c>
      <c r="R43" s="879">
        <f>'Corrected and Updated TSF 2'!CU43</f>
        <v>26884.201394933571</v>
      </c>
      <c r="S43" s="879">
        <f>'Corrected and Updated TSF 2'!CV43</f>
        <v>31167.694347171593</v>
      </c>
      <c r="T43" s="882">
        <f>'Corrected and Updated TSF 2'!CW43</f>
        <v>40261.679664002833</v>
      </c>
      <c r="U43" s="882">
        <f>'Corrected and Updated TSF 2'!CX43</f>
        <v>68662.471333703943</v>
      </c>
      <c r="V43" s="1167">
        <f>'Corrected and Updated TSF 2'!CY43</f>
        <v>281683.49404289847</v>
      </c>
      <c r="W43" s="1167">
        <f>'Corrected and Updated TSF 2'!CZ43</f>
        <v>111460.78643369563</v>
      </c>
      <c r="X43" s="1233">
        <f>'Corrected and Updated TSF 2'!DA43</f>
        <v>80506.547400249634</v>
      </c>
      <c r="Y43" s="1233">
        <f>'Corrected and Updated TSF 2'!DB43</f>
        <v>61269.188901608279</v>
      </c>
      <c r="Z43" s="885">
        <f>H43-'Corrected and Updated TSF 2'!CH43</f>
        <v>0</v>
      </c>
      <c r="AA43" s="885">
        <f>I43-SUM('Corrected and Updated TSF 2'!CJ43:CK43)</f>
        <v>0</v>
      </c>
      <c r="AB43" s="885">
        <f>J43-'Corrected and Updated TSF 2'!CL43</f>
        <v>0</v>
      </c>
      <c r="AC43" s="886">
        <f>K43-'Corrected and Updated TSF 2'!CM43</f>
        <v>0</v>
      </c>
      <c r="AD43" s="885">
        <f>M43-'Corrected and Updated TSF 2'!CO43</f>
        <v>0</v>
      </c>
      <c r="AE43" s="887">
        <f>P43-'Corrected and Updated TSF 2'!CR43</f>
        <v>0</v>
      </c>
      <c r="AF43" s="885">
        <f>Q43-'Corrected and Updated TSF 2'!CT43</f>
        <v>0</v>
      </c>
      <c r="AG43" s="888"/>
      <c r="AH43" s="888"/>
      <c r="AI43" s="885">
        <f>S43-'INTERNAL PRICELIST'!AA43</f>
        <v>10440.108720600441</v>
      </c>
      <c r="AJ43" s="885">
        <f>T43-'INTERNAL PRICELIST'!AB43</f>
        <v>13486.281901146667</v>
      </c>
      <c r="AK43" s="885">
        <f>U43-'INTERNAL PRICELIST'!AC43</f>
        <v>22999.573096888278</v>
      </c>
    </row>
    <row r="44" spans="1:45" s="152" customFormat="1" ht="12.75" hidden="1" customHeight="1">
      <c r="A44" s="876" t="str">
        <f t="shared" si="0"/>
        <v>4E</v>
      </c>
      <c r="B44" s="877" t="str">
        <f>'Corrected and Updated TSF 2'!FI44</f>
        <v>SOLD</v>
      </c>
      <c r="C44" s="878" t="str">
        <f>'Corrected and Updated TSF 2'!E44</f>
        <v>4th Floor</v>
      </c>
      <c r="D44" s="763" t="str">
        <f>'Corrected and Updated TSF 2'!M44</f>
        <v>End</v>
      </c>
      <c r="E44" s="763" t="str">
        <f>'Corrected and Updated TSF 2'!G44</f>
        <v>4E</v>
      </c>
      <c r="F44" s="747" t="str">
        <f>'Corrected and Updated TSF 2'!I44</f>
        <v>Studio</v>
      </c>
      <c r="G44" s="879">
        <f>'Corrected and Updated TSF 2'!J44</f>
        <v>22</v>
      </c>
      <c r="H44" s="879">
        <f>'Corrected and Updated TSF 2'!CH44</f>
        <v>3376327.2357885418</v>
      </c>
      <c r="I44" s="879">
        <f>SUM('Corrected and Updated TSF 2'!CJ44:CK44)</f>
        <v>464244.99492092454</v>
      </c>
      <c r="J44" s="879">
        <f>'Corrected and Updated TSF 2'!CL44</f>
        <v>3840572.2307094666</v>
      </c>
      <c r="K44" s="880">
        <f>'Corrected and Updated TSF 2'!CM44</f>
        <v>0.125</v>
      </c>
      <c r="L44" s="879">
        <f>'Corrected and Updated TSF 2'!CN44</f>
        <v>480071.52883868333</v>
      </c>
      <c r="M44" s="879">
        <f>'Corrected and Updated TSF 2'!CO44</f>
        <v>30000</v>
      </c>
      <c r="N44" s="879">
        <f>'Corrected and Updated TSF 2'!CP44</f>
        <v>450071.52883868333</v>
      </c>
      <c r="O44" s="881">
        <f>'Corrected and Updated TSF 2'!CQ44</f>
        <v>13</v>
      </c>
      <c r="P44" s="879">
        <f>'Corrected and Updated TSF 2'!CR44</f>
        <v>34620.886833744873</v>
      </c>
      <c r="Q44" s="879">
        <f>'Corrected and Updated TSF 2'!CT44</f>
        <v>3360500.7018707832</v>
      </c>
      <c r="R44" s="879">
        <f>'Corrected and Updated TSF 2'!CU44</f>
        <v>26053.926173068994</v>
      </c>
      <c r="S44" s="879">
        <f>'Corrected and Updated TSF 2'!CV44</f>
        <v>30205.130350608837</v>
      </c>
      <c r="T44" s="882">
        <f>'Corrected and Updated TSF 2'!CW44</f>
        <v>39018.262590733539</v>
      </c>
      <c r="U44" s="882">
        <f>'Corrected and Updated TSF 2'!CX44</f>
        <v>66541.941592727337</v>
      </c>
      <c r="V44" s="1167">
        <f>'Corrected and Updated TSF 2'!CY44</f>
        <v>272984.15341245179</v>
      </c>
      <c r="W44" s="1167">
        <f>'Corrected and Updated TSF 2'!CZ44</f>
        <v>108018.49972314907</v>
      </c>
      <c r="X44" s="1233">
        <f>'Corrected and Updated TSF 2'!DA44</f>
        <v>78020.232462998407</v>
      </c>
      <c r="Y44" s="1233">
        <f>'Corrected and Updated TSF 2'!DB44</f>
        <v>59376.988770332202</v>
      </c>
      <c r="Z44" s="885">
        <f>H44-'Corrected and Updated TSF 2'!CH44</f>
        <v>0</v>
      </c>
      <c r="AA44" s="885">
        <f>I44-SUM('Corrected and Updated TSF 2'!CJ44:CK44)</f>
        <v>0</v>
      </c>
      <c r="AB44" s="885">
        <f>J44-'Corrected and Updated TSF 2'!CL44</f>
        <v>0</v>
      </c>
      <c r="AC44" s="886">
        <f>K44-'Corrected and Updated TSF 2'!CM44</f>
        <v>0</v>
      </c>
      <c r="AD44" s="885">
        <f>M44-'Corrected and Updated TSF 2'!CO44</f>
        <v>0</v>
      </c>
      <c r="AE44" s="887">
        <f>P44-'Corrected and Updated TSF 2'!CR44</f>
        <v>0</v>
      </c>
      <c r="AF44" s="885">
        <f>Q44-'Corrected and Updated TSF 2'!CT44</f>
        <v>0</v>
      </c>
      <c r="AG44" s="888"/>
      <c r="AH44" s="888"/>
      <c r="AI44" s="885">
        <f>S44-'INTERNAL PRICELIST'!AA44</f>
        <v>9477.5447240376852</v>
      </c>
      <c r="AJ44" s="885">
        <f>T44-'INTERNAL PRICELIST'!AB44</f>
        <v>12242.864827877373</v>
      </c>
      <c r="AK44" s="885">
        <f>U44-'INTERNAL PRICELIST'!AC44</f>
        <v>20879.043355911672</v>
      </c>
    </row>
    <row r="45" spans="1:45" s="883" customFormat="1" ht="12.75" hidden="1" customHeight="1">
      <c r="A45" s="876" t="str">
        <f t="shared" si="0"/>
        <v>4F</v>
      </c>
      <c r="B45" s="877" t="str">
        <f>'Corrected and Updated TSF 2'!FI45</f>
        <v>SOLD</v>
      </c>
      <c r="C45" s="1002" t="str">
        <f>'Corrected and Updated TSF 2'!E45</f>
        <v>4th Floor</v>
      </c>
      <c r="D45" s="1003" t="str">
        <f>'Corrected and Updated TSF 2'!M45</f>
        <v>End</v>
      </c>
      <c r="E45" s="1003" t="str">
        <f>'Corrected and Updated TSF 2'!G45</f>
        <v>4F</v>
      </c>
      <c r="F45" s="1004" t="str">
        <f>'Corrected and Updated TSF 2'!I45</f>
        <v>Studio</v>
      </c>
      <c r="G45" s="1005">
        <f>'Corrected and Updated TSF 2'!J45</f>
        <v>22</v>
      </c>
      <c r="H45" s="1005">
        <f>'Corrected and Updated TSF 2'!CH45</f>
        <v>3376327.2357885418</v>
      </c>
      <c r="I45" s="1005">
        <f>SUM('Corrected and Updated TSF 2'!CJ45:CK45)</f>
        <v>464244.99492092454</v>
      </c>
      <c r="J45" s="1005">
        <f>'Corrected and Updated TSF 2'!CL45</f>
        <v>3840572.2307094666</v>
      </c>
      <c r="K45" s="1006">
        <f>'Corrected and Updated TSF 2'!CM45</f>
        <v>0.125</v>
      </c>
      <c r="L45" s="1005">
        <f>'Corrected and Updated TSF 2'!CN45</f>
        <v>480071.52883868333</v>
      </c>
      <c r="M45" s="1005">
        <f>'Corrected and Updated TSF 2'!CO45</f>
        <v>30000</v>
      </c>
      <c r="N45" s="1005">
        <f>'Corrected and Updated TSF 2'!CP45</f>
        <v>450071.52883868333</v>
      </c>
      <c r="O45" s="1007">
        <f>'Corrected and Updated TSF 2'!CQ45</f>
        <v>13</v>
      </c>
      <c r="P45" s="1005">
        <f>'Corrected and Updated TSF 2'!CR45</f>
        <v>34620.886833744873</v>
      </c>
      <c r="Q45" s="1005">
        <f>'Corrected and Updated TSF 2'!CT45</f>
        <v>3360500.7018707832</v>
      </c>
      <c r="R45" s="1005">
        <f>'Corrected and Updated TSF 2'!CU45</f>
        <v>26053.926173068994</v>
      </c>
      <c r="S45" s="1005">
        <f>'Corrected and Updated TSF 2'!CV45</f>
        <v>30205.130350608837</v>
      </c>
      <c r="T45" s="882">
        <f>'Corrected and Updated TSF 2'!CW45</f>
        <v>39018.262590733539</v>
      </c>
      <c r="U45" s="882">
        <f>'Corrected and Updated TSF 2'!CX45</f>
        <v>66541.941592727337</v>
      </c>
      <c r="V45" s="1167">
        <f>'Corrected and Updated TSF 2'!CY45</f>
        <v>272984.15341245179</v>
      </c>
      <c r="W45" s="1167">
        <f>'Corrected and Updated TSF 2'!CZ45</f>
        <v>108018.49972314907</v>
      </c>
      <c r="X45" s="1233">
        <f>'Corrected and Updated TSF 2'!DA45</f>
        <v>78020.232462998407</v>
      </c>
      <c r="Y45" s="1233">
        <f>'Corrected and Updated TSF 2'!DB45</f>
        <v>59376.988770332202</v>
      </c>
      <c r="Z45" s="885">
        <f>H45-'Corrected and Updated TSF 2'!CH45</f>
        <v>0</v>
      </c>
      <c r="AA45" s="885">
        <f>I45-SUM('Corrected and Updated TSF 2'!CJ45:CK45)</f>
        <v>0</v>
      </c>
      <c r="AB45" s="885">
        <f>J45-'Corrected and Updated TSF 2'!CL45</f>
        <v>0</v>
      </c>
      <c r="AC45" s="886">
        <f>K45-'Corrected and Updated TSF 2'!CM45</f>
        <v>0</v>
      </c>
      <c r="AD45" s="885">
        <f>M45-'Corrected and Updated TSF 2'!CO45</f>
        <v>0</v>
      </c>
      <c r="AE45" s="887">
        <f>P45-'Corrected and Updated TSF 2'!CR45</f>
        <v>0</v>
      </c>
      <c r="AF45" s="885">
        <f>Q45-'Corrected and Updated TSF 2'!CT45</f>
        <v>0</v>
      </c>
      <c r="AG45" s="888"/>
      <c r="AH45" s="888"/>
      <c r="AI45" s="885">
        <f>S45-'INTERNAL PRICELIST'!AA45</f>
        <v>9477.5447240376852</v>
      </c>
      <c r="AJ45" s="885">
        <f>T45-'INTERNAL PRICELIST'!AB45</f>
        <v>12242.864827877373</v>
      </c>
      <c r="AK45" s="885">
        <f>U45-'INTERNAL PRICELIST'!AC45</f>
        <v>20879.043355911672</v>
      </c>
    </row>
    <row r="46" spans="1:45" s="152" customFormat="1" ht="12.75" customHeight="1">
      <c r="A46" s="876" t="str">
        <f t="shared" si="0"/>
        <v>4G</v>
      </c>
      <c r="B46" s="877" t="str">
        <f>'Corrected and Updated TSF 2'!FI46</f>
        <v>UNSOLD</v>
      </c>
      <c r="C46" s="1002" t="str">
        <f>'Corrected and Updated TSF 2'!E46</f>
        <v>4th Floor</v>
      </c>
      <c r="D46" s="1003" t="str">
        <f>'Corrected and Updated TSF 2'!M46</f>
        <v>Corner</v>
      </c>
      <c r="E46" s="1003" t="str">
        <f>'Corrected and Updated TSF 2'!G46</f>
        <v>4G</v>
      </c>
      <c r="F46" s="1004" t="str">
        <f>'Corrected and Updated TSF 2'!I46</f>
        <v>Studio</v>
      </c>
      <c r="G46" s="1005">
        <f>'Corrected and Updated TSF 2'!J46</f>
        <v>22</v>
      </c>
      <c r="H46" s="1005">
        <f>'Corrected and Updated TSF 2'!CH46</f>
        <v>3463193.0709446585</v>
      </c>
      <c r="I46" s="1005">
        <f>SUM('Corrected and Updated TSF 2'!CJ46:CK46)</f>
        <v>476189.04725489055</v>
      </c>
      <c r="J46" s="1005">
        <f>'Corrected and Updated TSF 2'!CL46</f>
        <v>3939382.1181995491</v>
      </c>
      <c r="K46" s="1006">
        <f>'Corrected and Updated TSF 2'!CM46</f>
        <v>0.125</v>
      </c>
      <c r="L46" s="1005">
        <f>'Corrected and Updated TSF 2'!CN46</f>
        <v>492422.76477494364</v>
      </c>
      <c r="M46" s="1005">
        <f>'Corrected and Updated TSF 2'!CO46</f>
        <v>30000</v>
      </c>
      <c r="N46" s="1005">
        <f>'Corrected and Updated TSF 2'!CP46</f>
        <v>462422.76477494364</v>
      </c>
      <c r="O46" s="1007">
        <f>'Corrected and Updated TSF 2'!CQ46</f>
        <v>13</v>
      </c>
      <c r="P46" s="1005">
        <f>'Corrected and Updated TSF 2'!CR46</f>
        <v>35570.981905764893</v>
      </c>
      <c r="Q46" s="1005">
        <f>'Corrected and Updated TSF 2'!CT46</f>
        <v>3446959.3534246054</v>
      </c>
      <c r="R46" s="1005">
        <f>'Corrected and Updated TSF 2'!CU46</f>
        <v>26724.239178316206</v>
      </c>
      <c r="S46" s="1005">
        <f>'Corrected and Updated TSF 2'!CV46</f>
        <v>30982.24515337238</v>
      </c>
      <c r="T46" s="882">
        <f>'Corrected and Updated TSF 2'!CW46</f>
        <v>40022.120845454258</v>
      </c>
      <c r="U46" s="882">
        <f>'Corrected and Updated TSF 2'!CX46</f>
        <v>68253.926517675471</v>
      </c>
      <c r="V46" s="1167">
        <f>'Corrected and Updated TSF 2'!CY46</f>
        <v>280007.46448822785</v>
      </c>
      <c r="W46" s="1167">
        <f>'Corrected and Updated TSF 2'!CZ46</f>
        <v>110797.58970332115</v>
      </c>
      <c r="X46" s="1233">
        <f>'Corrected and Updated TSF 2'!DA46</f>
        <v>80027.529794884496</v>
      </c>
      <c r="Y46" s="1233">
        <f>'Corrected and Updated TSF 2'!DB46</f>
        <v>60904.634451093843</v>
      </c>
      <c r="Z46" s="885">
        <f>H46-'Corrected and Updated TSF 2'!CH46</f>
        <v>0</v>
      </c>
      <c r="AA46" s="885">
        <f>I46-SUM('Corrected and Updated TSF 2'!CJ46:CK46)</f>
        <v>0</v>
      </c>
      <c r="AB46" s="885">
        <f>J46-'Corrected and Updated TSF 2'!CL46</f>
        <v>0</v>
      </c>
      <c r="AC46" s="886">
        <f>K46-'Corrected and Updated TSF 2'!CM46</f>
        <v>0</v>
      </c>
      <c r="AD46" s="885">
        <f>M46-'Corrected and Updated TSF 2'!CO46</f>
        <v>0</v>
      </c>
      <c r="AE46" s="887">
        <f>P46-'Corrected and Updated TSF 2'!CR46</f>
        <v>0</v>
      </c>
      <c r="AF46" s="885">
        <f>Q46-'Corrected and Updated TSF 2'!CT46</f>
        <v>0</v>
      </c>
      <c r="AG46" s="888"/>
      <c r="AH46" s="888"/>
      <c r="AI46" s="885">
        <f>S46-'INTERNAL PRICELIST'!AA46</f>
        <v>10254.659526801228</v>
      </c>
      <c r="AJ46" s="885">
        <f>T46-'INTERNAL PRICELIST'!AB46</f>
        <v>13246.723082598091</v>
      </c>
      <c r="AK46" s="885">
        <f>U46-'INTERNAL PRICELIST'!AC46</f>
        <v>22591.028280859806</v>
      </c>
      <c r="AL46" s="883"/>
      <c r="AM46" s="883"/>
      <c r="AN46" s="883"/>
      <c r="AO46" s="883"/>
      <c r="AP46" s="883"/>
      <c r="AQ46" s="883"/>
      <c r="AR46" s="883"/>
      <c r="AS46" s="883"/>
    </row>
    <row r="47" spans="1:45" s="152" customFormat="1" ht="12.75" hidden="1" customHeight="1">
      <c r="A47" s="876" t="str">
        <f t="shared" si="0"/>
        <v>4H</v>
      </c>
      <c r="B47" s="877" t="str">
        <f>'Corrected and Updated TSF 2'!FI47</f>
        <v>SOLD</v>
      </c>
      <c r="C47" s="878" t="str">
        <f>'Corrected and Updated TSF 2'!E47</f>
        <v>4th Floor</v>
      </c>
      <c r="D47" s="763" t="str">
        <f>'Corrected and Updated TSF 2'!M47</f>
        <v>Corner</v>
      </c>
      <c r="E47" s="763" t="str">
        <f>'Corrected and Updated TSF 2'!G47</f>
        <v>4H</v>
      </c>
      <c r="F47" s="747" t="str">
        <f>'Corrected and Updated TSF 2'!I47</f>
        <v>Studio</v>
      </c>
      <c r="G47" s="879">
        <f>'Corrected and Updated TSF 2'!J47</f>
        <v>22</v>
      </c>
      <c r="H47" s="879">
        <f>'Corrected and Updated TSF 2'!CH47</f>
        <v>3421261.2489011637</v>
      </c>
      <c r="I47" s="879">
        <f>SUM('Corrected and Updated TSF 2'!CJ47:CK47)</f>
        <v>470423.42172390997</v>
      </c>
      <c r="J47" s="879">
        <f>'Corrected and Updated TSF 2'!CL47</f>
        <v>3891684.6706250738</v>
      </c>
      <c r="K47" s="880">
        <f>'Corrected and Updated TSF 2'!CM47</f>
        <v>0.125</v>
      </c>
      <c r="L47" s="879">
        <f>'Corrected and Updated TSF 2'!CN47</f>
        <v>486460.58382813423</v>
      </c>
      <c r="M47" s="879">
        <f>'Corrected and Updated TSF 2'!CO47</f>
        <v>30000</v>
      </c>
      <c r="N47" s="879">
        <f>'Corrected and Updated TSF 2'!CP47</f>
        <v>456460.58382813423</v>
      </c>
      <c r="O47" s="881">
        <f>'Corrected and Updated TSF 2'!CQ47</f>
        <v>13</v>
      </c>
      <c r="P47" s="879">
        <f>'Corrected and Updated TSF 2'!CR47</f>
        <v>35112.352602164174</v>
      </c>
      <c r="Q47" s="879">
        <f>'Corrected and Updated TSF 2'!CT47</f>
        <v>3405224.0867969394</v>
      </c>
      <c r="R47" s="879">
        <f>'Corrected and Updated TSF 2'!CU47</f>
        <v>26400.666100374212</v>
      </c>
      <c r="S47" s="879">
        <f>'Corrected and Updated TSF 2'!CV47</f>
        <v>30607.116778007276</v>
      </c>
      <c r="T47" s="882">
        <f>'Corrected and Updated TSF 2'!CW47</f>
        <v>39537.539011662055</v>
      </c>
      <c r="U47" s="882">
        <f>'Corrected and Updated TSF 2'!CX47</f>
        <v>67427.518217046629</v>
      </c>
      <c r="V47" s="1167">
        <f>'Corrected and Updated TSF 2'!CY47</f>
        <v>276617.17612392135</v>
      </c>
      <c r="W47" s="1167">
        <f>'Corrected and Updated TSF 2'!CZ47</f>
        <v>109456.06911260787</v>
      </c>
      <c r="X47" s="1233">
        <f>'Corrected and Updated TSF 2'!DA47</f>
        <v>79058.568472429484</v>
      </c>
      <c r="Y47" s="1233">
        <f>'Corrected and Updated TSF 2'!DB47</f>
        <v>60167.210276030237</v>
      </c>
      <c r="Z47" s="885">
        <f>H47-'Corrected and Updated TSF 2'!CH47</f>
        <v>0</v>
      </c>
      <c r="AA47" s="885">
        <f>I47-SUM('Corrected and Updated TSF 2'!CJ47:CK47)</f>
        <v>0</v>
      </c>
      <c r="AB47" s="885">
        <f>J47-'Corrected and Updated TSF 2'!CL47</f>
        <v>0</v>
      </c>
      <c r="AC47" s="886">
        <f>K47-'Corrected and Updated TSF 2'!CM47</f>
        <v>0</v>
      </c>
      <c r="AD47" s="885">
        <f>M47-'Corrected and Updated TSF 2'!CO47</f>
        <v>0</v>
      </c>
      <c r="AE47" s="887">
        <f>P47-'Corrected and Updated TSF 2'!CR47</f>
        <v>0</v>
      </c>
      <c r="AF47" s="885">
        <f>Q47-'Corrected and Updated TSF 2'!CT47</f>
        <v>0</v>
      </c>
      <c r="AG47" s="888"/>
      <c r="AH47" s="888"/>
      <c r="AI47" s="885">
        <f>S47-'INTERNAL PRICELIST'!AA47</f>
        <v>9879.5311514361238</v>
      </c>
      <c r="AJ47" s="885">
        <f>T47-'INTERNAL PRICELIST'!AB47</f>
        <v>12762.141248805889</v>
      </c>
      <c r="AK47" s="885">
        <f>U47-'INTERNAL PRICELIST'!AC47</f>
        <v>21764.619980230964</v>
      </c>
    </row>
    <row r="48" spans="1:45" s="152" customFormat="1" ht="12.75" hidden="1" customHeight="1">
      <c r="A48" s="876" t="str">
        <f t="shared" si="0"/>
        <v>4I</v>
      </c>
      <c r="B48" s="877" t="str">
        <f>'Corrected and Updated TSF 2'!FI48</f>
        <v>SOLD</v>
      </c>
      <c r="C48" s="878" t="str">
        <f>'Corrected and Updated TSF 2'!E48</f>
        <v>4th Floor</v>
      </c>
      <c r="D48" s="763" t="str">
        <f>'Corrected and Updated TSF 2'!M48</f>
        <v>Inner</v>
      </c>
      <c r="E48" s="763" t="str">
        <f>'Corrected and Updated TSF 2'!G48</f>
        <v>4I</v>
      </c>
      <c r="F48" s="747" t="str">
        <f>'Corrected and Updated TSF 2'!I48</f>
        <v>Studio</v>
      </c>
      <c r="G48" s="879">
        <f>'Corrected and Updated TSF 2'!J48</f>
        <v>22</v>
      </c>
      <c r="H48" s="879">
        <f>'Corrected and Updated TSF 2'!CH48</f>
        <v>3346371.2270467947</v>
      </c>
      <c r="I48" s="879">
        <f>SUM('Corrected and Updated TSF 2'!CJ48:CK48)</f>
        <v>460126.04371893429</v>
      </c>
      <c r="J48" s="879">
        <f>'Corrected and Updated TSF 2'!CL48</f>
        <v>3806497.2707657288</v>
      </c>
      <c r="K48" s="880">
        <f>'Corrected and Updated TSF 2'!CM48</f>
        <v>0.125</v>
      </c>
      <c r="L48" s="879">
        <f>'Corrected and Updated TSF 2'!CN48</f>
        <v>475812.1588457161</v>
      </c>
      <c r="M48" s="879">
        <f>'Corrected and Updated TSF 2'!CO48</f>
        <v>30000</v>
      </c>
      <c r="N48" s="879">
        <f>'Corrected and Updated TSF 2'!CP48</f>
        <v>445812.1588457161</v>
      </c>
      <c r="O48" s="881">
        <f>'Corrected and Updated TSF 2'!CQ48</f>
        <v>13</v>
      </c>
      <c r="P48" s="879">
        <f>'Corrected and Updated TSF 2'!CR48</f>
        <v>34293.242988132006</v>
      </c>
      <c r="Q48" s="879">
        <f>'Corrected and Updated TSF 2'!CT48</f>
        <v>3330685.1119200126</v>
      </c>
      <c r="R48" s="879">
        <f>'Corrected and Updated TSF 2'!CU48</f>
        <v>25822.76622153218</v>
      </c>
      <c r="S48" s="879">
        <f>'Corrected and Updated TSF 2'!CV48</f>
        <v>29937.139399009873</v>
      </c>
      <c r="T48" s="882">
        <f>'Corrected and Updated TSF 2'!CW48</f>
        <v>38672.078310114535</v>
      </c>
      <c r="U48" s="882">
        <f>'Corrected and Updated TSF 2'!CX48</f>
        <v>65951.557176514485</v>
      </c>
      <c r="V48" s="1167">
        <f>'Corrected and Updated TSF 2'!CY48</f>
        <v>270562.13827147207</v>
      </c>
      <c r="W48" s="1167">
        <f>'Corrected and Updated TSF 2'!CZ48</f>
        <v>107060.12013017652</v>
      </c>
      <c r="X48" s="1233">
        <f>'Corrected and Updated TSF 2'!DA48</f>
        <v>77328.008456711017</v>
      </c>
      <c r="Y48" s="1233">
        <f>'Corrected and Updated TSF 2'!DB48</f>
        <v>58850.174433200184</v>
      </c>
      <c r="Z48" s="885">
        <f>H48-'Corrected and Updated TSF 2'!CH48</f>
        <v>0</v>
      </c>
      <c r="AA48" s="885">
        <f>I48-SUM('Corrected and Updated TSF 2'!CJ48:CK48)</f>
        <v>0</v>
      </c>
      <c r="AB48" s="885">
        <f>J48-'Corrected and Updated TSF 2'!CL48</f>
        <v>0</v>
      </c>
      <c r="AC48" s="886">
        <f>K48-'Corrected and Updated TSF 2'!CM48</f>
        <v>0</v>
      </c>
      <c r="AD48" s="885">
        <f>M48-'Corrected and Updated TSF 2'!CO48</f>
        <v>0</v>
      </c>
      <c r="AE48" s="887">
        <f>P48-'Corrected and Updated TSF 2'!CR48</f>
        <v>0</v>
      </c>
      <c r="AF48" s="885">
        <f>Q48-'Corrected and Updated TSF 2'!CT48</f>
        <v>0</v>
      </c>
      <c r="AG48" s="888"/>
      <c r="AH48" s="888"/>
      <c r="AI48" s="885">
        <f>S48-'INTERNAL PRICELIST'!AA48</f>
        <v>9209.5537724387214</v>
      </c>
      <c r="AJ48" s="885">
        <f>T48-'INTERNAL PRICELIST'!AB48</f>
        <v>11896.680547258369</v>
      </c>
      <c r="AK48" s="885">
        <f>U48-'INTERNAL PRICELIST'!AC48</f>
        <v>20288.65893969882</v>
      </c>
    </row>
    <row r="49" spans="1:45" s="152" customFormat="1" ht="12.75" hidden="1" customHeight="1">
      <c r="A49" s="876" t="str">
        <f t="shared" si="0"/>
        <v>4J</v>
      </c>
      <c r="B49" s="877" t="str">
        <f>'Corrected and Updated TSF 2'!FI49</f>
        <v>SOLD</v>
      </c>
      <c r="C49" s="878" t="str">
        <f>'Corrected and Updated TSF 2'!E49</f>
        <v>4th Floor</v>
      </c>
      <c r="D49" s="763" t="str">
        <f>'Corrected and Updated TSF 2'!M49</f>
        <v>Inner</v>
      </c>
      <c r="E49" s="763" t="str">
        <f>'Corrected and Updated TSF 2'!G49</f>
        <v>4J</v>
      </c>
      <c r="F49" s="747" t="str">
        <f>'Corrected and Updated TSF 2'!I49</f>
        <v>Studio</v>
      </c>
      <c r="G49" s="879">
        <f>'Corrected and Updated TSF 2'!J49</f>
        <v>22</v>
      </c>
      <c r="H49" s="879">
        <f>'Corrected and Updated TSF 2'!CH49</f>
        <v>3346371.2270467947</v>
      </c>
      <c r="I49" s="879">
        <f>SUM('Corrected and Updated TSF 2'!CJ49:CK49)</f>
        <v>460126.04371893429</v>
      </c>
      <c r="J49" s="879">
        <f>'Corrected and Updated TSF 2'!CL49</f>
        <v>3806497.2707657288</v>
      </c>
      <c r="K49" s="880">
        <f>'Corrected and Updated TSF 2'!CM49</f>
        <v>0.125</v>
      </c>
      <c r="L49" s="879">
        <f>'Corrected and Updated TSF 2'!CN49</f>
        <v>475812.1588457161</v>
      </c>
      <c r="M49" s="879">
        <f>'Corrected and Updated TSF 2'!CO49</f>
        <v>30000</v>
      </c>
      <c r="N49" s="879">
        <f>'Corrected and Updated TSF 2'!CP49</f>
        <v>445812.1588457161</v>
      </c>
      <c r="O49" s="881">
        <f>'Corrected and Updated TSF 2'!CQ49</f>
        <v>13</v>
      </c>
      <c r="P49" s="879">
        <f>'Corrected and Updated TSF 2'!CR49</f>
        <v>34293.242988132006</v>
      </c>
      <c r="Q49" s="879">
        <f>'Corrected and Updated TSF 2'!CT49</f>
        <v>3330685.1119200126</v>
      </c>
      <c r="R49" s="879">
        <f>'Corrected and Updated TSF 2'!CU49</f>
        <v>25822.76622153218</v>
      </c>
      <c r="S49" s="879">
        <f>'Corrected and Updated TSF 2'!CV49</f>
        <v>29937.139399009873</v>
      </c>
      <c r="T49" s="882">
        <f>'Corrected and Updated TSF 2'!CW49</f>
        <v>38672.078310114535</v>
      </c>
      <c r="U49" s="882">
        <f>'Corrected and Updated TSF 2'!CX49</f>
        <v>65951.557176514485</v>
      </c>
      <c r="V49" s="1167">
        <f>'Corrected and Updated TSF 2'!CY49</f>
        <v>270562.13827147207</v>
      </c>
      <c r="W49" s="1167">
        <f>'Corrected and Updated TSF 2'!CZ49</f>
        <v>107060.12013017652</v>
      </c>
      <c r="X49" s="1233">
        <f>'Corrected and Updated TSF 2'!DA49</f>
        <v>77328.008456711017</v>
      </c>
      <c r="Y49" s="1233">
        <f>'Corrected and Updated TSF 2'!DB49</f>
        <v>58850.174433200184</v>
      </c>
      <c r="Z49" s="885">
        <f>H49-'Corrected and Updated TSF 2'!CH49</f>
        <v>0</v>
      </c>
      <c r="AA49" s="885">
        <f>I49-SUM('Corrected and Updated TSF 2'!CJ49:CK49)</f>
        <v>0</v>
      </c>
      <c r="AB49" s="885">
        <f>J49-'Corrected and Updated TSF 2'!CL49</f>
        <v>0</v>
      </c>
      <c r="AC49" s="886">
        <f>K49-'Corrected and Updated TSF 2'!CM49</f>
        <v>0</v>
      </c>
      <c r="AD49" s="885">
        <f>M49-'Corrected and Updated TSF 2'!CO49</f>
        <v>0</v>
      </c>
      <c r="AE49" s="887">
        <f>P49-'Corrected and Updated TSF 2'!CR49</f>
        <v>0</v>
      </c>
      <c r="AF49" s="885">
        <f>Q49-'Corrected and Updated TSF 2'!CT49</f>
        <v>0</v>
      </c>
      <c r="AG49" s="888"/>
      <c r="AH49" s="888"/>
      <c r="AI49" s="885">
        <f>S49-'INTERNAL PRICELIST'!AA49</f>
        <v>9192.1574006870069</v>
      </c>
      <c r="AJ49" s="885">
        <f>T49-'INTERNAL PRICELIST'!AB49</f>
        <v>11874.208331648006</v>
      </c>
      <c r="AK49" s="885">
        <f>U49-'INTERNAL PRICELIST'!AC49</f>
        <v>20250.334709983908</v>
      </c>
    </row>
    <row r="50" spans="1:45" s="883" customFormat="1" ht="12.75" hidden="1" customHeight="1">
      <c r="A50" s="876" t="str">
        <f t="shared" si="0"/>
        <v>4K</v>
      </c>
      <c r="B50" s="877" t="str">
        <f>'Corrected and Updated TSF 2'!FI50</f>
        <v>SOLD</v>
      </c>
      <c r="C50" s="878" t="str">
        <f>'Corrected and Updated TSF 2'!E50</f>
        <v>4th Floor</v>
      </c>
      <c r="D50" s="763" t="str">
        <f>'Corrected and Updated TSF 2'!M50</f>
        <v>Inner</v>
      </c>
      <c r="E50" s="763" t="str">
        <f>'Corrected and Updated TSF 2'!G50</f>
        <v>4K</v>
      </c>
      <c r="F50" s="747" t="str">
        <f>'Corrected and Updated TSF 2'!I50</f>
        <v>Studio</v>
      </c>
      <c r="G50" s="879">
        <f>'Corrected and Updated TSF 2'!J50</f>
        <v>22</v>
      </c>
      <c r="H50" s="879">
        <f>'Corrected and Updated TSF 2'!CH50</f>
        <v>3346371.2270467947</v>
      </c>
      <c r="I50" s="879">
        <f>SUM('Corrected and Updated TSF 2'!CJ50:CK50)</f>
        <v>460126.04371893429</v>
      </c>
      <c r="J50" s="879">
        <f>'Corrected and Updated TSF 2'!CL50</f>
        <v>3806497.2707657288</v>
      </c>
      <c r="K50" s="880">
        <f>'Corrected and Updated TSF 2'!CM50</f>
        <v>0.125</v>
      </c>
      <c r="L50" s="879">
        <f>'Corrected and Updated TSF 2'!CN50</f>
        <v>475812.1588457161</v>
      </c>
      <c r="M50" s="879">
        <f>'Corrected and Updated TSF 2'!CO50</f>
        <v>30000</v>
      </c>
      <c r="N50" s="879">
        <f>'Corrected and Updated TSF 2'!CP50</f>
        <v>445812.1588457161</v>
      </c>
      <c r="O50" s="881">
        <f>'Corrected and Updated TSF 2'!CQ50</f>
        <v>13</v>
      </c>
      <c r="P50" s="879">
        <f>'Corrected and Updated TSF 2'!CR50</f>
        <v>34293.242988132006</v>
      </c>
      <c r="Q50" s="879">
        <f>'Corrected and Updated TSF 2'!CT50</f>
        <v>3330685.1119200126</v>
      </c>
      <c r="R50" s="879">
        <f>'Corrected and Updated TSF 2'!CU50</f>
        <v>25822.76622153218</v>
      </c>
      <c r="S50" s="879">
        <f>'Corrected and Updated TSF 2'!CV50</f>
        <v>29937.139399009873</v>
      </c>
      <c r="T50" s="882">
        <f>'Corrected and Updated TSF 2'!CW50</f>
        <v>38672.078310114535</v>
      </c>
      <c r="U50" s="882">
        <f>'Corrected and Updated TSF 2'!CX50</f>
        <v>65951.557176514485</v>
      </c>
      <c r="V50" s="1167">
        <f>'Corrected and Updated TSF 2'!CY50</f>
        <v>270562.13827147207</v>
      </c>
      <c r="W50" s="1167">
        <f>'Corrected and Updated TSF 2'!CZ50</f>
        <v>107060.12013017652</v>
      </c>
      <c r="X50" s="1233">
        <f>'Corrected and Updated TSF 2'!DA50</f>
        <v>77328.008456711017</v>
      </c>
      <c r="Y50" s="1233">
        <f>'Corrected and Updated TSF 2'!DB50</f>
        <v>58850.174433200184</v>
      </c>
      <c r="Z50" s="885">
        <f>H50-'Corrected and Updated TSF 2'!CH50</f>
        <v>0</v>
      </c>
      <c r="AA50" s="885">
        <f>I50-SUM('Corrected and Updated TSF 2'!CJ50:CK50)</f>
        <v>0</v>
      </c>
      <c r="AB50" s="885">
        <f>J50-'Corrected and Updated TSF 2'!CL50</f>
        <v>0</v>
      </c>
      <c r="AC50" s="886">
        <f>K50-'Corrected and Updated TSF 2'!CM50</f>
        <v>0</v>
      </c>
      <c r="AD50" s="885">
        <f>M50-'Corrected and Updated TSF 2'!CO50</f>
        <v>0</v>
      </c>
      <c r="AE50" s="887">
        <f>P50-'Corrected and Updated TSF 2'!CR50</f>
        <v>0</v>
      </c>
      <c r="AF50" s="885">
        <f>Q50-'Corrected and Updated TSF 2'!CT50</f>
        <v>0</v>
      </c>
      <c r="AG50" s="888"/>
      <c r="AH50" s="888"/>
      <c r="AI50" s="885">
        <f>S50-'INTERNAL PRICELIST'!AA50</f>
        <v>9209.5537724387214</v>
      </c>
      <c r="AJ50" s="885">
        <f>T50-'INTERNAL PRICELIST'!AB50</f>
        <v>11896.680547258369</v>
      </c>
      <c r="AK50" s="885">
        <f>U50-'INTERNAL PRICELIST'!AC50</f>
        <v>20288.65893969882</v>
      </c>
    </row>
    <row r="51" spans="1:45" s="152" customFormat="1" ht="12.75" customHeight="1">
      <c r="A51" s="876" t="str">
        <f t="shared" si="0"/>
        <v>4L</v>
      </c>
      <c r="B51" s="877" t="str">
        <f>'Corrected and Updated TSF 2'!FI51</f>
        <v>UNSOLD</v>
      </c>
      <c r="C51" s="878" t="str">
        <f>'Corrected and Updated TSF 2'!E51</f>
        <v>4th Floor</v>
      </c>
      <c r="D51" s="763" t="str">
        <f>'Corrected and Updated TSF 2'!M51</f>
        <v>Inner</v>
      </c>
      <c r="E51" s="763" t="str">
        <f>'Corrected and Updated TSF 2'!G51</f>
        <v>4L</v>
      </c>
      <c r="F51" s="747" t="str">
        <f>'Corrected and Updated TSF 2'!I51</f>
        <v>Studio</v>
      </c>
      <c r="G51" s="879">
        <f>'Corrected and Updated TSF 2'!J51</f>
        <v>22</v>
      </c>
      <c r="H51" s="879">
        <f>'Corrected and Updated TSF 2'!CH51</f>
        <v>3388303.0490902895</v>
      </c>
      <c r="I51" s="879">
        <f>SUM('Corrected and Updated TSF 2'!CJ51:CK51)</f>
        <v>465891.66924991482</v>
      </c>
      <c r="J51" s="879">
        <f>'Corrected and Updated TSF 2'!CL51</f>
        <v>3854194.7183402046</v>
      </c>
      <c r="K51" s="880">
        <f>'Corrected and Updated TSF 2'!CM51</f>
        <v>0.125</v>
      </c>
      <c r="L51" s="879">
        <f>'Corrected and Updated TSF 2'!CN51</f>
        <v>481774.33979252557</v>
      </c>
      <c r="M51" s="879">
        <f>'Corrected and Updated TSF 2'!CO51</f>
        <v>30000</v>
      </c>
      <c r="N51" s="879">
        <f>'Corrected and Updated TSF 2'!CP51</f>
        <v>451774.33979252557</v>
      </c>
      <c r="O51" s="881">
        <f>'Corrected and Updated TSF 2'!CQ51</f>
        <v>13</v>
      </c>
      <c r="P51" s="879">
        <f>'Corrected and Updated TSF 2'!CR51</f>
        <v>34751.87229173274</v>
      </c>
      <c r="Q51" s="879">
        <f>'Corrected and Updated TSF 2'!CT51</f>
        <v>3372420.3785476792</v>
      </c>
      <c r="R51" s="879">
        <f>'Corrected and Updated TSF 2'!CU51</f>
        <v>26146.339299474181</v>
      </c>
      <c r="S51" s="879">
        <f>'Corrected and Updated TSF 2'!CV51</f>
        <v>30312.267774374977</v>
      </c>
      <c r="T51" s="882">
        <f>'Corrected and Updated TSF 2'!CW51</f>
        <v>39156.660143906745</v>
      </c>
      <c r="U51" s="882">
        <f>'Corrected and Updated TSF 2'!CX51</f>
        <v>66777.965477143327</v>
      </c>
      <c r="V51" s="1167">
        <f>'Corrected and Updated TSF 2'!CY51</f>
        <v>273952.42663577863</v>
      </c>
      <c r="W51" s="1167">
        <f>'Corrected and Updated TSF 2'!CZ51</f>
        <v>108401.64072088982</v>
      </c>
      <c r="X51" s="1233">
        <f>'Corrected and Updated TSF 2'!DA51</f>
        <v>78296.969779166029</v>
      </c>
      <c r="Y51" s="1233">
        <f>'Corrected and Updated TSF 2'!DB51</f>
        <v>59587.598608263797</v>
      </c>
      <c r="Z51" s="885">
        <f>H51-'Corrected and Updated TSF 2'!CH51</f>
        <v>0</v>
      </c>
      <c r="AA51" s="885">
        <f>I51-SUM('Corrected and Updated TSF 2'!CJ51:CK51)</f>
        <v>0</v>
      </c>
      <c r="AB51" s="885">
        <f>J51-'Corrected and Updated TSF 2'!CL51</f>
        <v>0</v>
      </c>
      <c r="AC51" s="886">
        <f>K51-'Corrected and Updated TSF 2'!CM51</f>
        <v>0</v>
      </c>
      <c r="AD51" s="885">
        <f>M51-'Corrected and Updated TSF 2'!CO51</f>
        <v>0</v>
      </c>
      <c r="AE51" s="887">
        <f>P51-'Corrected and Updated TSF 2'!CR51</f>
        <v>0</v>
      </c>
      <c r="AF51" s="885">
        <f>Q51-'Corrected and Updated TSF 2'!CT51</f>
        <v>0</v>
      </c>
      <c r="AG51" s="888"/>
      <c r="AH51" s="888"/>
      <c r="AI51" s="885">
        <f>S51-'INTERNAL PRICELIST'!AA51</f>
        <v>9584.6821478038255</v>
      </c>
      <c r="AJ51" s="885">
        <f>T51-'INTERNAL PRICELIST'!AB51</f>
        <v>12381.262381050579</v>
      </c>
      <c r="AK51" s="885">
        <f>U51-'INTERNAL PRICELIST'!AC51</f>
        <v>21115.067240327662</v>
      </c>
    </row>
    <row r="52" spans="1:45" s="152" customFormat="1" ht="12.75" hidden="1" customHeight="1">
      <c r="A52" s="876" t="str">
        <f t="shared" si="0"/>
        <v>4M</v>
      </c>
      <c r="B52" s="877" t="str">
        <f>'Corrected and Updated TSF 2'!FI52</f>
        <v>SOLD</v>
      </c>
      <c r="C52" s="878" t="str">
        <f>'Corrected and Updated TSF 2'!E52</f>
        <v>4th Floor</v>
      </c>
      <c r="D52" s="763" t="str">
        <f>'Corrected and Updated TSF 2'!M52</f>
        <v>Inner</v>
      </c>
      <c r="E52" s="763" t="str">
        <f>'Corrected and Updated TSF 2'!G52</f>
        <v>4M</v>
      </c>
      <c r="F52" s="747" t="str">
        <f>'Corrected and Updated TSF 2'!I52</f>
        <v>Studio</v>
      </c>
      <c r="G52" s="879">
        <f>'Corrected and Updated TSF 2'!J52</f>
        <v>22</v>
      </c>
      <c r="H52" s="879">
        <f>'Corrected and Updated TSF 2'!CH52</f>
        <v>3346371.2270467947</v>
      </c>
      <c r="I52" s="879">
        <f>SUM('Corrected and Updated TSF 2'!CJ52:CK52)</f>
        <v>460126.04371893429</v>
      </c>
      <c r="J52" s="879">
        <f>'Corrected and Updated TSF 2'!CL52</f>
        <v>3806497.2707657288</v>
      </c>
      <c r="K52" s="880">
        <f>'Corrected and Updated TSF 2'!CM52</f>
        <v>0.125</v>
      </c>
      <c r="L52" s="879">
        <f>'Corrected and Updated TSF 2'!CN52</f>
        <v>475812.1588457161</v>
      </c>
      <c r="M52" s="879">
        <f>'Corrected and Updated TSF 2'!CO52</f>
        <v>30000</v>
      </c>
      <c r="N52" s="879">
        <f>'Corrected and Updated TSF 2'!CP52</f>
        <v>445812.1588457161</v>
      </c>
      <c r="O52" s="881">
        <f>'Corrected and Updated TSF 2'!CQ52</f>
        <v>13</v>
      </c>
      <c r="P52" s="879">
        <f>'Corrected and Updated TSF 2'!CR52</f>
        <v>34293.242988132006</v>
      </c>
      <c r="Q52" s="879">
        <f>'Corrected and Updated TSF 2'!CT52</f>
        <v>3330685.1119200126</v>
      </c>
      <c r="R52" s="879">
        <f>'Corrected and Updated TSF 2'!CU52</f>
        <v>25822.76622153218</v>
      </c>
      <c r="S52" s="879">
        <f>'Corrected and Updated TSF 2'!CV52</f>
        <v>29937.139399009873</v>
      </c>
      <c r="T52" s="882">
        <f>'Corrected and Updated TSF 2'!CW52</f>
        <v>38672.078310114535</v>
      </c>
      <c r="U52" s="882">
        <f>'Corrected and Updated TSF 2'!CX52</f>
        <v>65951.557176514485</v>
      </c>
      <c r="V52" s="1167">
        <f>'Corrected and Updated TSF 2'!CY52</f>
        <v>270562.13827147207</v>
      </c>
      <c r="W52" s="1167">
        <f>'Corrected and Updated TSF 2'!CZ52</f>
        <v>107060.12013017652</v>
      </c>
      <c r="X52" s="1233">
        <f>'Corrected and Updated TSF 2'!DA52</f>
        <v>77328.008456711017</v>
      </c>
      <c r="Y52" s="1233">
        <f>'Corrected and Updated TSF 2'!DB52</f>
        <v>58850.174433200184</v>
      </c>
      <c r="Z52" s="885">
        <f>H52-'Corrected and Updated TSF 2'!CH52</f>
        <v>0</v>
      </c>
      <c r="AA52" s="885">
        <f>I52-SUM('Corrected and Updated TSF 2'!CJ52:CK52)</f>
        <v>0</v>
      </c>
      <c r="AB52" s="885">
        <f>J52-'Corrected and Updated TSF 2'!CL52</f>
        <v>0</v>
      </c>
      <c r="AC52" s="886">
        <f>K52-'Corrected and Updated TSF 2'!CM52</f>
        <v>0</v>
      </c>
      <c r="AD52" s="885">
        <f>M52-'Corrected and Updated TSF 2'!CO52</f>
        <v>0</v>
      </c>
      <c r="AE52" s="887">
        <f>P52-'Corrected and Updated TSF 2'!CR52</f>
        <v>0</v>
      </c>
      <c r="AF52" s="885">
        <f>Q52-'Corrected and Updated TSF 2'!CT52</f>
        <v>0</v>
      </c>
      <c r="AG52" s="888"/>
      <c r="AH52" s="888"/>
      <c r="AI52" s="885">
        <f>S52-'INTERNAL PRICELIST'!AA52</f>
        <v>9209.5537724387214</v>
      </c>
      <c r="AJ52" s="885">
        <f>T52-'INTERNAL PRICELIST'!AB52</f>
        <v>11896.680547258369</v>
      </c>
      <c r="AK52" s="885">
        <f>U52-'INTERNAL PRICELIST'!AC52</f>
        <v>20288.65893969882</v>
      </c>
    </row>
    <row r="53" spans="1:45" s="883" customFormat="1" ht="12.75" hidden="1" customHeight="1">
      <c r="A53" s="876" t="str">
        <f t="shared" si="0"/>
        <v>4N</v>
      </c>
      <c r="B53" s="877" t="str">
        <f>'Corrected and Updated TSF 2'!FI53</f>
        <v>SOLD</v>
      </c>
      <c r="C53" s="1002" t="str">
        <f>'Corrected and Updated TSF 2'!E53</f>
        <v>4th Floor</v>
      </c>
      <c r="D53" s="1003" t="str">
        <f>'Corrected and Updated TSF 2'!M53</f>
        <v>Inner</v>
      </c>
      <c r="E53" s="1003" t="str">
        <f>'Corrected and Updated TSF 2'!G53</f>
        <v>4N</v>
      </c>
      <c r="F53" s="1004" t="str">
        <f>'Corrected and Updated TSF 2'!I53</f>
        <v>Studio</v>
      </c>
      <c r="G53" s="1005">
        <f>'Corrected and Updated TSF 2'!J53</f>
        <v>22</v>
      </c>
      <c r="H53" s="1005">
        <f>'Corrected and Updated TSF 2'!CH53</f>
        <v>3346371.2270467947</v>
      </c>
      <c r="I53" s="1005">
        <f>SUM('Corrected and Updated TSF 2'!CJ53:CK53)</f>
        <v>460126.04371893429</v>
      </c>
      <c r="J53" s="1005">
        <f>'Corrected and Updated TSF 2'!CL53</f>
        <v>3806497.2707657288</v>
      </c>
      <c r="K53" s="1006">
        <f>'Corrected and Updated TSF 2'!CM53</f>
        <v>0.125</v>
      </c>
      <c r="L53" s="1005">
        <f>'Corrected and Updated TSF 2'!CN53</f>
        <v>475812.1588457161</v>
      </c>
      <c r="M53" s="1005">
        <f>'Corrected and Updated TSF 2'!CO53</f>
        <v>30000</v>
      </c>
      <c r="N53" s="1005">
        <f>'Corrected and Updated TSF 2'!CP53</f>
        <v>445812.1588457161</v>
      </c>
      <c r="O53" s="1007">
        <f>'Corrected and Updated TSF 2'!CQ53</f>
        <v>13</v>
      </c>
      <c r="P53" s="1005">
        <f>'Corrected and Updated TSF 2'!CR53</f>
        <v>34293.242988132006</v>
      </c>
      <c r="Q53" s="1005">
        <f>'Corrected and Updated TSF 2'!CT53</f>
        <v>3330685.1119200126</v>
      </c>
      <c r="R53" s="1005">
        <f>'Corrected and Updated TSF 2'!CU53</f>
        <v>25822.76622153218</v>
      </c>
      <c r="S53" s="1005">
        <f>'Corrected and Updated TSF 2'!CV53</f>
        <v>29937.139399009873</v>
      </c>
      <c r="T53" s="882">
        <f>'Corrected and Updated TSF 2'!CW53</f>
        <v>38672.078310114535</v>
      </c>
      <c r="U53" s="882">
        <f>'Corrected and Updated TSF 2'!CX53</f>
        <v>65951.557176514485</v>
      </c>
      <c r="V53" s="1167">
        <f>'Corrected and Updated TSF 2'!CY53</f>
        <v>270562.13827147207</v>
      </c>
      <c r="W53" s="1167">
        <f>'Corrected and Updated TSF 2'!CZ53</f>
        <v>107060.12013017652</v>
      </c>
      <c r="X53" s="1233">
        <f>'Corrected and Updated TSF 2'!DA53</f>
        <v>77328.008456711017</v>
      </c>
      <c r="Y53" s="1233">
        <f>'Corrected and Updated TSF 2'!DB53</f>
        <v>58850.174433200184</v>
      </c>
      <c r="Z53" s="885">
        <f>H53-'Corrected and Updated TSF 2'!CH53</f>
        <v>0</v>
      </c>
      <c r="AA53" s="885">
        <f>I53-SUM('Corrected and Updated TSF 2'!CJ53:CK53)</f>
        <v>0</v>
      </c>
      <c r="AB53" s="885">
        <f>J53-'Corrected and Updated TSF 2'!CL53</f>
        <v>0</v>
      </c>
      <c r="AC53" s="886">
        <f>K53-'Corrected and Updated TSF 2'!CM53</f>
        <v>0</v>
      </c>
      <c r="AD53" s="885">
        <f>M53-'Corrected and Updated TSF 2'!CO53</f>
        <v>0</v>
      </c>
      <c r="AE53" s="887">
        <f>P53-'Corrected and Updated TSF 2'!CR53</f>
        <v>0</v>
      </c>
      <c r="AF53" s="885">
        <f>Q53-'Corrected and Updated TSF 2'!CT53</f>
        <v>0</v>
      </c>
      <c r="AG53" s="888"/>
      <c r="AH53" s="888"/>
      <c r="AI53" s="885">
        <f>S53-'INTERNAL PRICELIST'!AA53</f>
        <v>9209.5537724387214</v>
      </c>
      <c r="AJ53" s="885">
        <f>T53-'INTERNAL PRICELIST'!AB53</f>
        <v>11896.680547258369</v>
      </c>
      <c r="AK53" s="885">
        <f>U53-'INTERNAL PRICELIST'!AC53</f>
        <v>20288.65893969882</v>
      </c>
    </row>
    <row r="54" spans="1:45" s="883" customFormat="1" hidden="1">
      <c r="A54" s="876" t="str">
        <f t="shared" si="0"/>
        <v>4O</v>
      </c>
      <c r="B54" s="877" t="str">
        <f>'Corrected and Updated TSF 2'!FI54</f>
        <v>SOLD</v>
      </c>
      <c r="C54" s="878" t="str">
        <f>'Corrected and Updated TSF 2'!E54</f>
        <v>4th Floor</v>
      </c>
      <c r="D54" s="763" t="str">
        <f>'Corrected and Updated TSF 2'!M54</f>
        <v>Inner</v>
      </c>
      <c r="E54" s="763" t="str">
        <f>'Corrected and Updated TSF 2'!G54</f>
        <v>4O</v>
      </c>
      <c r="F54" s="747" t="str">
        <f>'Corrected and Updated TSF 2'!I54</f>
        <v>Studio</v>
      </c>
      <c r="G54" s="879">
        <f>'Corrected and Updated TSF 2'!J54</f>
        <v>22</v>
      </c>
      <c r="H54" s="879">
        <f>'Corrected and Updated TSF 2'!CH54</f>
        <v>3346371.2270467947</v>
      </c>
      <c r="I54" s="879">
        <f>SUM('Corrected and Updated TSF 2'!CJ54:CK54)</f>
        <v>460126.04371893429</v>
      </c>
      <c r="J54" s="879">
        <f>'Corrected and Updated TSF 2'!CL54</f>
        <v>3806497.2707657288</v>
      </c>
      <c r="K54" s="880">
        <f>'Corrected and Updated TSF 2'!CM54</f>
        <v>0.125</v>
      </c>
      <c r="L54" s="879">
        <f>'Corrected and Updated TSF 2'!CN54</f>
        <v>475812.1588457161</v>
      </c>
      <c r="M54" s="879">
        <f>'Corrected and Updated TSF 2'!CO54</f>
        <v>30000</v>
      </c>
      <c r="N54" s="879">
        <f>'Corrected and Updated TSF 2'!CP54</f>
        <v>445812.1588457161</v>
      </c>
      <c r="O54" s="881">
        <f>'Corrected and Updated TSF 2'!CQ54</f>
        <v>13</v>
      </c>
      <c r="P54" s="879">
        <f>'Corrected and Updated TSF 2'!CR54</f>
        <v>34293.242988132006</v>
      </c>
      <c r="Q54" s="879">
        <f>'Corrected and Updated TSF 2'!CT54</f>
        <v>3330685.1119200126</v>
      </c>
      <c r="R54" s="879">
        <f>'Corrected and Updated TSF 2'!CU54</f>
        <v>25822.76622153218</v>
      </c>
      <c r="S54" s="879">
        <f>'Corrected and Updated TSF 2'!CV54</f>
        <v>29937.139399009873</v>
      </c>
      <c r="T54" s="882">
        <f>'Corrected and Updated TSF 2'!CW54</f>
        <v>38672.078310114535</v>
      </c>
      <c r="U54" s="882">
        <f>'Corrected and Updated TSF 2'!CX54</f>
        <v>65951.557176514485</v>
      </c>
      <c r="V54" s="1167">
        <f>'Corrected and Updated TSF 2'!CY54</f>
        <v>270562.13827147207</v>
      </c>
      <c r="W54" s="1167">
        <f>'Corrected and Updated TSF 2'!CZ54</f>
        <v>107060.12013017652</v>
      </c>
      <c r="X54" s="1233">
        <f>'Corrected and Updated TSF 2'!DA54</f>
        <v>77328.008456711017</v>
      </c>
      <c r="Y54" s="1233">
        <f>'Corrected and Updated TSF 2'!DB54</f>
        <v>58850.174433200184</v>
      </c>
      <c r="Z54" s="885">
        <f>H54-'Corrected and Updated TSF 2'!CH54</f>
        <v>0</v>
      </c>
      <c r="AA54" s="885">
        <f>I54-SUM('Corrected and Updated TSF 2'!CJ54:CK54)</f>
        <v>0</v>
      </c>
      <c r="AB54" s="885">
        <f>J54-'Corrected and Updated TSF 2'!CL54</f>
        <v>0</v>
      </c>
      <c r="AC54" s="886">
        <f>K54-'Corrected and Updated TSF 2'!CM54</f>
        <v>0</v>
      </c>
      <c r="AD54" s="885">
        <f>M54-'Corrected and Updated TSF 2'!CO54</f>
        <v>0</v>
      </c>
      <c r="AE54" s="887">
        <f>P54-'Corrected and Updated TSF 2'!CR54</f>
        <v>0</v>
      </c>
      <c r="AF54" s="885">
        <f>Q54-'Corrected and Updated TSF 2'!CT54</f>
        <v>0</v>
      </c>
      <c r="AG54" s="888"/>
      <c r="AH54" s="888"/>
      <c r="AI54" s="885">
        <f>S54-'INTERNAL PRICELIST'!AA54</f>
        <v>9209.5537724387214</v>
      </c>
      <c r="AJ54" s="885">
        <f>T54-'INTERNAL PRICELIST'!AB54</f>
        <v>11896.680547258369</v>
      </c>
      <c r="AK54" s="885">
        <f>U54-'INTERNAL PRICELIST'!AC54</f>
        <v>20288.65893969882</v>
      </c>
    </row>
    <row r="55" spans="1:45" s="152" customFormat="1" ht="12.75" hidden="1" customHeight="1">
      <c r="A55" s="876" t="str">
        <f t="shared" si="0"/>
        <v>4P</v>
      </c>
      <c r="B55" s="877" t="str">
        <f>'Corrected and Updated TSF 2'!FI55</f>
        <v>SOLD</v>
      </c>
      <c r="C55" s="878" t="str">
        <f>'Corrected and Updated TSF 2'!E55</f>
        <v>4th Floor</v>
      </c>
      <c r="D55" s="763" t="str">
        <f>'Corrected and Updated TSF 2'!M55</f>
        <v>Inner</v>
      </c>
      <c r="E55" s="763" t="str">
        <f>'Corrected and Updated TSF 2'!G55</f>
        <v>4P</v>
      </c>
      <c r="F55" s="747" t="str">
        <f>'Corrected and Updated TSF 2'!I55</f>
        <v>Studio</v>
      </c>
      <c r="G55" s="879">
        <f>'Corrected and Updated TSF 2'!J55</f>
        <v>22</v>
      </c>
      <c r="H55" s="879">
        <f>'Corrected and Updated TSF 2'!CH55</f>
        <v>3346371.2270467947</v>
      </c>
      <c r="I55" s="879">
        <f>SUM('Corrected and Updated TSF 2'!CJ55:CK55)</f>
        <v>460126.04371893429</v>
      </c>
      <c r="J55" s="879">
        <f>'Corrected and Updated TSF 2'!CL55</f>
        <v>3806497.2707657288</v>
      </c>
      <c r="K55" s="880">
        <f>'Corrected and Updated TSF 2'!CM55</f>
        <v>0.125</v>
      </c>
      <c r="L55" s="879">
        <f>'Corrected and Updated TSF 2'!CN55</f>
        <v>475812.1588457161</v>
      </c>
      <c r="M55" s="879">
        <f>'Corrected and Updated TSF 2'!CO55</f>
        <v>30000</v>
      </c>
      <c r="N55" s="879">
        <f>'Corrected and Updated TSF 2'!CP55</f>
        <v>445812.1588457161</v>
      </c>
      <c r="O55" s="881">
        <f>'Corrected and Updated TSF 2'!CQ55</f>
        <v>13</v>
      </c>
      <c r="P55" s="879">
        <f>'Corrected and Updated TSF 2'!CR55</f>
        <v>34293.242988132006</v>
      </c>
      <c r="Q55" s="879">
        <f>'Corrected and Updated TSF 2'!CT55</f>
        <v>3330685.1119200126</v>
      </c>
      <c r="R55" s="879">
        <f>'Corrected and Updated TSF 2'!CU55</f>
        <v>25822.76622153218</v>
      </c>
      <c r="S55" s="879">
        <f>'Corrected and Updated TSF 2'!CV55</f>
        <v>29937.139399009873</v>
      </c>
      <c r="T55" s="882">
        <f>'Corrected and Updated TSF 2'!CW55</f>
        <v>38672.078310114535</v>
      </c>
      <c r="U55" s="882">
        <f>'Corrected and Updated TSF 2'!CX55</f>
        <v>65951.557176514485</v>
      </c>
      <c r="V55" s="1167">
        <f>'Corrected and Updated TSF 2'!CY55</f>
        <v>270562.13827147207</v>
      </c>
      <c r="W55" s="1167">
        <f>'Corrected and Updated TSF 2'!CZ55</f>
        <v>107060.12013017652</v>
      </c>
      <c r="X55" s="1233">
        <f>'Corrected and Updated TSF 2'!DA55</f>
        <v>77328.008456711017</v>
      </c>
      <c r="Y55" s="1233">
        <f>'Corrected and Updated TSF 2'!DB55</f>
        <v>58850.174433200184</v>
      </c>
      <c r="Z55" s="885">
        <f>H55-'Corrected and Updated TSF 2'!CH55</f>
        <v>0</v>
      </c>
      <c r="AA55" s="885">
        <f>I55-SUM('Corrected and Updated TSF 2'!CJ55:CK55)</f>
        <v>0</v>
      </c>
      <c r="AB55" s="885">
        <f>J55-'Corrected and Updated TSF 2'!CL55</f>
        <v>0</v>
      </c>
      <c r="AC55" s="886">
        <f>K55-'Corrected and Updated TSF 2'!CM55</f>
        <v>0</v>
      </c>
      <c r="AD55" s="885">
        <f>M55-'Corrected and Updated TSF 2'!CO55</f>
        <v>0</v>
      </c>
      <c r="AE55" s="887">
        <f>P55-'Corrected and Updated TSF 2'!CR55</f>
        <v>0</v>
      </c>
      <c r="AF55" s="885">
        <f>Q55-'Corrected and Updated TSF 2'!CT55</f>
        <v>0</v>
      </c>
      <c r="AG55" s="888"/>
      <c r="AH55" s="888"/>
      <c r="AI55" s="885">
        <f>S55-'INTERNAL PRICELIST'!AA55</f>
        <v>9209.5537724387214</v>
      </c>
      <c r="AJ55" s="885">
        <f>T55-'INTERNAL PRICELIST'!AB55</f>
        <v>11896.680547258369</v>
      </c>
      <c r="AK55" s="885">
        <f>U55-'INTERNAL PRICELIST'!AC55</f>
        <v>20288.65893969882</v>
      </c>
    </row>
    <row r="56" spans="1:45" s="152" customFormat="1" ht="12.75" hidden="1" customHeight="1">
      <c r="A56" s="876" t="str">
        <f t="shared" si="0"/>
        <v>4Q</v>
      </c>
      <c r="B56" s="877" t="str">
        <f>'Corrected and Updated TSF 2'!FI56</f>
        <v>SOLD</v>
      </c>
      <c r="C56" s="878" t="str">
        <f>'Corrected and Updated TSF 2'!E56</f>
        <v>4th Floor</v>
      </c>
      <c r="D56" s="763" t="str">
        <f>'Corrected and Updated TSF 2'!M56</f>
        <v>Inner</v>
      </c>
      <c r="E56" s="763" t="str">
        <f>'Corrected and Updated TSF 2'!G56</f>
        <v>4Q</v>
      </c>
      <c r="F56" s="747" t="str">
        <f>'Corrected and Updated TSF 2'!I56</f>
        <v>Studio</v>
      </c>
      <c r="G56" s="879">
        <f>'Corrected and Updated TSF 2'!J56</f>
        <v>22</v>
      </c>
      <c r="H56" s="879">
        <f>'Corrected and Updated TSF 2'!CH56</f>
        <v>3346371.2270467947</v>
      </c>
      <c r="I56" s="879">
        <f>SUM('Corrected and Updated TSF 2'!CJ56:CK56)</f>
        <v>460126.04371893429</v>
      </c>
      <c r="J56" s="879">
        <f>'Corrected and Updated TSF 2'!CL56</f>
        <v>3806497.2707657288</v>
      </c>
      <c r="K56" s="880">
        <f>'Corrected and Updated TSF 2'!CM56</f>
        <v>0.125</v>
      </c>
      <c r="L56" s="879">
        <f>'Corrected and Updated TSF 2'!CN56</f>
        <v>475812.1588457161</v>
      </c>
      <c r="M56" s="879">
        <f>'Corrected and Updated TSF 2'!CO56</f>
        <v>30000</v>
      </c>
      <c r="N56" s="879">
        <f>'Corrected and Updated TSF 2'!CP56</f>
        <v>445812.1588457161</v>
      </c>
      <c r="O56" s="881">
        <f>'Corrected and Updated TSF 2'!CQ56</f>
        <v>13</v>
      </c>
      <c r="P56" s="879">
        <f>'Corrected and Updated TSF 2'!CR56</f>
        <v>34293.242988132006</v>
      </c>
      <c r="Q56" s="879">
        <f>'Corrected and Updated TSF 2'!CT56</f>
        <v>3330685.1119200126</v>
      </c>
      <c r="R56" s="879">
        <f>'Corrected and Updated TSF 2'!CU56</f>
        <v>25822.76622153218</v>
      </c>
      <c r="S56" s="879">
        <f>'Corrected and Updated TSF 2'!CV56</f>
        <v>29937.139399009873</v>
      </c>
      <c r="T56" s="882">
        <f>'Corrected and Updated TSF 2'!CW56</f>
        <v>38672.078310114535</v>
      </c>
      <c r="U56" s="882">
        <f>'Corrected and Updated TSF 2'!CX56</f>
        <v>65951.557176514485</v>
      </c>
      <c r="V56" s="1167">
        <f>'Corrected and Updated TSF 2'!CY56</f>
        <v>270562.13827147207</v>
      </c>
      <c r="W56" s="1167">
        <f>'Corrected and Updated TSF 2'!CZ56</f>
        <v>107060.12013017652</v>
      </c>
      <c r="X56" s="1233">
        <f>'Corrected and Updated TSF 2'!DA56</f>
        <v>77328.008456711017</v>
      </c>
      <c r="Y56" s="1233">
        <f>'Corrected and Updated TSF 2'!DB56</f>
        <v>58850.174433200184</v>
      </c>
      <c r="Z56" s="885">
        <f>H56-'Corrected and Updated TSF 2'!CH56</f>
        <v>0</v>
      </c>
      <c r="AA56" s="885">
        <f>I56-SUM('Corrected and Updated TSF 2'!CJ56:CK56)</f>
        <v>0</v>
      </c>
      <c r="AB56" s="885">
        <f>J56-'Corrected and Updated TSF 2'!CL56</f>
        <v>0</v>
      </c>
      <c r="AC56" s="886">
        <f>K56-'Corrected and Updated TSF 2'!CM56</f>
        <v>0</v>
      </c>
      <c r="AD56" s="885">
        <f>M56-'Corrected and Updated TSF 2'!CO56</f>
        <v>0</v>
      </c>
      <c r="AE56" s="887">
        <f>P56-'Corrected and Updated TSF 2'!CR56</f>
        <v>0</v>
      </c>
      <c r="AF56" s="885">
        <f>Q56-'Corrected and Updated TSF 2'!CT56</f>
        <v>0</v>
      </c>
      <c r="AG56" s="888"/>
      <c r="AH56" s="888"/>
      <c r="AI56" s="885">
        <f>S56-'INTERNAL PRICELIST'!AA56</f>
        <v>9209.5537724387214</v>
      </c>
      <c r="AJ56" s="885">
        <f>T56-'INTERNAL PRICELIST'!AB56</f>
        <v>11896.680547258369</v>
      </c>
      <c r="AK56" s="885">
        <f>U56-'INTERNAL PRICELIST'!AC56</f>
        <v>20288.65893969882</v>
      </c>
    </row>
    <row r="57" spans="1:45" s="152" customFormat="1" ht="12.75" hidden="1" customHeight="1">
      <c r="A57" s="876" t="str">
        <f t="shared" si="0"/>
        <v>4R</v>
      </c>
      <c r="B57" s="877" t="str">
        <f>'Corrected and Updated TSF 2'!FI57</f>
        <v>SOLD</v>
      </c>
      <c r="C57" s="878" t="str">
        <f>'Corrected and Updated TSF 2'!E57</f>
        <v>4th Floor</v>
      </c>
      <c r="D57" s="763" t="str">
        <f>'Corrected and Updated TSF 2'!M57</f>
        <v>Corner</v>
      </c>
      <c r="E57" s="763" t="str">
        <f>'Corrected and Updated TSF 2'!G57</f>
        <v>4R</v>
      </c>
      <c r="F57" s="747" t="str">
        <f>'Corrected and Updated TSF 2'!I57</f>
        <v>Studio</v>
      </c>
      <c r="G57" s="879">
        <f>'Corrected and Updated TSF 2'!J57</f>
        <v>22</v>
      </c>
      <c r="H57" s="879">
        <f>'Corrected and Updated TSF 2'!CH57</f>
        <v>3421261.2489011637</v>
      </c>
      <c r="I57" s="879">
        <f>SUM('Corrected and Updated TSF 2'!CJ57:CK57)</f>
        <v>470423.42172390997</v>
      </c>
      <c r="J57" s="879">
        <f>'Corrected and Updated TSF 2'!CL57</f>
        <v>3891684.6706250738</v>
      </c>
      <c r="K57" s="880">
        <f>'Corrected and Updated TSF 2'!CM57</f>
        <v>0.125</v>
      </c>
      <c r="L57" s="879">
        <f>'Corrected and Updated TSF 2'!CN57</f>
        <v>486460.58382813423</v>
      </c>
      <c r="M57" s="879">
        <f>'Corrected and Updated TSF 2'!CO57</f>
        <v>30000</v>
      </c>
      <c r="N57" s="879">
        <f>'Corrected and Updated TSF 2'!CP57</f>
        <v>456460.58382813423</v>
      </c>
      <c r="O57" s="881">
        <f>'Corrected and Updated TSF 2'!CQ57</f>
        <v>13</v>
      </c>
      <c r="P57" s="879">
        <f>'Corrected and Updated TSF 2'!CR57</f>
        <v>35112.352602164174</v>
      </c>
      <c r="Q57" s="879">
        <f>'Corrected and Updated TSF 2'!CT57</f>
        <v>3405224.0867969394</v>
      </c>
      <c r="R57" s="879">
        <f>'Corrected and Updated TSF 2'!CU57</f>
        <v>26400.666100374212</v>
      </c>
      <c r="S57" s="879">
        <f>'Corrected and Updated TSF 2'!CV57</f>
        <v>30607.116778007276</v>
      </c>
      <c r="T57" s="882">
        <f>'Corrected and Updated TSF 2'!CW57</f>
        <v>39537.539011662055</v>
      </c>
      <c r="U57" s="882">
        <f>'Corrected and Updated TSF 2'!CX57</f>
        <v>67427.518217046629</v>
      </c>
      <c r="V57" s="1167">
        <f>'Corrected and Updated TSF 2'!CY57</f>
        <v>276617.17612392135</v>
      </c>
      <c r="W57" s="1167">
        <f>'Corrected and Updated TSF 2'!CZ57</f>
        <v>109456.06911260787</v>
      </c>
      <c r="X57" s="1233">
        <f>'Corrected and Updated TSF 2'!DA57</f>
        <v>79058.568472429484</v>
      </c>
      <c r="Y57" s="1233">
        <f>'Corrected and Updated TSF 2'!DB57</f>
        <v>60167.210276030237</v>
      </c>
      <c r="Z57" s="885">
        <f>H57-'Corrected and Updated TSF 2'!CH57</f>
        <v>0</v>
      </c>
      <c r="AA57" s="885">
        <f>I57-SUM('Corrected and Updated TSF 2'!CJ57:CK57)</f>
        <v>0</v>
      </c>
      <c r="AB57" s="885">
        <f>J57-'Corrected and Updated TSF 2'!CL57</f>
        <v>0</v>
      </c>
      <c r="AC57" s="886">
        <f>K57-'Corrected and Updated TSF 2'!CM57</f>
        <v>0</v>
      </c>
      <c r="AD57" s="885">
        <f>M57-'Corrected and Updated TSF 2'!CO57</f>
        <v>0</v>
      </c>
      <c r="AE57" s="887">
        <f>P57-'Corrected and Updated TSF 2'!CR57</f>
        <v>0</v>
      </c>
      <c r="AF57" s="885">
        <f>Q57-'Corrected and Updated TSF 2'!CT57</f>
        <v>0</v>
      </c>
      <c r="AG57" s="888"/>
      <c r="AH57" s="888"/>
      <c r="AI57" s="885">
        <f>S57-'INTERNAL PRICELIST'!AA57</f>
        <v>9879.5311514361238</v>
      </c>
      <c r="AJ57" s="885">
        <f>T57-'INTERNAL PRICELIST'!AB57</f>
        <v>12762.141248805889</v>
      </c>
      <c r="AK57" s="885">
        <f>U57-'INTERNAL PRICELIST'!AC57</f>
        <v>21764.619980230964</v>
      </c>
    </row>
    <row r="58" spans="1:45" s="152" customFormat="1" ht="12.75" hidden="1" customHeight="1">
      <c r="A58" s="876" t="str">
        <f t="shared" si="0"/>
        <v>5A</v>
      </c>
      <c r="B58" s="877" t="str">
        <f>'Corrected and Updated TSF 2'!FI58</f>
        <v>SOLD</v>
      </c>
      <c r="C58" s="878" t="str">
        <f>'Corrected and Updated TSF 2'!E58</f>
        <v>5th Floor</v>
      </c>
      <c r="D58" s="763" t="str">
        <f>'Corrected and Updated TSF 2'!M58</f>
        <v>End</v>
      </c>
      <c r="E58" s="763" t="str">
        <f>'Corrected and Updated TSF 2'!G58</f>
        <v>5A</v>
      </c>
      <c r="F58" s="747" t="str">
        <f>'Corrected and Updated TSF 2'!I58</f>
        <v>Studio</v>
      </c>
      <c r="G58" s="879">
        <f>'Corrected and Updated TSF 2'!J58</f>
        <v>22</v>
      </c>
      <c r="H58" s="879">
        <f>'Corrected and Updated TSF 2'!CH58</f>
        <v>3403559.9710083124</v>
      </c>
      <c r="I58" s="879">
        <f>SUM('Corrected and Updated TSF 2'!CJ58:CK58)</f>
        <v>467989.49601364299</v>
      </c>
      <c r="J58" s="879">
        <f>'Corrected and Updated TSF 2'!CL58</f>
        <v>3871549.4670219556</v>
      </c>
      <c r="K58" s="880">
        <f>'Corrected and Updated TSF 2'!CM58</f>
        <v>0.125</v>
      </c>
      <c r="L58" s="879">
        <f>'Corrected and Updated TSF 2'!CN58</f>
        <v>483943.68337774446</v>
      </c>
      <c r="M58" s="879">
        <f>'Corrected and Updated TSF 2'!CO58</f>
        <v>30000</v>
      </c>
      <c r="N58" s="879">
        <f>'Corrected and Updated TSF 2'!CP58</f>
        <v>453943.68337774446</v>
      </c>
      <c r="O58" s="881">
        <f>'Corrected and Updated TSF 2'!CQ58</f>
        <v>13</v>
      </c>
      <c r="P58" s="879">
        <f>'Corrected and Updated TSF 2'!CR58</f>
        <v>34918.744875211109</v>
      </c>
      <c r="Q58" s="879">
        <f>'Corrected and Updated TSF 2'!CT58</f>
        <v>3387605.783644211</v>
      </c>
      <c r="R58" s="879">
        <f>'Corrected and Updated TSF 2'!CU58</f>
        <v>26264.071583557004</v>
      </c>
      <c r="S58" s="879">
        <f>'Corrected and Updated TSF 2'!CV58</f>
        <v>30448.758488426069</v>
      </c>
      <c r="T58" s="882">
        <f>'Corrected and Updated TSF 2'!CW58</f>
        <v>39332.975573114454</v>
      </c>
      <c r="U58" s="882">
        <f>'Corrected and Updated TSF 2'!CX58</f>
        <v>67078.654698375394</v>
      </c>
      <c r="V58" s="1167">
        <f>'Corrected and Updated TSF 2'!CY58</f>
        <v>275185.98535879696</v>
      </c>
      <c r="W58" s="1167">
        <f>'Corrected and Updated TSF 2'!CZ58</f>
        <v>108889.75389857864</v>
      </c>
      <c r="X58" s="1233">
        <f>'Corrected and Updated TSF 2'!DA58</f>
        <v>78649.527014168751</v>
      </c>
      <c r="Y58" s="1233">
        <f>'Corrected and Updated TSF 2'!DB58</f>
        <v>59855.910894997673</v>
      </c>
      <c r="Z58" s="885">
        <f>H58-'Corrected and Updated TSF 2'!CH58</f>
        <v>0</v>
      </c>
      <c r="AA58" s="885">
        <f>I58-SUM('Corrected and Updated TSF 2'!CJ58:CK58)</f>
        <v>0</v>
      </c>
      <c r="AB58" s="885">
        <f>J58-'Corrected and Updated TSF 2'!CL58</f>
        <v>0</v>
      </c>
      <c r="AC58" s="886">
        <f>K58-'Corrected and Updated TSF 2'!CM58</f>
        <v>0</v>
      </c>
      <c r="AD58" s="885">
        <f>M58-'Corrected and Updated TSF 2'!CO58</f>
        <v>0</v>
      </c>
      <c r="AE58" s="887">
        <f>P58-'Corrected and Updated TSF 2'!CR58</f>
        <v>0</v>
      </c>
      <c r="AF58" s="885">
        <f>Q58-'Corrected and Updated TSF 2'!CT58</f>
        <v>0</v>
      </c>
      <c r="AG58" s="888"/>
      <c r="AH58" s="888"/>
      <c r="AI58" s="885">
        <f>S58-'INTERNAL PRICELIST'!AA58</f>
        <v>9721.1728618549168</v>
      </c>
      <c r="AJ58" s="885">
        <f>T58-'INTERNAL PRICELIST'!AB58</f>
        <v>12557.577810258288</v>
      </c>
      <c r="AK58" s="885">
        <f>U58-'INTERNAL PRICELIST'!AC58</f>
        <v>21415.756461559729</v>
      </c>
    </row>
    <row r="59" spans="1:45" s="152" customFormat="1" ht="12.75" hidden="1" customHeight="1">
      <c r="A59" s="876" t="str">
        <f t="shared" si="0"/>
        <v>5B</v>
      </c>
      <c r="B59" s="877" t="str">
        <f>'Corrected and Updated TSF 2'!FI59</f>
        <v>SOLD</v>
      </c>
      <c r="C59" s="878" t="str">
        <f>'Corrected and Updated TSF 2'!E59</f>
        <v>5th Floor</v>
      </c>
      <c r="D59" s="763" t="str">
        <f>'Corrected and Updated TSF 2'!M59</f>
        <v>Inner</v>
      </c>
      <c r="E59" s="763" t="str">
        <f>'Corrected and Updated TSF 2'!G59</f>
        <v>5B</v>
      </c>
      <c r="F59" s="747" t="str">
        <f>'Corrected and Updated TSF 2'!I59</f>
        <v>Studio</v>
      </c>
      <c r="G59" s="879">
        <f>'Corrected and Updated TSF 2'!J59</f>
        <v>22</v>
      </c>
      <c r="H59" s="879">
        <f>'Corrected and Updated TSF 2'!CH59</f>
        <v>3373603.9622665648</v>
      </c>
      <c r="I59" s="879">
        <f>SUM('Corrected and Updated TSF 2'!CJ59:CK59)</f>
        <v>463870.54481165262</v>
      </c>
      <c r="J59" s="879">
        <f>'Corrected and Updated TSF 2'!CL59</f>
        <v>3837474.5070782173</v>
      </c>
      <c r="K59" s="880">
        <f>'Corrected and Updated TSF 2'!CM59</f>
        <v>0.125</v>
      </c>
      <c r="L59" s="879">
        <f>'Corrected and Updated TSF 2'!CN59</f>
        <v>479684.31338477717</v>
      </c>
      <c r="M59" s="879">
        <f>'Corrected and Updated TSF 2'!CO59</f>
        <v>30000</v>
      </c>
      <c r="N59" s="879">
        <f>'Corrected and Updated TSF 2'!CP59</f>
        <v>449684.31338477717</v>
      </c>
      <c r="O59" s="881">
        <f>'Corrected and Updated TSF 2'!CQ59</f>
        <v>13</v>
      </c>
      <c r="P59" s="879">
        <f>'Corrected and Updated TSF 2'!CR59</f>
        <v>34591.101029598241</v>
      </c>
      <c r="Q59" s="879">
        <f>'Corrected and Updated TSF 2'!CT59</f>
        <v>3357790.1936934404</v>
      </c>
      <c r="R59" s="879">
        <f>'Corrected and Updated TSF 2'!CU59</f>
        <v>26032.91163202019</v>
      </c>
      <c r="S59" s="879">
        <f>'Corrected and Updated TSF 2'!CV59</f>
        <v>30180.767536827112</v>
      </c>
      <c r="T59" s="882">
        <f>'Corrected and Updated TSF 2'!CW59</f>
        <v>38986.791292495443</v>
      </c>
      <c r="U59" s="882">
        <f>'Corrected and Updated TSF 2'!CX59</f>
        <v>66488.270282162528</v>
      </c>
      <c r="V59" s="1167">
        <f>'Corrected and Updated TSF 2'!CY59</f>
        <v>272763.97021781723</v>
      </c>
      <c r="W59" s="1167">
        <f>'Corrected and Updated TSF 2'!CZ59</f>
        <v>107931.37430560609</v>
      </c>
      <c r="X59" s="1233">
        <f>'Corrected and Updated TSF 2'!DA59</f>
        <v>77957.303007881361</v>
      </c>
      <c r="Y59" s="1233">
        <f>'Corrected and Updated TSF 2'!DB59</f>
        <v>59329.096557865647</v>
      </c>
      <c r="Z59" s="885">
        <f>H59-'Corrected and Updated TSF 2'!CH59</f>
        <v>0</v>
      </c>
      <c r="AA59" s="885">
        <f>I59-SUM('Corrected and Updated TSF 2'!CJ59:CK59)</f>
        <v>0</v>
      </c>
      <c r="AB59" s="885">
        <f>J59-'Corrected and Updated TSF 2'!CL59</f>
        <v>0</v>
      </c>
      <c r="AC59" s="886">
        <f>K59-'Corrected and Updated TSF 2'!CM59</f>
        <v>0</v>
      </c>
      <c r="AD59" s="885">
        <f>M59-'Corrected and Updated TSF 2'!CO59</f>
        <v>0</v>
      </c>
      <c r="AE59" s="887">
        <f>P59-'Corrected and Updated TSF 2'!CR59</f>
        <v>0</v>
      </c>
      <c r="AF59" s="885">
        <f>Q59-'Corrected and Updated TSF 2'!CT59</f>
        <v>0</v>
      </c>
      <c r="AG59" s="888"/>
      <c r="AH59" s="888"/>
      <c r="AI59" s="885">
        <f>S59-'INTERNAL PRICELIST'!AA59</f>
        <v>9435.7855385042458</v>
      </c>
      <c r="AJ59" s="885">
        <f>T59-'INTERNAL PRICELIST'!AB59</f>
        <v>12188.921314028914</v>
      </c>
      <c r="AK59" s="885">
        <f>U59-'INTERNAL PRICELIST'!AC59</f>
        <v>20787.047815631951</v>
      </c>
    </row>
    <row r="60" spans="1:45" s="152" customFormat="1" ht="12.75" hidden="1" customHeight="1">
      <c r="A60" s="876" t="str">
        <f t="shared" si="0"/>
        <v>5C</v>
      </c>
      <c r="B60" s="877" t="str">
        <f>'Corrected and Updated TSF 2'!FI60</f>
        <v>SOLD</v>
      </c>
      <c r="C60" s="878" t="str">
        <f>'Corrected and Updated TSF 2'!E60</f>
        <v>5th Floor</v>
      </c>
      <c r="D60" s="763" t="str">
        <f>'Corrected and Updated TSF 2'!M60</f>
        <v>End</v>
      </c>
      <c r="E60" s="763" t="str">
        <f>'Corrected and Updated TSF 2'!G60</f>
        <v>5C</v>
      </c>
      <c r="F60" s="747" t="str">
        <f>'Corrected and Updated TSF 2'!I60</f>
        <v>Studio</v>
      </c>
      <c r="G60" s="879">
        <f>'Corrected and Updated TSF 2'!J60</f>
        <v>22</v>
      </c>
      <c r="H60" s="879">
        <f>'Corrected and Updated TSF 2'!CH60</f>
        <v>3403559.9710083124</v>
      </c>
      <c r="I60" s="879">
        <f>SUM('Corrected and Updated TSF 2'!CJ60:CK60)</f>
        <v>467989.49601364299</v>
      </c>
      <c r="J60" s="879">
        <f>'Corrected and Updated TSF 2'!CL60</f>
        <v>3871549.4670219556</v>
      </c>
      <c r="K60" s="880">
        <f>'Corrected and Updated TSF 2'!CM60</f>
        <v>0.125</v>
      </c>
      <c r="L60" s="879">
        <f>'Corrected and Updated TSF 2'!CN60</f>
        <v>483943.68337774446</v>
      </c>
      <c r="M60" s="879">
        <f>'Corrected and Updated TSF 2'!CO60</f>
        <v>30000</v>
      </c>
      <c r="N60" s="879">
        <f>'Corrected and Updated TSF 2'!CP60</f>
        <v>453943.68337774446</v>
      </c>
      <c r="O60" s="881">
        <f>'Corrected and Updated TSF 2'!CQ60</f>
        <v>13</v>
      </c>
      <c r="P60" s="879">
        <f>'Corrected and Updated TSF 2'!CR60</f>
        <v>34918.744875211109</v>
      </c>
      <c r="Q60" s="879">
        <f>'Corrected and Updated TSF 2'!CT60</f>
        <v>3387605.783644211</v>
      </c>
      <c r="R60" s="879">
        <f>'Corrected and Updated TSF 2'!CU60</f>
        <v>26264.071583557004</v>
      </c>
      <c r="S60" s="879">
        <f>'Corrected and Updated TSF 2'!CV60</f>
        <v>30448.758488426069</v>
      </c>
      <c r="T60" s="882">
        <f>'Corrected and Updated TSF 2'!CW60</f>
        <v>39332.975573114454</v>
      </c>
      <c r="U60" s="882">
        <f>'Corrected and Updated TSF 2'!CX60</f>
        <v>67078.654698375394</v>
      </c>
      <c r="V60" s="1167">
        <f>'Corrected and Updated TSF 2'!CY60</f>
        <v>275185.98535879696</v>
      </c>
      <c r="W60" s="1167">
        <f>'Corrected and Updated TSF 2'!CZ60</f>
        <v>108889.75389857864</v>
      </c>
      <c r="X60" s="1233">
        <f>'Corrected and Updated TSF 2'!DA60</f>
        <v>78649.527014168751</v>
      </c>
      <c r="Y60" s="1233">
        <f>'Corrected and Updated TSF 2'!DB60</f>
        <v>59855.910894997673</v>
      </c>
      <c r="Z60" s="885">
        <f>H60-'Corrected and Updated TSF 2'!CH60</f>
        <v>0</v>
      </c>
      <c r="AA60" s="885">
        <f>I60-SUM('Corrected and Updated TSF 2'!CJ60:CK60)</f>
        <v>0</v>
      </c>
      <c r="AB60" s="885">
        <f>J60-'Corrected and Updated TSF 2'!CL60</f>
        <v>0</v>
      </c>
      <c r="AC60" s="886">
        <f>K60-'Corrected and Updated TSF 2'!CM60</f>
        <v>0</v>
      </c>
      <c r="AD60" s="885">
        <f>M60-'Corrected and Updated TSF 2'!CO60</f>
        <v>0</v>
      </c>
      <c r="AE60" s="887">
        <f>P60-'Corrected and Updated TSF 2'!CR60</f>
        <v>0</v>
      </c>
      <c r="AF60" s="885">
        <f>Q60-'Corrected and Updated TSF 2'!CT60</f>
        <v>0</v>
      </c>
      <c r="AG60" s="888"/>
      <c r="AH60" s="888"/>
      <c r="AI60" s="885">
        <f>S60-'INTERNAL PRICELIST'!AA60</f>
        <v>9721.1728618549168</v>
      </c>
      <c r="AJ60" s="885">
        <f>T60-'INTERNAL PRICELIST'!AB60</f>
        <v>12557.577810258288</v>
      </c>
      <c r="AK60" s="885">
        <f>U60-'INTERNAL PRICELIST'!AC60</f>
        <v>21415.756461559729</v>
      </c>
    </row>
    <row r="61" spans="1:45" s="152" customFormat="1" ht="12.75" customHeight="1">
      <c r="A61" s="876" t="str">
        <f t="shared" si="0"/>
        <v>5D</v>
      </c>
      <c r="B61" s="877" t="str">
        <f>'Corrected and Updated TSF 2'!FI61</f>
        <v>UNSOLD</v>
      </c>
      <c r="C61" s="1002" t="str">
        <f>'Corrected and Updated TSF 2'!E61</f>
        <v>5th Floor</v>
      </c>
      <c r="D61" s="1003" t="str">
        <f>'Corrected and Updated TSF 2'!M61</f>
        <v>End</v>
      </c>
      <c r="E61" s="1003" t="str">
        <f>'Corrected and Updated TSF 2'!G61</f>
        <v>5D</v>
      </c>
      <c r="F61" s="1004" t="str">
        <f>'Corrected and Updated TSF 2'!I61</f>
        <v>Studio</v>
      </c>
      <c r="G61" s="1005">
        <f>'Corrected and Updated TSF 2'!J61</f>
        <v>22</v>
      </c>
      <c r="H61" s="1005">
        <f>'Corrected and Updated TSF 2'!CH61</f>
        <v>3440426.42202478</v>
      </c>
      <c r="I61" s="1005">
        <f>SUM('Corrected and Updated TSF 2'!CJ61:CK61)</f>
        <v>473058.63302840723</v>
      </c>
      <c r="J61" s="1005">
        <f>'Corrected and Updated TSF 2'!CL61</f>
        <v>3913485.0550531875</v>
      </c>
      <c r="K61" s="1006">
        <f>'Corrected and Updated TSF 2'!CM61</f>
        <v>0.125</v>
      </c>
      <c r="L61" s="1005">
        <f>'Corrected and Updated TSF 2'!CN61</f>
        <v>489185.63188164844</v>
      </c>
      <c r="M61" s="1005">
        <f>'Corrected and Updated TSF 2'!CO61</f>
        <v>30000</v>
      </c>
      <c r="N61" s="1005">
        <f>'Corrected and Updated TSF 2'!CP61</f>
        <v>459185.63188164844</v>
      </c>
      <c r="O61" s="1007">
        <f>'Corrected and Updated TSF 2'!CQ61</f>
        <v>13</v>
      </c>
      <c r="P61" s="1005">
        <f>'Corrected and Updated TSF 2'!CR61</f>
        <v>35321.971683203723</v>
      </c>
      <c r="Q61" s="1005">
        <f>'Corrected and Updated TSF 2'!CT61</f>
        <v>3424299.4231715389</v>
      </c>
      <c r="R61" s="1005">
        <f>'Corrected and Updated TSF 2'!CU61</f>
        <v>26548.556980252204</v>
      </c>
      <c r="S61" s="1005">
        <f>'Corrected and Updated TSF 2'!CV61</f>
        <v>30778.571294102374</v>
      </c>
      <c r="T61" s="882">
        <f>'Corrected and Updated TSF 2'!CW61</f>
        <v>39759.019841365895</v>
      </c>
      <c r="U61" s="882">
        <f>'Corrected and Updated TSF 2'!CX61</f>
        <v>67805.23273982403</v>
      </c>
      <c r="V61" s="1167">
        <f>'Corrected and Updated TSF 2'!CY61</f>
        <v>278166.72632885922</v>
      </c>
      <c r="W61" s="1167">
        <f>'Corrected and Updated TSF 2'!CZ61</f>
        <v>110069.21858040938</v>
      </c>
      <c r="X61" s="1233">
        <f>'Corrected and Updated TSF 2'!DA61</f>
        <v>79501.437648867271</v>
      </c>
      <c r="Y61" s="1233">
        <f>'Corrected and Updated TSF 2'!DB61</f>
        <v>60504.254107943249</v>
      </c>
      <c r="Z61" s="885">
        <f>H61-'Corrected and Updated TSF 2'!CH61</f>
        <v>0</v>
      </c>
      <c r="AA61" s="885">
        <f>I61-SUM('Corrected and Updated TSF 2'!CJ61:CK61)</f>
        <v>0</v>
      </c>
      <c r="AB61" s="885">
        <f>J61-'Corrected and Updated TSF 2'!CL61</f>
        <v>0</v>
      </c>
      <c r="AC61" s="886">
        <f>K61-'Corrected and Updated TSF 2'!CM61</f>
        <v>0</v>
      </c>
      <c r="AD61" s="885">
        <f>M61-'Corrected and Updated TSF 2'!CO61</f>
        <v>0</v>
      </c>
      <c r="AE61" s="887">
        <f>P61-'Corrected and Updated TSF 2'!CR61</f>
        <v>0</v>
      </c>
      <c r="AF61" s="885">
        <f>Q61-'Corrected and Updated TSF 2'!CT61</f>
        <v>0</v>
      </c>
      <c r="AG61" s="888"/>
      <c r="AH61" s="888"/>
      <c r="AI61" s="885">
        <f>S61-'INTERNAL PRICELIST'!AA61</f>
        <v>10050.985667531222</v>
      </c>
      <c r="AJ61" s="885">
        <f>T61-'INTERNAL PRICELIST'!AB61</f>
        <v>12983.622078509728</v>
      </c>
      <c r="AK61" s="885">
        <f>U61-'INTERNAL PRICELIST'!AC61</f>
        <v>22142.334503008366</v>
      </c>
      <c r="AL61" s="883"/>
      <c r="AM61" s="883"/>
      <c r="AN61" s="883"/>
      <c r="AO61" s="883"/>
      <c r="AP61" s="883"/>
      <c r="AQ61" s="883"/>
      <c r="AR61" s="883"/>
      <c r="AS61" s="883"/>
    </row>
    <row r="62" spans="1:45" s="152" customFormat="1" ht="12.75" hidden="1" customHeight="1">
      <c r="A62" s="876" t="str">
        <f t="shared" si="0"/>
        <v>5E</v>
      </c>
      <c r="B62" s="877" t="str">
        <f>'Corrected and Updated TSF 2'!FI62</f>
        <v>SOLD</v>
      </c>
      <c r="C62" s="878" t="str">
        <f>'Corrected and Updated TSF 2'!E62</f>
        <v>5th Floor</v>
      </c>
      <c r="D62" s="763" t="str">
        <f>'Corrected and Updated TSF 2'!M62</f>
        <v>End</v>
      </c>
      <c r="E62" s="763" t="str">
        <f>'Corrected and Updated TSF 2'!G62</f>
        <v>5E</v>
      </c>
      <c r="F62" s="747" t="str">
        <f>'Corrected and Updated TSF 2'!I62</f>
        <v>Studio</v>
      </c>
      <c r="G62" s="879">
        <f>'Corrected and Updated TSF 2'!J62</f>
        <v>22</v>
      </c>
      <c r="H62" s="879">
        <f>'Corrected and Updated TSF 2'!CH62</f>
        <v>3417508.8175587473</v>
      </c>
      <c r="I62" s="879">
        <f>SUM('Corrected and Updated TSF 2'!CJ62:CK62)</f>
        <v>469907.46241432772</v>
      </c>
      <c r="J62" s="879">
        <f>'Corrected and Updated TSF 2'!CL62</f>
        <v>3887416.2799730753</v>
      </c>
      <c r="K62" s="880">
        <f>'Corrected and Updated TSF 2'!CM62</f>
        <v>0.125</v>
      </c>
      <c r="L62" s="879">
        <f>'Corrected and Updated TSF 2'!CN62</f>
        <v>485927.03499663441</v>
      </c>
      <c r="M62" s="879">
        <f>'Corrected and Updated TSF 2'!CO62</f>
        <v>30000</v>
      </c>
      <c r="N62" s="879">
        <f>'Corrected and Updated TSF 2'!CP62</f>
        <v>455927.03499663441</v>
      </c>
      <c r="O62" s="881">
        <f>'Corrected and Updated TSF 2'!CQ62</f>
        <v>13</v>
      </c>
      <c r="P62" s="879">
        <f>'Corrected and Updated TSF 2'!CR62</f>
        <v>35071.31038435649</v>
      </c>
      <c r="Q62" s="879">
        <f>'Corrected and Updated TSF 2'!CT62</f>
        <v>3401489.2449764409</v>
      </c>
      <c r="R62" s="879">
        <f>'Corrected and Updated TSF 2'!CU62</f>
        <v>26371.709911492839</v>
      </c>
      <c r="S62" s="879">
        <f>'Corrected and Updated TSF 2'!CV62</f>
        <v>30573.546963853019</v>
      </c>
      <c r="T62" s="882">
        <f>'Corrected and Updated TSF 2'!CW62</f>
        <v>39494.174331272035</v>
      </c>
      <c r="U62" s="882">
        <f>'Corrected and Updated TSF 2'!CX62</f>
        <v>67353.563872642146</v>
      </c>
      <c r="V62" s="1167">
        <f>'Corrected and Updated TSF 2'!CY62</f>
        <v>276313.78305159416</v>
      </c>
      <c r="W62" s="1167">
        <f>'Corrected and Updated TSF 2'!CZ62</f>
        <v>109336.01795180052</v>
      </c>
      <c r="X62" s="1233">
        <f>'Corrected and Updated TSF 2'!DA62</f>
        <v>78971.857219286292</v>
      </c>
      <c r="Y62" s="1233">
        <f>'Corrected and Updated TSF 2'!DB62</f>
        <v>60101.219020408338</v>
      </c>
      <c r="Z62" s="885">
        <f>H62-'Corrected and Updated TSF 2'!CH62</f>
        <v>0</v>
      </c>
      <c r="AA62" s="885">
        <f>I62-SUM('Corrected and Updated TSF 2'!CJ62:CK62)</f>
        <v>0</v>
      </c>
      <c r="AB62" s="885">
        <f>J62-'Corrected and Updated TSF 2'!CL62</f>
        <v>0</v>
      </c>
      <c r="AC62" s="886">
        <f>K62-'Corrected and Updated TSF 2'!CM62</f>
        <v>0</v>
      </c>
      <c r="AD62" s="885">
        <f>M62-'Corrected and Updated TSF 2'!CO62</f>
        <v>0</v>
      </c>
      <c r="AE62" s="887">
        <f>P62-'Corrected and Updated TSF 2'!CR62</f>
        <v>0</v>
      </c>
      <c r="AF62" s="885">
        <f>Q62-'Corrected and Updated TSF 2'!CT62</f>
        <v>0</v>
      </c>
      <c r="AG62" s="888"/>
      <c r="AH62" s="888"/>
      <c r="AI62" s="885">
        <f>S62-'INTERNAL PRICELIST'!AA62</f>
        <v>9845.9613372818676</v>
      </c>
      <c r="AJ62" s="885">
        <f>T62-'INTERNAL PRICELIST'!AB62</f>
        <v>12718.776568415869</v>
      </c>
      <c r="AK62" s="885">
        <f>U62-'INTERNAL PRICELIST'!AC62</f>
        <v>21690.665635826481</v>
      </c>
    </row>
    <row r="63" spans="1:45" s="152" customFormat="1" ht="12.75" hidden="1" customHeight="1">
      <c r="A63" s="876" t="str">
        <f t="shared" si="0"/>
        <v>5F</v>
      </c>
      <c r="B63" s="877" t="str">
        <f>'Corrected and Updated TSF 2'!FI63</f>
        <v>SOLD</v>
      </c>
      <c r="C63" s="878" t="str">
        <f>'Corrected and Updated TSF 2'!E63</f>
        <v>5th Floor</v>
      </c>
      <c r="D63" s="763" t="str">
        <f>'Corrected and Updated TSF 2'!M63</f>
        <v>End</v>
      </c>
      <c r="E63" s="763" t="str">
        <f>'Corrected and Updated TSF 2'!G63</f>
        <v>5F</v>
      </c>
      <c r="F63" s="747" t="str">
        <f>'Corrected and Updated TSF 2'!I63</f>
        <v>Studio</v>
      </c>
      <c r="G63" s="879">
        <f>'Corrected and Updated TSF 2'!J63</f>
        <v>22</v>
      </c>
      <c r="H63" s="879">
        <f>'Corrected and Updated TSF 2'!CH63</f>
        <v>3403559.9710083124</v>
      </c>
      <c r="I63" s="879">
        <f>SUM('Corrected and Updated TSF 2'!CJ63:CK63)</f>
        <v>467989.49601364299</v>
      </c>
      <c r="J63" s="879">
        <f>'Corrected and Updated TSF 2'!CL63</f>
        <v>3871549.4670219556</v>
      </c>
      <c r="K63" s="880">
        <f>'Corrected and Updated TSF 2'!CM63</f>
        <v>0.125</v>
      </c>
      <c r="L63" s="879">
        <f>'Corrected and Updated TSF 2'!CN63</f>
        <v>483943.68337774446</v>
      </c>
      <c r="M63" s="879">
        <f>'Corrected and Updated TSF 2'!CO63</f>
        <v>30000</v>
      </c>
      <c r="N63" s="879">
        <f>'Corrected and Updated TSF 2'!CP63</f>
        <v>453943.68337774446</v>
      </c>
      <c r="O63" s="881">
        <f>'Corrected and Updated TSF 2'!CQ63</f>
        <v>13</v>
      </c>
      <c r="P63" s="879">
        <f>'Corrected and Updated TSF 2'!CR63</f>
        <v>34918.744875211109</v>
      </c>
      <c r="Q63" s="879">
        <f>'Corrected and Updated TSF 2'!CT63</f>
        <v>3387605.783644211</v>
      </c>
      <c r="R63" s="879">
        <f>'Corrected and Updated TSF 2'!CU63</f>
        <v>26264.071583557004</v>
      </c>
      <c r="S63" s="879">
        <f>'Corrected and Updated TSF 2'!CV63</f>
        <v>30448.758488426069</v>
      </c>
      <c r="T63" s="882">
        <f>'Corrected and Updated TSF 2'!CW63</f>
        <v>39332.975573114454</v>
      </c>
      <c r="U63" s="882">
        <f>'Corrected and Updated TSF 2'!CX63</f>
        <v>67078.654698375394</v>
      </c>
      <c r="V63" s="1167">
        <f>'Corrected and Updated TSF 2'!CY63</f>
        <v>275185.98535879696</v>
      </c>
      <c r="W63" s="1167">
        <f>'Corrected and Updated TSF 2'!CZ63</f>
        <v>108889.75389857864</v>
      </c>
      <c r="X63" s="1233">
        <f>'Corrected and Updated TSF 2'!DA63</f>
        <v>78649.527014168751</v>
      </c>
      <c r="Y63" s="1233">
        <f>'Corrected and Updated TSF 2'!DB63</f>
        <v>59855.910894997673</v>
      </c>
      <c r="Z63" s="885">
        <f>H63-'Corrected and Updated TSF 2'!CH63</f>
        <v>0</v>
      </c>
      <c r="AA63" s="885">
        <f>I63-SUM('Corrected and Updated TSF 2'!CJ63:CK63)</f>
        <v>0</v>
      </c>
      <c r="AB63" s="885">
        <f>J63-'Corrected and Updated TSF 2'!CL63</f>
        <v>0</v>
      </c>
      <c r="AC63" s="886">
        <f>K63-'Corrected and Updated TSF 2'!CM63</f>
        <v>0</v>
      </c>
      <c r="AD63" s="885">
        <f>M63-'Corrected and Updated TSF 2'!CO63</f>
        <v>0</v>
      </c>
      <c r="AE63" s="887">
        <f>P63-'Corrected and Updated TSF 2'!CR63</f>
        <v>0</v>
      </c>
      <c r="AF63" s="885">
        <f>Q63-'Corrected and Updated TSF 2'!CT63</f>
        <v>0</v>
      </c>
      <c r="AG63" s="888"/>
      <c r="AH63" s="888"/>
      <c r="AI63" s="885">
        <f>S63-'INTERNAL PRICELIST'!AA63</f>
        <v>9721.1728618549168</v>
      </c>
      <c r="AJ63" s="885">
        <f>T63-'INTERNAL PRICELIST'!AB63</f>
        <v>12557.577810258288</v>
      </c>
      <c r="AK63" s="885">
        <f>U63-'INTERNAL PRICELIST'!AC63</f>
        <v>21415.756461559729</v>
      </c>
    </row>
    <row r="64" spans="1:45" s="152" customFormat="1" ht="12.75" hidden="1" customHeight="1">
      <c r="A64" s="876" t="str">
        <f t="shared" si="0"/>
        <v>5G</v>
      </c>
      <c r="B64" s="877" t="str">
        <f>'Corrected and Updated TSF 2'!FI64</f>
        <v>SOLD</v>
      </c>
      <c r="C64" s="878" t="str">
        <f>'Corrected and Updated TSF 2'!E64</f>
        <v>5th Floor</v>
      </c>
      <c r="D64" s="763" t="str">
        <f>'Corrected and Updated TSF 2'!M64</f>
        <v>Corner</v>
      </c>
      <c r="E64" s="763" t="str">
        <f>'Corrected and Updated TSF 2'!G64</f>
        <v>5G</v>
      </c>
      <c r="F64" s="747" t="str">
        <f>'Corrected and Updated TSF 2'!I64</f>
        <v>Studio</v>
      </c>
      <c r="G64" s="879">
        <f>'Corrected and Updated TSF 2'!J64</f>
        <v>22</v>
      </c>
      <c r="H64" s="879">
        <f>'Corrected and Updated TSF 2'!CH64</f>
        <v>3448493.9841209343</v>
      </c>
      <c r="I64" s="879">
        <f>SUM('Corrected and Updated TSF 2'!CJ64:CK64)</f>
        <v>474167.92281662847</v>
      </c>
      <c r="J64" s="879">
        <f>'Corrected and Updated TSF 2'!CL64</f>
        <v>3922661.9069375629</v>
      </c>
      <c r="K64" s="880">
        <f>'Corrected and Updated TSF 2'!CM64</f>
        <v>0.125</v>
      </c>
      <c r="L64" s="879">
        <f>'Corrected and Updated TSF 2'!CN64</f>
        <v>490332.73836719536</v>
      </c>
      <c r="M64" s="879">
        <f>'Corrected and Updated TSF 2'!CO64</f>
        <v>30000</v>
      </c>
      <c r="N64" s="879">
        <f>'Corrected and Updated TSF 2'!CP64</f>
        <v>460332.73836719536</v>
      </c>
      <c r="O64" s="881">
        <f>'Corrected and Updated TSF 2'!CQ64</f>
        <v>13</v>
      </c>
      <c r="P64" s="879">
        <f>'Corrected and Updated TSF 2'!CR64</f>
        <v>35410.210643630409</v>
      </c>
      <c r="Q64" s="879">
        <f>'Corrected and Updated TSF 2'!CT64</f>
        <v>3432329.1685703676</v>
      </c>
      <c r="R64" s="879">
        <f>'Corrected and Updated TSF 2'!CU64</f>
        <v>26610.81151086223</v>
      </c>
      <c r="S64" s="879">
        <f>'Corrected and Updated TSF 2'!CV64</f>
        <v>30850.744915824522</v>
      </c>
      <c r="T64" s="882">
        <f>'Corrected and Updated TSF 2'!CW64</f>
        <v>39852.251994042977</v>
      </c>
      <c r="U64" s="882">
        <f>'Corrected and Updated TSF 2'!CX64</f>
        <v>67964.231322694686</v>
      </c>
      <c r="V64" s="1167">
        <f>'Corrected and Updated TSF 2'!CY64</f>
        <v>278819.00807026657</v>
      </c>
      <c r="W64" s="1167">
        <f>'Corrected and Updated TSF 2'!CZ64</f>
        <v>110327.32328803747</v>
      </c>
      <c r="X64" s="1233">
        <f>'Corrected and Updated TSF 2'!DA64</f>
        <v>79687.863023599843</v>
      </c>
      <c r="Y64" s="1233">
        <f>'Corrected and Updated TSF 2'!DB64</f>
        <v>60646.132400695707</v>
      </c>
      <c r="Z64" s="885">
        <f>H64-'Corrected and Updated TSF 2'!CH64</f>
        <v>0</v>
      </c>
      <c r="AA64" s="885">
        <f>I64-SUM('Corrected and Updated TSF 2'!CJ64:CK64)</f>
        <v>0</v>
      </c>
      <c r="AB64" s="885">
        <f>J64-'Corrected and Updated TSF 2'!CL64</f>
        <v>0</v>
      </c>
      <c r="AC64" s="886">
        <f>K64-'Corrected and Updated TSF 2'!CM64</f>
        <v>0</v>
      </c>
      <c r="AD64" s="885">
        <f>M64-'Corrected and Updated TSF 2'!CO64</f>
        <v>0</v>
      </c>
      <c r="AE64" s="887">
        <f>P64-'Corrected and Updated TSF 2'!CR64</f>
        <v>0</v>
      </c>
      <c r="AF64" s="885">
        <f>Q64-'Corrected and Updated TSF 2'!CT64</f>
        <v>0</v>
      </c>
      <c r="AG64" s="888"/>
      <c r="AH64" s="888"/>
      <c r="AI64" s="885">
        <f>S64-'INTERNAL PRICELIST'!AA64</f>
        <v>10123.15928925337</v>
      </c>
      <c r="AJ64" s="885">
        <f>T64-'INTERNAL PRICELIST'!AB64</f>
        <v>13076.854231186811</v>
      </c>
      <c r="AK64" s="885">
        <f>U64-'INTERNAL PRICELIST'!AC64</f>
        <v>22301.333085879021</v>
      </c>
    </row>
    <row r="65" spans="1:37" s="883" customFormat="1" ht="12.75" hidden="1" customHeight="1">
      <c r="A65" s="876" t="str">
        <f t="shared" si="0"/>
        <v>5H</v>
      </c>
      <c r="B65" s="877" t="str">
        <f>'Corrected and Updated TSF 2'!FI65</f>
        <v>SOLD</v>
      </c>
      <c r="C65" s="878" t="str">
        <f>'Corrected and Updated TSF 2'!E65</f>
        <v>5th Floor</v>
      </c>
      <c r="D65" s="763" t="str">
        <f>'Corrected and Updated TSF 2'!M65</f>
        <v>Corner</v>
      </c>
      <c r="E65" s="763" t="str">
        <f>'Corrected and Updated TSF 2'!G65</f>
        <v>5H</v>
      </c>
      <c r="F65" s="747" t="str">
        <f>'Corrected and Updated TSF 2'!I65</f>
        <v>Studio</v>
      </c>
      <c r="G65" s="879">
        <f>'Corrected and Updated TSF 2'!J65</f>
        <v>22</v>
      </c>
      <c r="H65" s="879">
        <f>'Corrected and Updated TSF 2'!CH65</f>
        <v>3448493.9841209343</v>
      </c>
      <c r="I65" s="879">
        <f>SUM('Corrected and Updated TSF 2'!CJ65:CK65)</f>
        <v>474167.92281662847</v>
      </c>
      <c r="J65" s="879">
        <f>'Corrected and Updated TSF 2'!CL65</f>
        <v>3922661.9069375629</v>
      </c>
      <c r="K65" s="880">
        <f>'Corrected and Updated TSF 2'!CM65</f>
        <v>0.125</v>
      </c>
      <c r="L65" s="879">
        <f>'Corrected and Updated TSF 2'!CN65</f>
        <v>490332.73836719536</v>
      </c>
      <c r="M65" s="879">
        <f>'Corrected and Updated TSF 2'!CO65</f>
        <v>30000</v>
      </c>
      <c r="N65" s="879">
        <f>'Corrected and Updated TSF 2'!CP65</f>
        <v>460332.73836719536</v>
      </c>
      <c r="O65" s="881">
        <f>'Corrected and Updated TSF 2'!CQ65</f>
        <v>13</v>
      </c>
      <c r="P65" s="879">
        <f>'Corrected and Updated TSF 2'!CR65</f>
        <v>35410.210643630409</v>
      </c>
      <c r="Q65" s="879">
        <f>'Corrected and Updated TSF 2'!CT65</f>
        <v>3432329.1685703676</v>
      </c>
      <c r="R65" s="879">
        <f>'Corrected and Updated TSF 2'!CU65</f>
        <v>26610.81151086223</v>
      </c>
      <c r="S65" s="879">
        <f>'Corrected and Updated TSF 2'!CV65</f>
        <v>30850.744915824522</v>
      </c>
      <c r="T65" s="882">
        <f>'Corrected and Updated TSF 2'!CW65</f>
        <v>39852.251994042977</v>
      </c>
      <c r="U65" s="882">
        <f>'Corrected and Updated TSF 2'!CX65</f>
        <v>67964.231322694686</v>
      </c>
      <c r="V65" s="1167">
        <f>'Corrected and Updated TSF 2'!CY65</f>
        <v>278819.00807026657</v>
      </c>
      <c r="W65" s="1167">
        <f>'Corrected and Updated TSF 2'!CZ65</f>
        <v>110327.32328803747</v>
      </c>
      <c r="X65" s="1233">
        <f>'Corrected and Updated TSF 2'!DA65</f>
        <v>79687.863023599843</v>
      </c>
      <c r="Y65" s="1233">
        <f>'Corrected and Updated TSF 2'!DB65</f>
        <v>60646.132400695707</v>
      </c>
      <c r="Z65" s="885">
        <f>H65-'Corrected and Updated TSF 2'!CH65</f>
        <v>0</v>
      </c>
      <c r="AA65" s="885">
        <f>I65-SUM('Corrected and Updated TSF 2'!CJ65:CK65)</f>
        <v>0</v>
      </c>
      <c r="AB65" s="885">
        <f>J65-'Corrected and Updated TSF 2'!CL65</f>
        <v>0</v>
      </c>
      <c r="AC65" s="886">
        <f>K65-'Corrected and Updated TSF 2'!CM65</f>
        <v>0</v>
      </c>
      <c r="AD65" s="885">
        <f>M65-'Corrected and Updated TSF 2'!CO65</f>
        <v>0</v>
      </c>
      <c r="AE65" s="887">
        <f>P65-'Corrected and Updated TSF 2'!CR65</f>
        <v>0</v>
      </c>
      <c r="AF65" s="885">
        <f>Q65-'Corrected and Updated TSF 2'!CT65</f>
        <v>0</v>
      </c>
      <c r="AG65" s="888"/>
      <c r="AH65" s="888"/>
      <c r="AI65" s="885">
        <f>S65-'INTERNAL PRICELIST'!AA65</f>
        <v>10123.15928925337</v>
      </c>
      <c r="AJ65" s="885">
        <f>T65-'INTERNAL PRICELIST'!AB65</f>
        <v>13076.854231186811</v>
      </c>
      <c r="AK65" s="885">
        <f>U65-'INTERNAL PRICELIST'!AC65</f>
        <v>22301.333085879021</v>
      </c>
    </row>
    <row r="66" spans="1:37" s="152" customFormat="1" ht="12.75" hidden="1" customHeight="1">
      <c r="A66" s="876" t="str">
        <f t="shared" si="0"/>
        <v>5I</v>
      </c>
      <c r="B66" s="877" t="str">
        <f>'Corrected and Updated TSF 2'!FI66</f>
        <v>SOLD</v>
      </c>
      <c r="C66" s="878" t="str">
        <f>'Corrected and Updated TSF 2'!E66</f>
        <v>5th Floor</v>
      </c>
      <c r="D66" s="763" t="str">
        <f>'Corrected and Updated TSF 2'!M66</f>
        <v>Inner</v>
      </c>
      <c r="E66" s="763" t="str">
        <f>'Corrected and Updated TSF 2'!G66</f>
        <v>5I</v>
      </c>
      <c r="F66" s="747" t="str">
        <f>'Corrected and Updated TSF 2'!I66</f>
        <v>Studio</v>
      </c>
      <c r="G66" s="879">
        <f>'Corrected and Updated TSF 2'!J66</f>
        <v>22</v>
      </c>
      <c r="H66" s="879">
        <f>'Corrected and Updated TSF 2'!CH66</f>
        <v>3373603.9622665648</v>
      </c>
      <c r="I66" s="879">
        <f>SUM('Corrected and Updated TSF 2'!CJ66:CK66)</f>
        <v>463870.54481165262</v>
      </c>
      <c r="J66" s="879">
        <f>'Corrected and Updated TSF 2'!CL66</f>
        <v>3837474.5070782173</v>
      </c>
      <c r="K66" s="880">
        <f>'Corrected and Updated TSF 2'!CM66</f>
        <v>0.125</v>
      </c>
      <c r="L66" s="879">
        <f>'Corrected and Updated TSF 2'!CN66</f>
        <v>479684.31338477717</v>
      </c>
      <c r="M66" s="879">
        <f>'Corrected and Updated TSF 2'!CO66</f>
        <v>30000</v>
      </c>
      <c r="N66" s="879">
        <f>'Corrected and Updated TSF 2'!CP66</f>
        <v>449684.31338477717</v>
      </c>
      <c r="O66" s="881">
        <f>'Corrected and Updated TSF 2'!CQ66</f>
        <v>13</v>
      </c>
      <c r="P66" s="879">
        <f>'Corrected and Updated TSF 2'!CR66</f>
        <v>34591.101029598241</v>
      </c>
      <c r="Q66" s="879">
        <f>'Corrected and Updated TSF 2'!CT66</f>
        <v>3357790.1936934404</v>
      </c>
      <c r="R66" s="879">
        <f>'Corrected and Updated TSF 2'!CU66</f>
        <v>26032.91163202019</v>
      </c>
      <c r="S66" s="879">
        <f>'Corrected and Updated TSF 2'!CV66</f>
        <v>30180.767536827112</v>
      </c>
      <c r="T66" s="882">
        <f>'Corrected and Updated TSF 2'!CW66</f>
        <v>38986.791292495443</v>
      </c>
      <c r="U66" s="882">
        <f>'Corrected and Updated TSF 2'!CX66</f>
        <v>66488.270282162528</v>
      </c>
      <c r="V66" s="1167">
        <f>'Corrected and Updated TSF 2'!CY66</f>
        <v>272763.97021781723</v>
      </c>
      <c r="W66" s="1167">
        <f>'Corrected and Updated TSF 2'!CZ66</f>
        <v>107931.37430560609</v>
      </c>
      <c r="X66" s="1233">
        <f>'Corrected and Updated TSF 2'!DA66</f>
        <v>77957.303007881361</v>
      </c>
      <c r="Y66" s="1233">
        <f>'Corrected and Updated TSF 2'!DB66</f>
        <v>59329.096557865647</v>
      </c>
      <c r="Z66" s="885">
        <f>H66-'Corrected and Updated TSF 2'!CH66</f>
        <v>0</v>
      </c>
      <c r="AA66" s="885">
        <f>I66-SUM('Corrected and Updated TSF 2'!CJ66:CK66)</f>
        <v>0</v>
      </c>
      <c r="AB66" s="885">
        <f>J66-'Corrected and Updated TSF 2'!CL66</f>
        <v>0</v>
      </c>
      <c r="AC66" s="886">
        <f>K66-'Corrected and Updated TSF 2'!CM66</f>
        <v>0</v>
      </c>
      <c r="AD66" s="885">
        <f>M66-'Corrected and Updated TSF 2'!CO66</f>
        <v>0</v>
      </c>
      <c r="AE66" s="887">
        <f>P66-'Corrected and Updated TSF 2'!CR66</f>
        <v>0</v>
      </c>
      <c r="AF66" s="885">
        <f>Q66-'Corrected and Updated TSF 2'!CT66</f>
        <v>0</v>
      </c>
      <c r="AG66" s="888"/>
      <c r="AH66" s="888"/>
      <c r="AI66" s="885">
        <f>S66-'INTERNAL PRICELIST'!AA66</f>
        <v>9453.1819102559602</v>
      </c>
      <c r="AJ66" s="885">
        <f>T66-'INTERNAL PRICELIST'!AB66</f>
        <v>12211.393529639277</v>
      </c>
      <c r="AK66" s="885">
        <f>U66-'INTERNAL PRICELIST'!AC66</f>
        <v>20825.372045346863</v>
      </c>
    </row>
    <row r="67" spans="1:37" s="152" customFormat="1" ht="12.75" hidden="1" customHeight="1">
      <c r="A67" s="876" t="str">
        <f t="shared" si="0"/>
        <v>5J</v>
      </c>
      <c r="B67" s="877" t="str">
        <f>'Corrected and Updated TSF 2'!FI67</f>
        <v>SOLD</v>
      </c>
      <c r="C67" s="878" t="str">
        <f>'Corrected and Updated TSF 2'!E67</f>
        <v>5th Floor</v>
      </c>
      <c r="D67" s="763" t="str">
        <f>'Corrected and Updated TSF 2'!M67</f>
        <v>Inner</v>
      </c>
      <c r="E67" s="763" t="str">
        <f>'Corrected and Updated TSF 2'!G67</f>
        <v>5J</v>
      </c>
      <c r="F67" s="747" t="str">
        <f>'Corrected and Updated TSF 2'!I67</f>
        <v>Studio</v>
      </c>
      <c r="G67" s="879">
        <f>'Corrected and Updated TSF 2'!J67</f>
        <v>22</v>
      </c>
      <c r="H67" s="879">
        <f>'Corrected and Updated TSF 2'!CH67</f>
        <v>3373603.9622665648</v>
      </c>
      <c r="I67" s="879">
        <f>SUM('Corrected and Updated TSF 2'!CJ67:CK67)</f>
        <v>463870.54481165262</v>
      </c>
      <c r="J67" s="879">
        <f>'Corrected and Updated TSF 2'!CL67</f>
        <v>3837474.5070782173</v>
      </c>
      <c r="K67" s="880">
        <f>'Corrected and Updated TSF 2'!CM67</f>
        <v>0.125</v>
      </c>
      <c r="L67" s="879">
        <f>'Corrected and Updated TSF 2'!CN67</f>
        <v>479684.31338477717</v>
      </c>
      <c r="M67" s="879">
        <f>'Corrected and Updated TSF 2'!CO67</f>
        <v>30000</v>
      </c>
      <c r="N67" s="879">
        <f>'Corrected and Updated TSF 2'!CP67</f>
        <v>449684.31338477717</v>
      </c>
      <c r="O67" s="881">
        <f>'Corrected and Updated TSF 2'!CQ67</f>
        <v>13</v>
      </c>
      <c r="P67" s="879">
        <f>'Corrected and Updated TSF 2'!CR67</f>
        <v>34591.101029598241</v>
      </c>
      <c r="Q67" s="879">
        <f>'Corrected and Updated TSF 2'!CT67</f>
        <v>3357790.1936934404</v>
      </c>
      <c r="R67" s="879">
        <f>'Corrected and Updated TSF 2'!CU67</f>
        <v>26032.91163202019</v>
      </c>
      <c r="S67" s="879">
        <f>'Corrected and Updated TSF 2'!CV67</f>
        <v>30180.767536827112</v>
      </c>
      <c r="T67" s="882">
        <f>'Corrected and Updated TSF 2'!CW67</f>
        <v>38986.791292495443</v>
      </c>
      <c r="U67" s="882">
        <f>'Corrected and Updated TSF 2'!CX67</f>
        <v>66488.270282162528</v>
      </c>
      <c r="V67" s="1167">
        <f>'Corrected and Updated TSF 2'!CY67</f>
        <v>272763.97021781723</v>
      </c>
      <c r="W67" s="1167">
        <f>'Corrected and Updated TSF 2'!CZ67</f>
        <v>107931.37430560609</v>
      </c>
      <c r="X67" s="1233">
        <f>'Corrected and Updated TSF 2'!DA67</f>
        <v>77957.303007881361</v>
      </c>
      <c r="Y67" s="1233">
        <f>'Corrected and Updated TSF 2'!DB67</f>
        <v>59329.096557865647</v>
      </c>
      <c r="Z67" s="885">
        <f>H67-'Corrected and Updated TSF 2'!CH67</f>
        <v>0</v>
      </c>
      <c r="AA67" s="885">
        <f>I67-SUM('Corrected and Updated TSF 2'!CJ67:CK67)</f>
        <v>0</v>
      </c>
      <c r="AB67" s="885">
        <f>J67-'Corrected and Updated TSF 2'!CL67</f>
        <v>0</v>
      </c>
      <c r="AC67" s="886">
        <f>K67-'Corrected and Updated TSF 2'!CM67</f>
        <v>0</v>
      </c>
      <c r="AD67" s="885">
        <f>M67-'Corrected and Updated TSF 2'!CO67</f>
        <v>0</v>
      </c>
      <c r="AE67" s="887">
        <f>P67-'Corrected and Updated TSF 2'!CR67</f>
        <v>0</v>
      </c>
      <c r="AF67" s="885">
        <f>Q67-'Corrected and Updated TSF 2'!CT67</f>
        <v>0</v>
      </c>
      <c r="AG67" s="888"/>
      <c r="AH67" s="888"/>
      <c r="AI67" s="885">
        <f>S67-'INTERNAL PRICELIST'!AA67</f>
        <v>9435.7855385042458</v>
      </c>
      <c r="AJ67" s="885">
        <f>T67-'INTERNAL PRICELIST'!AB67</f>
        <v>12188.921314028914</v>
      </c>
      <c r="AK67" s="885">
        <f>U67-'INTERNAL PRICELIST'!AC67</f>
        <v>20787.047815631951</v>
      </c>
    </row>
    <row r="68" spans="1:37" s="152" customFormat="1" ht="12.75" hidden="1" customHeight="1">
      <c r="A68" s="876" t="str">
        <f t="shared" si="0"/>
        <v>5K</v>
      </c>
      <c r="B68" s="877" t="str">
        <f>'Corrected and Updated TSF 2'!FI68</f>
        <v>SOLD</v>
      </c>
      <c r="C68" s="878" t="str">
        <f>'Corrected and Updated TSF 2'!E68</f>
        <v>5th Floor</v>
      </c>
      <c r="D68" s="763" t="str">
        <f>'Corrected and Updated TSF 2'!M68</f>
        <v>Inner</v>
      </c>
      <c r="E68" s="763" t="str">
        <f>'Corrected and Updated TSF 2'!G68</f>
        <v>5K</v>
      </c>
      <c r="F68" s="747" t="str">
        <f>'Corrected and Updated TSF 2'!I68</f>
        <v>Studio</v>
      </c>
      <c r="G68" s="879">
        <f>'Corrected and Updated TSF 2'!J68</f>
        <v>22</v>
      </c>
      <c r="H68" s="879">
        <f>'Corrected and Updated TSF 2'!CH68</f>
        <v>3373603.9622665648</v>
      </c>
      <c r="I68" s="879">
        <f>SUM('Corrected and Updated TSF 2'!CJ68:CK68)</f>
        <v>463870.54481165262</v>
      </c>
      <c r="J68" s="879">
        <f>'Corrected and Updated TSF 2'!CL68</f>
        <v>3837474.5070782173</v>
      </c>
      <c r="K68" s="880">
        <f>'Corrected and Updated TSF 2'!CM68</f>
        <v>0.125</v>
      </c>
      <c r="L68" s="879">
        <f>'Corrected and Updated TSF 2'!CN68</f>
        <v>479684.31338477717</v>
      </c>
      <c r="M68" s="879">
        <f>'Corrected and Updated TSF 2'!CO68</f>
        <v>30000</v>
      </c>
      <c r="N68" s="879">
        <f>'Corrected and Updated TSF 2'!CP68</f>
        <v>449684.31338477717</v>
      </c>
      <c r="O68" s="881">
        <f>'Corrected and Updated TSF 2'!CQ68</f>
        <v>13</v>
      </c>
      <c r="P68" s="879">
        <f>'Corrected and Updated TSF 2'!CR68</f>
        <v>34591.101029598241</v>
      </c>
      <c r="Q68" s="879">
        <f>'Corrected and Updated TSF 2'!CT68</f>
        <v>3357790.1936934404</v>
      </c>
      <c r="R68" s="879">
        <f>'Corrected and Updated TSF 2'!CU68</f>
        <v>26032.91163202019</v>
      </c>
      <c r="S68" s="879">
        <f>'Corrected and Updated TSF 2'!CV68</f>
        <v>30180.767536827112</v>
      </c>
      <c r="T68" s="882">
        <f>'Corrected and Updated TSF 2'!CW68</f>
        <v>38986.791292495443</v>
      </c>
      <c r="U68" s="882">
        <f>'Corrected and Updated TSF 2'!CX68</f>
        <v>66488.270282162528</v>
      </c>
      <c r="V68" s="1167">
        <f>'Corrected and Updated TSF 2'!CY68</f>
        <v>272763.97021781723</v>
      </c>
      <c r="W68" s="1167">
        <f>'Corrected and Updated TSF 2'!CZ68</f>
        <v>107931.37430560609</v>
      </c>
      <c r="X68" s="1233">
        <f>'Corrected and Updated TSF 2'!DA68</f>
        <v>77957.303007881361</v>
      </c>
      <c r="Y68" s="1233">
        <f>'Corrected and Updated TSF 2'!DB68</f>
        <v>59329.096557865647</v>
      </c>
      <c r="Z68" s="885">
        <f>H68-'Corrected and Updated TSF 2'!CH68</f>
        <v>0</v>
      </c>
      <c r="AA68" s="885">
        <f>I68-SUM('Corrected and Updated TSF 2'!CJ68:CK68)</f>
        <v>0</v>
      </c>
      <c r="AB68" s="885">
        <f>J68-'Corrected and Updated TSF 2'!CL68</f>
        <v>0</v>
      </c>
      <c r="AC68" s="886">
        <f>K68-'Corrected and Updated TSF 2'!CM68</f>
        <v>0</v>
      </c>
      <c r="AD68" s="885">
        <f>M68-'Corrected and Updated TSF 2'!CO68</f>
        <v>0</v>
      </c>
      <c r="AE68" s="887">
        <f>P68-'Corrected and Updated TSF 2'!CR68</f>
        <v>0</v>
      </c>
      <c r="AF68" s="885">
        <f>Q68-'Corrected and Updated TSF 2'!CT68</f>
        <v>0</v>
      </c>
      <c r="AG68" s="888"/>
      <c r="AH68" s="888"/>
      <c r="AI68" s="885">
        <f>S68-'INTERNAL PRICELIST'!AA68</f>
        <v>9453.1819102559602</v>
      </c>
      <c r="AJ68" s="885">
        <f>T68-'INTERNAL PRICELIST'!AB68</f>
        <v>12211.393529639277</v>
      </c>
      <c r="AK68" s="885">
        <f>U68-'INTERNAL PRICELIST'!AC68</f>
        <v>20825.372045346863</v>
      </c>
    </row>
    <row r="69" spans="1:37" s="152" customFormat="1" ht="12.75" hidden="1" customHeight="1">
      <c r="A69" s="876" t="str">
        <f t="shared" si="0"/>
        <v>5L</v>
      </c>
      <c r="B69" s="877" t="str">
        <f>'Corrected and Updated TSF 2'!FI69</f>
        <v>SOLD</v>
      </c>
      <c r="C69" s="878" t="str">
        <f>'Corrected and Updated TSF 2'!E69</f>
        <v>5th Floor</v>
      </c>
      <c r="D69" s="763" t="str">
        <f>'Corrected and Updated TSF 2'!M69</f>
        <v>Inner</v>
      </c>
      <c r="E69" s="763" t="str">
        <f>'Corrected and Updated TSF 2'!G69</f>
        <v>5L</v>
      </c>
      <c r="F69" s="747" t="str">
        <f>'Corrected and Updated TSF 2'!I69</f>
        <v>Studio</v>
      </c>
      <c r="G69" s="879">
        <f>'Corrected and Updated TSF 2'!J69</f>
        <v>22</v>
      </c>
      <c r="H69" s="879">
        <f>'Corrected and Updated TSF 2'!CH69</f>
        <v>3373603.9622665648</v>
      </c>
      <c r="I69" s="879">
        <f>SUM('Corrected and Updated TSF 2'!CJ69:CK69)</f>
        <v>463870.54481165262</v>
      </c>
      <c r="J69" s="879">
        <f>'Corrected and Updated TSF 2'!CL69</f>
        <v>3837474.5070782173</v>
      </c>
      <c r="K69" s="880">
        <f>'Corrected and Updated TSF 2'!CM69</f>
        <v>0.125</v>
      </c>
      <c r="L69" s="879">
        <f>'Corrected and Updated TSF 2'!CN69</f>
        <v>479684.31338477717</v>
      </c>
      <c r="M69" s="879">
        <f>'Corrected and Updated TSF 2'!CO69</f>
        <v>30000</v>
      </c>
      <c r="N69" s="879">
        <f>'Corrected and Updated TSF 2'!CP69</f>
        <v>449684.31338477717</v>
      </c>
      <c r="O69" s="881">
        <f>'Corrected and Updated TSF 2'!CQ69</f>
        <v>13</v>
      </c>
      <c r="P69" s="879">
        <f>'Corrected and Updated TSF 2'!CR69</f>
        <v>34591.101029598241</v>
      </c>
      <c r="Q69" s="879">
        <f>'Corrected and Updated TSF 2'!CT69</f>
        <v>3357790.1936934404</v>
      </c>
      <c r="R69" s="879">
        <f>'Corrected and Updated TSF 2'!CU69</f>
        <v>26032.91163202019</v>
      </c>
      <c r="S69" s="879">
        <f>'Corrected and Updated TSF 2'!CV69</f>
        <v>30180.767536827112</v>
      </c>
      <c r="T69" s="882">
        <f>'Corrected and Updated TSF 2'!CW69</f>
        <v>38986.791292495443</v>
      </c>
      <c r="U69" s="882">
        <f>'Corrected and Updated TSF 2'!CX69</f>
        <v>66488.270282162528</v>
      </c>
      <c r="V69" s="1167">
        <f>'Corrected and Updated TSF 2'!CY69</f>
        <v>272763.97021781723</v>
      </c>
      <c r="W69" s="1167">
        <f>'Corrected and Updated TSF 2'!CZ69</f>
        <v>107931.37430560609</v>
      </c>
      <c r="X69" s="1233">
        <f>'Corrected and Updated TSF 2'!DA69</f>
        <v>77957.303007881361</v>
      </c>
      <c r="Y69" s="1233">
        <f>'Corrected and Updated TSF 2'!DB69</f>
        <v>59329.096557865647</v>
      </c>
      <c r="Z69" s="885">
        <f>H69-'Corrected and Updated TSF 2'!CH69</f>
        <v>0</v>
      </c>
      <c r="AA69" s="885">
        <f>I69-SUM('Corrected and Updated TSF 2'!CJ69:CK69)</f>
        <v>0</v>
      </c>
      <c r="AB69" s="885">
        <f>J69-'Corrected and Updated TSF 2'!CL69</f>
        <v>0</v>
      </c>
      <c r="AC69" s="886">
        <f>K69-'Corrected and Updated TSF 2'!CM69</f>
        <v>0</v>
      </c>
      <c r="AD69" s="885">
        <f>M69-'Corrected and Updated TSF 2'!CO69</f>
        <v>0</v>
      </c>
      <c r="AE69" s="887">
        <f>P69-'Corrected and Updated TSF 2'!CR69</f>
        <v>0</v>
      </c>
      <c r="AF69" s="885">
        <f>Q69-'Corrected and Updated TSF 2'!CT69</f>
        <v>0</v>
      </c>
      <c r="AG69" s="888"/>
      <c r="AH69" s="888"/>
      <c r="AI69" s="885">
        <f>S69-'INTERNAL PRICELIST'!AA69</f>
        <v>9453.1819102559602</v>
      </c>
      <c r="AJ69" s="885">
        <f>T69-'INTERNAL PRICELIST'!AB69</f>
        <v>12211.393529639277</v>
      </c>
      <c r="AK69" s="885">
        <f>U69-'INTERNAL PRICELIST'!AC69</f>
        <v>20825.372045346863</v>
      </c>
    </row>
    <row r="70" spans="1:37" s="152" customFormat="1" ht="12.75" hidden="1" customHeight="1">
      <c r="A70" s="876" t="str">
        <f t="shared" si="0"/>
        <v>5M</v>
      </c>
      <c r="B70" s="877" t="str">
        <f>'Corrected and Updated TSF 2'!FI70</f>
        <v>SOLD</v>
      </c>
      <c r="C70" s="878" t="str">
        <f>'Corrected and Updated TSF 2'!E70</f>
        <v>5th Floor</v>
      </c>
      <c r="D70" s="763" t="str">
        <f>'Corrected and Updated TSF 2'!M70</f>
        <v>Inner</v>
      </c>
      <c r="E70" s="763" t="str">
        <f>'Corrected and Updated TSF 2'!G70</f>
        <v>5M</v>
      </c>
      <c r="F70" s="747" t="str">
        <f>'Corrected and Updated TSF 2'!I70</f>
        <v>Studio</v>
      </c>
      <c r="G70" s="879">
        <f>'Corrected and Updated TSF 2'!J70</f>
        <v>22</v>
      </c>
      <c r="H70" s="879">
        <f>'Corrected and Updated TSF 2'!CH70</f>
        <v>3373603.9622665648</v>
      </c>
      <c r="I70" s="879">
        <f>SUM('Corrected and Updated TSF 2'!CJ70:CK70)</f>
        <v>463870.54481165262</v>
      </c>
      <c r="J70" s="879">
        <f>'Corrected and Updated TSF 2'!CL70</f>
        <v>3837474.5070782173</v>
      </c>
      <c r="K70" s="880">
        <f>'Corrected and Updated TSF 2'!CM70</f>
        <v>0.125</v>
      </c>
      <c r="L70" s="879">
        <f>'Corrected and Updated TSF 2'!CN70</f>
        <v>479684.31338477717</v>
      </c>
      <c r="M70" s="879">
        <f>'Corrected and Updated TSF 2'!CO70</f>
        <v>30000</v>
      </c>
      <c r="N70" s="879">
        <f>'Corrected and Updated TSF 2'!CP70</f>
        <v>449684.31338477717</v>
      </c>
      <c r="O70" s="881">
        <f>'Corrected and Updated TSF 2'!CQ70</f>
        <v>13</v>
      </c>
      <c r="P70" s="879">
        <f>'Corrected and Updated TSF 2'!CR70</f>
        <v>34591.101029598241</v>
      </c>
      <c r="Q70" s="879">
        <f>'Corrected and Updated TSF 2'!CT70</f>
        <v>3357790.1936934404</v>
      </c>
      <c r="R70" s="879">
        <f>'Corrected and Updated TSF 2'!CU70</f>
        <v>26032.91163202019</v>
      </c>
      <c r="S70" s="879">
        <f>'Corrected and Updated TSF 2'!CV70</f>
        <v>30180.767536827112</v>
      </c>
      <c r="T70" s="882">
        <f>'Corrected and Updated TSF 2'!CW70</f>
        <v>38986.791292495443</v>
      </c>
      <c r="U70" s="882">
        <f>'Corrected and Updated TSF 2'!CX70</f>
        <v>66488.270282162528</v>
      </c>
      <c r="V70" s="1167">
        <f>'Corrected and Updated TSF 2'!CY70</f>
        <v>272763.97021781723</v>
      </c>
      <c r="W70" s="1167">
        <f>'Corrected and Updated TSF 2'!CZ70</f>
        <v>107931.37430560609</v>
      </c>
      <c r="X70" s="1233">
        <f>'Corrected and Updated TSF 2'!DA70</f>
        <v>77957.303007881361</v>
      </c>
      <c r="Y70" s="1233">
        <f>'Corrected and Updated TSF 2'!DB70</f>
        <v>59329.096557865647</v>
      </c>
      <c r="Z70" s="885">
        <f>H70-'Corrected and Updated TSF 2'!CH70</f>
        <v>0</v>
      </c>
      <c r="AA70" s="885">
        <f>I70-SUM('Corrected and Updated TSF 2'!CJ70:CK70)</f>
        <v>0</v>
      </c>
      <c r="AB70" s="885">
        <f>J70-'Corrected and Updated TSF 2'!CL70</f>
        <v>0</v>
      </c>
      <c r="AC70" s="886">
        <f>K70-'Corrected and Updated TSF 2'!CM70</f>
        <v>0</v>
      </c>
      <c r="AD70" s="885">
        <f>M70-'Corrected and Updated TSF 2'!CO70</f>
        <v>0</v>
      </c>
      <c r="AE70" s="887">
        <f>P70-'Corrected and Updated TSF 2'!CR70</f>
        <v>0</v>
      </c>
      <c r="AF70" s="885">
        <f>Q70-'Corrected and Updated TSF 2'!CT70</f>
        <v>0</v>
      </c>
      <c r="AG70" s="888"/>
      <c r="AH70" s="888"/>
      <c r="AI70" s="885">
        <f>S70-'INTERNAL PRICELIST'!AA70</f>
        <v>9453.1819102559602</v>
      </c>
      <c r="AJ70" s="885">
        <f>T70-'INTERNAL PRICELIST'!AB70</f>
        <v>12211.393529639277</v>
      </c>
      <c r="AK70" s="885">
        <f>U70-'INTERNAL PRICELIST'!AC70</f>
        <v>20825.372045346863</v>
      </c>
    </row>
    <row r="71" spans="1:37" s="152" customFormat="1" ht="12.75" hidden="1" customHeight="1">
      <c r="A71" s="876" t="str">
        <f t="shared" si="0"/>
        <v>5N</v>
      </c>
      <c r="B71" s="877" t="str">
        <f>'Corrected and Updated TSF 2'!FI71</f>
        <v>SOLD</v>
      </c>
      <c r="C71" s="878" t="str">
        <f>'Corrected and Updated TSF 2'!E71</f>
        <v>5th Floor</v>
      </c>
      <c r="D71" s="763" t="str">
        <f>'Corrected and Updated TSF 2'!M71</f>
        <v>Inner</v>
      </c>
      <c r="E71" s="763" t="str">
        <f>'Corrected and Updated TSF 2'!G71</f>
        <v>5N</v>
      </c>
      <c r="F71" s="747" t="str">
        <f>'Corrected and Updated TSF 2'!I71</f>
        <v>Studio</v>
      </c>
      <c r="G71" s="879">
        <f>'Corrected and Updated TSF 2'!J71</f>
        <v>22</v>
      </c>
      <c r="H71" s="879">
        <f>'Corrected and Updated TSF 2'!CH71</f>
        <v>3373603.9622665648</v>
      </c>
      <c r="I71" s="879">
        <f>SUM('Corrected and Updated TSF 2'!CJ71:CK71)</f>
        <v>463870.54481165262</v>
      </c>
      <c r="J71" s="879">
        <f>'Corrected and Updated TSF 2'!CL71</f>
        <v>3837474.5070782173</v>
      </c>
      <c r="K71" s="880">
        <f>'Corrected and Updated TSF 2'!CM71</f>
        <v>0.125</v>
      </c>
      <c r="L71" s="879">
        <f>'Corrected and Updated TSF 2'!CN71</f>
        <v>479684.31338477717</v>
      </c>
      <c r="M71" s="879">
        <f>'Corrected and Updated TSF 2'!CO71</f>
        <v>30000</v>
      </c>
      <c r="N71" s="879">
        <f>'Corrected and Updated TSF 2'!CP71</f>
        <v>449684.31338477717</v>
      </c>
      <c r="O71" s="881">
        <f>'Corrected and Updated TSF 2'!CQ71</f>
        <v>13</v>
      </c>
      <c r="P71" s="879">
        <f>'Corrected and Updated TSF 2'!CR71</f>
        <v>34591.101029598241</v>
      </c>
      <c r="Q71" s="879">
        <f>'Corrected and Updated TSF 2'!CT71</f>
        <v>3357790.1936934404</v>
      </c>
      <c r="R71" s="879">
        <f>'Corrected and Updated TSF 2'!CU71</f>
        <v>26032.91163202019</v>
      </c>
      <c r="S71" s="879">
        <f>'Corrected and Updated TSF 2'!CV71</f>
        <v>30180.767536827112</v>
      </c>
      <c r="T71" s="882">
        <f>'Corrected and Updated TSF 2'!CW71</f>
        <v>38986.791292495443</v>
      </c>
      <c r="U71" s="882">
        <f>'Corrected and Updated TSF 2'!CX71</f>
        <v>66488.270282162528</v>
      </c>
      <c r="V71" s="1167">
        <f>'Corrected and Updated TSF 2'!CY71</f>
        <v>272763.97021781723</v>
      </c>
      <c r="W71" s="1167">
        <f>'Corrected and Updated TSF 2'!CZ71</f>
        <v>107931.37430560609</v>
      </c>
      <c r="X71" s="1233">
        <f>'Corrected and Updated TSF 2'!DA71</f>
        <v>77957.303007881361</v>
      </c>
      <c r="Y71" s="1233">
        <f>'Corrected and Updated TSF 2'!DB71</f>
        <v>59329.096557865647</v>
      </c>
      <c r="Z71" s="885">
        <f>H71-'Corrected and Updated TSF 2'!CH71</f>
        <v>0</v>
      </c>
      <c r="AA71" s="885">
        <f>I71-SUM('Corrected and Updated TSF 2'!CJ71:CK71)</f>
        <v>0</v>
      </c>
      <c r="AB71" s="885">
        <f>J71-'Corrected and Updated TSF 2'!CL71</f>
        <v>0</v>
      </c>
      <c r="AC71" s="886">
        <f>K71-'Corrected and Updated TSF 2'!CM71</f>
        <v>0</v>
      </c>
      <c r="AD71" s="885">
        <f>M71-'Corrected and Updated TSF 2'!CO71</f>
        <v>0</v>
      </c>
      <c r="AE71" s="887">
        <f>P71-'Corrected and Updated TSF 2'!CR71</f>
        <v>0</v>
      </c>
      <c r="AF71" s="885">
        <f>Q71-'Corrected and Updated TSF 2'!CT71</f>
        <v>0</v>
      </c>
      <c r="AG71" s="888"/>
      <c r="AH71" s="888"/>
      <c r="AI71" s="885">
        <f>S71-'INTERNAL PRICELIST'!AA71</f>
        <v>9453.1819102559602</v>
      </c>
      <c r="AJ71" s="885">
        <f>T71-'INTERNAL PRICELIST'!AB71</f>
        <v>12211.393529639277</v>
      </c>
      <c r="AK71" s="885">
        <f>U71-'INTERNAL PRICELIST'!AC71</f>
        <v>20825.372045346863</v>
      </c>
    </row>
    <row r="72" spans="1:37" s="152" customFormat="1" ht="12.75" hidden="1" customHeight="1">
      <c r="A72" s="876" t="str">
        <f t="shared" ref="A72:A135" si="1">E72</f>
        <v>5O</v>
      </c>
      <c r="B72" s="877" t="str">
        <f>'Corrected and Updated TSF 2'!FI72</f>
        <v>SOLD</v>
      </c>
      <c r="C72" s="878" t="str">
        <f>'Corrected and Updated TSF 2'!E72</f>
        <v>5th Floor</v>
      </c>
      <c r="D72" s="763" t="str">
        <f>'Corrected and Updated TSF 2'!M72</f>
        <v>Inner</v>
      </c>
      <c r="E72" s="763" t="str">
        <f>'Corrected and Updated TSF 2'!G72</f>
        <v>5O</v>
      </c>
      <c r="F72" s="747" t="str">
        <f>'Corrected and Updated TSF 2'!I72</f>
        <v>Studio</v>
      </c>
      <c r="G72" s="879">
        <f>'Corrected and Updated TSF 2'!J72</f>
        <v>22</v>
      </c>
      <c r="H72" s="879">
        <f>'Corrected and Updated TSF 2'!CH72</f>
        <v>3373603.9622665648</v>
      </c>
      <c r="I72" s="879">
        <f>SUM('Corrected and Updated TSF 2'!CJ72:CK72)</f>
        <v>463870.54481165262</v>
      </c>
      <c r="J72" s="879">
        <f>'Corrected and Updated TSF 2'!CL72</f>
        <v>3837474.5070782173</v>
      </c>
      <c r="K72" s="880">
        <f>'Corrected and Updated TSF 2'!CM72</f>
        <v>0.125</v>
      </c>
      <c r="L72" s="879">
        <f>'Corrected and Updated TSF 2'!CN72</f>
        <v>479684.31338477717</v>
      </c>
      <c r="M72" s="879">
        <f>'Corrected and Updated TSF 2'!CO72</f>
        <v>30000</v>
      </c>
      <c r="N72" s="879">
        <f>'Corrected and Updated TSF 2'!CP72</f>
        <v>449684.31338477717</v>
      </c>
      <c r="O72" s="881">
        <f>'Corrected and Updated TSF 2'!CQ72</f>
        <v>13</v>
      </c>
      <c r="P72" s="879">
        <f>'Corrected and Updated TSF 2'!CR72</f>
        <v>34591.101029598241</v>
      </c>
      <c r="Q72" s="879">
        <f>'Corrected and Updated TSF 2'!CT72</f>
        <v>3357790.1936934404</v>
      </c>
      <c r="R72" s="879">
        <f>'Corrected and Updated TSF 2'!CU72</f>
        <v>26032.91163202019</v>
      </c>
      <c r="S72" s="879">
        <f>'Corrected and Updated TSF 2'!CV72</f>
        <v>30180.767536827112</v>
      </c>
      <c r="T72" s="882">
        <f>'Corrected and Updated TSF 2'!CW72</f>
        <v>38986.791292495443</v>
      </c>
      <c r="U72" s="882">
        <f>'Corrected and Updated TSF 2'!CX72</f>
        <v>66488.270282162528</v>
      </c>
      <c r="V72" s="1167">
        <f>'Corrected and Updated TSF 2'!CY72</f>
        <v>272763.97021781723</v>
      </c>
      <c r="W72" s="1167">
        <f>'Corrected and Updated TSF 2'!CZ72</f>
        <v>107931.37430560609</v>
      </c>
      <c r="X72" s="1233">
        <f>'Corrected and Updated TSF 2'!DA72</f>
        <v>77957.303007881361</v>
      </c>
      <c r="Y72" s="1233">
        <f>'Corrected and Updated TSF 2'!DB72</f>
        <v>59329.096557865647</v>
      </c>
      <c r="Z72" s="885">
        <f>H72-'Corrected and Updated TSF 2'!CH72</f>
        <v>0</v>
      </c>
      <c r="AA72" s="885">
        <f>I72-SUM('Corrected and Updated TSF 2'!CJ72:CK72)</f>
        <v>0</v>
      </c>
      <c r="AB72" s="885">
        <f>J72-'Corrected and Updated TSF 2'!CL72</f>
        <v>0</v>
      </c>
      <c r="AC72" s="886">
        <f>K72-'Corrected and Updated TSF 2'!CM72</f>
        <v>0</v>
      </c>
      <c r="AD72" s="885">
        <f>M72-'Corrected and Updated TSF 2'!CO72</f>
        <v>0</v>
      </c>
      <c r="AE72" s="887">
        <f>P72-'Corrected and Updated TSF 2'!CR72</f>
        <v>0</v>
      </c>
      <c r="AF72" s="885">
        <f>Q72-'Corrected and Updated TSF 2'!CT72</f>
        <v>0</v>
      </c>
      <c r="AG72" s="888"/>
      <c r="AH72" s="888"/>
      <c r="AI72" s="885">
        <f>S72-'INTERNAL PRICELIST'!AA72</f>
        <v>9453.1819102559602</v>
      </c>
      <c r="AJ72" s="885">
        <f>T72-'INTERNAL PRICELIST'!AB72</f>
        <v>12211.393529639277</v>
      </c>
      <c r="AK72" s="885">
        <f>U72-'INTERNAL PRICELIST'!AC72</f>
        <v>20825.372045346863</v>
      </c>
    </row>
    <row r="73" spans="1:37" s="152" customFormat="1" ht="12.75" hidden="1" customHeight="1">
      <c r="A73" s="876" t="str">
        <f t="shared" si="1"/>
        <v>5P</v>
      </c>
      <c r="B73" s="877" t="str">
        <f>'Corrected and Updated TSF 2'!FI73</f>
        <v>SOLD</v>
      </c>
      <c r="C73" s="878" t="str">
        <f>'Corrected and Updated TSF 2'!E73</f>
        <v>5th Floor</v>
      </c>
      <c r="D73" s="763" t="str">
        <f>'Corrected and Updated TSF 2'!M73</f>
        <v>Inner</v>
      </c>
      <c r="E73" s="763" t="str">
        <f>'Corrected and Updated TSF 2'!G73</f>
        <v>5P</v>
      </c>
      <c r="F73" s="747" t="str">
        <f>'Corrected and Updated TSF 2'!I73</f>
        <v>Studio</v>
      </c>
      <c r="G73" s="879">
        <f>'Corrected and Updated TSF 2'!J73</f>
        <v>22</v>
      </c>
      <c r="H73" s="879">
        <f>'Corrected and Updated TSF 2'!CH73</f>
        <v>3373603.9622665648</v>
      </c>
      <c r="I73" s="879">
        <f>SUM('Corrected and Updated TSF 2'!CJ73:CK73)</f>
        <v>463870.54481165262</v>
      </c>
      <c r="J73" s="879">
        <f>'Corrected and Updated TSF 2'!CL73</f>
        <v>3837474.5070782173</v>
      </c>
      <c r="K73" s="880">
        <f>'Corrected and Updated TSF 2'!CM73</f>
        <v>0.125</v>
      </c>
      <c r="L73" s="879">
        <f>'Corrected and Updated TSF 2'!CN73</f>
        <v>479684.31338477717</v>
      </c>
      <c r="M73" s="879">
        <f>'Corrected and Updated TSF 2'!CO73</f>
        <v>30000</v>
      </c>
      <c r="N73" s="879">
        <f>'Corrected and Updated TSF 2'!CP73</f>
        <v>449684.31338477717</v>
      </c>
      <c r="O73" s="881">
        <f>'Corrected and Updated TSF 2'!CQ73</f>
        <v>13</v>
      </c>
      <c r="P73" s="879">
        <f>'Corrected and Updated TSF 2'!CR73</f>
        <v>34591.101029598241</v>
      </c>
      <c r="Q73" s="879">
        <f>'Corrected and Updated TSF 2'!CT73</f>
        <v>3357790.1936934404</v>
      </c>
      <c r="R73" s="879">
        <f>'Corrected and Updated TSF 2'!CU73</f>
        <v>26032.91163202019</v>
      </c>
      <c r="S73" s="879">
        <f>'Corrected and Updated TSF 2'!CV73</f>
        <v>30180.767536827112</v>
      </c>
      <c r="T73" s="882">
        <f>'Corrected and Updated TSF 2'!CW73</f>
        <v>38986.791292495443</v>
      </c>
      <c r="U73" s="882">
        <f>'Corrected and Updated TSF 2'!CX73</f>
        <v>66488.270282162528</v>
      </c>
      <c r="V73" s="1167">
        <f>'Corrected and Updated TSF 2'!CY73</f>
        <v>272763.97021781723</v>
      </c>
      <c r="W73" s="1167">
        <f>'Corrected and Updated TSF 2'!CZ73</f>
        <v>107931.37430560609</v>
      </c>
      <c r="X73" s="1233">
        <f>'Corrected and Updated TSF 2'!DA73</f>
        <v>77957.303007881361</v>
      </c>
      <c r="Y73" s="1233">
        <f>'Corrected and Updated TSF 2'!DB73</f>
        <v>59329.096557865647</v>
      </c>
      <c r="Z73" s="885">
        <f>H73-'Corrected and Updated TSF 2'!CH73</f>
        <v>0</v>
      </c>
      <c r="AA73" s="885">
        <f>I73-SUM('Corrected and Updated TSF 2'!CJ73:CK73)</f>
        <v>0</v>
      </c>
      <c r="AB73" s="885">
        <f>J73-'Corrected and Updated TSF 2'!CL73</f>
        <v>0</v>
      </c>
      <c r="AC73" s="886">
        <f>K73-'Corrected and Updated TSF 2'!CM73</f>
        <v>0</v>
      </c>
      <c r="AD73" s="885">
        <f>M73-'Corrected and Updated TSF 2'!CO73</f>
        <v>0</v>
      </c>
      <c r="AE73" s="887">
        <f>P73-'Corrected and Updated TSF 2'!CR73</f>
        <v>0</v>
      </c>
      <c r="AF73" s="885">
        <f>Q73-'Corrected and Updated TSF 2'!CT73</f>
        <v>0</v>
      </c>
      <c r="AG73" s="888"/>
      <c r="AH73" s="888"/>
      <c r="AI73" s="885">
        <f>S73-'INTERNAL PRICELIST'!AA73</f>
        <v>9453.1819102559602</v>
      </c>
      <c r="AJ73" s="885">
        <f>T73-'INTERNAL PRICELIST'!AB73</f>
        <v>12211.393529639277</v>
      </c>
      <c r="AK73" s="885">
        <f>U73-'INTERNAL PRICELIST'!AC73</f>
        <v>20825.372045346863</v>
      </c>
    </row>
    <row r="74" spans="1:37" s="883" customFormat="1" ht="12.75" hidden="1" customHeight="1">
      <c r="A74" s="876" t="str">
        <f t="shared" si="1"/>
        <v>5Q</v>
      </c>
      <c r="B74" s="877" t="str">
        <f>'Corrected and Updated TSF 2'!FI74</f>
        <v>SOLD</v>
      </c>
      <c r="C74" s="878" t="str">
        <f>'Corrected and Updated TSF 2'!E74</f>
        <v>5th Floor</v>
      </c>
      <c r="D74" s="763" t="str">
        <f>'Corrected and Updated TSF 2'!M74</f>
        <v>Inner</v>
      </c>
      <c r="E74" s="763" t="str">
        <f>'Corrected and Updated TSF 2'!G74</f>
        <v>5Q</v>
      </c>
      <c r="F74" s="747" t="str">
        <f>'Corrected and Updated TSF 2'!I74</f>
        <v>Studio</v>
      </c>
      <c r="G74" s="879">
        <f>'Corrected and Updated TSF 2'!J74</f>
        <v>22</v>
      </c>
      <c r="H74" s="879">
        <f>'Corrected and Updated TSF 2'!CH74</f>
        <v>3373603.9622665648</v>
      </c>
      <c r="I74" s="879">
        <f>SUM('Corrected and Updated TSF 2'!CJ74:CK74)</f>
        <v>463870.54481165262</v>
      </c>
      <c r="J74" s="879">
        <f>'Corrected and Updated TSF 2'!CL74</f>
        <v>3837474.5070782173</v>
      </c>
      <c r="K74" s="880">
        <f>'Corrected and Updated TSF 2'!CM74</f>
        <v>0.125</v>
      </c>
      <c r="L74" s="879">
        <f>'Corrected and Updated TSF 2'!CN74</f>
        <v>479684.31338477717</v>
      </c>
      <c r="M74" s="879">
        <f>'Corrected and Updated TSF 2'!CO74</f>
        <v>30000</v>
      </c>
      <c r="N74" s="879">
        <f>'Corrected and Updated TSF 2'!CP74</f>
        <v>449684.31338477717</v>
      </c>
      <c r="O74" s="881">
        <f>'Corrected and Updated TSF 2'!CQ74</f>
        <v>13</v>
      </c>
      <c r="P74" s="879">
        <f>'Corrected and Updated TSF 2'!CR74</f>
        <v>34591.101029598241</v>
      </c>
      <c r="Q74" s="879">
        <f>'Corrected and Updated TSF 2'!CT74</f>
        <v>3357790.1936934404</v>
      </c>
      <c r="R74" s="879">
        <f>'Corrected and Updated TSF 2'!CU74</f>
        <v>26032.91163202019</v>
      </c>
      <c r="S74" s="879">
        <f>'Corrected and Updated TSF 2'!CV74</f>
        <v>30180.767536827112</v>
      </c>
      <c r="T74" s="882">
        <f>'Corrected and Updated TSF 2'!CW74</f>
        <v>38986.791292495443</v>
      </c>
      <c r="U74" s="882">
        <f>'Corrected and Updated TSF 2'!CX74</f>
        <v>66488.270282162528</v>
      </c>
      <c r="V74" s="1167">
        <f>'Corrected and Updated TSF 2'!CY74</f>
        <v>272763.97021781723</v>
      </c>
      <c r="W74" s="1167">
        <f>'Corrected and Updated TSF 2'!CZ74</f>
        <v>107931.37430560609</v>
      </c>
      <c r="X74" s="1233">
        <f>'Corrected and Updated TSF 2'!DA74</f>
        <v>77957.303007881361</v>
      </c>
      <c r="Y74" s="1233">
        <f>'Corrected and Updated TSF 2'!DB74</f>
        <v>59329.096557865647</v>
      </c>
      <c r="Z74" s="885">
        <f>H74-'Corrected and Updated TSF 2'!CH74</f>
        <v>0</v>
      </c>
      <c r="AA74" s="885">
        <f>I74-SUM('Corrected and Updated TSF 2'!CJ74:CK74)</f>
        <v>0</v>
      </c>
      <c r="AB74" s="885">
        <f>J74-'Corrected and Updated TSF 2'!CL74</f>
        <v>0</v>
      </c>
      <c r="AC74" s="886">
        <f>K74-'Corrected and Updated TSF 2'!CM74</f>
        <v>0</v>
      </c>
      <c r="AD74" s="885">
        <f>M74-'Corrected and Updated TSF 2'!CO74</f>
        <v>0</v>
      </c>
      <c r="AE74" s="887">
        <f>P74-'Corrected and Updated TSF 2'!CR74</f>
        <v>0</v>
      </c>
      <c r="AF74" s="885">
        <f>Q74-'Corrected and Updated TSF 2'!CT74</f>
        <v>0</v>
      </c>
      <c r="AG74" s="888"/>
      <c r="AH74" s="888"/>
      <c r="AI74" s="885">
        <f>S74-'INTERNAL PRICELIST'!AA74</f>
        <v>9453.1819102559602</v>
      </c>
      <c r="AJ74" s="885">
        <f>T74-'INTERNAL PRICELIST'!AB74</f>
        <v>12211.393529639277</v>
      </c>
      <c r="AK74" s="885">
        <f>U74-'INTERNAL PRICELIST'!AC74</f>
        <v>20825.372045346863</v>
      </c>
    </row>
    <row r="75" spans="1:37" s="152" customFormat="1" ht="12.75" hidden="1" customHeight="1">
      <c r="A75" s="876" t="str">
        <f t="shared" si="1"/>
        <v>5R</v>
      </c>
      <c r="B75" s="877" t="str">
        <f>'Corrected and Updated TSF 2'!FI75</f>
        <v>SOLD</v>
      </c>
      <c r="C75" s="878" t="str">
        <f>'Corrected and Updated TSF 2'!E75</f>
        <v>5th Floor</v>
      </c>
      <c r="D75" s="763" t="str">
        <f>'Corrected and Updated TSF 2'!M75</f>
        <v>Corner</v>
      </c>
      <c r="E75" s="763" t="str">
        <f>'Corrected and Updated TSF 2'!G75</f>
        <v>5R</v>
      </c>
      <c r="F75" s="747" t="str">
        <f>'Corrected and Updated TSF 2'!I75</f>
        <v>Studio</v>
      </c>
      <c r="G75" s="879">
        <f>'Corrected and Updated TSF 2'!J75</f>
        <v>22</v>
      </c>
      <c r="H75" s="879">
        <f>'Corrected and Updated TSF 2'!CH75</f>
        <v>3482816.3655431438</v>
      </c>
      <c r="I75" s="879">
        <f>SUM('Corrected and Updated TSF 2'!CJ75:CK75)</f>
        <v>478887.25026218226</v>
      </c>
      <c r="J75" s="879">
        <f>'Corrected and Updated TSF 2'!CL75</f>
        <v>3961703.615805326</v>
      </c>
      <c r="K75" s="880">
        <f>'Corrected and Updated TSF 2'!CM75</f>
        <v>0.125</v>
      </c>
      <c r="L75" s="879">
        <f>'Corrected and Updated TSF 2'!CN75</f>
        <v>495212.95197566575</v>
      </c>
      <c r="M75" s="879">
        <f>'Corrected and Updated TSF 2'!CO75</f>
        <v>30000</v>
      </c>
      <c r="N75" s="879">
        <f>'Corrected and Updated TSF 2'!CP75</f>
        <v>465212.95197566575</v>
      </c>
      <c r="O75" s="881">
        <f>'Corrected and Updated TSF 2'!CQ75</f>
        <v>13</v>
      </c>
      <c r="P75" s="879">
        <f>'Corrected and Updated TSF 2'!CR75</f>
        <v>35785.611690435828</v>
      </c>
      <c r="Q75" s="879">
        <f>'Corrected and Updated TSF 2'!CT75</f>
        <v>3466490.66382966</v>
      </c>
      <c r="R75" s="879">
        <f>'Corrected and Updated TSF 2'!CU75</f>
        <v>26875.665219999013</v>
      </c>
      <c r="S75" s="879">
        <f>'Corrected and Updated TSF 2'!CV75</f>
        <v>31157.798092960951</v>
      </c>
      <c r="T75" s="882">
        <f>'Corrected and Updated TSF 2'!CW75</f>
        <v>40248.895920282041</v>
      </c>
      <c r="U75" s="882">
        <f>'Corrected and Updated TSF 2'!CX75</f>
        <v>68640.669872759157</v>
      </c>
      <c r="V75" s="1167">
        <f>'Corrected and Updated TSF 2'!CY75</f>
        <v>281594.0549129796</v>
      </c>
      <c r="W75" s="1167">
        <f>'Corrected and Updated TSF 2'!CZ75</f>
        <v>111425.39580566973</v>
      </c>
      <c r="X75" s="1233">
        <f>'Corrected and Updated TSF 2'!DA75</f>
        <v>80480.985250870872</v>
      </c>
      <c r="Y75" s="1233">
        <f>'Corrected and Updated TSF 2'!DB75</f>
        <v>61249.734929110469</v>
      </c>
      <c r="Z75" s="885">
        <f>H75-'Corrected and Updated TSF 2'!CH75</f>
        <v>0</v>
      </c>
      <c r="AA75" s="885">
        <f>I75-SUM('Corrected and Updated TSF 2'!CJ75:CK75)</f>
        <v>0</v>
      </c>
      <c r="AB75" s="885">
        <f>J75-'Corrected and Updated TSF 2'!CL75</f>
        <v>0</v>
      </c>
      <c r="AC75" s="886">
        <f>K75-'Corrected and Updated TSF 2'!CM75</f>
        <v>0</v>
      </c>
      <c r="AD75" s="885">
        <f>M75-'Corrected and Updated TSF 2'!CO75</f>
        <v>0</v>
      </c>
      <c r="AE75" s="887">
        <f>P75-'Corrected and Updated TSF 2'!CR75</f>
        <v>0</v>
      </c>
      <c r="AF75" s="885">
        <f>Q75-'Corrected and Updated TSF 2'!CT75</f>
        <v>0</v>
      </c>
      <c r="AG75" s="888"/>
      <c r="AH75" s="888"/>
      <c r="AI75" s="885">
        <f>S75-'INTERNAL PRICELIST'!AA75</f>
        <v>10430.212466389799</v>
      </c>
      <c r="AJ75" s="885">
        <f>T75-'INTERNAL PRICELIST'!AB75</f>
        <v>13473.498157425875</v>
      </c>
      <c r="AK75" s="885">
        <f>U75-'INTERNAL PRICELIST'!AC75</f>
        <v>22977.771635943493</v>
      </c>
    </row>
    <row r="76" spans="1:37" s="883" customFormat="1" hidden="1">
      <c r="A76" s="876" t="str">
        <f t="shared" si="1"/>
        <v>6A</v>
      </c>
      <c r="B76" s="877" t="str">
        <f>'Corrected and Updated TSF 2'!FI76</f>
        <v>SOLD</v>
      </c>
      <c r="C76" s="1002" t="str">
        <f>'Corrected and Updated TSF 2'!E76</f>
        <v>6th Floor</v>
      </c>
      <c r="D76" s="1003" t="str">
        <f>'Corrected and Updated TSF 2'!M76</f>
        <v>End</v>
      </c>
      <c r="E76" s="1003" t="str">
        <f>'Corrected and Updated TSF 2'!G76</f>
        <v>6A</v>
      </c>
      <c r="F76" s="1004" t="str">
        <f>'Corrected and Updated TSF 2'!I76</f>
        <v>Studio</v>
      </c>
      <c r="G76" s="1005">
        <f>'Corrected and Updated TSF 2'!J76</f>
        <v>22</v>
      </c>
      <c r="H76" s="1005">
        <f>'Corrected and Updated TSF 2'!CH76</f>
        <v>3430792.7062280835</v>
      </c>
      <c r="I76" s="1005">
        <f>SUM('Corrected and Updated TSF 2'!CJ76:CK76)</f>
        <v>471733.99710636149</v>
      </c>
      <c r="J76" s="1005">
        <f>'Corrected and Updated TSF 2'!CL76</f>
        <v>3902526.7033344451</v>
      </c>
      <c r="K76" s="1006">
        <f>'Corrected and Updated TSF 2'!CM76</f>
        <v>0.125</v>
      </c>
      <c r="L76" s="1005">
        <f>'Corrected and Updated TSF 2'!CN76</f>
        <v>487815.83791680564</v>
      </c>
      <c r="M76" s="1005">
        <f>'Corrected and Updated TSF 2'!CO76</f>
        <v>30000</v>
      </c>
      <c r="N76" s="1005">
        <f>'Corrected and Updated TSF 2'!CP76</f>
        <v>457815.83791680564</v>
      </c>
      <c r="O76" s="1007">
        <f>'Corrected and Updated TSF 2'!CQ76</f>
        <v>13</v>
      </c>
      <c r="P76" s="1005">
        <f>'Corrected and Updated TSF 2'!CR76</f>
        <v>35216.602916677359</v>
      </c>
      <c r="Q76" s="1005">
        <f>'Corrected and Updated TSF 2'!CT76</f>
        <v>3414710.8654176397</v>
      </c>
      <c r="R76" s="1005">
        <f>'Corrected and Updated TSF 2'!CU76</f>
        <v>26474.216994045026</v>
      </c>
      <c r="S76" s="1005">
        <f>'Corrected and Updated TSF 2'!CV76</f>
        <v>30692.386626243318</v>
      </c>
      <c r="T76" s="882">
        <f>'Corrected and Updated TSF 2'!CW76</f>
        <v>39647.688555495377</v>
      </c>
      <c r="U76" s="882">
        <f>'Corrected and Updated TSF 2'!CX76</f>
        <v>67615.367804023466</v>
      </c>
      <c r="V76" s="1167">
        <f>'Corrected and Updated TSF 2'!CY76</f>
        <v>277387.81730514218</v>
      </c>
      <c r="W76" s="1167">
        <f>'Corrected and Updated TSF 2'!CZ76</f>
        <v>109761.00807400823</v>
      </c>
      <c r="X76" s="1233">
        <f>'Corrected and Updated TSF 2'!DA76</f>
        <v>79278.821565339123</v>
      </c>
      <c r="Y76" s="1233">
        <f>'Corrected and Updated TSF 2'!DB76</f>
        <v>60334.833019663158</v>
      </c>
      <c r="Z76" s="885">
        <f>H76-'Corrected and Updated TSF 2'!CH76</f>
        <v>0</v>
      </c>
      <c r="AA76" s="885">
        <f>I76-SUM('Corrected and Updated TSF 2'!CJ76:CK76)</f>
        <v>0</v>
      </c>
      <c r="AB76" s="885">
        <f>J76-'Corrected and Updated TSF 2'!CL76</f>
        <v>0</v>
      </c>
      <c r="AC76" s="886">
        <f>K76-'Corrected and Updated TSF 2'!CM76</f>
        <v>0</v>
      </c>
      <c r="AD76" s="885">
        <f>M76-'Corrected and Updated TSF 2'!CO76</f>
        <v>0</v>
      </c>
      <c r="AE76" s="887">
        <f>P76-'Corrected and Updated TSF 2'!CR76</f>
        <v>0</v>
      </c>
      <c r="AF76" s="885">
        <f>Q76-'Corrected and Updated TSF 2'!CT76</f>
        <v>0</v>
      </c>
      <c r="AG76" s="888"/>
      <c r="AH76" s="888"/>
      <c r="AI76" s="885">
        <f>S76-'INTERNAL PRICELIST'!AA76</f>
        <v>9964.8009996721667</v>
      </c>
      <c r="AJ76" s="885">
        <f>T76-'INTERNAL PRICELIST'!AB76</f>
        <v>12872.290792639211</v>
      </c>
      <c r="AK76" s="885">
        <f>U76-'INTERNAL PRICELIST'!AC76</f>
        <v>21952.469567207801</v>
      </c>
    </row>
    <row r="77" spans="1:37" s="152" customFormat="1" ht="12.75" customHeight="1">
      <c r="A77" s="876" t="str">
        <f t="shared" si="1"/>
        <v>6B</v>
      </c>
      <c r="B77" s="877" t="str">
        <f>'Corrected and Updated TSF 2'!FI77</f>
        <v>UNSOLD</v>
      </c>
      <c r="C77" s="878" t="str">
        <f>'Corrected and Updated TSF 2'!E77</f>
        <v>6th Floor</v>
      </c>
      <c r="D77" s="763" t="str">
        <f>'Corrected and Updated TSF 2'!M77</f>
        <v>Inner</v>
      </c>
      <c r="E77" s="763" t="str">
        <f>'Corrected and Updated TSF 2'!G77</f>
        <v>6B</v>
      </c>
      <c r="F77" s="747" t="str">
        <f>'Corrected and Updated TSF 2'!I77</f>
        <v>Studio</v>
      </c>
      <c r="G77" s="879">
        <f>'Corrected and Updated TSF 2'!J77</f>
        <v>22</v>
      </c>
      <c r="H77" s="879">
        <f>'Corrected and Updated TSF 2'!CH77</f>
        <v>3494483.1832539686</v>
      </c>
      <c r="I77" s="879">
        <f>SUM('Corrected and Updated TSF 2'!CJ77:CK77)</f>
        <v>480491.43769742065</v>
      </c>
      <c r="J77" s="879">
        <f>'Corrected and Updated TSF 2'!CL77</f>
        <v>3974974.6209513894</v>
      </c>
      <c r="K77" s="880">
        <f>'Corrected and Updated TSF 2'!CM77</f>
        <v>0.125</v>
      </c>
      <c r="L77" s="879">
        <f>'Corrected and Updated TSF 2'!CN77</f>
        <v>496871.82761892368</v>
      </c>
      <c r="M77" s="879">
        <f>'Corrected and Updated TSF 2'!CO77</f>
        <v>30000</v>
      </c>
      <c r="N77" s="879">
        <f>'Corrected and Updated TSF 2'!CP77</f>
        <v>466871.82761892368</v>
      </c>
      <c r="O77" s="881">
        <f>'Corrected and Updated TSF 2'!CQ77</f>
        <v>13</v>
      </c>
      <c r="P77" s="879">
        <f>'Corrected and Updated TSF 2'!CR77</f>
        <v>35913.217509147973</v>
      </c>
      <c r="Q77" s="879">
        <f>'Corrected and Updated TSF 2'!CT77</f>
        <v>3478102.7933324659</v>
      </c>
      <c r="R77" s="879">
        <f>'Corrected and Updated TSF 2'!CU77</f>
        <v>26965.693936436954</v>
      </c>
      <c r="S77" s="879">
        <f>'Corrected and Updated TSF 2'!CV77</f>
        <v>31262.171195780164</v>
      </c>
      <c r="T77" s="882">
        <f>'Corrected and Updated TSF 2'!CW77</f>
        <v>40383.722589988094</v>
      </c>
      <c r="U77" s="882">
        <f>'Corrected and Updated TSF 2'!CX77</f>
        <v>68870.603954520455</v>
      </c>
      <c r="V77" s="1167">
        <f>'Corrected and Updated TSF 2'!CY77</f>
        <v>282537.34510181198</v>
      </c>
      <c r="W77" s="1167">
        <f>'Corrected and Updated TSF 2'!CZ77</f>
        <v>111798.65113836039</v>
      </c>
      <c r="X77" s="1233">
        <f>'Corrected and Updated TSF 2'!DA77</f>
        <v>80750.582291185419</v>
      </c>
      <c r="Y77" s="1233">
        <f>'Corrected and Updated TSF 2'!DB77</f>
        <v>61454.910688396543</v>
      </c>
      <c r="Z77" s="885">
        <f>H77-'Corrected and Updated TSF 2'!CH77</f>
        <v>0</v>
      </c>
      <c r="AA77" s="885">
        <f>I77-SUM('Corrected and Updated TSF 2'!CJ77:CK77)</f>
        <v>0</v>
      </c>
      <c r="AB77" s="885">
        <f>J77-'Corrected and Updated TSF 2'!CL77</f>
        <v>0</v>
      </c>
      <c r="AC77" s="886">
        <f>K77-'Corrected and Updated TSF 2'!CM77</f>
        <v>0</v>
      </c>
      <c r="AD77" s="885">
        <f>M77-'Corrected and Updated TSF 2'!CO77</f>
        <v>0</v>
      </c>
      <c r="AE77" s="887">
        <f>P77-'Corrected and Updated TSF 2'!CR77</f>
        <v>0</v>
      </c>
      <c r="AF77" s="885">
        <f>Q77-'Corrected and Updated TSF 2'!CT77</f>
        <v>0</v>
      </c>
      <c r="AG77" s="888"/>
      <c r="AH77" s="888"/>
      <c r="AI77" s="885">
        <f>S77-'INTERNAL PRICELIST'!AA77</f>
        <v>10517.189197457297</v>
      </c>
      <c r="AJ77" s="885">
        <f>T77-'INTERNAL PRICELIST'!AB77</f>
        <v>13585.852611521565</v>
      </c>
      <c r="AK77" s="885">
        <f>U77-'INTERNAL PRICELIST'!AC77</f>
        <v>23169.381487989878</v>
      </c>
    </row>
    <row r="78" spans="1:37" s="152" customFormat="1">
      <c r="A78" s="876" t="str">
        <f t="shared" si="1"/>
        <v>6C</v>
      </c>
      <c r="B78" s="877" t="str">
        <f>'Corrected and Updated TSF 2'!FI78</f>
        <v>UNSOLD</v>
      </c>
      <c r="C78" s="878" t="str">
        <f>'Corrected and Updated TSF 2'!E78</f>
        <v>6th Floor</v>
      </c>
      <c r="D78" s="763" t="str">
        <f>'Corrected and Updated TSF 2'!M78</f>
        <v>End</v>
      </c>
      <c r="E78" s="763" t="str">
        <f>'Corrected and Updated TSF 2'!G78</f>
        <v>6C</v>
      </c>
      <c r="F78" s="747" t="str">
        <f>'Corrected and Updated TSF 2'!I78</f>
        <v>Studio</v>
      </c>
      <c r="G78" s="879">
        <f>'Corrected and Updated TSF 2'!J78</f>
        <v>22</v>
      </c>
      <c r="H78" s="879">
        <f>'Corrected and Updated TSF 2'!CH78</f>
        <v>3524439.1919957162</v>
      </c>
      <c r="I78" s="879">
        <f>SUM('Corrected and Updated TSF 2'!CJ78:CK78)</f>
        <v>484610.38889941096</v>
      </c>
      <c r="J78" s="879">
        <f>'Corrected and Updated TSF 2'!CL78</f>
        <v>4009049.5808951273</v>
      </c>
      <c r="K78" s="880">
        <f>'Corrected and Updated TSF 2'!CM78</f>
        <v>0.125</v>
      </c>
      <c r="L78" s="879">
        <f>'Corrected and Updated TSF 2'!CN78</f>
        <v>501131.19761189091</v>
      </c>
      <c r="M78" s="879">
        <f>'Corrected and Updated TSF 2'!CO78</f>
        <v>30000</v>
      </c>
      <c r="N78" s="879">
        <f>'Corrected and Updated TSF 2'!CP78</f>
        <v>471131.19761189091</v>
      </c>
      <c r="O78" s="881">
        <f>'Corrected and Updated TSF 2'!CQ78</f>
        <v>13</v>
      </c>
      <c r="P78" s="879">
        <f>'Corrected and Updated TSF 2'!CR78</f>
        <v>36240.86135476084</v>
      </c>
      <c r="Q78" s="879">
        <f>'Corrected and Updated TSF 2'!CT78</f>
        <v>3507918.3832832365</v>
      </c>
      <c r="R78" s="879">
        <f>'Corrected and Updated TSF 2'!CU78</f>
        <v>27196.853887973768</v>
      </c>
      <c r="S78" s="879">
        <f>'Corrected and Updated TSF 2'!CV78</f>
        <v>31530.162147379127</v>
      </c>
      <c r="T78" s="882">
        <f>'Corrected and Updated TSF 2'!CW78</f>
        <v>40729.906870607098</v>
      </c>
      <c r="U78" s="882">
        <f>'Corrected and Updated TSF 2'!CX78</f>
        <v>69460.988370733321</v>
      </c>
      <c r="V78" s="1167">
        <f>'Corrected and Updated TSF 2'!CY78</f>
        <v>284959.36024279171</v>
      </c>
      <c r="W78" s="1167">
        <f>'Corrected and Updated TSF 2'!CZ78</f>
        <v>112757.03073133292</v>
      </c>
      <c r="X78" s="1233">
        <f>'Corrected and Updated TSF 2'!DA78</f>
        <v>81442.806297472809</v>
      </c>
      <c r="Y78" s="1233">
        <f>'Corrected and Updated TSF 2'!DB78</f>
        <v>61981.725025528562</v>
      </c>
      <c r="Z78" s="885">
        <f>H78-'Corrected and Updated TSF 2'!CH78</f>
        <v>0</v>
      </c>
      <c r="AA78" s="885">
        <f>I78-SUM('Corrected and Updated TSF 2'!CJ78:CK78)</f>
        <v>0</v>
      </c>
      <c r="AB78" s="885">
        <f>J78-'Corrected and Updated TSF 2'!CL78</f>
        <v>0</v>
      </c>
      <c r="AC78" s="886">
        <f>K78-'Corrected and Updated TSF 2'!CM78</f>
        <v>0</v>
      </c>
      <c r="AD78" s="885">
        <f>M78-'Corrected and Updated TSF 2'!CO78</f>
        <v>0</v>
      </c>
      <c r="AE78" s="887">
        <f>P78-'Corrected and Updated TSF 2'!CR78</f>
        <v>0</v>
      </c>
      <c r="AF78" s="885">
        <f>Q78-'Corrected and Updated TSF 2'!CT78</f>
        <v>0</v>
      </c>
      <c r="AG78" s="888"/>
      <c r="AH78" s="888"/>
      <c r="AI78" s="885">
        <f>S78-'INTERNAL PRICELIST'!AA78</f>
        <v>10802.576520807976</v>
      </c>
      <c r="AJ78" s="885">
        <f>T78-'INTERNAL PRICELIST'!AB78</f>
        <v>13954.509107750931</v>
      </c>
      <c r="AK78" s="885">
        <f>U78-'INTERNAL PRICELIST'!AC78</f>
        <v>23798.090133917656</v>
      </c>
    </row>
    <row r="79" spans="1:37" s="152" customFormat="1" ht="12.75" hidden="1" customHeight="1">
      <c r="A79" s="876" t="str">
        <f t="shared" si="1"/>
        <v>6D</v>
      </c>
      <c r="B79" s="877" t="str">
        <f>'Corrected and Updated TSF 2'!FI79</f>
        <v>SOLD</v>
      </c>
      <c r="C79" s="878" t="str">
        <f>'Corrected and Updated TSF 2'!E79</f>
        <v>6th Floor</v>
      </c>
      <c r="D79" s="763" t="str">
        <f>'Corrected and Updated TSF 2'!M79</f>
        <v>End</v>
      </c>
      <c r="E79" s="763" t="str">
        <f>'Corrected and Updated TSF 2'!G79</f>
        <v>6D</v>
      </c>
      <c r="F79" s="747" t="str">
        <f>'Corrected and Updated TSF 2'!I79</f>
        <v>Studio</v>
      </c>
      <c r="G79" s="879">
        <f>'Corrected and Updated TSF 2'!J79</f>
        <v>22</v>
      </c>
      <c r="H79" s="879">
        <f>'Corrected and Updated TSF 2'!CH79</f>
        <v>3430792.7062280835</v>
      </c>
      <c r="I79" s="879">
        <f>SUM('Corrected and Updated TSF 2'!CJ79:CK79)</f>
        <v>471733.99710636149</v>
      </c>
      <c r="J79" s="879">
        <f>'Corrected and Updated TSF 2'!CL79</f>
        <v>3902526.7033344451</v>
      </c>
      <c r="K79" s="880">
        <f>'Corrected and Updated TSF 2'!CM79</f>
        <v>0.125</v>
      </c>
      <c r="L79" s="879">
        <f>'Corrected and Updated TSF 2'!CN79</f>
        <v>487815.83791680564</v>
      </c>
      <c r="M79" s="879">
        <f>'Corrected and Updated TSF 2'!CO79</f>
        <v>30000</v>
      </c>
      <c r="N79" s="879">
        <f>'Corrected and Updated TSF 2'!CP79</f>
        <v>457815.83791680564</v>
      </c>
      <c r="O79" s="881">
        <f>'Corrected and Updated TSF 2'!CQ79</f>
        <v>13</v>
      </c>
      <c r="P79" s="879">
        <f>'Corrected and Updated TSF 2'!CR79</f>
        <v>35216.602916677359</v>
      </c>
      <c r="Q79" s="879">
        <f>'Corrected and Updated TSF 2'!CT79</f>
        <v>3414710.8654176397</v>
      </c>
      <c r="R79" s="879">
        <f>'Corrected and Updated TSF 2'!CU79</f>
        <v>26474.216994045026</v>
      </c>
      <c r="S79" s="879">
        <f>'Corrected and Updated TSF 2'!CV79</f>
        <v>30692.386626243318</v>
      </c>
      <c r="T79" s="882">
        <f>'Corrected and Updated TSF 2'!CW79</f>
        <v>39647.688555495377</v>
      </c>
      <c r="U79" s="882">
        <f>'Corrected and Updated TSF 2'!CX79</f>
        <v>67615.367804023466</v>
      </c>
      <c r="V79" s="1167">
        <f>'Corrected and Updated TSF 2'!CY79</f>
        <v>277387.81730514218</v>
      </c>
      <c r="W79" s="1167">
        <f>'Corrected and Updated TSF 2'!CZ79</f>
        <v>109761.00807400823</v>
      </c>
      <c r="X79" s="1233">
        <f>'Corrected and Updated TSF 2'!DA79</f>
        <v>79278.821565339123</v>
      </c>
      <c r="Y79" s="1233">
        <f>'Corrected and Updated TSF 2'!DB79</f>
        <v>60334.833019663158</v>
      </c>
      <c r="Z79" s="885">
        <f>H79-'Corrected and Updated TSF 2'!CH79</f>
        <v>0</v>
      </c>
      <c r="AA79" s="885">
        <f>I79-SUM('Corrected and Updated TSF 2'!CJ79:CK79)</f>
        <v>0</v>
      </c>
      <c r="AB79" s="885">
        <f>J79-'Corrected and Updated TSF 2'!CL79</f>
        <v>0</v>
      </c>
      <c r="AC79" s="886">
        <f>K79-'Corrected and Updated TSF 2'!CM79</f>
        <v>0</v>
      </c>
      <c r="AD79" s="885">
        <f>M79-'Corrected and Updated TSF 2'!CO79</f>
        <v>0</v>
      </c>
      <c r="AE79" s="887">
        <f>P79-'Corrected and Updated TSF 2'!CR79</f>
        <v>0</v>
      </c>
      <c r="AF79" s="885">
        <f>Q79-'Corrected and Updated TSF 2'!CT79</f>
        <v>0</v>
      </c>
      <c r="AG79" s="888"/>
      <c r="AH79" s="888"/>
      <c r="AI79" s="885">
        <f>S79-'INTERNAL PRICELIST'!AA79</f>
        <v>9964.8009996721667</v>
      </c>
      <c r="AJ79" s="885">
        <f>T79-'INTERNAL PRICELIST'!AB79</f>
        <v>12872.290792639211</v>
      </c>
      <c r="AK79" s="885">
        <f>U79-'INTERNAL PRICELIST'!AC79</f>
        <v>21952.469567207801</v>
      </c>
    </row>
    <row r="80" spans="1:37" s="152" customFormat="1" ht="12.75" customHeight="1">
      <c r="A80" s="876" t="str">
        <f t="shared" si="1"/>
        <v>6E</v>
      </c>
      <c r="B80" s="877" t="str">
        <f>'Corrected and Updated TSF 2'!FI80</f>
        <v>UNSOLD</v>
      </c>
      <c r="C80" s="878" t="str">
        <f>'Corrected and Updated TSF 2'!E80</f>
        <v>6th Floor</v>
      </c>
      <c r="D80" s="763" t="str">
        <f>'Corrected and Updated TSF 2'!M80</f>
        <v>End</v>
      </c>
      <c r="E80" s="763" t="str">
        <f>'Corrected and Updated TSF 2'!G80</f>
        <v>6E</v>
      </c>
      <c r="F80" s="747" t="str">
        <f>'Corrected and Updated TSF 2'!I80</f>
        <v>Studio</v>
      </c>
      <c r="G80" s="879">
        <f>'Corrected and Updated TSF 2'!J80</f>
        <v>22</v>
      </c>
      <c r="H80" s="879">
        <f>'Corrected and Updated TSF 2'!CH80</f>
        <v>3524439.1919957162</v>
      </c>
      <c r="I80" s="879">
        <f>SUM('Corrected and Updated TSF 2'!CJ80:CK80)</f>
        <v>484610.38889941096</v>
      </c>
      <c r="J80" s="879">
        <f>'Corrected and Updated TSF 2'!CL80</f>
        <v>4009049.5808951273</v>
      </c>
      <c r="K80" s="880">
        <f>'Corrected and Updated TSF 2'!CM80</f>
        <v>0.125</v>
      </c>
      <c r="L80" s="879">
        <f>'Corrected and Updated TSF 2'!CN80</f>
        <v>501131.19761189091</v>
      </c>
      <c r="M80" s="879">
        <f>'Corrected and Updated TSF 2'!CO80</f>
        <v>30000</v>
      </c>
      <c r="N80" s="879">
        <f>'Corrected and Updated TSF 2'!CP80</f>
        <v>471131.19761189091</v>
      </c>
      <c r="O80" s="881">
        <f>'Corrected and Updated TSF 2'!CQ80</f>
        <v>13</v>
      </c>
      <c r="P80" s="879">
        <f>'Corrected and Updated TSF 2'!CR80</f>
        <v>36240.86135476084</v>
      </c>
      <c r="Q80" s="879">
        <f>'Corrected and Updated TSF 2'!CT80</f>
        <v>3507918.3832832365</v>
      </c>
      <c r="R80" s="879">
        <f>'Corrected and Updated TSF 2'!CU80</f>
        <v>27196.853887973768</v>
      </c>
      <c r="S80" s="879">
        <f>'Corrected and Updated TSF 2'!CV80</f>
        <v>31530.162147379127</v>
      </c>
      <c r="T80" s="882">
        <f>'Corrected and Updated TSF 2'!CW80</f>
        <v>40729.906870607098</v>
      </c>
      <c r="U80" s="882">
        <f>'Corrected and Updated TSF 2'!CX80</f>
        <v>69460.988370733321</v>
      </c>
      <c r="V80" s="1167">
        <f>'Corrected and Updated TSF 2'!CY80</f>
        <v>284959.36024279171</v>
      </c>
      <c r="W80" s="1167">
        <f>'Corrected and Updated TSF 2'!CZ80</f>
        <v>112757.03073133292</v>
      </c>
      <c r="X80" s="1233">
        <f>'Corrected and Updated TSF 2'!DA80</f>
        <v>81442.806297472809</v>
      </c>
      <c r="Y80" s="1233">
        <f>'Corrected and Updated TSF 2'!DB80</f>
        <v>61981.725025528562</v>
      </c>
      <c r="Z80" s="885">
        <f>H80-'Corrected and Updated TSF 2'!CH80</f>
        <v>0</v>
      </c>
      <c r="AA80" s="885">
        <f>I80-SUM('Corrected and Updated TSF 2'!CJ80:CK80)</f>
        <v>0</v>
      </c>
      <c r="AB80" s="885">
        <f>J80-'Corrected and Updated TSF 2'!CL80</f>
        <v>0</v>
      </c>
      <c r="AC80" s="886">
        <f>K80-'Corrected and Updated TSF 2'!CM80</f>
        <v>0</v>
      </c>
      <c r="AD80" s="885">
        <f>M80-'Corrected and Updated TSF 2'!CO80</f>
        <v>0</v>
      </c>
      <c r="AE80" s="887">
        <f>P80-'Corrected and Updated TSF 2'!CR80</f>
        <v>0</v>
      </c>
      <c r="AF80" s="885">
        <f>Q80-'Corrected and Updated TSF 2'!CT80</f>
        <v>0</v>
      </c>
      <c r="AG80" s="888"/>
      <c r="AH80" s="888"/>
      <c r="AI80" s="885">
        <f>S80-'INTERNAL PRICELIST'!AA80</f>
        <v>10802.576520807976</v>
      </c>
      <c r="AJ80" s="885">
        <f>T80-'INTERNAL PRICELIST'!AB80</f>
        <v>13954.509107750931</v>
      </c>
      <c r="AK80" s="885">
        <f>U80-'INTERNAL PRICELIST'!AC80</f>
        <v>23798.090133917656</v>
      </c>
    </row>
    <row r="81" spans="1:37" s="883" customFormat="1" ht="12.75" hidden="1" customHeight="1">
      <c r="A81" s="876" t="str">
        <f t="shared" si="1"/>
        <v>6F</v>
      </c>
      <c r="B81" s="877" t="str">
        <f>'Corrected and Updated TSF 2'!FI81</f>
        <v>SOLD</v>
      </c>
      <c r="C81" s="878" t="str">
        <f>'Corrected and Updated TSF 2'!E81</f>
        <v>6th Floor</v>
      </c>
      <c r="D81" s="763" t="str">
        <f>'Corrected and Updated TSF 2'!M81</f>
        <v>End</v>
      </c>
      <c r="E81" s="763" t="str">
        <f>'Corrected and Updated TSF 2'!G81</f>
        <v>6F</v>
      </c>
      <c r="F81" s="747" t="str">
        <f>'Corrected and Updated TSF 2'!I81</f>
        <v>Studio</v>
      </c>
      <c r="G81" s="879">
        <f>'Corrected and Updated TSF 2'!J81</f>
        <v>22</v>
      </c>
      <c r="H81" s="879">
        <f>'Corrected and Updated TSF 2'!CH81</f>
        <v>3430792.7062280835</v>
      </c>
      <c r="I81" s="879">
        <f>SUM('Corrected and Updated TSF 2'!CJ81:CK81)</f>
        <v>471733.99710636149</v>
      </c>
      <c r="J81" s="879">
        <f>'Corrected and Updated TSF 2'!CL81</f>
        <v>3902526.7033344451</v>
      </c>
      <c r="K81" s="880">
        <f>'Corrected and Updated TSF 2'!CM81</f>
        <v>0.125</v>
      </c>
      <c r="L81" s="879">
        <f>'Corrected and Updated TSF 2'!CN81</f>
        <v>487815.83791680564</v>
      </c>
      <c r="M81" s="879">
        <f>'Corrected and Updated TSF 2'!CO81</f>
        <v>30000</v>
      </c>
      <c r="N81" s="879">
        <f>'Corrected and Updated TSF 2'!CP81</f>
        <v>457815.83791680564</v>
      </c>
      <c r="O81" s="881">
        <f>'Corrected and Updated TSF 2'!CQ81</f>
        <v>13</v>
      </c>
      <c r="P81" s="879">
        <f>'Corrected and Updated TSF 2'!CR81</f>
        <v>35216.602916677359</v>
      </c>
      <c r="Q81" s="879">
        <f>'Corrected and Updated TSF 2'!CT81</f>
        <v>3414710.8654176397</v>
      </c>
      <c r="R81" s="879">
        <f>'Corrected and Updated TSF 2'!CU81</f>
        <v>26474.216994045026</v>
      </c>
      <c r="S81" s="879">
        <f>'Corrected and Updated TSF 2'!CV81</f>
        <v>30692.386626243318</v>
      </c>
      <c r="T81" s="882">
        <f>'Corrected and Updated TSF 2'!CW81</f>
        <v>39647.688555495377</v>
      </c>
      <c r="U81" s="882">
        <f>'Corrected and Updated TSF 2'!CX81</f>
        <v>67615.367804023466</v>
      </c>
      <c r="V81" s="1167">
        <f>'Corrected and Updated TSF 2'!CY81</f>
        <v>277387.81730514218</v>
      </c>
      <c r="W81" s="1167">
        <f>'Corrected and Updated TSF 2'!CZ81</f>
        <v>109761.00807400823</v>
      </c>
      <c r="X81" s="1233">
        <f>'Corrected and Updated TSF 2'!DA81</f>
        <v>79278.821565339123</v>
      </c>
      <c r="Y81" s="1233">
        <f>'Corrected and Updated TSF 2'!DB81</f>
        <v>60334.833019663158</v>
      </c>
      <c r="Z81" s="885">
        <f>H81-'Corrected and Updated TSF 2'!CH81</f>
        <v>0</v>
      </c>
      <c r="AA81" s="885">
        <f>I81-SUM('Corrected and Updated TSF 2'!CJ81:CK81)</f>
        <v>0</v>
      </c>
      <c r="AB81" s="885">
        <f>J81-'Corrected and Updated TSF 2'!CL81</f>
        <v>0</v>
      </c>
      <c r="AC81" s="886">
        <f>K81-'Corrected and Updated TSF 2'!CM81</f>
        <v>0</v>
      </c>
      <c r="AD81" s="885">
        <f>M81-'Corrected and Updated TSF 2'!CO81</f>
        <v>0</v>
      </c>
      <c r="AE81" s="887">
        <f>P81-'Corrected and Updated TSF 2'!CR81</f>
        <v>0</v>
      </c>
      <c r="AF81" s="885">
        <f>Q81-'Corrected and Updated TSF 2'!CT81</f>
        <v>0</v>
      </c>
      <c r="AG81" s="888"/>
      <c r="AH81" s="888"/>
      <c r="AI81" s="885">
        <f>S81-'INTERNAL PRICELIST'!AA81</f>
        <v>9964.8009996721667</v>
      </c>
      <c r="AJ81" s="885">
        <f>T81-'INTERNAL PRICELIST'!AB81</f>
        <v>12872.290792639211</v>
      </c>
      <c r="AK81" s="885">
        <f>U81-'INTERNAL PRICELIST'!AC81</f>
        <v>21952.469567207801</v>
      </c>
    </row>
    <row r="82" spans="1:37" s="152" customFormat="1" ht="12.75" hidden="1" customHeight="1">
      <c r="A82" s="876" t="str">
        <f t="shared" si="1"/>
        <v>6G</v>
      </c>
      <c r="B82" s="877" t="str">
        <f>'Corrected and Updated TSF 2'!FI82</f>
        <v>SOLD</v>
      </c>
      <c r="C82" s="878" t="str">
        <f>'Corrected and Updated TSF 2'!E82</f>
        <v>6th Floor</v>
      </c>
      <c r="D82" s="763" t="str">
        <f>'Corrected and Updated TSF 2'!M82</f>
        <v>Corner</v>
      </c>
      <c r="E82" s="763" t="str">
        <f>'Corrected and Updated TSF 2'!G82</f>
        <v>6G</v>
      </c>
      <c r="F82" s="747" t="str">
        <f>'Corrected and Updated TSF 2'!I82</f>
        <v>Studio</v>
      </c>
      <c r="G82" s="879">
        <f>'Corrected and Updated TSF 2'!J82</f>
        <v>22</v>
      </c>
      <c r="H82" s="879">
        <f>'Corrected and Updated TSF 2'!CH82</f>
        <v>3517325.2818407053</v>
      </c>
      <c r="I82" s="879">
        <f>SUM('Corrected and Updated TSF 2'!CJ82:CK82)</f>
        <v>483632.226253097</v>
      </c>
      <c r="J82" s="879">
        <f>'Corrected and Updated TSF 2'!CL82</f>
        <v>4000957.5080938023</v>
      </c>
      <c r="K82" s="880">
        <f>'Corrected and Updated TSF 2'!CM82</f>
        <v>0.125</v>
      </c>
      <c r="L82" s="879">
        <f>'Corrected and Updated TSF 2'!CN82</f>
        <v>500119.68851172528</v>
      </c>
      <c r="M82" s="879">
        <f>'Corrected and Updated TSF 2'!CO82</f>
        <v>30000</v>
      </c>
      <c r="N82" s="879">
        <f>'Corrected and Updated TSF 2'!CP82</f>
        <v>470119.68851172528</v>
      </c>
      <c r="O82" s="881">
        <f>'Corrected and Updated TSF 2'!CQ82</f>
        <v>13</v>
      </c>
      <c r="P82" s="879">
        <f>'Corrected and Updated TSF 2'!CR82</f>
        <v>36163.052962440408</v>
      </c>
      <c r="Q82" s="879">
        <f>'Corrected and Updated TSF 2'!CT82</f>
        <v>3500837.8195820767</v>
      </c>
      <c r="R82" s="879">
        <f>'Corrected and Updated TSF 2'!CU82</f>
        <v>27141.958352962858</v>
      </c>
      <c r="S82" s="879">
        <f>'Corrected and Updated TSF 2'!CV82</f>
        <v>31466.520039097391</v>
      </c>
      <c r="T82" s="882">
        <f>'Corrected and Updated TSF 2'!CW82</f>
        <v>40647.695522271875</v>
      </c>
      <c r="U82" s="882">
        <f>'Corrected and Updated TSF 2'!CX82</f>
        <v>69320.784723109071</v>
      </c>
      <c r="V82" s="1167">
        <f>'Corrected and Updated TSF 2'!CY82</f>
        <v>284384.18354767363</v>
      </c>
      <c r="W82" s="1167">
        <f>'Corrected and Updated TSF 2'!CZ82</f>
        <v>112529.43611492126</v>
      </c>
      <c r="X82" s="1233">
        <f>'Corrected and Updated TSF 2'!DA82</f>
        <v>81278.417929505507</v>
      </c>
      <c r="Y82" s="1233">
        <f>'Corrected and Updated TSF 2'!DB82</f>
        <v>61856.617909455854</v>
      </c>
      <c r="Z82" s="885">
        <f>H82-'Corrected and Updated TSF 2'!CH82</f>
        <v>0</v>
      </c>
      <c r="AA82" s="885">
        <f>I82-SUM('Corrected and Updated TSF 2'!CJ82:CK82)</f>
        <v>0</v>
      </c>
      <c r="AB82" s="885">
        <f>J82-'Corrected and Updated TSF 2'!CL82</f>
        <v>0</v>
      </c>
      <c r="AC82" s="886">
        <f>K82-'Corrected and Updated TSF 2'!CM82</f>
        <v>0</v>
      </c>
      <c r="AD82" s="885">
        <f>M82-'Corrected and Updated TSF 2'!CO82</f>
        <v>0</v>
      </c>
      <c r="AE82" s="887">
        <f>P82-'Corrected and Updated TSF 2'!CR82</f>
        <v>0</v>
      </c>
      <c r="AF82" s="885">
        <f>Q82-'Corrected and Updated TSF 2'!CT82</f>
        <v>0</v>
      </c>
      <c r="AG82" s="888"/>
      <c r="AH82" s="888"/>
      <c r="AI82" s="885">
        <f>S82-'INTERNAL PRICELIST'!AA82</f>
        <v>10738.93441252624</v>
      </c>
      <c r="AJ82" s="885">
        <f>T82-'INTERNAL PRICELIST'!AB82</f>
        <v>13872.297759415709</v>
      </c>
      <c r="AK82" s="885">
        <f>U82-'INTERNAL PRICELIST'!AC82</f>
        <v>23657.886486293406</v>
      </c>
    </row>
    <row r="83" spans="1:37" s="152" customFormat="1" ht="12.75" hidden="1" customHeight="1">
      <c r="A83" s="876" t="str">
        <f t="shared" si="1"/>
        <v>6H</v>
      </c>
      <c r="B83" s="877" t="str">
        <f>'Corrected and Updated TSF 2'!FI83</f>
        <v>SOLD</v>
      </c>
      <c r="C83" s="878" t="str">
        <f>'Corrected and Updated TSF 2'!E83</f>
        <v>6th Floor</v>
      </c>
      <c r="D83" s="763" t="str">
        <f>'Corrected and Updated TSF 2'!M83</f>
        <v>Corner</v>
      </c>
      <c r="E83" s="763" t="str">
        <f>'Corrected and Updated TSF 2'!G83</f>
        <v>6H</v>
      </c>
      <c r="F83" s="747" t="str">
        <f>'Corrected and Updated TSF 2'!I83</f>
        <v>Studio</v>
      </c>
      <c r="G83" s="879">
        <f>'Corrected and Updated TSF 2'!J83</f>
        <v>22</v>
      </c>
      <c r="H83" s="879">
        <f>'Corrected and Updated TSF 2'!CH83</f>
        <v>3517325.2818407053</v>
      </c>
      <c r="I83" s="879">
        <f>SUM('Corrected and Updated TSF 2'!CJ83:CK83)</f>
        <v>483632.226253097</v>
      </c>
      <c r="J83" s="879">
        <f>'Corrected and Updated TSF 2'!CL83</f>
        <v>4000957.5080938023</v>
      </c>
      <c r="K83" s="880">
        <f>'Corrected and Updated TSF 2'!CM83</f>
        <v>0.125</v>
      </c>
      <c r="L83" s="879">
        <f>'Corrected and Updated TSF 2'!CN83</f>
        <v>500119.68851172528</v>
      </c>
      <c r="M83" s="879">
        <f>'Corrected and Updated TSF 2'!CO83</f>
        <v>30000</v>
      </c>
      <c r="N83" s="879">
        <f>'Corrected and Updated TSF 2'!CP83</f>
        <v>470119.68851172528</v>
      </c>
      <c r="O83" s="881">
        <f>'Corrected and Updated TSF 2'!CQ83</f>
        <v>13</v>
      </c>
      <c r="P83" s="879">
        <f>'Corrected and Updated TSF 2'!CR83</f>
        <v>36163.052962440408</v>
      </c>
      <c r="Q83" s="879">
        <f>'Corrected and Updated TSF 2'!CT83</f>
        <v>3500837.8195820767</v>
      </c>
      <c r="R83" s="879">
        <f>'Corrected and Updated TSF 2'!CU83</f>
        <v>27141.958352962858</v>
      </c>
      <c r="S83" s="879">
        <f>'Corrected and Updated TSF 2'!CV83</f>
        <v>31466.520039097391</v>
      </c>
      <c r="T83" s="882">
        <f>'Corrected and Updated TSF 2'!CW83</f>
        <v>40647.695522271875</v>
      </c>
      <c r="U83" s="882">
        <f>'Corrected and Updated TSF 2'!CX83</f>
        <v>69320.784723109071</v>
      </c>
      <c r="V83" s="1167">
        <f>'Corrected and Updated TSF 2'!CY83</f>
        <v>284384.18354767363</v>
      </c>
      <c r="W83" s="1167">
        <f>'Corrected and Updated TSF 2'!CZ83</f>
        <v>112529.43611492126</v>
      </c>
      <c r="X83" s="1233">
        <f>'Corrected and Updated TSF 2'!DA83</f>
        <v>81278.417929505507</v>
      </c>
      <c r="Y83" s="1233">
        <f>'Corrected and Updated TSF 2'!DB83</f>
        <v>61856.617909455854</v>
      </c>
      <c r="Z83" s="885">
        <f>H83-'Corrected and Updated TSF 2'!CH83</f>
        <v>0</v>
      </c>
      <c r="AA83" s="885">
        <f>I83-SUM('Corrected and Updated TSF 2'!CJ83:CK83)</f>
        <v>0</v>
      </c>
      <c r="AB83" s="885">
        <f>J83-'Corrected and Updated TSF 2'!CL83</f>
        <v>0</v>
      </c>
      <c r="AC83" s="886">
        <f>K83-'Corrected and Updated TSF 2'!CM83</f>
        <v>0</v>
      </c>
      <c r="AD83" s="885">
        <f>M83-'Corrected and Updated TSF 2'!CO83</f>
        <v>0</v>
      </c>
      <c r="AE83" s="887">
        <f>P83-'Corrected and Updated TSF 2'!CR83</f>
        <v>0</v>
      </c>
      <c r="AF83" s="885">
        <f>Q83-'Corrected and Updated TSF 2'!CT83</f>
        <v>0</v>
      </c>
      <c r="AG83" s="888"/>
      <c r="AH83" s="888"/>
      <c r="AI83" s="885">
        <f>S83-'INTERNAL PRICELIST'!AA83</f>
        <v>10738.93441252624</v>
      </c>
      <c r="AJ83" s="885">
        <f>T83-'INTERNAL PRICELIST'!AB83</f>
        <v>13872.297759415709</v>
      </c>
      <c r="AK83" s="885">
        <f>U83-'INTERNAL PRICELIST'!AC83</f>
        <v>23657.886486293406</v>
      </c>
    </row>
    <row r="84" spans="1:37" s="152" customFormat="1" ht="12.75" hidden="1" customHeight="1">
      <c r="A84" s="876" t="str">
        <f t="shared" si="1"/>
        <v>6I</v>
      </c>
      <c r="B84" s="877" t="str">
        <f>'Corrected and Updated TSF 2'!FI84</f>
        <v>SOLD</v>
      </c>
      <c r="C84" s="878" t="str">
        <f>'Corrected and Updated TSF 2'!E84</f>
        <v>6th Floor</v>
      </c>
      <c r="D84" s="763" t="str">
        <f>'Corrected and Updated TSF 2'!M84</f>
        <v>Inner</v>
      </c>
      <c r="E84" s="763" t="str">
        <f>'Corrected and Updated TSF 2'!G84</f>
        <v>6I</v>
      </c>
      <c r="F84" s="747" t="str">
        <f>'Corrected and Updated TSF 2'!I84</f>
        <v>Studio</v>
      </c>
      <c r="G84" s="879">
        <f>'Corrected and Updated TSF 2'!J84</f>
        <v>22</v>
      </c>
      <c r="H84" s="879">
        <f>'Corrected and Updated TSF 2'!CH84</f>
        <v>3400836.6974863359</v>
      </c>
      <c r="I84" s="879">
        <f>SUM('Corrected and Updated TSF 2'!CJ84:CK84)</f>
        <v>467615.04590437113</v>
      </c>
      <c r="J84" s="879">
        <f>'Corrected and Updated TSF 2'!CL84</f>
        <v>3868451.7433907068</v>
      </c>
      <c r="K84" s="880">
        <f>'Corrected and Updated TSF 2'!CM84</f>
        <v>0.125</v>
      </c>
      <c r="L84" s="879">
        <f>'Corrected and Updated TSF 2'!CN84</f>
        <v>483556.46792383835</v>
      </c>
      <c r="M84" s="879">
        <f>'Corrected and Updated TSF 2'!CO84</f>
        <v>30000</v>
      </c>
      <c r="N84" s="879">
        <f>'Corrected and Updated TSF 2'!CP84</f>
        <v>453556.46792383835</v>
      </c>
      <c r="O84" s="881">
        <f>'Corrected and Updated TSF 2'!CQ84</f>
        <v>13</v>
      </c>
      <c r="P84" s="879">
        <f>'Corrected and Updated TSF 2'!CR84</f>
        <v>34888.959071064492</v>
      </c>
      <c r="Q84" s="879">
        <f>'Corrected and Updated TSF 2'!CT84</f>
        <v>3384895.2754668687</v>
      </c>
      <c r="R84" s="879">
        <f>'Corrected and Updated TSF 2'!CU84</f>
        <v>26243.057042508208</v>
      </c>
      <c r="S84" s="879">
        <f>'Corrected and Updated TSF 2'!CV84</f>
        <v>30424.395674644351</v>
      </c>
      <c r="T84" s="882">
        <f>'Corrected and Updated TSF 2'!CW84</f>
        <v>39301.504274876366</v>
      </c>
      <c r="U84" s="882">
        <f>'Corrected and Updated TSF 2'!CX84</f>
        <v>67024.9833878106</v>
      </c>
      <c r="V84" s="1167">
        <f>'Corrected and Updated TSF 2'!CY84</f>
        <v>274965.80216416245</v>
      </c>
      <c r="W84" s="1167">
        <f>'Corrected and Updated TSF 2'!CZ84</f>
        <v>108802.62848103569</v>
      </c>
      <c r="X84" s="1233">
        <f>'Corrected and Updated TSF 2'!DA84</f>
        <v>78586.597559051719</v>
      </c>
      <c r="Y84" s="1233">
        <f>'Corrected and Updated TSF 2'!DB84</f>
        <v>59808.018682531125</v>
      </c>
      <c r="Z84" s="885">
        <f>H84-'Corrected and Updated TSF 2'!CH84</f>
        <v>0</v>
      </c>
      <c r="AA84" s="885">
        <f>I84-SUM('Corrected and Updated TSF 2'!CJ84:CK84)</f>
        <v>0</v>
      </c>
      <c r="AB84" s="885">
        <f>J84-'Corrected and Updated TSF 2'!CL84</f>
        <v>0</v>
      </c>
      <c r="AC84" s="886">
        <f>K84-'Corrected and Updated TSF 2'!CM84</f>
        <v>0</v>
      </c>
      <c r="AD84" s="885">
        <f>M84-'Corrected and Updated TSF 2'!CO84</f>
        <v>0</v>
      </c>
      <c r="AE84" s="887">
        <f>P84-'Corrected and Updated TSF 2'!CR84</f>
        <v>0</v>
      </c>
      <c r="AF84" s="885">
        <f>Q84-'Corrected and Updated TSF 2'!CT84</f>
        <v>0</v>
      </c>
      <c r="AG84" s="888"/>
      <c r="AH84" s="888"/>
      <c r="AI84" s="885">
        <f>S84-'INTERNAL PRICELIST'!AA84</f>
        <v>9696.8100480731991</v>
      </c>
      <c r="AJ84" s="885">
        <f>T84-'INTERNAL PRICELIST'!AB84</f>
        <v>12526.1065120202</v>
      </c>
      <c r="AK84" s="885">
        <f>U84-'INTERNAL PRICELIST'!AC84</f>
        <v>21362.085150994935</v>
      </c>
    </row>
    <row r="85" spans="1:37" s="152" customFormat="1" ht="12.75" hidden="1" customHeight="1">
      <c r="A85" s="876" t="str">
        <f t="shared" si="1"/>
        <v>6J</v>
      </c>
      <c r="B85" s="877" t="str">
        <f>'Corrected and Updated TSF 2'!FI85</f>
        <v>SOLD</v>
      </c>
      <c r="C85" s="878" t="str">
        <f>'Corrected and Updated TSF 2'!E85</f>
        <v>6th Floor</v>
      </c>
      <c r="D85" s="763" t="str">
        <f>'Corrected and Updated TSF 2'!M85</f>
        <v>Inner</v>
      </c>
      <c r="E85" s="763" t="str">
        <f>'Corrected and Updated TSF 2'!G85</f>
        <v>6J</v>
      </c>
      <c r="F85" s="747" t="str">
        <f>'Corrected and Updated TSF 2'!I85</f>
        <v>Studio</v>
      </c>
      <c r="G85" s="879">
        <f>'Corrected and Updated TSF 2'!J85</f>
        <v>22</v>
      </c>
      <c r="H85" s="879">
        <f>'Corrected and Updated TSF 2'!CH85</f>
        <v>3400836.6974863359</v>
      </c>
      <c r="I85" s="879">
        <f>SUM('Corrected and Updated TSF 2'!CJ85:CK85)</f>
        <v>467615.04590437113</v>
      </c>
      <c r="J85" s="879">
        <f>'Corrected and Updated TSF 2'!CL85</f>
        <v>3868451.7433907068</v>
      </c>
      <c r="K85" s="880">
        <f>'Corrected and Updated TSF 2'!CM85</f>
        <v>0.125</v>
      </c>
      <c r="L85" s="879">
        <f>'Corrected and Updated TSF 2'!CN85</f>
        <v>483556.46792383835</v>
      </c>
      <c r="M85" s="879">
        <f>'Corrected and Updated TSF 2'!CO85</f>
        <v>30000</v>
      </c>
      <c r="N85" s="879">
        <f>'Corrected and Updated TSF 2'!CP85</f>
        <v>453556.46792383835</v>
      </c>
      <c r="O85" s="881">
        <f>'Corrected and Updated TSF 2'!CQ85</f>
        <v>13</v>
      </c>
      <c r="P85" s="879">
        <f>'Corrected and Updated TSF 2'!CR85</f>
        <v>34888.959071064492</v>
      </c>
      <c r="Q85" s="879">
        <f>'Corrected and Updated TSF 2'!CT85</f>
        <v>3384895.2754668687</v>
      </c>
      <c r="R85" s="879">
        <f>'Corrected and Updated TSF 2'!CU85</f>
        <v>26243.057042508208</v>
      </c>
      <c r="S85" s="879">
        <f>'Corrected and Updated TSF 2'!CV85</f>
        <v>30424.395674644351</v>
      </c>
      <c r="T85" s="882">
        <f>'Corrected and Updated TSF 2'!CW85</f>
        <v>39301.504274876366</v>
      </c>
      <c r="U85" s="882">
        <f>'Corrected and Updated TSF 2'!CX85</f>
        <v>67024.9833878106</v>
      </c>
      <c r="V85" s="1167">
        <f>'Corrected and Updated TSF 2'!CY85</f>
        <v>274965.80216416245</v>
      </c>
      <c r="W85" s="1167">
        <f>'Corrected and Updated TSF 2'!CZ85</f>
        <v>108802.62848103569</v>
      </c>
      <c r="X85" s="1233">
        <f>'Corrected and Updated TSF 2'!DA85</f>
        <v>78586.597559051719</v>
      </c>
      <c r="Y85" s="1233">
        <f>'Corrected and Updated TSF 2'!DB85</f>
        <v>59808.018682531125</v>
      </c>
      <c r="Z85" s="885">
        <f>H85-'Corrected and Updated TSF 2'!CH85</f>
        <v>0</v>
      </c>
      <c r="AA85" s="885">
        <f>I85-SUM('Corrected and Updated TSF 2'!CJ85:CK85)</f>
        <v>0</v>
      </c>
      <c r="AB85" s="885">
        <f>J85-'Corrected and Updated TSF 2'!CL85</f>
        <v>0</v>
      </c>
      <c r="AC85" s="886">
        <f>K85-'Corrected and Updated TSF 2'!CM85</f>
        <v>0</v>
      </c>
      <c r="AD85" s="885">
        <f>M85-'Corrected and Updated TSF 2'!CO85</f>
        <v>0</v>
      </c>
      <c r="AE85" s="887">
        <f>P85-'Corrected and Updated TSF 2'!CR85</f>
        <v>0</v>
      </c>
      <c r="AF85" s="885">
        <f>Q85-'Corrected and Updated TSF 2'!CT85</f>
        <v>0</v>
      </c>
      <c r="AG85" s="888"/>
      <c r="AH85" s="888"/>
      <c r="AI85" s="885">
        <f>S85-'INTERNAL PRICELIST'!AA85</f>
        <v>9679.4136763214847</v>
      </c>
      <c r="AJ85" s="885">
        <f>T85-'INTERNAL PRICELIST'!AB85</f>
        <v>12503.634296409837</v>
      </c>
      <c r="AK85" s="885">
        <f>U85-'INTERNAL PRICELIST'!AC85</f>
        <v>21323.760921280023</v>
      </c>
    </row>
    <row r="86" spans="1:37" s="152" customFormat="1" ht="12.75" hidden="1" customHeight="1">
      <c r="A86" s="876" t="str">
        <f t="shared" si="1"/>
        <v>6K</v>
      </c>
      <c r="B86" s="877" t="str">
        <f>'Corrected and Updated TSF 2'!FI86</f>
        <v>SOLD</v>
      </c>
      <c r="C86" s="878" t="str">
        <f>'Corrected and Updated TSF 2'!E86</f>
        <v>6th Floor</v>
      </c>
      <c r="D86" s="763" t="str">
        <f>'Corrected and Updated TSF 2'!M86</f>
        <v>Inner</v>
      </c>
      <c r="E86" s="763" t="str">
        <f>'Corrected and Updated TSF 2'!G86</f>
        <v>6K</v>
      </c>
      <c r="F86" s="747" t="str">
        <f>'Corrected and Updated TSF 2'!I86</f>
        <v>Studio</v>
      </c>
      <c r="G86" s="879">
        <f>'Corrected and Updated TSF 2'!J86</f>
        <v>22</v>
      </c>
      <c r="H86" s="879">
        <f>'Corrected and Updated TSF 2'!CH86</f>
        <v>3400836.6974863359</v>
      </c>
      <c r="I86" s="879">
        <f>SUM('Corrected and Updated TSF 2'!CJ86:CK86)</f>
        <v>467615.04590437113</v>
      </c>
      <c r="J86" s="879">
        <f>'Corrected and Updated TSF 2'!CL86</f>
        <v>3868451.7433907068</v>
      </c>
      <c r="K86" s="880">
        <f>'Corrected and Updated TSF 2'!CM86</f>
        <v>0.125</v>
      </c>
      <c r="L86" s="879">
        <f>'Corrected and Updated TSF 2'!CN86</f>
        <v>483556.46792383835</v>
      </c>
      <c r="M86" s="879">
        <f>'Corrected and Updated TSF 2'!CO86</f>
        <v>30000</v>
      </c>
      <c r="N86" s="879">
        <f>'Corrected and Updated TSF 2'!CP86</f>
        <v>453556.46792383835</v>
      </c>
      <c r="O86" s="881">
        <f>'Corrected and Updated TSF 2'!CQ86</f>
        <v>13</v>
      </c>
      <c r="P86" s="879">
        <f>'Corrected and Updated TSF 2'!CR86</f>
        <v>34888.959071064492</v>
      </c>
      <c r="Q86" s="879">
        <f>'Corrected and Updated TSF 2'!CT86</f>
        <v>3384895.2754668687</v>
      </c>
      <c r="R86" s="879">
        <f>'Corrected and Updated TSF 2'!CU86</f>
        <v>26243.057042508208</v>
      </c>
      <c r="S86" s="879">
        <f>'Corrected and Updated TSF 2'!CV86</f>
        <v>30424.395674644351</v>
      </c>
      <c r="T86" s="882">
        <f>'Corrected and Updated TSF 2'!CW86</f>
        <v>39301.504274876366</v>
      </c>
      <c r="U86" s="882">
        <f>'Corrected and Updated TSF 2'!CX86</f>
        <v>67024.9833878106</v>
      </c>
      <c r="V86" s="1167">
        <f>'Corrected and Updated TSF 2'!CY86</f>
        <v>274965.80216416245</v>
      </c>
      <c r="W86" s="1167">
        <f>'Corrected and Updated TSF 2'!CZ86</f>
        <v>108802.62848103569</v>
      </c>
      <c r="X86" s="1233">
        <f>'Corrected and Updated TSF 2'!DA86</f>
        <v>78586.597559051719</v>
      </c>
      <c r="Y86" s="1233">
        <f>'Corrected and Updated TSF 2'!DB86</f>
        <v>59808.018682531125</v>
      </c>
      <c r="Z86" s="885">
        <f>H86-'Corrected and Updated TSF 2'!CH86</f>
        <v>0</v>
      </c>
      <c r="AA86" s="885">
        <f>I86-SUM('Corrected and Updated TSF 2'!CJ86:CK86)</f>
        <v>0</v>
      </c>
      <c r="AB86" s="885">
        <f>J86-'Corrected and Updated TSF 2'!CL86</f>
        <v>0</v>
      </c>
      <c r="AC86" s="886">
        <f>K86-'Corrected and Updated TSF 2'!CM86</f>
        <v>0</v>
      </c>
      <c r="AD86" s="885">
        <f>M86-'Corrected and Updated TSF 2'!CO86</f>
        <v>0</v>
      </c>
      <c r="AE86" s="887">
        <f>P86-'Corrected and Updated TSF 2'!CR86</f>
        <v>0</v>
      </c>
      <c r="AF86" s="885">
        <f>Q86-'Corrected and Updated TSF 2'!CT86</f>
        <v>0</v>
      </c>
      <c r="AG86" s="888"/>
      <c r="AH86" s="888"/>
      <c r="AI86" s="885">
        <f>S86-'INTERNAL PRICELIST'!AA86</f>
        <v>9696.8100480731991</v>
      </c>
      <c r="AJ86" s="885">
        <f>T86-'INTERNAL PRICELIST'!AB86</f>
        <v>12526.1065120202</v>
      </c>
      <c r="AK86" s="885">
        <f>U86-'INTERNAL PRICELIST'!AC86</f>
        <v>21362.085150994935</v>
      </c>
    </row>
    <row r="87" spans="1:37" s="152" customFormat="1" ht="12.75" hidden="1" customHeight="1">
      <c r="A87" s="876" t="str">
        <f t="shared" si="1"/>
        <v>6L</v>
      </c>
      <c r="B87" s="877" t="str">
        <f>'Corrected and Updated TSF 2'!FI87</f>
        <v>SOLD</v>
      </c>
      <c r="C87" s="878" t="str">
        <f>'Corrected and Updated TSF 2'!E87</f>
        <v>6th Floor</v>
      </c>
      <c r="D87" s="763" t="str">
        <f>'Corrected and Updated TSF 2'!M87</f>
        <v>Inner</v>
      </c>
      <c r="E87" s="763" t="str">
        <f>'Corrected and Updated TSF 2'!G87</f>
        <v>6L</v>
      </c>
      <c r="F87" s="747" t="str">
        <f>'Corrected and Updated TSF 2'!I87</f>
        <v>Studio</v>
      </c>
      <c r="G87" s="879">
        <f>'Corrected and Updated TSF 2'!J87</f>
        <v>22</v>
      </c>
      <c r="H87" s="879">
        <f>'Corrected and Updated TSF 2'!CH87</f>
        <v>3400836.6974863359</v>
      </c>
      <c r="I87" s="879">
        <f>SUM('Corrected and Updated TSF 2'!CJ87:CK87)</f>
        <v>467615.04590437113</v>
      </c>
      <c r="J87" s="879">
        <f>'Corrected and Updated TSF 2'!CL87</f>
        <v>3868451.7433907068</v>
      </c>
      <c r="K87" s="880">
        <f>'Corrected and Updated TSF 2'!CM87</f>
        <v>0.125</v>
      </c>
      <c r="L87" s="879">
        <f>'Corrected and Updated TSF 2'!CN87</f>
        <v>483556.46792383835</v>
      </c>
      <c r="M87" s="879">
        <f>'Corrected and Updated TSF 2'!CO87</f>
        <v>30000</v>
      </c>
      <c r="N87" s="879">
        <f>'Corrected and Updated TSF 2'!CP87</f>
        <v>453556.46792383835</v>
      </c>
      <c r="O87" s="881">
        <f>'Corrected and Updated TSF 2'!CQ87</f>
        <v>13</v>
      </c>
      <c r="P87" s="879">
        <f>'Corrected and Updated TSF 2'!CR87</f>
        <v>34888.959071064492</v>
      </c>
      <c r="Q87" s="879">
        <f>'Corrected and Updated TSF 2'!CT87</f>
        <v>3384895.2754668687</v>
      </c>
      <c r="R87" s="879">
        <f>'Corrected and Updated TSF 2'!CU87</f>
        <v>26243.057042508208</v>
      </c>
      <c r="S87" s="879">
        <f>'Corrected and Updated TSF 2'!CV87</f>
        <v>30424.395674644351</v>
      </c>
      <c r="T87" s="882">
        <f>'Corrected and Updated TSF 2'!CW87</f>
        <v>39301.504274876366</v>
      </c>
      <c r="U87" s="882">
        <f>'Corrected and Updated TSF 2'!CX87</f>
        <v>67024.9833878106</v>
      </c>
      <c r="V87" s="1167">
        <f>'Corrected and Updated TSF 2'!CY87</f>
        <v>274965.80216416245</v>
      </c>
      <c r="W87" s="1167">
        <f>'Corrected and Updated TSF 2'!CZ87</f>
        <v>108802.62848103569</v>
      </c>
      <c r="X87" s="1233">
        <f>'Corrected and Updated TSF 2'!DA87</f>
        <v>78586.597559051719</v>
      </c>
      <c r="Y87" s="1233">
        <f>'Corrected and Updated TSF 2'!DB87</f>
        <v>59808.018682531125</v>
      </c>
      <c r="Z87" s="885">
        <f>H87-'Corrected and Updated TSF 2'!CH87</f>
        <v>0</v>
      </c>
      <c r="AA87" s="885">
        <f>I87-SUM('Corrected and Updated TSF 2'!CJ87:CK87)</f>
        <v>0</v>
      </c>
      <c r="AB87" s="885">
        <f>J87-'Corrected and Updated TSF 2'!CL87</f>
        <v>0</v>
      </c>
      <c r="AC87" s="886">
        <f>K87-'Corrected and Updated TSF 2'!CM87</f>
        <v>0</v>
      </c>
      <c r="AD87" s="885">
        <f>M87-'Corrected and Updated TSF 2'!CO87</f>
        <v>0</v>
      </c>
      <c r="AE87" s="887">
        <f>P87-'Corrected and Updated TSF 2'!CR87</f>
        <v>0</v>
      </c>
      <c r="AF87" s="885">
        <f>Q87-'Corrected and Updated TSF 2'!CT87</f>
        <v>0</v>
      </c>
      <c r="AG87" s="888"/>
      <c r="AH87" s="888"/>
      <c r="AI87" s="885">
        <f>S87-'INTERNAL PRICELIST'!AA87</f>
        <v>9696.8100480731991</v>
      </c>
      <c r="AJ87" s="885">
        <f>T87-'INTERNAL PRICELIST'!AB87</f>
        <v>12526.1065120202</v>
      </c>
      <c r="AK87" s="885">
        <f>U87-'INTERNAL PRICELIST'!AC87</f>
        <v>21362.085150994935</v>
      </c>
    </row>
    <row r="88" spans="1:37" s="152" customFormat="1" ht="12.75" hidden="1" customHeight="1">
      <c r="A88" s="876" t="str">
        <f t="shared" si="1"/>
        <v>6M</v>
      </c>
      <c r="B88" s="877" t="str">
        <f>'Corrected and Updated TSF 2'!FI88</f>
        <v>SOLD</v>
      </c>
      <c r="C88" s="878" t="str">
        <f>'Corrected and Updated TSF 2'!E88</f>
        <v>6th Floor</v>
      </c>
      <c r="D88" s="763" t="str">
        <f>'Corrected and Updated TSF 2'!M88</f>
        <v>Inner</v>
      </c>
      <c r="E88" s="763" t="str">
        <f>'Corrected and Updated TSF 2'!G88</f>
        <v>6M</v>
      </c>
      <c r="F88" s="747" t="str">
        <f>'Corrected and Updated TSF 2'!I88</f>
        <v>Studio</v>
      </c>
      <c r="G88" s="879">
        <f>'Corrected and Updated TSF 2'!J88</f>
        <v>22</v>
      </c>
      <c r="H88" s="879">
        <f>'Corrected and Updated TSF 2'!CH88</f>
        <v>3452551.3612104738</v>
      </c>
      <c r="I88" s="879">
        <f>SUM('Corrected and Updated TSF 2'!CJ88:CK88)</f>
        <v>474725.81216644018</v>
      </c>
      <c r="J88" s="879">
        <f>'Corrected and Updated TSF 2'!CL88</f>
        <v>3927277.1733769136</v>
      </c>
      <c r="K88" s="880">
        <f>'Corrected and Updated TSF 2'!CM88</f>
        <v>0.125</v>
      </c>
      <c r="L88" s="879">
        <f>'Corrected and Updated TSF 2'!CN88</f>
        <v>490909.64667211421</v>
      </c>
      <c r="M88" s="879">
        <f>'Corrected and Updated TSF 2'!CO88</f>
        <v>30000</v>
      </c>
      <c r="N88" s="879">
        <f>'Corrected and Updated TSF 2'!CP88</f>
        <v>460909.64667211421</v>
      </c>
      <c r="O88" s="881">
        <f>'Corrected and Updated TSF 2'!CQ88</f>
        <v>13</v>
      </c>
      <c r="P88" s="879">
        <f>'Corrected and Updated TSF 2'!CR88</f>
        <v>35454.588205547247</v>
      </c>
      <c r="Q88" s="879">
        <f>'Corrected and Updated TSF 2'!CT88</f>
        <v>3436367.5267047994</v>
      </c>
      <c r="R88" s="879">
        <f>'Corrected and Updated TSF 2'!CU88</f>
        <v>26642.120858494956</v>
      </c>
      <c r="S88" s="879">
        <f>'Corrected and Updated TSF 2'!CV88</f>
        <v>30887.042820415059</v>
      </c>
      <c r="T88" s="882">
        <f>'Corrected and Updated TSF 2'!CW88</f>
        <v>39899.140756195877</v>
      </c>
      <c r="U88" s="882">
        <f>'Corrected and Updated TSF 2'!CX88</f>
        <v>68044.195653891613</v>
      </c>
      <c r="V88" s="1167">
        <f>'Corrected and Updated TSF 2'!CY88</f>
        <v>279147.05673750548</v>
      </c>
      <c r="W88" s="1167">
        <f>'Corrected and Updated TSF 2'!CZ88</f>
        <v>110457.1305476471</v>
      </c>
      <c r="X88" s="1233">
        <f>'Corrected and Updated TSF 2'!DA88</f>
        <v>79781.620968730407</v>
      </c>
      <c r="Y88" s="1233">
        <f>'Corrected and Updated TSF 2'!DB88</f>
        <v>60717.486513332929</v>
      </c>
      <c r="Z88" s="885">
        <f>H88-'Corrected and Updated TSF 2'!CH88</f>
        <v>0</v>
      </c>
      <c r="AA88" s="885">
        <f>I88-SUM('Corrected and Updated TSF 2'!CJ88:CK88)</f>
        <v>0</v>
      </c>
      <c r="AB88" s="885">
        <f>J88-'Corrected and Updated TSF 2'!CL88</f>
        <v>0</v>
      </c>
      <c r="AC88" s="886">
        <f>K88-'Corrected and Updated TSF 2'!CM88</f>
        <v>0</v>
      </c>
      <c r="AD88" s="885">
        <f>M88-'Corrected and Updated TSF 2'!CO88</f>
        <v>0</v>
      </c>
      <c r="AE88" s="887">
        <f>P88-'Corrected and Updated TSF 2'!CR88</f>
        <v>0</v>
      </c>
      <c r="AF88" s="885">
        <f>Q88-'Corrected and Updated TSF 2'!CT88</f>
        <v>0</v>
      </c>
      <c r="AG88" s="888"/>
      <c r="AH88" s="888"/>
      <c r="AI88" s="885">
        <f>S88-'INTERNAL PRICELIST'!AA88</f>
        <v>10159.457193843908</v>
      </c>
      <c r="AJ88" s="885">
        <f>T88-'INTERNAL PRICELIST'!AB88</f>
        <v>13123.742993339711</v>
      </c>
      <c r="AK88" s="885">
        <f>U88-'INTERNAL PRICELIST'!AC88</f>
        <v>22381.297417075948</v>
      </c>
    </row>
    <row r="89" spans="1:37" s="152" customFormat="1" ht="12.75" hidden="1" customHeight="1">
      <c r="A89" s="876" t="str">
        <f t="shared" si="1"/>
        <v>6N</v>
      </c>
      <c r="B89" s="877" t="str">
        <f>'Corrected and Updated TSF 2'!FI89</f>
        <v>SOLD</v>
      </c>
      <c r="C89" s="878" t="str">
        <f>'Corrected and Updated TSF 2'!E89</f>
        <v>6th Floor</v>
      </c>
      <c r="D89" s="763" t="str">
        <f>'Corrected and Updated TSF 2'!M89</f>
        <v>Inner</v>
      </c>
      <c r="E89" s="763" t="str">
        <f>'Corrected and Updated TSF 2'!G89</f>
        <v>6N</v>
      </c>
      <c r="F89" s="747" t="str">
        <f>'Corrected and Updated TSF 2'!I89</f>
        <v>Studio</v>
      </c>
      <c r="G89" s="879">
        <f>'Corrected and Updated TSF 2'!J89</f>
        <v>22</v>
      </c>
      <c r="H89" s="879">
        <f>'Corrected and Updated TSF 2'!CH89</f>
        <v>3400836.6974863359</v>
      </c>
      <c r="I89" s="879">
        <f>SUM('Corrected and Updated TSF 2'!CJ89:CK89)</f>
        <v>467615.04590437113</v>
      </c>
      <c r="J89" s="879">
        <f>'Corrected and Updated TSF 2'!CL89</f>
        <v>3868451.7433907068</v>
      </c>
      <c r="K89" s="880">
        <f>'Corrected and Updated TSF 2'!CM89</f>
        <v>0.125</v>
      </c>
      <c r="L89" s="879">
        <f>'Corrected and Updated TSF 2'!CN89</f>
        <v>483556.46792383835</v>
      </c>
      <c r="M89" s="879">
        <f>'Corrected and Updated TSF 2'!CO89</f>
        <v>30000</v>
      </c>
      <c r="N89" s="879">
        <f>'Corrected and Updated TSF 2'!CP89</f>
        <v>453556.46792383835</v>
      </c>
      <c r="O89" s="881">
        <f>'Corrected and Updated TSF 2'!CQ89</f>
        <v>13</v>
      </c>
      <c r="P89" s="879">
        <f>'Corrected and Updated TSF 2'!CR89</f>
        <v>34888.959071064492</v>
      </c>
      <c r="Q89" s="879">
        <f>'Corrected and Updated TSF 2'!CT89</f>
        <v>3384895.2754668687</v>
      </c>
      <c r="R89" s="879">
        <f>'Corrected and Updated TSF 2'!CU89</f>
        <v>26243.057042508208</v>
      </c>
      <c r="S89" s="879">
        <f>'Corrected and Updated TSF 2'!CV89</f>
        <v>30424.395674644351</v>
      </c>
      <c r="T89" s="882">
        <f>'Corrected and Updated TSF 2'!CW89</f>
        <v>39301.504274876366</v>
      </c>
      <c r="U89" s="882">
        <f>'Corrected and Updated TSF 2'!CX89</f>
        <v>67024.9833878106</v>
      </c>
      <c r="V89" s="1167">
        <f>'Corrected and Updated TSF 2'!CY89</f>
        <v>274965.80216416245</v>
      </c>
      <c r="W89" s="1167">
        <f>'Corrected and Updated TSF 2'!CZ89</f>
        <v>108802.62848103569</v>
      </c>
      <c r="X89" s="1233">
        <f>'Corrected and Updated TSF 2'!DA89</f>
        <v>78586.597559051719</v>
      </c>
      <c r="Y89" s="1233">
        <f>'Corrected and Updated TSF 2'!DB89</f>
        <v>59808.018682531125</v>
      </c>
      <c r="Z89" s="885">
        <f>H89-'Corrected and Updated TSF 2'!CH89</f>
        <v>0</v>
      </c>
      <c r="AA89" s="885">
        <f>I89-SUM('Corrected and Updated TSF 2'!CJ89:CK89)</f>
        <v>0</v>
      </c>
      <c r="AB89" s="885">
        <f>J89-'Corrected and Updated TSF 2'!CL89</f>
        <v>0</v>
      </c>
      <c r="AC89" s="886">
        <f>K89-'Corrected and Updated TSF 2'!CM89</f>
        <v>0</v>
      </c>
      <c r="AD89" s="885">
        <f>M89-'Corrected and Updated TSF 2'!CO89</f>
        <v>0</v>
      </c>
      <c r="AE89" s="887">
        <f>P89-'Corrected and Updated TSF 2'!CR89</f>
        <v>0</v>
      </c>
      <c r="AF89" s="885">
        <f>Q89-'Corrected and Updated TSF 2'!CT89</f>
        <v>0</v>
      </c>
      <c r="AG89" s="888"/>
      <c r="AH89" s="888"/>
      <c r="AI89" s="885">
        <f>S89-'INTERNAL PRICELIST'!AA89</f>
        <v>9696.8100480731991</v>
      </c>
      <c r="AJ89" s="885">
        <f>T89-'INTERNAL PRICELIST'!AB89</f>
        <v>12526.1065120202</v>
      </c>
      <c r="AK89" s="885">
        <f>U89-'INTERNAL PRICELIST'!AC89</f>
        <v>21362.085150994935</v>
      </c>
    </row>
    <row r="90" spans="1:37" s="152" customFormat="1" ht="12.75" hidden="1" customHeight="1">
      <c r="A90" s="876" t="str">
        <f t="shared" si="1"/>
        <v>6O</v>
      </c>
      <c r="B90" s="877" t="str">
        <f>'Corrected and Updated TSF 2'!FI90</f>
        <v>SOLD</v>
      </c>
      <c r="C90" s="878" t="str">
        <f>'Corrected and Updated TSF 2'!E90</f>
        <v>6th Floor</v>
      </c>
      <c r="D90" s="763" t="str">
        <f>'Corrected and Updated TSF 2'!M90</f>
        <v>Inner</v>
      </c>
      <c r="E90" s="763" t="str">
        <f>'Corrected and Updated TSF 2'!G90</f>
        <v>6O</v>
      </c>
      <c r="F90" s="747" t="str">
        <f>'Corrected and Updated TSF 2'!I90</f>
        <v>Studio</v>
      </c>
      <c r="G90" s="879">
        <f>'Corrected and Updated TSF 2'!J90</f>
        <v>22</v>
      </c>
      <c r="H90" s="879">
        <f>'Corrected and Updated TSF 2'!CH90</f>
        <v>3400836.6974863359</v>
      </c>
      <c r="I90" s="879">
        <f>SUM('Corrected and Updated TSF 2'!CJ90:CK90)</f>
        <v>467615.04590437113</v>
      </c>
      <c r="J90" s="879">
        <f>'Corrected and Updated TSF 2'!CL90</f>
        <v>3868451.7433907068</v>
      </c>
      <c r="K90" s="880">
        <f>'Corrected and Updated TSF 2'!CM90</f>
        <v>0.125</v>
      </c>
      <c r="L90" s="879">
        <f>'Corrected and Updated TSF 2'!CN90</f>
        <v>483556.46792383835</v>
      </c>
      <c r="M90" s="879">
        <f>'Corrected and Updated TSF 2'!CO90</f>
        <v>30000</v>
      </c>
      <c r="N90" s="879">
        <f>'Corrected and Updated TSF 2'!CP90</f>
        <v>453556.46792383835</v>
      </c>
      <c r="O90" s="881">
        <f>'Corrected and Updated TSF 2'!CQ90</f>
        <v>13</v>
      </c>
      <c r="P90" s="879">
        <f>'Corrected and Updated TSF 2'!CR90</f>
        <v>34888.959071064492</v>
      </c>
      <c r="Q90" s="879">
        <f>'Corrected and Updated TSF 2'!CT90</f>
        <v>3384895.2754668687</v>
      </c>
      <c r="R90" s="879">
        <f>'Corrected and Updated TSF 2'!CU90</f>
        <v>26243.057042508208</v>
      </c>
      <c r="S90" s="879">
        <f>'Corrected and Updated TSF 2'!CV90</f>
        <v>30424.395674644351</v>
      </c>
      <c r="T90" s="882">
        <f>'Corrected and Updated TSF 2'!CW90</f>
        <v>39301.504274876366</v>
      </c>
      <c r="U90" s="882">
        <f>'Corrected and Updated TSF 2'!CX90</f>
        <v>67024.9833878106</v>
      </c>
      <c r="V90" s="1167">
        <f>'Corrected and Updated TSF 2'!CY90</f>
        <v>274965.80216416245</v>
      </c>
      <c r="W90" s="1167">
        <f>'Corrected and Updated TSF 2'!CZ90</f>
        <v>108802.62848103569</v>
      </c>
      <c r="X90" s="1233">
        <f>'Corrected and Updated TSF 2'!DA90</f>
        <v>78586.597559051719</v>
      </c>
      <c r="Y90" s="1233">
        <f>'Corrected and Updated TSF 2'!DB90</f>
        <v>59808.018682531125</v>
      </c>
      <c r="Z90" s="885">
        <f>H90-'Corrected and Updated TSF 2'!CH90</f>
        <v>0</v>
      </c>
      <c r="AA90" s="885">
        <f>I90-SUM('Corrected and Updated TSF 2'!CJ90:CK90)</f>
        <v>0</v>
      </c>
      <c r="AB90" s="885">
        <f>J90-'Corrected and Updated TSF 2'!CL90</f>
        <v>0</v>
      </c>
      <c r="AC90" s="886">
        <f>K90-'Corrected and Updated TSF 2'!CM90</f>
        <v>0</v>
      </c>
      <c r="AD90" s="885">
        <f>M90-'Corrected and Updated TSF 2'!CO90</f>
        <v>0</v>
      </c>
      <c r="AE90" s="887">
        <f>P90-'Corrected and Updated TSF 2'!CR90</f>
        <v>0</v>
      </c>
      <c r="AF90" s="885">
        <f>Q90-'Corrected and Updated TSF 2'!CT90</f>
        <v>0</v>
      </c>
      <c r="AG90" s="888"/>
      <c r="AH90" s="888"/>
      <c r="AI90" s="885">
        <f>S90-'INTERNAL PRICELIST'!AA90</f>
        <v>9696.8100480731991</v>
      </c>
      <c r="AJ90" s="885">
        <f>T90-'INTERNAL PRICELIST'!AB90</f>
        <v>12526.1065120202</v>
      </c>
      <c r="AK90" s="885">
        <f>U90-'INTERNAL PRICELIST'!AC90</f>
        <v>21362.085150994935</v>
      </c>
    </row>
    <row r="91" spans="1:37" s="152" customFormat="1" ht="12.75" hidden="1" customHeight="1">
      <c r="A91" s="876" t="str">
        <f t="shared" si="1"/>
        <v>6P</v>
      </c>
      <c r="B91" s="877" t="str">
        <f>'Corrected and Updated TSF 2'!FI91</f>
        <v>SOLD</v>
      </c>
      <c r="C91" s="878" t="str">
        <f>'Corrected and Updated TSF 2'!E91</f>
        <v>6th Floor</v>
      </c>
      <c r="D91" s="763" t="str">
        <f>'Corrected and Updated TSF 2'!M91</f>
        <v>Inner</v>
      </c>
      <c r="E91" s="763" t="str">
        <f>'Corrected and Updated TSF 2'!G91</f>
        <v>6P</v>
      </c>
      <c r="F91" s="747" t="str">
        <f>'Corrected and Updated TSF 2'!I91</f>
        <v>Studio</v>
      </c>
      <c r="G91" s="879">
        <f>'Corrected and Updated TSF 2'!J91</f>
        <v>22</v>
      </c>
      <c r="H91" s="879">
        <f>'Corrected and Updated TSF 2'!CH91</f>
        <v>3400836.6974863359</v>
      </c>
      <c r="I91" s="879">
        <f>SUM('Corrected and Updated TSF 2'!CJ91:CK91)</f>
        <v>467615.04590437113</v>
      </c>
      <c r="J91" s="879">
        <f>'Corrected and Updated TSF 2'!CL91</f>
        <v>3868451.7433907068</v>
      </c>
      <c r="K91" s="880">
        <f>'Corrected and Updated TSF 2'!CM91</f>
        <v>0.125</v>
      </c>
      <c r="L91" s="879">
        <f>'Corrected and Updated TSF 2'!CN91</f>
        <v>483556.46792383835</v>
      </c>
      <c r="M91" s="879">
        <f>'Corrected and Updated TSF 2'!CO91</f>
        <v>30000</v>
      </c>
      <c r="N91" s="879">
        <f>'Corrected and Updated TSF 2'!CP91</f>
        <v>453556.46792383835</v>
      </c>
      <c r="O91" s="881">
        <f>'Corrected and Updated TSF 2'!CQ91</f>
        <v>13</v>
      </c>
      <c r="P91" s="879">
        <f>'Corrected and Updated TSF 2'!CR91</f>
        <v>34888.959071064492</v>
      </c>
      <c r="Q91" s="879">
        <f>'Corrected and Updated TSF 2'!CT91</f>
        <v>3384895.2754668687</v>
      </c>
      <c r="R91" s="879">
        <f>'Corrected and Updated TSF 2'!CU91</f>
        <v>26243.057042508208</v>
      </c>
      <c r="S91" s="879">
        <f>'Corrected and Updated TSF 2'!CV91</f>
        <v>30424.395674644351</v>
      </c>
      <c r="T91" s="882">
        <f>'Corrected and Updated TSF 2'!CW91</f>
        <v>39301.504274876366</v>
      </c>
      <c r="U91" s="882">
        <f>'Corrected and Updated TSF 2'!CX91</f>
        <v>67024.9833878106</v>
      </c>
      <c r="V91" s="1167">
        <f>'Corrected and Updated TSF 2'!CY91</f>
        <v>274965.80216416245</v>
      </c>
      <c r="W91" s="1167">
        <f>'Corrected and Updated TSF 2'!CZ91</f>
        <v>108802.62848103569</v>
      </c>
      <c r="X91" s="1233">
        <f>'Corrected and Updated TSF 2'!DA91</f>
        <v>78586.597559051719</v>
      </c>
      <c r="Y91" s="1233">
        <f>'Corrected and Updated TSF 2'!DB91</f>
        <v>59808.018682531125</v>
      </c>
      <c r="Z91" s="885">
        <f>H91-'Corrected and Updated TSF 2'!CH91</f>
        <v>0</v>
      </c>
      <c r="AA91" s="885">
        <f>I91-SUM('Corrected and Updated TSF 2'!CJ91:CK91)</f>
        <v>0</v>
      </c>
      <c r="AB91" s="885">
        <f>J91-'Corrected and Updated TSF 2'!CL91</f>
        <v>0</v>
      </c>
      <c r="AC91" s="886">
        <f>K91-'Corrected and Updated TSF 2'!CM91</f>
        <v>0</v>
      </c>
      <c r="AD91" s="885">
        <f>M91-'Corrected and Updated TSF 2'!CO91</f>
        <v>0</v>
      </c>
      <c r="AE91" s="887">
        <f>P91-'Corrected and Updated TSF 2'!CR91</f>
        <v>0</v>
      </c>
      <c r="AF91" s="885">
        <f>Q91-'Corrected and Updated TSF 2'!CT91</f>
        <v>0</v>
      </c>
      <c r="AG91" s="888"/>
      <c r="AH91" s="888"/>
      <c r="AI91" s="885">
        <f>S91-'INTERNAL PRICELIST'!AA91</f>
        <v>9696.8100480731991</v>
      </c>
      <c r="AJ91" s="885">
        <f>T91-'INTERNAL PRICELIST'!AB91</f>
        <v>12526.1065120202</v>
      </c>
      <c r="AK91" s="885">
        <f>U91-'INTERNAL PRICELIST'!AC91</f>
        <v>21362.085150994935</v>
      </c>
    </row>
    <row r="92" spans="1:37" s="152" customFormat="1" ht="12.75" customHeight="1">
      <c r="A92" s="876" t="str">
        <f t="shared" si="1"/>
        <v>6Q</v>
      </c>
      <c r="B92" s="877" t="str">
        <f>'Corrected and Updated TSF 2'!FI92</f>
        <v>UNSOLD</v>
      </c>
      <c r="C92" s="878" t="str">
        <f>'Corrected and Updated TSF 2'!E92</f>
        <v>6th Floor</v>
      </c>
      <c r="D92" s="763" t="str">
        <f>'Corrected and Updated TSF 2'!M92</f>
        <v>Inner</v>
      </c>
      <c r="E92" s="763" t="str">
        <f>'Corrected and Updated TSF 2'!G92</f>
        <v>6Q</v>
      </c>
      <c r="F92" s="747" t="str">
        <f>'Corrected and Updated TSF 2'!I92</f>
        <v>Studio</v>
      </c>
      <c r="G92" s="879">
        <f>'Corrected and Updated TSF 2'!J92</f>
        <v>22</v>
      </c>
      <c r="H92" s="879">
        <f>'Corrected and Updated TSF 2'!CH92</f>
        <v>3508432.0298044034</v>
      </c>
      <c r="I92" s="879">
        <f>SUM('Corrected and Updated TSF 2'!CJ92:CK92)</f>
        <v>482409.4040981055</v>
      </c>
      <c r="J92" s="879">
        <f>'Corrected and Updated TSF 2'!CL92</f>
        <v>3990841.4339025086</v>
      </c>
      <c r="K92" s="880">
        <f>'Corrected and Updated TSF 2'!CM92</f>
        <v>0.125</v>
      </c>
      <c r="L92" s="879">
        <f>'Corrected and Updated TSF 2'!CN92</f>
        <v>498855.17923781357</v>
      </c>
      <c r="M92" s="879">
        <f>'Corrected and Updated TSF 2'!CO92</f>
        <v>30000</v>
      </c>
      <c r="N92" s="879">
        <f>'Corrected and Updated TSF 2'!CP92</f>
        <v>468855.17923781357</v>
      </c>
      <c r="O92" s="881">
        <f>'Corrected and Updated TSF 2'!CQ92</f>
        <v>13</v>
      </c>
      <c r="P92" s="879">
        <f>'Corrected and Updated TSF 2'!CR92</f>
        <v>36065.783018293354</v>
      </c>
      <c r="Q92" s="879">
        <f>'Corrected and Updated TSF 2'!CT92</f>
        <v>3491986.2546646949</v>
      </c>
      <c r="R92" s="879">
        <f>'Corrected and Updated TSF 2'!CU92</f>
        <v>27073.332264372781</v>
      </c>
      <c r="S92" s="879">
        <f>'Corrected and Updated TSF 2'!CV92</f>
        <v>31386.959671207107</v>
      </c>
      <c r="T92" s="882">
        <f>'Corrected and Updated TSF 2'!CW92</f>
        <v>40544.921348145661</v>
      </c>
      <c r="U92" s="882">
        <f>'Corrected and Updated TSF 2'!CX92</f>
        <v>69145.513128787206</v>
      </c>
      <c r="V92" s="1167">
        <f>'Corrected and Updated TSF 2'!CY92</f>
        <v>283665.14279460913</v>
      </c>
      <c r="W92" s="1167">
        <f>'Corrected and Updated TSF 2'!CZ92</f>
        <v>112244.91519158224</v>
      </c>
      <c r="X92" s="1233">
        <f>'Corrected and Updated TSF 2'!DA92</f>
        <v>81072.912496302946</v>
      </c>
      <c r="Y92" s="1233">
        <f>'Corrected and Updated TSF 2'!DB92</f>
        <v>61700.218813807194</v>
      </c>
      <c r="Z92" s="885">
        <f>H92-'Corrected and Updated TSF 2'!CH92</f>
        <v>0</v>
      </c>
      <c r="AA92" s="885">
        <f>I92-SUM('Corrected and Updated TSF 2'!CJ92:CK92)</f>
        <v>0</v>
      </c>
      <c r="AB92" s="885">
        <f>J92-'Corrected and Updated TSF 2'!CL92</f>
        <v>0</v>
      </c>
      <c r="AC92" s="886">
        <f>K92-'Corrected and Updated TSF 2'!CM92</f>
        <v>0</v>
      </c>
      <c r="AD92" s="885">
        <f>M92-'Corrected and Updated TSF 2'!CO92</f>
        <v>0</v>
      </c>
      <c r="AE92" s="887">
        <f>P92-'Corrected and Updated TSF 2'!CR92</f>
        <v>0</v>
      </c>
      <c r="AF92" s="885">
        <f>Q92-'Corrected and Updated TSF 2'!CT92</f>
        <v>0</v>
      </c>
      <c r="AG92" s="888"/>
      <c r="AH92" s="888"/>
      <c r="AI92" s="885">
        <f>S92-'INTERNAL PRICELIST'!AA92</f>
        <v>10659.374044635955</v>
      </c>
      <c r="AJ92" s="885">
        <f>T92-'INTERNAL PRICELIST'!AB92</f>
        <v>13769.523585289495</v>
      </c>
      <c r="AK92" s="885">
        <f>U92-'INTERNAL PRICELIST'!AC92</f>
        <v>23482.614891971542</v>
      </c>
    </row>
    <row r="93" spans="1:37" s="152" customFormat="1" ht="12.75" hidden="1" customHeight="1">
      <c r="A93" s="876" t="str">
        <f t="shared" si="1"/>
        <v>6R</v>
      </c>
      <c r="B93" s="877" t="str">
        <f>'Corrected and Updated TSF 2'!FI93</f>
        <v>SOLD</v>
      </c>
      <c r="C93" s="878" t="str">
        <f>'Corrected and Updated TSF 2'!E93</f>
        <v>6th Floor</v>
      </c>
      <c r="D93" s="763" t="str">
        <f>'Corrected and Updated TSF 2'!M93</f>
        <v>Corner</v>
      </c>
      <c r="E93" s="763" t="str">
        <f>'Corrected and Updated TSF 2'!G93</f>
        <v>6R</v>
      </c>
      <c r="F93" s="747" t="str">
        <f>'Corrected and Updated TSF 2'!I93</f>
        <v>Studio</v>
      </c>
      <c r="G93" s="879">
        <f>'Corrected and Updated TSF 2'!J93</f>
        <v>22</v>
      </c>
      <c r="H93" s="879">
        <f>'Corrected and Updated TSF 2'!CH93</f>
        <v>3517325.2818407053</v>
      </c>
      <c r="I93" s="879">
        <f>SUM('Corrected and Updated TSF 2'!CJ93:CK93)</f>
        <v>483632.226253097</v>
      </c>
      <c r="J93" s="879">
        <f>'Corrected and Updated TSF 2'!CL93</f>
        <v>4000957.5080938023</v>
      </c>
      <c r="K93" s="880">
        <f>'Corrected and Updated TSF 2'!CM93</f>
        <v>0.125</v>
      </c>
      <c r="L93" s="879">
        <f>'Corrected and Updated TSF 2'!CN93</f>
        <v>500119.68851172528</v>
      </c>
      <c r="M93" s="879">
        <f>'Corrected and Updated TSF 2'!CO93</f>
        <v>30000</v>
      </c>
      <c r="N93" s="879">
        <f>'Corrected and Updated TSF 2'!CP93</f>
        <v>470119.68851172528</v>
      </c>
      <c r="O93" s="881">
        <f>'Corrected and Updated TSF 2'!CQ93</f>
        <v>13</v>
      </c>
      <c r="P93" s="879">
        <f>'Corrected and Updated TSF 2'!CR93</f>
        <v>36163.052962440408</v>
      </c>
      <c r="Q93" s="879">
        <f>'Corrected and Updated TSF 2'!CT93</f>
        <v>3500837.8195820767</v>
      </c>
      <c r="R93" s="879">
        <f>'Corrected and Updated TSF 2'!CU93</f>
        <v>27141.958352962858</v>
      </c>
      <c r="S93" s="879">
        <f>'Corrected and Updated TSF 2'!CV93</f>
        <v>31466.520039097391</v>
      </c>
      <c r="T93" s="882">
        <f>'Corrected and Updated TSF 2'!CW93</f>
        <v>40647.695522271875</v>
      </c>
      <c r="U93" s="882">
        <f>'Corrected and Updated TSF 2'!CX93</f>
        <v>69320.784723109071</v>
      </c>
      <c r="V93" s="1167">
        <f>'Corrected and Updated TSF 2'!CY93</f>
        <v>284384.18354767363</v>
      </c>
      <c r="W93" s="1167">
        <f>'Corrected and Updated TSF 2'!CZ93</f>
        <v>112529.43611492126</v>
      </c>
      <c r="X93" s="1233">
        <f>'Corrected and Updated TSF 2'!DA93</f>
        <v>81278.417929505507</v>
      </c>
      <c r="Y93" s="1233">
        <f>'Corrected and Updated TSF 2'!DB93</f>
        <v>61856.617909455854</v>
      </c>
      <c r="Z93" s="885">
        <f>H93-'Corrected and Updated TSF 2'!CH93</f>
        <v>0</v>
      </c>
      <c r="AA93" s="885">
        <f>I93-SUM('Corrected and Updated TSF 2'!CJ93:CK93)</f>
        <v>0</v>
      </c>
      <c r="AB93" s="885">
        <f>J93-'Corrected and Updated TSF 2'!CL93</f>
        <v>0</v>
      </c>
      <c r="AC93" s="886">
        <f>K93-'Corrected and Updated TSF 2'!CM93</f>
        <v>0</v>
      </c>
      <c r="AD93" s="885">
        <f>M93-'Corrected and Updated TSF 2'!CO93</f>
        <v>0</v>
      </c>
      <c r="AE93" s="887">
        <f>P93-'Corrected and Updated TSF 2'!CR93</f>
        <v>0</v>
      </c>
      <c r="AF93" s="885">
        <f>Q93-'Corrected and Updated TSF 2'!CT93</f>
        <v>0</v>
      </c>
      <c r="AG93" s="888"/>
      <c r="AH93" s="888"/>
      <c r="AI93" s="885">
        <f>S93-'INTERNAL PRICELIST'!AA93</f>
        <v>10738.93441252624</v>
      </c>
      <c r="AJ93" s="885">
        <f>T93-'INTERNAL PRICELIST'!AB93</f>
        <v>13872.297759415709</v>
      </c>
      <c r="AK93" s="885">
        <f>U93-'INTERNAL PRICELIST'!AC93</f>
        <v>23657.886486293406</v>
      </c>
    </row>
    <row r="94" spans="1:37" s="152" customFormat="1" ht="12.75" hidden="1" customHeight="1">
      <c r="A94" s="876" t="str">
        <f t="shared" si="1"/>
        <v>7A</v>
      </c>
      <c r="B94" s="877" t="str">
        <f>'Corrected and Updated TSF 2'!FI94</f>
        <v>SOLD</v>
      </c>
      <c r="C94" s="878" t="str">
        <f>'Corrected and Updated TSF 2'!E94</f>
        <v>7th Floor</v>
      </c>
      <c r="D94" s="763" t="str">
        <f>'Corrected and Updated TSF 2'!M94</f>
        <v>End</v>
      </c>
      <c r="E94" s="763" t="str">
        <f>'Corrected and Updated TSF 2'!G94</f>
        <v>7A</v>
      </c>
      <c r="F94" s="747" t="str">
        <f>'Corrected and Updated TSF 2'!I94</f>
        <v>Studio</v>
      </c>
      <c r="G94" s="879">
        <f>'Corrected and Updated TSF 2'!J94</f>
        <v>22</v>
      </c>
      <c r="H94" s="879">
        <f>'Corrected and Updated TSF 2'!CH94</f>
        <v>3499624.0039478545</v>
      </c>
      <c r="I94" s="879">
        <f>SUM('Corrected and Updated TSF 2'!CJ94:CK94)</f>
        <v>481198.30054283002</v>
      </c>
      <c r="J94" s="879">
        <f>'Corrected and Updated TSF 2'!CL94</f>
        <v>3980822.3044906845</v>
      </c>
      <c r="K94" s="880">
        <f>'Corrected and Updated TSF 2'!CM94</f>
        <v>0.125</v>
      </c>
      <c r="L94" s="879">
        <f>'Corrected and Updated TSF 2'!CN94</f>
        <v>497602.78806133557</v>
      </c>
      <c r="M94" s="879">
        <f>'Corrected and Updated TSF 2'!CO94</f>
        <v>30000</v>
      </c>
      <c r="N94" s="879">
        <f>'Corrected and Updated TSF 2'!CP94</f>
        <v>467602.78806133557</v>
      </c>
      <c r="O94" s="881">
        <f>'Corrected and Updated TSF 2'!CQ94</f>
        <v>13</v>
      </c>
      <c r="P94" s="879">
        <f>'Corrected and Updated TSF 2'!CR94</f>
        <v>35969.44523548735</v>
      </c>
      <c r="Q94" s="879">
        <f>'Corrected and Updated TSF 2'!CT94</f>
        <v>3483219.5164293488</v>
      </c>
      <c r="R94" s="879">
        <f>'Corrected and Updated TSF 2'!CU94</f>
        <v>27005.363836145654</v>
      </c>
      <c r="S94" s="879">
        <f>'Corrected and Updated TSF 2'!CV94</f>
        <v>31308.161749516184</v>
      </c>
      <c r="T94" s="882">
        <f>'Corrected and Updated TSF 2'!CW94</f>
        <v>40443.132083724282</v>
      </c>
      <c r="U94" s="882">
        <f>'Corrected and Updated TSF 2'!CX94</f>
        <v>68971.921204437836</v>
      </c>
      <c r="V94" s="1167">
        <f>'Corrected and Updated TSF 2'!CY94</f>
        <v>282952.99278254929</v>
      </c>
      <c r="W94" s="1167">
        <f>'Corrected and Updated TSF 2'!CZ94</f>
        <v>111963.12090089203</v>
      </c>
      <c r="X94" s="1233">
        <f>'Corrected and Updated TSF 2'!DA94</f>
        <v>80869.376471244774</v>
      </c>
      <c r="Y94" s="1233">
        <f>'Corrected and Updated TSF 2'!DB94</f>
        <v>61545.318528423297</v>
      </c>
      <c r="Z94" s="885">
        <f>H94-'Corrected and Updated TSF 2'!CH94</f>
        <v>0</v>
      </c>
      <c r="AA94" s="885">
        <f>I94-SUM('Corrected and Updated TSF 2'!CJ94:CK94)</f>
        <v>0</v>
      </c>
      <c r="AB94" s="885">
        <f>J94-'Corrected and Updated TSF 2'!CL94</f>
        <v>0</v>
      </c>
      <c r="AC94" s="886">
        <f>K94-'Corrected and Updated TSF 2'!CM94</f>
        <v>0</v>
      </c>
      <c r="AD94" s="885">
        <f>M94-'Corrected and Updated TSF 2'!CO94</f>
        <v>0</v>
      </c>
      <c r="AE94" s="887">
        <f>P94-'Corrected and Updated TSF 2'!CR94</f>
        <v>0</v>
      </c>
      <c r="AF94" s="885">
        <f>Q94-'Corrected and Updated TSF 2'!CT94</f>
        <v>0</v>
      </c>
      <c r="AG94" s="888"/>
      <c r="AH94" s="888"/>
      <c r="AI94" s="885">
        <f>S94-'INTERNAL PRICELIST'!AA94</f>
        <v>10580.576122945033</v>
      </c>
      <c r="AJ94" s="885">
        <f>T94-'INTERNAL PRICELIST'!AB94</f>
        <v>13667.734320868116</v>
      </c>
      <c r="AK94" s="885">
        <f>U94-'INTERNAL PRICELIST'!AC94</f>
        <v>23309.022967622172</v>
      </c>
    </row>
    <row r="95" spans="1:37" s="152" customFormat="1" ht="12.75" hidden="1" customHeight="1">
      <c r="A95" s="876" t="str">
        <f t="shared" si="1"/>
        <v>7B</v>
      </c>
      <c r="B95" s="877" t="str">
        <f>'Corrected and Updated TSF 2'!FI95</f>
        <v>SOLD</v>
      </c>
      <c r="C95" s="878" t="str">
        <f>'Corrected and Updated TSF 2'!E95</f>
        <v>7th Floor</v>
      </c>
      <c r="D95" s="763" t="str">
        <f>'Corrected and Updated TSF 2'!M95</f>
        <v>Inner</v>
      </c>
      <c r="E95" s="763" t="str">
        <f>'Corrected and Updated TSF 2'!G95</f>
        <v>7B</v>
      </c>
      <c r="F95" s="747" t="str">
        <f>'Corrected and Updated TSF 2'!I95</f>
        <v>Studio</v>
      </c>
      <c r="G95" s="879">
        <f>'Corrected and Updated TSF 2'!J95</f>
        <v>22</v>
      </c>
      <c r="H95" s="879">
        <f>'Corrected and Updated TSF 2'!CH95</f>
        <v>3428069.432706106</v>
      </c>
      <c r="I95" s="879">
        <f>SUM('Corrected and Updated TSF 2'!CJ95:CK95)</f>
        <v>471359.54699708958</v>
      </c>
      <c r="J95" s="879">
        <f>'Corrected and Updated TSF 2'!CL95</f>
        <v>3899428.9797031954</v>
      </c>
      <c r="K95" s="880">
        <f>'Corrected and Updated TSF 2'!CM95</f>
        <v>0.125</v>
      </c>
      <c r="L95" s="879">
        <f>'Corrected and Updated TSF 2'!CN95</f>
        <v>487428.62246289942</v>
      </c>
      <c r="M95" s="879">
        <f>'Corrected and Updated TSF 2'!CO95</f>
        <v>30000</v>
      </c>
      <c r="N95" s="879">
        <f>'Corrected and Updated TSF 2'!CP95</f>
        <v>457428.62246289942</v>
      </c>
      <c r="O95" s="881">
        <f>'Corrected and Updated TSF 2'!CQ95</f>
        <v>13</v>
      </c>
      <c r="P95" s="879">
        <f>'Corrected and Updated TSF 2'!CR95</f>
        <v>35186.817112530727</v>
      </c>
      <c r="Q95" s="879">
        <f>'Corrected and Updated TSF 2'!CT95</f>
        <v>3412000.357240296</v>
      </c>
      <c r="R95" s="879">
        <f>'Corrected and Updated TSF 2'!CU95</f>
        <v>26453.202452996211</v>
      </c>
      <c r="S95" s="879">
        <f>'Corrected and Updated TSF 2'!CV95</f>
        <v>30668.023812461583</v>
      </c>
      <c r="T95" s="882">
        <f>'Corrected and Updated TSF 2'!CW95</f>
        <v>39616.217257257282</v>
      </c>
      <c r="U95" s="882">
        <f>'Corrected and Updated TSF 2'!CX95</f>
        <v>67561.696493458643</v>
      </c>
      <c r="V95" s="1167">
        <f>'Corrected and Updated TSF 2'!CY95</f>
        <v>277167.63411050761</v>
      </c>
      <c r="W95" s="1167">
        <f>'Corrected and Updated TSF 2'!CZ95</f>
        <v>109673.88265646526</v>
      </c>
      <c r="X95" s="1233">
        <f>'Corrected and Updated TSF 2'!DA95</f>
        <v>79215.892110222063</v>
      </c>
      <c r="Y95" s="1233">
        <f>'Corrected and Updated TSF 2'!DB95</f>
        <v>60286.940807196588</v>
      </c>
      <c r="Z95" s="885">
        <f>H95-'Corrected and Updated TSF 2'!CH95</f>
        <v>0</v>
      </c>
      <c r="AA95" s="885">
        <f>I95-SUM('Corrected and Updated TSF 2'!CJ95:CK95)</f>
        <v>0</v>
      </c>
      <c r="AB95" s="885">
        <f>J95-'Corrected and Updated TSF 2'!CL95</f>
        <v>0</v>
      </c>
      <c r="AC95" s="886">
        <f>K95-'Corrected and Updated TSF 2'!CM95</f>
        <v>0</v>
      </c>
      <c r="AD95" s="885">
        <f>M95-'Corrected and Updated TSF 2'!CO95</f>
        <v>0</v>
      </c>
      <c r="AE95" s="887">
        <f>P95-'Corrected and Updated TSF 2'!CR95</f>
        <v>0</v>
      </c>
      <c r="AF95" s="885">
        <f>Q95-'Corrected and Updated TSF 2'!CT95</f>
        <v>0</v>
      </c>
      <c r="AG95" s="888"/>
      <c r="AH95" s="888"/>
      <c r="AI95" s="885">
        <f>S95-'INTERNAL PRICELIST'!AA95</f>
        <v>9923.0418141387163</v>
      </c>
      <c r="AJ95" s="885">
        <f>T95-'INTERNAL PRICELIST'!AB95</f>
        <v>12818.347278790752</v>
      </c>
      <c r="AK95" s="885">
        <f>U95-'INTERNAL PRICELIST'!AC95</f>
        <v>21860.474026928066</v>
      </c>
    </row>
    <row r="96" spans="1:37" s="152" customFormat="1" ht="12.75" customHeight="1">
      <c r="A96" s="876" t="str">
        <f t="shared" si="1"/>
        <v>7C</v>
      </c>
      <c r="B96" s="877" t="str">
        <f>'Corrected and Updated TSF 2'!FI96</f>
        <v>UNSOLD</v>
      </c>
      <c r="C96" s="878" t="str">
        <f>'Corrected and Updated TSF 2'!E96</f>
        <v>7th Floor</v>
      </c>
      <c r="D96" s="763" t="str">
        <f>'Corrected and Updated TSF 2'!M96</f>
        <v>End</v>
      </c>
      <c r="E96" s="763" t="str">
        <f>'Corrected and Updated TSF 2'!G96</f>
        <v>7C</v>
      </c>
      <c r="F96" s="747" t="str">
        <f>'Corrected and Updated TSF 2'!I96</f>
        <v>Studio</v>
      </c>
      <c r="G96" s="879">
        <f>'Corrected and Updated TSF 2'!J96</f>
        <v>22</v>
      </c>
      <c r="H96" s="879">
        <f>'Corrected and Updated TSF 2'!CH96</f>
        <v>3628339.3362659221</v>
      </c>
      <c r="I96" s="879">
        <f>SUM('Corrected and Updated TSF 2'!CJ96:CK96)</f>
        <v>498896.65873656428</v>
      </c>
      <c r="J96" s="879">
        <f>'Corrected and Updated TSF 2'!CL96</f>
        <v>4127235.9950024863</v>
      </c>
      <c r="K96" s="880">
        <f>'Corrected and Updated TSF 2'!CM96</f>
        <v>0.125</v>
      </c>
      <c r="L96" s="879">
        <f>'Corrected and Updated TSF 2'!CN96</f>
        <v>515904.49937531078</v>
      </c>
      <c r="M96" s="879">
        <f>'Corrected and Updated TSF 2'!CO96</f>
        <v>30000</v>
      </c>
      <c r="N96" s="879">
        <f>'Corrected and Updated TSF 2'!CP96</f>
        <v>485904.49937531078</v>
      </c>
      <c r="O96" s="881">
        <f>'Corrected and Updated TSF 2'!CQ96</f>
        <v>13</v>
      </c>
      <c r="P96" s="879">
        <f>'Corrected and Updated TSF 2'!CR96</f>
        <v>37377.269182716213</v>
      </c>
      <c r="Q96" s="879">
        <f>'Corrected and Updated TSF 2'!CT96</f>
        <v>3611331.4956271756</v>
      </c>
      <c r="R96" s="879">
        <f>'Corrected and Updated TSF 2'!CU96</f>
        <v>27998.614647266677</v>
      </c>
      <c r="S96" s="879">
        <f>'Corrected and Updated TSF 2'!CV96</f>
        <v>32459.66843689483</v>
      </c>
      <c r="T96" s="882">
        <f>'Corrected and Updated TSF 2'!CW96</f>
        <v>41930.620791159046</v>
      </c>
      <c r="U96" s="882">
        <f>'Corrected and Updated TSF 2'!CX96</f>
        <v>71508.69193993113</v>
      </c>
      <c r="V96" s="1167">
        <f>'Corrected and Updated TSF 2'!CY96</f>
        <v>293359.93605854479</v>
      </c>
      <c r="W96" s="1167">
        <f>'Corrected and Updated TSF 2'!CZ96</f>
        <v>116081.09766007221</v>
      </c>
      <c r="X96" s="1233">
        <f>'Corrected and Updated TSF 2'!DA96</f>
        <v>83843.732760694402</v>
      </c>
      <c r="Y96" s="1233">
        <f>'Corrected and Updated TSF 2'!DB96</f>
        <v>63808.940596985776</v>
      </c>
      <c r="Z96" s="885">
        <f>H96-'Corrected and Updated TSF 2'!CH96</f>
        <v>0</v>
      </c>
      <c r="AA96" s="885">
        <f>I96-SUM('Corrected and Updated TSF 2'!CJ96:CK96)</f>
        <v>0</v>
      </c>
      <c r="AB96" s="885">
        <f>J96-'Corrected and Updated TSF 2'!CL96</f>
        <v>0</v>
      </c>
      <c r="AC96" s="886">
        <f>K96-'Corrected and Updated TSF 2'!CM96</f>
        <v>0</v>
      </c>
      <c r="AD96" s="885">
        <f>M96-'Corrected and Updated TSF 2'!CO96</f>
        <v>0</v>
      </c>
      <c r="AE96" s="887">
        <f>P96-'Corrected and Updated TSF 2'!CR96</f>
        <v>0</v>
      </c>
      <c r="AF96" s="885">
        <f>Q96-'Corrected and Updated TSF 2'!CT96</f>
        <v>0</v>
      </c>
      <c r="AG96" s="888"/>
      <c r="AH96" s="888"/>
      <c r="AI96" s="885">
        <f>S96-'INTERNAL PRICELIST'!AA96</f>
        <v>11732.082810323678</v>
      </c>
      <c r="AJ96" s="885">
        <f>T96-'INTERNAL PRICELIST'!AB96</f>
        <v>15155.22302830288</v>
      </c>
      <c r="AK96" s="885">
        <f>U96-'INTERNAL PRICELIST'!AC96</f>
        <v>25845.793703115465</v>
      </c>
    </row>
    <row r="97" spans="1:45" s="152" customFormat="1" ht="12.75" hidden="1" customHeight="1">
      <c r="A97" s="876" t="str">
        <f t="shared" si="1"/>
        <v>7D</v>
      </c>
      <c r="B97" s="877" t="str">
        <f>'Corrected and Updated TSF 2'!FI97</f>
        <v>SOLD</v>
      </c>
      <c r="C97" s="878" t="str">
        <f>'Corrected and Updated TSF 2'!E97</f>
        <v>7th Floor</v>
      </c>
      <c r="D97" s="763" t="str">
        <f>'Corrected and Updated TSF 2'!M97</f>
        <v>End</v>
      </c>
      <c r="E97" s="763" t="str">
        <f>'Corrected and Updated TSF 2'!G97</f>
        <v>7D</v>
      </c>
      <c r="F97" s="747" t="str">
        <f>'Corrected and Updated TSF 2'!I97</f>
        <v>Studio</v>
      </c>
      <c r="G97" s="879">
        <f>'Corrected and Updated TSF 2'!J97</f>
        <v>22</v>
      </c>
      <c r="H97" s="879">
        <f>'Corrected and Updated TSF 2'!CH97</f>
        <v>3499624.0039478545</v>
      </c>
      <c r="I97" s="879">
        <f>SUM('Corrected and Updated TSF 2'!CJ97:CK97)</f>
        <v>481198.30054283002</v>
      </c>
      <c r="J97" s="879">
        <f>'Corrected and Updated TSF 2'!CL97</f>
        <v>3980822.3044906845</v>
      </c>
      <c r="K97" s="880">
        <f>'Corrected and Updated TSF 2'!CM97</f>
        <v>0.125</v>
      </c>
      <c r="L97" s="879">
        <f>'Corrected and Updated TSF 2'!CN97</f>
        <v>497602.78806133557</v>
      </c>
      <c r="M97" s="879">
        <f>'Corrected and Updated TSF 2'!CO97</f>
        <v>30000</v>
      </c>
      <c r="N97" s="879">
        <f>'Corrected and Updated TSF 2'!CP97</f>
        <v>467602.78806133557</v>
      </c>
      <c r="O97" s="881">
        <f>'Corrected and Updated TSF 2'!CQ97</f>
        <v>13</v>
      </c>
      <c r="P97" s="879">
        <f>'Corrected and Updated TSF 2'!CR97</f>
        <v>35969.44523548735</v>
      </c>
      <c r="Q97" s="879">
        <f>'Corrected and Updated TSF 2'!CT97</f>
        <v>3483219.5164293488</v>
      </c>
      <c r="R97" s="879">
        <f>'Corrected and Updated TSF 2'!CU97</f>
        <v>27005.363836145654</v>
      </c>
      <c r="S97" s="879">
        <f>'Corrected and Updated TSF 2'!CV97</f>
        <v>31308.161749516184</v>
      </c>
      <c r="T97" s="882">
        <f>'Corrected and Updated TSF 2'!CW97</f>
        <v>40443.132083724282</v>
      </c>
      <c r="U97" s="882">
        <f>'Corrected and Updated TSF 2'!CX97</f>
        <v>68971.921204437836</v>
      </c>
      <c r="V97" s="1167">
        <f>'Corrected and Updated TSF 2'!CY97</f>
        <v>282952.99278254929</v>
      </c>
      <c r="W97" s="1167">
        <f>'Corrected and Updated TSF 2'!CZ97</f>
        <v>111963.12090089203</v>
      </c>
      <c r="X97" s="1233">
        <f>'Corrected and Updated TSF 2'!DA97</f>
        <v>80869.376471244774</v>
      </c>
      <c r="Y97" s="1233">
        <f>'Corrected and Updated TSF 2'!DB97</f>
        <v>61545.318528423297</v>
      </c>
      <c r="Z97" s="885">
        <f>H97-'Corrected and Updated TSF 2'!CH97</f>
        <v>0</v>
      </c>
      <c r="AA97" s="885">
        <f>I97-SUM('Corrected and Updated TSF 2'!CJ97:CK97)</f>
        <v>0</v>
      </c>
      <c r="AB97" s="885">
        <f>J97-'Corrected and Updated TSF 2'!CL97</f>
        <v>0</v>
      </c>
      <c r="AC97" s="886">
        <f>K97-'Corrected and Updated TSF 2'!CM97</f>
        <v>0</v>
      </c>
      <c r="AD97" s="885">
        <f>M97-'Corrected and Updated TSF 2'!CO97</f>
        <v>0</v>
      </c>
      <c r="AE97" s="887">
        <f>P97-'Corrected and Updated TSF 2'!CR97</f>
        <v>0</v>
      </c>
      <c r="AF97" s="885">
        <f>Q97-'Corrected and Updated TSF 2'!CT97</f>
        <v>0</v>
      </c>
      <c r="AG97" s="888"/>
      <c r="AH97" s="888"/>
      <c r="AI97" s="885">
        <f>S97-'INTERNAL PRICELIST'!AA97</f>
        <v>10580.576122945033</v>
      </c>
      <c r="AJ97" s="885">
        <f>T97-'INTERNAL PRICELIST'!AB97</f>
        <v>13667.734320868116</v>
      </c>
      <c r="AK97" s="885">
        <f>U97-'INTERNAL PRICELIST'!AC97</f>
        <v>23309.022967622172</v>
      </c>
    </row>
    <row r="98" spans="1:45" s="152" customFormat="1" ht="12.75" hidden="1" customHeight="1">
      <c r="A98" s="876" t="str">
        <f t="shared" si="1"/>
        <v>7E</v>
      </c>
      <c r="B98" s="877" t="str">
        <f>'Corrected and Updated TSF 2'!FI98</f>
        <v>SOLD</v>
      </c>
      <c r="C98" s="1002" t="str">
        <f>'Corrected and Updated TSF 2'!E98</f>
        <v>7th Floor</v>
      </c>
      <c r="D98" s="1003" t="str">
        <f>'Corrected and Updated TSF 2'!M98</f>
        <v>End</v>
      </c>
      <c r="E98" s="1003" t="str">
        <f>'Corrected and Updated TSF 2'!G98</f>
        <v>7E</v>
      </c>
      <c r="F98" s="1004" t="str">
        <f>'Corrected and Updated TSF 2'!I98</f>
        <v>Studio</v>
      </c>
      <c r="G98" s="1005">
        <f>'Corrected and Updated TSF 2'!J98</f>
        <v>22</v>
      </c>
      <c r="H98" s="1005">
        <f>'Corrected and Updated TSF 2'!CH98</f>
        <v>3499624.0039478545</v>
      </c>
      <c r="I98" s="1005">
        <f>SUM('Corrected and Updated TSF 2'!CJ98:CK98)</f>
        <v>481198.30054283002</v>
      </c>
      <c r="J98" s="1005">
        <f>'Corrected and Updated TSF 2'!CL98</f>
        <v>3980822.3044906845</v>
      </c>
      <c r="K98" s="1006">
        <f>'Corrected and Updated TSF 2'!CM98</f>
        <v>0.125</v>
      </c>
      <c r="L98" s="1005">
        <f>'Corrected and Updated TSF 2'!CN98</f>
        <v>497602.78806133557</v>
      </c>
      <c r="M98" s="1005">
        <f>'Corrected and Updated TSF 2'!CO98</f>
        <v>30000</v>
      </c>
      <c r="N98" s="1005">
        <f>'Corrected and Updated TSF 2'!CP98</f>
        <v>467602.78806133557</v>
      </c>
      <c r="O98" s="1007">
        <f>'Corrected and Updated TSF 2'!CQ98</f>
        <v>13</v>
      </c>
      <c r="P98" s="1005">
        <f>'Corrected and Updated TSF 2'!CR98</f>
        <v>35969.44523548735</v>
      </c>
      <c r="Q98" s="1005">
        <f>'Corrected and Updated TSF 2'!CT98</f>
        <v>3483219.5164293488</v>
      </c>
      <c r="R98" s="1005">
        <f>'Corrected and Updated TSF 2'!CU98</f>
        <v>27005.363836145654</v>
      </c>
      <c r="S98" s="1005">
        <f>'Corrected and Updated TSF 2'!CV98</f>
        <v>31308.161749516184</v>
      </c>
      <c r="T98" s="882">
        <f>'Corrected and Updated TSF 2'!CW98</f>
        <v>40443.132083724282</v>
      </c>
      <c r="U98" s="882">
        <f>'Corrected and Updated TSF 2'!CX98</f>
        <v>68971.921204437836</v>
      </c>
      <c r="V98" s="1167">
        <f>'Corrected and Updated TSF 2'!CY98</f>
        <v>282952.99278254929</v>
      </c>
      <c r="W98" s="1167">
        <f>'Corrected and Updated TSF 2'!CZ98</f>
        <v>111963.12090089203</v>
      </c>
      <c r="X98" s="1233">
        <f>'Corrected and Updated TSF 2'!DA98</f>
        <v>80869.376471244774</v>
      </c>
      <c r="Y98" s="1233">
        <f>'Corrected and Updated TSF 2'!DB98</f>
        <v>61545.318528423297</v>
      </c>
      <c r="Z98" s="885">
        <f>H98-'Corrected and Updated TSF 2'!CH98</f>
        <v>0</v>
      </c>
      <c r="AA98" s="885">
        <f>I98-SUM('Corrected and Updated TSF 2'!CJ98:CK98)</f>
        <v>0</v>
      </c>
      <c r="AB98" s="885">
        <f>J98-'Corrected and Updated TSF 2'!CL98</f>
        <v>0</v>
      </c>
      <c r="AC98" s="886">
        <f>K98-'Corrected and Updated TSF 2'!CM98</f>
        <v>0</v>
      </c>
      <c r="AD98" s="885">
        <f>M98-'Corrected and Updated TSF 2'!CO98</f>
        <v>0</v>
      </c>
      <c r="AE98" s="887">
        <f>P98-'Corrected and Updated TSF 2'!CR98</f>
        <v>0</v>
      </c>
      <c r="AF98" s="885">
        <f>Q98-'Corrected and Updated TSF 2'!CT98</f>
        <v>0</v>
      </c>
      <c r="AG98" s="888"/>
      <c r="AH98" s="888"/>
      <c r="AI98" s="885">
        <f>S98-'INTERNAL PRICELIST'!AA98</f>
        <v>10580.576122945033</v>
      </c>
      <c r="AJ98" s="885">
        <f>T98-'INTERNAL PRICELIST'!AB98</f>
        <v>13667.734320868116</v>
      </c>
      <c r="AK98" s="885">
        <f>U98-'INTERNAL PRICELIST'!AC98</f>
        <v>23309.022967622172</v>
      </c>
      <c r="AL98" s="883"/>
      <c r="AM98" s="883"/>
      <c r="AN98" s="883"/>
      <c r="AO98" s="883"/>
      <c r="AP98" s="883"/>
      <c r="AQ98" s="883"/>
      <c r="AR98" s="883"/>
      <c r="AS98" s="883"/>
    </row>
    <row r="99" spans="1:45" s="152" customFormat="1" ht="12.75" hidden="1" customHeight="1">
      <c r="A99" s="876" t="str">
        <f t="shared" si="1"/>
        <v>7F</v>
      </c>
      <c r="B99" s="877" t="str">
        <f>'Corrected and Updated TSF 2'!FI99</f>
        <v>SOLD</v>
      </c>
      <c r="C99" s="1002" t="str">
        <f>'Corrected and Updated TSF 2'!E99</f>
        <v>7th Floor</v>
      </c>
      <c r="D99" s="1003" t="str">
        <f>'Corrected and Updated TSF 2'!M99</f>
        <v>End</v>
      </c>
      <c r="E99" s="1003" t="str">
        <f>'Corrected and Updated TSF 2'!G99</f>
        <v>7F</v>
      </c>
      <c r="F99" s="1004" t="str">
        <f>'Corrected and Updated TSF 2'!I99</f>
        <v>Studio</v>
      </c>
      <c r="G99" s="1005">
        <f>'Corrected and Updated TSF 2'!J99</f>
        <v>22</v>
      </c>
      <c r="H99" s="1005">
        <f>'Corrected and Updated TSF 2'!CH99</f>
        <v>3499624.0039478545</v>
      </c>
      <c r="I99" s="1005">
        <f>SUM('Corrected and Updated TSF 2'!CJ99:CK99)</f>
        <v>481198.30054283002</v>
      </c>
      <c r="J99" s="1005">
        <f>'Corrected and Updated TSF 2'!CL99</f>
        <v>3980822.3044906845</v>
      </c>
      <c r="K99" s="1006">
        <f>'Corrected and Updated TSF 2'!CM99</f>
        <v>0.125</v>
      </c>
      <c r="L99" s="1005">
        <f>'Corrected and Updated TSF 2'!CN99</f>
        <v>497602.78806133557</v>
      </c>
      <c r="M99" s="1005">
        <f>'Corrected and Updated TSF 2'!CO99</f>
        <v>30000</v>
      </c>
      <c r="N99" s="1005">
        <f>'Corrected and Updated TSF 2'!CP99</f>
        <v>467602.78806133557</v>
      </c>
      <c r="O99" s="1007">
        <f>'Corrected and Updated TSF 2'!CQ99</f>
        <v>13</v>
      </c>
      <c r="P99" s="1005">
        <f>'Corrected and Updated TSF 2'!CR99</f>
        <v>35969.44523548735</v>
      </c>
      <c r="Q99" s="1005">
        <f>'Corrected and Updated TSF 2'!CT99</f>
        <v>3483219.5164293488</v>
      </c>
      <c r="R99" s="1005">
        <f>'Corrected and Updated TSF 2'!CU99</f>
        <v>27005.363836145654</v>
      </c>
      <c r="S99" s="1005">
        <f>'Corrected and Updated TSF 2'!CV99</f>
        <v>31308.161749516184</v>
      </c>
      <c r="T99" s="882">
        <f>'Corrected and Updated TSF 2'!CW99</f>
        <v>40443.132083724282</v>
      </c>
      <c r="U99" s="882">
        <f>'Corrected and Updated TSF 2'!CX99</f>
        <v>68971.921204437836</v>
      </c>
      <c r="V99" s="1167">
        <f>'Corrected and Updated TSF 2'!CY99</f>
        <v>282952.99278254929</v>
      </c>
      <c r="W99" s="1167">
        <f>'Corrected and Updated TSF 2'!CZ99</f>
        <v>111963.12090089203</v>
      </c>
      <c r="X99" s="1233">
        <f>'Corrected and Updated TSF 2'!DA99</f>
        <v>80869.376471244774</v>
      </c>
      <c r="Y99" s="1233">
        <f>'Corrected and Updated TSF 2'!DB99</f>
        <v>61545.318528423297</v>
      </c>
      <c r="Z99" s="885">
        <f>H99-'Corrected and Updated TSF 2'!CH99</f>
        <v>0</v>
      </c>
      <c r="AA99" s="885">
        <f>I99-SUM('Corrected and Updated TSF 2'!CJ99:CK99)</f>
        <v>0</v>
      </c>
      <c r="AB99" s="885">
        <f>J99-'Corrected and Updated TSF 2'!CL99</f>
        <v>0</v>
      </c>
      <c r="AC99" s="886">
        <f>K99-'Corrected and Updated TSF 2'!CM99</f>
        <v>0</v>
      </c>
      <c r="AD99" s="885">
        <f>M99-'Corrected and Updated TSF 2'!CO99</f>
        <v>0</v>
      </c>
      <c r="AE99" s="887">
        <f>P99-'Corrected and Updated TSF 2'!CR99</f>
        <v>0</v>
      </c>
      <c r="AF99" s="885">
        <f>Q99-'Corrected and Updated TSF 2'!CT99</f>
        <v>0</v>
      </c>
      <c r="AG99" s="888"/>
      <c r="AH99" s="888"/>
      <c r="AI99" s="885">
        <f>S99-'INTERNAL PRICELIST'!AA99</f>
        <v>10580.576122945033</v>
      </c>
      <c r="AJ99" s="885">
        <f>T99-'INTERNAL PRICELIST'!AB99</f>
        <v>13667.734320868116</v>
      </c>
      <c r="AK99" s="885">
        <f>U99-'INTERNAL PRICELIST'!AC99</f>
        <v>23309.022967622172</v>
      </c>
      <c r="AL99" s="883"/>
      <c r="AM99" s="883"/>
      <c r="AN99" s="883"/>
      <c r="AO99" s="883"/>
      <c r="AP99" s="883"/>
      <c r="AQ99" s="883"/>
      <c r="AR99" s="883"/>
      <c r="AS99" s="883"/>
    </row>
    <row r="100" spans="1:45" s="152" customFormat="1" ht="12.75" hidden="1" customHeight="1">
      <c r="A100" s="876" t="str">
        <f t="shared" si="1"/>
        <v>7G</v>
      </c>
      <c r="B100" s="877" t="str">
        <f>'Corrected and Updated TSF 2'!FI100</f>
        <v>SOLD</v>
      </c>
      <c r="C100" s="1002" t="str">
        <f>'Corrected and Updated TSF 2'!E100</f>
        <v>7th Floor</v>
      </c>
      <c r="D100" s="1003" t="str">
        <f>'Corrected and Updated TSF 2'!M100</f>
        <v>Corner</v>
      </c>
      <c r="E100" s="1003" t="str">
        <f>'Corrected and Updated TSF 2'!G100</f>
        <v>7G</v>
      </c>
      <c r="F100" s="1004" t="str">
        <f>'Corrected and Updated TSF 2'!I100</f>
        <v>Studio</v>
      </c>
      <c r="G100" s="1005">
        <f>'Corrected and Updated TSF 2'!J100</f>
        <v>22</v>
      </c>
      <c r="H100" s="1005">
        <f>'Corrected and Updated TSF 2'!CH100</f>
        <v>3544558.0170604759</v>
      </c>
      <c r="I100" s="1005">
        <f>SUM('Corrected and Updated TSF 2'!CJ100:CK100)</f>
        <v>487376.72734581545</v>
      </c>
      <c r="J100" s="1005">
        <f>'Corrected and Updated TSF 2'!CL100</f>
        <v>4031934.7444062913</v>
      </c>
      <c r="K100" s="1006">
        <f>'Corrected and Updated TSF 2'!CM100</f>
        <v>0.125</v>
      </c>
      <c r="L100" s="1005">
        <f>'Corrected and Updated TSF 2'!CN100</f>
        <v>503991.84305078641</v>
      </c>
      <c r="M100" s="1005">
        <f>'Corrected and Updated TSF 2'!CO100</f>
        <v>30000</v>
      </c>
      <c r="N100" s="1005">
        <f>'Corrected and Updated TSF 2'!CP100</f>
        <v>473991.84305078641</v>
      </c>
      <c r="O100" s="1007">
        <f>'Corrected and Updated TSF 2'!CQ100</f>
        <v>13</v>
      </c>
      <c r="P100" s="1005">
        <f>'Corrected and Updated TSF 2'!CR100</f>
        <v>36460.911003906644</v>
      </c>
      <c r="Q100" s="1005">
        <f>'Corrected and Updated TSF 2'!CT100</f>
        <v>3527942.901355505</v>
      </c>
      <c r="R100" s="1005">
        <f>'Corrected and Updated TSF 2'!CU100</f>
        <v>27352.103763450872</v>
      </c>
      <c r="S100" s="1005">
        <f>'Corrected and Updated TSF 2'!CV100</f>
        <v>31710.14817691463</v>
      </c>
      <c r="T100" s="882">
        <f>'Corrected and Updated TSF 2'!CW100</f>
        <v>40962.408504652791</v>
      </c>
      <c r="U100" s="882">
        <f>'Corrected and Updated TSF 2'!CX100</f>
        <v>69857.497828757128</v>
      </c>
      <c r="V100" s="1167">
        <f>'Corrected and Updated TSF 2'!CY100</f>
        <v>286586.01549401879</v>
      </c>
      <c r="W100" s="1167">
        <f>'Corrected and Updated TSF 2'!CZ100</f>
        <v>113400.69029035083</v>
      </c>
      <c r="X100" s="1233">
        <f>'Corrected and Updated TSF 2'!DA100</f>
        <v>81907.712480675851</v>
      </c>
      <c r="Y100" s="1233">
        <f>'Corrected and Updated TSF 2'!DB100</f>
        <v>62335.540034121317</v>
      </c>
      <c r="Z100" s="885">
        <f>H100-'Corrected and Updated TSF 2'!CH100</f>
        <v>0</v>
      </c>
      <c r="AA100" s="885">
        <f>I100-SUM('Corrected and Updated TSF 2'!CJ100:CK100)</f>
        <v>0</v>
      </c>
      <c r="AB100" s="885">
        <f>J100-'Corrected and Updated TSF 2'!CL100</f>
        <v>0</v>
      </c>
      <c r="AC100" s="886">
        <f>K100-'Corrected and Updated TSF 2'!CM100</f>
        <v>0</v>
      </c>
      <c r="AD100" s="885">
        <f>M100-'Corrected and Updated TSF 2'!CO100</f>
        <v>0</v>
      </c>
      <c r="AE100" s="887">
        <f>P100-'Corrected and Updated TSF 2'!CR100</f>
        <v>0</v>
      </c>
      <c r="AF100" s="885">
        <f>Q100-'Corrected and Updated TSF 2'!CT100</f>
        <v>0</v>
      </c>
      <c r="AG100" s="888"/>
      <c r="AH100" s="888"/>
      <c r="AI100" s="885">
        <f>S100-'INTERNAL PRICELIST'!AA100</f>
        <v>10982.562550343479</v>
      </c>
      <c r="AJ100" s="885">
        <f>T100-'INTERNAL PRICELIST'!AB100</f>
        <v>14187.010741796625</v>
      </c>
      <c r="AK100" s="885">
        <f>U100-'INTERNAL PRICELIST'!AC100</f>
        <v>24194.599591941464</v>
      </c>
      <c r="AL100" s="883"/>
      <c r="AM100" s="883"/>
      <c r="AN100" s="883"/>
      <c r="AO100" s="883"/>
      <c r="AP100" s="883"/>
      <c r="AQ100" s="883"/>
      <c r="AR100" s="883"/>
      <c r="AS100" s="883"/>
    </row>
    <row r="101" spans="1:45" s="152" customFormat="1" ht="12.75" hidden="1" customHeight="1">
      <c r="A101" s="876" t="str">
        <f t="shared" si="1"/>
        <v>7H</v>
      </c>
      <c r="B101" s="877" t="str">
        <f>'Corrected and Updated TSF 2'!FI101</f>
        <v>SOLD</v>
      </c>
      <c r="C101" s="878" t="str">
        <f>'Corrected and Updated TSF 2'!E101</f>
        <v>7th Floor</v>
      </c>
      <c r="D101" s="763" t="str">
        <f>'Corrected and Updated TSF 2'!M101</f>
        <v>Corner</v>
      </c>
      <c r="E101" s="763" t="str">
        <f>'Corrected and Updated TSF 2'!G101</f>
        <v>7H</v>
      </c>
      <c r="F101" s="747" t="str">
        <f>'Corrected and Updated TSF 2'!I101</f>
        <v>Studio</v>
      </c>
      <c r="G101" s="879">
        <f>'Corrected and Updated TSF 2'!J101</f>
        <v>22</v>
      </c>
      <c r="H101" s="879">
        <f>'Corrected and Updated TSF 2'!CH101</f>
        <v>3544558.0170604759</v>
      </c>
      <c r="I101" s="879">
        <f>SUM('Corrected and Updated TSF 2'!CJ101:CK101)</f>
        <v>487376.72734581545</v>
      </c>
      <c r="J101" s="879">
        <f>'Corrected and Updated TSF 2'!CL101</f>
        <v>4031934.7444062913</v>
      </c>
      <c r="K101" s="880">
        <f>'Corrected and Updated TSF 2'!CM101</f>
        <v>0.125</v>
      </c>
      <c r="L101" s="879">
        <f>'Corrected and Updated TSF 2'!CN101</f>
        <v>503991.84305078641</v>
      </c>
      <c r="M101" s="879">
        <f>'Corrected and Updated TSF 2'!CO101</f>
        <v>30000</v>
      </c>
      <c r="N101" s="879">
        <f>'Corrected and Updated TSF 2'!CP101</f>
        <v>473991.84305078641</v>
      </c>
      <c r="O101" s="881">
        <f>'Corrected and Updated TSF 2'!CQ101</f>
        <v>13</v>
      </c>
      <c r="P101" s="879">
        <f>'Corrected and Updated TSF 2'!CR101</f>
        <v>36460.911003906644</v>
      </c>
      <c r="Q101" s="879">
        <f>'Corrected and Updated TSF 2'!CT101</f>
        <v>3527942.901355505</v>
      </c>
      <c r="R101" s="879">
        <f>'Corrected and Updated TSF 2'!CU101</f>
        <v>27352.103763450872</v>
      </c>
      <c r="S101" s="879">
        <f>'Corrected and Updated TSF 2'!CV101</f>
        <v>31710.14817691463</v>
      </c>
      <c r="T101" s="882">
        <f>'Corrected and Updated TSF 2'!CW101</f>
        <v>40962.408504652791</v>
      </c>
      <c r="U101" s="882">
        <f>'Corrected and Updated TSF 2'!CX101</f>
        <v>69857.497828757128</v>
      </c>
      <c r="V101" s="1167">
        <f>'Corrected and Updated TSF 2'!CY101</f>
        <v>286586.01549401879</v>
      </c>
      <c r="W101" s="1167">
        <f>'Corrected and Updated TSF 2'!CZ101</f>
        <v>113400.69029035083</v>
      </c>
      <c r="X101" s="1233">
        <f>'Corrected and Updated TSF 2'!DA101</f>
        <v>81907.712480675851</v>
      </c>
      <c r="Y101" s="1233">
        <f>'Corrected and Updated TSF 2'!DB101</f>
        <v>62335.540034121317</v>
      </c>
      <c r="Z101" s="885">
        <f>H101-'Corrected and Updated TSF 2'!CH101</f>
        <v>0</v>
      </c>
      <c r="AA101" s="885">
        <f>I101-SUM('Corrected and Updated TSF 2'!CJ101:CK101)</f>
        <v>0</v>
      </c>
      <c r="AB101" s="885">
        <f>J101-'Corrected and Updated TSF 2'!CL101</f>
        <v>0</v>
      </c>
      <c r="AC101" s="886">
        <f>K101-'Corrected and Updated TSF 2'!CM101</f>
        <v>0</v>
      </c>
      <c r="AD101" s="885">
        <f>M101-'Corrected and Updated TSF 2'!CO101</f>
        <v>0</v>
      </c>
      <c r="AE101" s="887">
        <f>P101-'Corrected and Updated TSF 2'!CR101</f>
        <v>0</v>
      </c>
      <c r="AF101" s="885">
        <f>Q101-'Corrected and Updated TSF 2'!CT101</f>
        <v>0</v>
      </c>
      <c r="AG101" s="888"/>
      <c r="AH101" s="888"/>
      <c r="AI101" s="885">
        <f>S101-'INTERNAL PRICELIST'!AA101</f>
        <v>10982.562550343479</v>
      </c>
      <c r="AJ101" s="885">
        <f>T101-'INTERNAL PRICELIST'!AB101</f>
        <v>14187.010741796625</v>
      </c>
      <c r="AK101" s="885">
        <f>U101-'INTERNAL PRICELIST'!AC101</f>
        <v>24194.599591941464</v>
      </c>
    </row>
    <row r="102" spans="1:45" s="152" customFormat="1" ht="12.75" hidden="1" customHeight="1">
      <c r="A102" s="876" t="str">
        <f t="shared" si="1"/>
        <v>7I</v>
      </c>
      <c r="B102" s="877" t="str">
        <f>'Corrected and Updated TSF 2'!FI102</f>
        <v>SOLD</v>
      </c>
      <c r="C102" s="878" t="str">
        <f>'Corrected and Updated TSF 2'!E102</f>
        <v>7th Floor</v>
      </c>
      <c r="D102" s="763" t="str">
        <f>'Corrected and Updated TSF 2'!M102</f>
        <v>Inner</v>
      </c>
      <c r="E102" s="763" t="str">
        <f>'Corrected and Updated TSF 2'!G102</f>
        <v>7I</v>
      </c>
      <c r="F102" s="747" t="str">
        <f>'Corrected and Updated TSF 2'!I102</f>
        <v>Studio</v>
      </c>
      <c r="G102" s="879">
        <f>'Corrected and Updated TSF 2'!J102</f>
        <v>22</v>
      </c>
      <c r="H102" s="879">
        <f>'Corrected and Updated TSF 2'!CH102</f>
        <v>3428069.432706106</v>
      </c>
      <c r="I102" s="879">
        <f>SUM('Corrected and Updated TSF 2'!CJ102:CK102)</f>
        <v>471359.54699708958</v>
      </c>
      <c r="J102" s="879">
        <f>'Corrected and Updated TSF 2'!CL102</f>
        <v>3899428.9797031954</v>
      </c>
      <c r="K102" s="880">
        <f>'Corrected and Updated TSF 2'!CM102</f>
        <v>0.125</v>
      </c>
      <c r="L102" s="879">
        <f>'Corrected and Updated TSF 2'!CN102</f>
        <v>487428.62246289942</v>
      </c>
      <c r="M102" s="879">
        <f>'Corrected and Updated TSF 2'!CO102</f>
        <v>30000</v>
      </c>
      <c r="N102" s="879">
        <f>'Corrected and Updated TSF 2'!CP102</f>
        <v>457428.62246289942</v>
      </c>
      <c r="O102" s="881">
        <f>'Corrected and Updated TSF 2'!CQ102</f>
        <v>13</v>
      </c>
      <c r="P102" s="879">
        <f>'Corrected and Updated TSF 2'!CR102</f>
        <v>35186.817112530727</v>
      </c>
      <c r="Q102" s="879">
        <f>'Corrected and Updated TSF 2'!CT102</f>
        <v>3412000.357240296</v>
      </c>
      <c r="R102" s="879">
        <f>'Corrected and Updated TSF 2'!CU102</f>
        <v>26453.202452996211</v>
      </c>
      <c r="S102" s="879">
        <f>'Corrected and Updated TSF 2'!CV102</f>
        <v>30668.023812461583</v>
      </c>
      <c r="T102" s="882">
        <f>'Corrected and Updated TSF 2'!CW102</f>
        <v>39616.217257257282</v>
      </c>
      <c r="U102" s="882">
        <f>'Corrected and Updated TSF 2'!CX102</f>
        <v>67561.696493458643</v>
      </c>
      <c r="V102" s="1167">
        <f>'Corrected and Updated TSF 2'!CY102</f>
        <v>277167.63411050761</v>
      </c>
      <c r="W102" s="1167">
        <f>'Corrected and Updated TSF 2'!CZ102</f>
        <v>109673.88265646526</v>
      </c>
      <c r="X102" s="1233">
        <f>'Corrected and Updated TSF 2'!DA102</f>
        <v>79215.892110222063</v>
      </c>
      <c r="Y102" s="1233">
        <f>'Corrected and Updated TSF 2'!DB102</f>
        <v>60286.940807196588</v>
      </c>
      <c r="Z102" s="885">
        <f>H102-'Corrected and Updated TSF 2'!CH102</f>
        <v>0</v>
      </c>
      <c r="AA102" s="885">
        <f>I102-SUM('Corrected and Updated TSF 2'!CJ102:CK102)</f>
        <v>0</v>
      </c>
      <c r="AB102" s="885">
        <f>J102-'Corrected and Updated TSF 2'!CL102</f>
        <v>0</v>
      </c>
      <c r="AC102" s="886">
        <f>K102-'Corrected and Updated TSF 2'!CM102</f>
        <v>0</v>
      </c>
      <c r="AD102" s="885">
        <f>M102-'Corrected and Updated TSF 2'!CO102</f>
        <v>0</v>
      </c>
      <c r="AE102" s="887">
        <f>P102-'Corrected and Updated TSF 2'!CR102</f>
        <v>0</v>
      </c>
      <c r="AF102" s="885">
        <f>Q102-'Corrected and Updated TSF 2'!CT102</f>
        <v>0</v>
      </c>
      <c r="AG102" s="888"/>
      <c r="AH102" s="888"/>
      <c r="AI102" s="885">
        <f>S102-'INTERNAL PRICELIST'!AA102</f>
        <v>9940.4381858904308</v>
      </c>
      <c r="AJ102" s="885">
        <f>T102-'INTERNAL PRICELIST'!AB102</f>
        <v>12840.819494401116</v>
      </c>
      <c r="AK102" s="885">
        <f>U102-'INTERNAL PRICELIST'!AC102</f>
        <v>21898.798256642978</v>
      </c>
    </row>
    <row r="103" spans="1:45" s="152" customFormat="1" ht="12.75" hidden="1" customHeight="1">
      <c r="A103" s="876" t="str">
        <f t="shared" si="1"/>
        <v>7J</v>
      </c>
      <c r="B103" s="877" t="str">
        <f>'Corrected and Updated TSF 2'!FI103</f>
        <v>SOLD</v>
      </c>
      <c r="C103" s="878" t="str">
        <f>'Corrected and Updated TSF 2'!E103</f>
        <v>7th Floor</v>
      </c>
      <c r="D103" s="763" t="str">
        <f>'Corrected and Updated TSF 2'!M103</f>
        <v>Inner</v>
      </c>
      <c r="E103" s="763" t="str">
        <f>'Corrected and Updated TSF 2'!G103</f>
        <v>7J</v>
      </c>
      <c r="F103" s="747" t="str">
        <f>'Corrected and Updated TSF 2'!I103</f>
        <v>Studio</v>
      </c>
      <c r="G103" s="879">
        <f>'Corrected and Updated TSF 2'!J103</f>
        <v>22</v>
      </c>
      <c r="H103" s="879">
        <f>'Corrected and Updated TSF 2'!CH103</f>
        <v>3428069.432706106</v>
      </c>
      <c r="I103" s="879">
        <f>SUM('Corrected and Updated TSF 2'!CJ103:CK103)</f>
        <v>471359.54699708958</v>
      </c>
      <c r="J103" s="879">
        <f>'Corrected and Updated TSF 2'!CL103</f>
        <v>3899428.9797031954</v>
      </c>
      <c r="K103" s="880">
        <f>'Corrected and Updated TSF 2'!CM103</f>
        <v>0.125</v>
      </c>
      <c r="L103" s="879">
        <f>'Corrected and Updated TSF 2'!CN103</f>
        <v>487428.62246289942</v>
      </c>
      <c r="M103" s="879">
        <f>'Corrected and Updated TSF 2'!CO103</f>
        <v>30000</v>
      </c>
      <c r="N103" s="879">
        <f>'Corrected and Updated TSF 2'!CP103</f>
        <v>457428.62246289942</v>
      </c>
      <c r="O103" s="881">
        <f>'Corrected and Updated TSF 2'!CQ103</f>
        <v>13</v>
      </c>
      <c r="P103" s="879">
        <f>'Corrected and Updated TSF 2'!CR103</f>
        <v>35186.817112530727</v>
      </c>
      <c r="Q103" s="879">
        <f>'Corrected and Updated TSF 2'!CT103</f>
        <v>3412000.357240296</v>
      </c>
      <c r="R103" s="879">
        <f>'Corrected and Updated TSF 2'!CU103</f>
        <v>26453.202452996211</v>
      </c>
      <c r="S103" s="879">
        <f>'Corrected and Updated TSF 2'!CV103</f>
        <v>30668.023812461583</v>
      </c>
      <c r="T103" s="882">
        <f>'Corrected and Updated TSF 2'!CW103</f>
        <v>39616.217257257282</v>
      </c>
      <c r="U103" s="882">
        <f>'Corrected and Updated TSF 2'!CX103</f>
        <v>67561.696493458643</v>
      </c>
      <c r="V103" s="1167">
        <f>'Corrected and Updated TSF 2'!CY103</f>
        <v>277167.63411050761</v>
      </c>
      <c r="W103" s="1167">
        <f>'Corrected and Updated TSF 2'!CZ103</f>
        <v>109673.88265646526</v>
      </c>
      <c r="X103" s="1233">
        <f>'Corrected and Updated TSF 2'!DA103</f>
        <v>79215.892110222063</v>
      </c>
      <c r="Y103" s="1233">
        <f>'Corrected and Updated TSF 2'!DB103</f>
        <v>60286.940807196588</v>
      </c>
      <c r="Z103" s="885">
        <f>H103-'Corrected and Updated TSF 2'!CH103</f>
        <v>0</v>
      </c>
      <c r="AA103" s="885">
        <f>I103-SUM('Corrected and Updated TSF 2'!CJ103:CK103)</f>
        <v>0</v>
      </c>
      <c r="AB103" s="885">
        <f>J103-'Corrected and Updated TSF 2'!CL103</f>
        <v>0</v>
      </c>
      <c r="AC103" s="886">
        <f>K103-'Corrected and Updated TSF 2'!CM103</f>
        <v>0</v>
      </c>
      <c r="AD103" s="885">
        <f>M103-'Corrected and Updated TSF 2'!CO103</f>
        <v>0</v>
      </c>
      <c r="AE103" s="887">
        <f>P103-'Corrected and Updated TSF 2'!CR103</f>
        <v>0</v>
      </c>
      <c r="AF103" s="885">
        <f>Q103-'Corrected and Updated TSF 2'!CT103</f>
        <v>0</v>
      </c>
      <c r="AG103" s="888"/>
      <c r="AH103" s="888"/>
      <c r="AI103" s="885">
        <f>S103-'INTERNAL PRICELIST'!AA103</f>
        <v>9923.0418141387163</v>
      </c>
      <c r="AJ103" s="885">
        <f>T103-'INTERNAL PRICELIST'!AB103</f>
        <v>12818.347278790752</v>
      </c>
      <c r="AK103" s="885">
        <f>U103-'INTERNAL PRICELIST'!AC103</f>
        <v>21860.474026928066</v>
      </c>
    </row>
    <row r="104" spans="1:45" s="152" customFormat="1" ht="12.75" hidden="1" customHeight="1">
      <c r="A104" s="876" t="str">
        <f t="shared" si="1"/>
        <v>7K</v>
      </c>
      <c r="B104" s="877" t="str">
        <f>'Corrected and Updated TSF 2'!FI104</f>
        <v>SOLD</v>
      </c>
      <c r="C104" s="878" t="str">
        <f>'Corrected and Updated TSF 2'!E104</f>
        <v>7th Floor</v>
      </c>
      <c r="D104" s="763" t="str">
        <f>'Corrected and Updated TSF 2'!M104</f>
        <v>Inner</v>
      </c>
      <c r="E104" s="763" t="str">
        <f>'Corrected and Updated TSF 2'!G104</f>
        <v>7K</v>
      </c>
      <c r="F104" s="747" t="str">
        <f>'Corrected and Updated TSF 2'!I104</f>
        <v>Studio</v>
      </c>
      <c r="G104" s="879">
        <f>'Corrected and Updated TSF 2'!J104</f>
        <v>22</v>
      </c>
      <c r="H104" s="879">
        <f>'Corrected and Updated TSF 2'!CH104</f>
        <v>3428069.432706106</v>
      </c>
      <c r="I104" s="879">
        <f>SUM('Corrected and Updated TSF 2'!CJ104:CK104)</f>
        <v>471359.54699708958</v>
      </c>
      <c r="J104" s="879">
        <f>'Corrected and Updated TSF 2'!CL104</f>
        <v>3899428.9797031954</v>
      </c>
      <c r="K104" s="880">
        <f>'Corrected and Updated TSF 2'!CM104</f>
        <v>0.125</v>
      </c>
      <c r="L104" s="879">
        <f>'Corrected and Updated TSF 2'!CN104</f>
        <v>487428.62246289942</v>
      </c>
      <c r="M104" s="879">
        <f>'Corrected and Updated TSF 2'!CO104</f>
        <v>30000</v>
      </c>
      <c r="N104" s="879">
        <f>'Corrected and Updated TSF 2'!CP104</f>
        <v>457428.62246289942</v>
      </c>
      <c r="O104" s="881">
        <f>'Corrected and Updated TSF 2'!CQ104</f>
        <v>13</v>
      </c>
      <c r="P104" s="879">
        <f>'Corrected and Updated TSF 2'!CR104</f>
        <v>35186.817112530727</v>
      </c>
      <c r="Q104" s="879">
        <f>'Corrected and Updated TSF 2'!CT104</f>
        <v>3412000.357240296</v>
      </c>
      <c r="R104" s="879">
        <f>'Corrected and Updated TSF 2'!CU104</f>
        <v>26453.202452996211</v>
      </c>
      <c r="S104" s="879">
        <f>'Corrected and Updated TSF 2'!CV104</f>
        <v>30668.023812461583</v>
      </c>
      <c r="T104" s="882">
        <f>'Corrected and Updated TSF 2'!CW104</f>
        <v>39616.217257257282</v>
      </c>
      <c r="U104" s="882">
        <f>'Corrected and Updated TSF 2'!CX104</f>
        <v>67561.696493458643</v>
      </c>
      <c r="V104" s="1167">
        <f>'Corrected and Updated TSF 2'!CY104</f>
        <v>277167.63411050761</v>
      </c>
      <c r="W104" s="1167">
        <f>'Corrected and Updated TSF 2'!CZ104</f>
        <v>109673.88265646526</v>
      </c>
      <c r="X104" s="1233">
        <f>'Corrected and Updated TSF 2'!DA104</f>
        <v>79215.892110222063</v>
      </c>
      <c r="Y104" s="1233">
        <f>'Corrected and Updated TSF 2'!DB104</f>
        <v>60286.940807196588</v>
      </c>
      <c r="Z104" s="885">
        <f>H104-'Corrected and Updated TSF 2'!CH104</f>
        <v>0</v>
      </c>
      <c r="AA104" s="885">
        <f>I104-SUM('Corrected and Updated TSF 2'!CJ104:CK104)</f>
        <v>0</v>
      </c>
      <c r="AB104" s="885">
        <f>J104-'Corrected and Updated TSF 2'!CL104</f>
        <v>0</v>
      </c>
      <c r="AC104" s="886">
        <f>K104-'Corrected and Updated TSF 2'!CM104</f>
        <v>0</v>
      </c>
      <c r="AD104" s="885">
        <f>M104-'Corrected and Updated TSF 2'!CO104</f>
        <v>0</v>
      </c>
      <c r="AE104" s="887">
        <f>P104-'Corrected and Updated TSF 2'!CR104</f>
        <v>0</v>
      </c>
      <c r="AF104" s="885">
        <f>Q104-'Corrected and Updated TSF 2'!CT104</f>
        <v>0</v>
      </c>
      <c r="AG104" s="888"/>
      <c r="AH104" s="888"/>
      <c r="AI104" s="885">
        <f>S104-'INTERNAL PRICELIST'!AA104</f>
        <v>9940.4381858904308</v>
      </c>
      <c r="AJ104" s="885">
        <f>T104-'INTERNAL PRICELIST'!AB104</f>
        <v>12840.819494401116</v>
      </c>
      <c r="AK104" s="885">
        <f>U104-'INTERNAL PRICELIST'!AC104</f>
        <v>21898.798256642978</v>
      </c>
    </row>
    <row r="105" spans="1:45" s="152" customFormat="1" ht="12.75" hidden="1" customHeight="1">
      <c r="A105" s="876" t="str">
        <f t="shared" si="1"/>
        <v>7L</v>
      </c>
      <c r="B105" s="877" t="str">
        <f>'Corrected and Updated TSF 2'!FI105</f>
        <v>SOLD</v>
      </c>
      <c r="C105" s="878" t="str">
        <f>'Corrected and Updated TSF 2'!E105</f>
        <v>7th Floor</v>
      </c>
      <c r="D105" s="763" t="str">
        <f>'Corrected and Updated TSF 2'!M105</f>
        <v>Inner</v>
      </c>
      <c r="E105" s="763" t="str">
        <f>'Corrected and Updated TSF 2'!G105</f>
        <v>7L</v>
      </c>
      <c r="F105" s="747" t="str">
        <f>'Corrected and Updated TSF 2'!I105</f>
        <v>Studio</v>
      </c>
      <c r="G105" s="879">
        <f>'Corrected and Updated TSF 2'!J105</f>
        <v>22</v>
      </c>
      <c r="H105" s="879">
        <f>'Corrected and Updated TSF 2'!CH105</f>
        <v>3428069.432706106</v>
      </c>
      <c r="I105" s="879">
        <f>SUM('Corrected and Updated TSF 2'!CJ105:CK105)</f>
        <v>471359.54699708958</v>
      </c>
      <c r="J105" s="879">
        <f>'Corrected and Updated TSF 2'!CL105</f>
        <v>3899428.9797031954</v>
      </c>
      <c r="K105" s="880">
        <f>'Corrected and Updated TSF 2'!CM105</f>
        <v>0.125</v>
      </c>
      <c r="L105" s="879">
        <f>'Corrected and Updated TSF 2'!CN105</f>
        <v>487428.62246289942</v>
      </c>
      <c r="M105" s="879">
        <f>'Corrected and Updated TSF 2'!CO105</f>
        <v>30000</v>
      </c>
      <c r="N105" s="879">
        <f>'Corrected and Updated TSF 2'!CP105</f>
        <v>457428.62246289942</v>
      </c>
      <c r="O105" s="881">
        <f>'Corrected and Updated TSF 2'!CQ105</f>
        <v>13</v>
      </c>
      <c r="P105" s="879">
        <f>'Corrected and Updated TSF 2'!CR105</f>
        <v>35186.817112530727</v>
      </c>
      <c r="Q105" s="879">
        <f>'Corrected and Updated TSF 2'!CT105</f>
        <v>3412000.357240296</v>
      </c>
      <c r="R105" s="879">
        <f>'Corrected and Updated TSF 2'!CU105</f>
        <v>26453.202452996211</v>
      </c>
      <c r="S105" s="879">
        <f>'Corrected and Updated TSF 2'!CV105</f>
        <v>30668.023812461583</v>
      </c>
      <c r="T105" s="882">
        <f>'Corrected and Updated TSF 2'!CW105</f>
        <v>39616.217257257282</v>
      </c>
      <c r="U105" s="882">
        <f>'Corrected and Updated TSF 2'!CX105</f>
        <v>67561.696493458643</v>
      </c>
      <c r="V105" s="1167">
        <f>'Corrected and Updated TSF 2'!CY105</f>
        <v>277167.63411050761</v>
      </c>
      <c r="W105" s="1167">
        <f>'Corrected and Updated TSF 2'!CZ105</f>
        <v>109673.88265646526</v>
      </c>
      <c r="X105" s="1233">
        <f>'Corrected and Updated TSF 2'!DA105</f>
        <v>79215.892110222063</v>
      </c>
      <c r="Y105" s="1233">
        <f>'Corrected and Updated TSF 2'!DB105</f>
        <v>60286.940807196588</v>
      </c>
      <c r="Z105" s="885">
        <f>H105-'Corrected and Updated TSF 2'!CH105</f>
        <v>0</v>
      </c>
      <c r="AA105" s="885">
        <f>I105-SUM('Corrected and Updated TSF 2'!CJ105:CK105)</f>
        <v>0</v>
      </c>
      <c r="AB105" s="885">
        <f>J105-'Corrected and Updated TSF 2'!CL105</f>
        <v>0</v>
      </c>
      <c r="AC105" s="886">
        <f>K105-'Corrected and Updated TSF 2'!CM105</f>
        <v>0</v>
      </c>
      <c r="AD105" s="885">
        <f>M105-'Corrected and Updated TSF 2'!CO105</f>
        <v>0</v>
      </c>
      <c r="AE105" s="887">
        <f>P105-'Corrected and Updated TSF 2'!CR105</f>
        <v>0</v>
      </c>
      <c r="AF105" s="885">
        <f>Q105-'Corrected and Updated TSF 2'!CT105</f>
        <v>0</v>
      </c>
      <c r="AG105" s="888"/>
      <c r="AH105" s="888"/>
      <c r="AI105" s="885">
        <f>S105-'INTERNAL PRICELIST'!AA105</f>
        <v>9940.4381858904308</v>
      </c>
      <c r="AJ105" s="885">
        <f>T105-'INTERNAL PRICELIST'!AB105</f>
        <v>12840.819494401116</v>
      </c>
      <c r="AK105" s="885">
        <f>U105-'INTERNAL PRICELIST'!AC105</f>
        <v>21898.798256642978</v>
      </c>
    </row>
    <row r="106" spans="1:45" s="152" customFormat="1" ht="12.75" hidden="1" customHeight="1">
      <c r="A106" s="876" t="str">
        <f t="shared" si="1"/>
        <v>7M</v>
      </c>
      <c r="B106" s="877" t="str">
        <f>'Corrected and Updated TSF 2'!FI106</f>
        <v>SOLD</v>
      </c>
      <c r="C106" s="878" t="str">
        <f>'Corrected and Updated TSF 2'!E106</f>
        <v>7th Floor</v>
      </c>
      <c r="D106" s="763" t="str">
        <f>'Corrected and Updated TSF 2'!M106</f>
        <v>Inner</v>
      </c>
      <c r="E106" s="763" t="str">
        <f>'Corrected and Updated TSF 2'!G106</f>
        <v>7M</v>
      </c>
      <c r="F106" s="747" t="str">
        <f>'Corrected and Updated TSF 2'!I106</f>
        <v>Studio</v>
      </c>
      <c r="G106" s="879">
        <f>'Corrected and Updated TSF 2'!J106</f>
        <v>22</v>
      </c>
      <c r="H106" s="879">
        <f>'Corrected and Updated TSF 2'!CH106</f>
        <v>3428069.432706106</v>
      </c>
      <c r="I106" s="879">
        <f>SUM('Corrected and Updated TSF 2'!CJ106:CK106)</f>
        <v>471359.54699708958</v>
      </c>
      <c r="J106" s="879">
        <f>'Corrected and Updated TSF 2'!CL106</f>
        <v>3899428.9797031954</v>
      </c>
      <c r="K106" s="880">
        <f>'Corrected and Updated TSF 2'!CM106</f>
        <v>0.125</v>
      </c>
      <c r="L106" s="879">
        <f>'Corrected and Updated TSF 2'!CN106</f>
        <v>487428.62246289942</v>
      </c>
      <c r="M106" s="879">
        <f>'Corrected and Updated TSF 2'!CO106</f>
        <v>30000</v>
      </c>
      <c r="N106" s="879">
        <f>'Corrected and Updated TSF 2'!CP106</f>
        <v>457428.62246289942</v>
      </c>
      <c r="O106" s="881">
        <f>'Corrected and Updated TSF 2'!CQ106</f>
        <v>13</v>
      </c>
      <c r="P106" s="879">
        <f>'Corrected and Updated TSF 2'!CR106</f>
        <v>35186.817112530727</v>
      </c>
      <c r="Q106" s="879">
        <f>'Corrected and Updated TSF 2'!CT106</f>
        <v>3412000.357240296</v>
      </c>
      <c r="R106" s="879">
        <f>'Corrected and Updated TSF 2'!CU106</f>
        <v>26453.202452996211</v>
      </c>
      <c r="S106" s="879">
        <f>'Corrected and Updated TSF 2'!CV106</f>
        <v>30668.023812461583</v>
      </c>
      <c r="T106" s="882">
        <f>'Corrected and Updated TSF 2'!CW106</f>
        <v>39616.217257257282</v>
      </c>
      <c r="U106" s="882">
        <f>'Corrected and Updated TSF 2'!CX106</f>
        <v>67561.696493458643</v>
      </c>
      <c r="V106" s="1167">
        <f>'Corrected and Updated TSF 2'!CY106</f>
        <v>277167.63411050761</v>
      </c>
      <c r="W106" s="1167">
        <f>'Corrected and Updated TSF 2'!CZ106</f>
        <v>109673.88265646526</v>
      </c>
      <c r="X106" s="1233">
        <f>'Corrected and Updated TSF 2'!DA106</f>
        <v>79215.892110222063</v>
      </c>
      <c r="Y106" s="1233">
        <f>'Corrected and Updated TSF 2'!DB106</f>
        <v>60286.940807196588</v>
      </c>
      <c r="Z106" s="885">
        <f>H106-'Corrected and Updated TSF 2'!CH106</f>
        <v>0</v>
      </c>
      <c r="AA106" s="885">
        <f>I106-SUM('Corrected and Updated TSF 2'!CJ106:CK106)</f>
        <v>0</v>
      </c>
      <c r="AB106" s="885">
        <f>J106-'Corrected and Updated TSF 2'!CL106</f>
        <v>0</v>
      </c>
      <c r="AC106" s="886">
        <f>K106-'Corrected and Updated TSF 2'!CM106</f>
        <v>0</v>
      </c>
      <c r="AD106" s="885">
        <f>M106-'Corrected and Updated TSF 2'!CO106</f>
        <v>0</v>
      </c>
      <c r="AE106" s="887">
        <f>P106-'Corrected and Updated TSF 2'!CR106</f>
        <v>0</v>
      </c>
      <c r="AF106" s="885">
        <f>Q106-'Corrected and Updated TSF 2'!CT106</f>
        <v>0</v>
      </c>
      <c r="AG106" s="888"/>
      <c r="AH106" s="888"/>
      <c r="AI106" s="885">
        <f>S106-'INTERNAL PRICELIST'!AA106</f>
        <v>9940.4381858904308</v>
      </c>
      <c r="AJ106" s="885">
        <f>T106-'INTERNAL PRICELIST'!AB106</f>
        <v>12840.819494401116</v>
      </c>
      <c r="AK106" s="885">
        <f>U106-'INTERNAL PRICELIST'!AC106</f>
        <v>21898.798256642978</v>
      </c>
    </row>
    <row r="107" spans="1:45" s="152" customFormat="1" hidden="1">
      <c r="A107" s="876" t="str">
        <f t="shared" si="1"/>
        <v>7N</v>
      </c>
      <c r="B107" s="877" t="str">
        <f>'Corrected and Updated TSF 2'!FI107</f>
        <v>SOLD</v>
      </c>
      <c r="C107" s="878" t="str">
        <f>'Corrected and Updated TSF 2'!E107</f>
        <v>7th Floor</v>
      </c>
      <c r="D107" s="763" t="str">
        <f>'Corrected and Updated TSF 2'!M107</f>
        <v>Inner</v>
      </c>
      <c r="E107" s="763" t="str">
        <f>'Corrected and Updated TSF 2'!G107</f>
        <v>7N</v>
      </c>
      <c r="F107" s="747" t="str">
        <f>'Corrected and Updated TSF 2'!I107</f>
        <v>Studio</v>
      </c>
      <c r="G107" s="879">
        <f>'Corrected and Updated TSF 2'!J107</f>
        <v>22</v>
      </c>
      <c r="H107" s="879">
        <f>'Corrected and Updated TSF 2'!CH107</f>
        <v>3428069.432706106</v>
      </c>
      <c r="I107" s="879">
        <f>SUM('Corrected and Updated TSF 2'!CJ107:CK107)</f>
        <v>471359.54699708958</v>
      </c>
      <c r="J107" s="879">
        <f>'Corrected and Updated TSF 2'!CL107</f>
        <v>3899428.9797031954</v>
      </c>
      <c r="K107" s="880">
        <f>'Corrected and Updated TSF 2'!CM107</f>
        <v>0.125</v>
      </c>
      <c r="L107" s="879">
        <f>'Corrected and Updated TSF 2'!CN107</f>
        <v>487428.62246289942</v>
      </c>
      <c r="M107" s="879">
        <f>'Corrected and Updated TSF 2'!CO107</f>
        <v>30000</v>
      </c>
      <c r="N107" s="879">
        <f>'Corrected and Updated TSF 2'!CP107</f>
        <v>457428.62246289942</v>
      </c>
      <c r="O107" s="881">
        <f>'Corrected and Updated TSF 2'!CQ107</f>
        <v>13</v>
      </c>
      <c r="P107" s="879">
        <f>'Corrected and Updated TSF 2'!CR107</f>
        <v>35186.817112530727</v>
      </c>
      <c r="Q107" s="879">
        <f>'Corrected and Updated TSF 2'!CT107</f>
        <v>3412000.357240296</v>
      </c>
      <c r="R107" s="879">
        <f>'Corrected and Updated TSF 2'!CU107</f>
        <v>26453.202452996211</v>
      </c>
      <c r="S107" s="879">
        <f>'Corrected and Updated TSF 2'!CV107</f>
        <v>30668.023812461583</v>
      </c>
      <c r="T107" s="882">
        <f>'Corrected and Updated TSF 2'!CW107</f>
        <v>39616.217257257282</v>
      </c>
      <c r="U107" s="882">
        <f>'Corrected and Updated TSF 2'!CX107</f>
        <v>67561.696493458643</v>
      </c>
      <c r="V107" s="1167">
        <f>'Corrected and Updated TSF 2'!CY107</f>
        <v>277167.63411050761</v>
      </c>
      <c r="W107" s="1167">
        <f>'Corrected and Updated TSF 2'!CZ107</f>
        <v>109673.88265646526</v>
      </c>
      <c r="X107" s="1233">
        <f>'Corrected and Updated TSF 2'!DA107</f>
        <v>79215.892110222063</v>
      </c>
      <c r="Y107" s="1233">
        <f>'Corrected and Updated TSF 2'!DB107</f>
        <v>60286.940807196588</v>
      </c>
      <c r="Z107" s="885">
        <f>H107-'Corrected and Updated TSF 2'!CH107</f>
        <v>0</v>
      </c>
      <c r="AA107" s="885">
        <f>I107-SUM('Corrected and Updated TSF 2'!CJ107:CK107)</f>
        <v>0</v>
      </c>
      <c r="AB107" s="885">
        <f>J107-'Corrected and Updated TSF 2'!CL107</f>
        <v>0</v>
      </c>
      <c r="AC107" s="886">
        <f>K107-'Corrected and Updated TSF 2'!CM107</f>
        <v>0</v>
      </c>
      <c r="AD107" s="885">
        <f>M107-'Corrected and Updated TSF 2'!CO107</f>
        <v>0</v>
      </c>
      <c r="AE107" s="887">
        <f>P107-'Corrected and Updated TSF 2'!CR107</f>
        <v>0</v>
      </c>
      <c r="AF107" s="885">
        <f>Q107-'Corrected and Updated TSF 2'!CT107</f>
        <v>0</v>
      </c>
      <c r="AG107" s="888"/>
      <c r="AH107" s="888"/>
      <c r="AI107" s="885">
        <f>S107-'INTERNAL PRICELIST'!AA107</f>
        <v>9940.4381858904308</v>
      </c>
      <c r="AJ107" s="885">
        <f>T107-'INTERNAL PRICELIST'!AB107</f>
        <v>12840.819494401116</v>
      </c>
      <c r="AK107" s="885">
        <f>U107-'INTERNAL PRICELIST'!AC107</f>
        <v>21898.798256642978</v>
      </c>
    </row>
    <row r="108" spans="1:45" s="152" customFormat="1" ht="12.75" hidden="1" customHeight="1">
      <c r="A108" s="876" t="str">
        <f t="shared" si="1"/>
        <v>7O</v>
      </c>
      <c r="B108" s="877" t="str">
        <f>'Corrected and Updated TSF 2'!FI108</f>
        <v>SOLD</v>
      </c>
      <c r="C108" s="878" t="str">
        <f>'Corrected and Updated TSF 2'!E108</f>
        <v>7th Floor</v>
      </c>
      <c r="D108" s="763" t="str">
        <f>'Corrected and Updated TSF 2'!M108</f>
        <v>Inner</v>
      </c>
      <c r="E108" s="763" t="str">
        <f>'Corrected and Updated TSF 2'!G108</f>
        <v>7O</v>
      </c>
      <c r="F108" s="747" t="str">
        <f>'Corrected and Updated TSF 2'!I108</f>
        <v>Studio</v>
      </c>
      <c r="G108" s="879">
        <f>'Corrected and Updated TSF 2'!J108</f>
        <v>22</v>
      </c>
      <c r="H108" s="879">
        <f>'Corrected and Updated TSF 2'!CH108</f>
        <v>3428069.432706106</v>
      </c>
      <c r="I108" s="879">
        <f>SUM('Corrected and Updated TSF 2'!CJ108:CK108)</f>
        <v>471359.54699708958</v>
      </c>
      <c r="J108" s="879">
        <f>'Corrected and Updated TSF 2'!CL108</f>
        <v>3899428.9797031954</v>
      </c>
      <c r="K108" s="880">
        <f>'Corrected and Updated TSF 2'!CM108</f>
        <v>0.125</v>
      </c>
      <c r="L108" s="879">
        <f>'Corrected and Updated TSF 2'!CN108</f>
        <v>487428.62246289942</v>
      </c>
      <c r="M108" s="879">
        <f>'Corrected and Updated TSF 2'!CO108</f>
        <v>30000</v>
      </c>
      <c r="N108" s="879">
        <f>'Corrected and Updated TSF 2'!CP108</f>
        <v>457428.62246289942</v>
      </c>
      <c r="O108" s="881">
        <f>'Corrected and Updated TSF 2'!CQ108</f>
        <v>13</v>
      </c>
      <c r="P108" s="879">
        <f>'Corrected and Updated TSF 2'!CR108</f>
        <v>35186.817112530727</v>
      </c>
      <c r="Q108" s="879">
        <f>'Corrected and Updated TSF 2'!CT108</f>
        <v>3412000.357240296</v>
      </c>
      <c r="R108" s="879">
        <f>'Corrected and Updated TSF 2'!CU108</f>
        <v>26453.202452996211</v>
      </c>
      <c r="S108" s="879">
        <f>'Corrected and Updated TSF 2'!CV108</f>
        <v>30668.023812461583</v>
      </c>
      <c r="T108" s="882">
        <f>'Corrected and Updated TSF 2'!CW108</f>
        <v>39616.217257257282</v>
      </c>
      <c r="U108" s="882">
        <f>'Corrected and Updated TSF 2'!CX108</f>
        <v>67561.696493458643</v>
      </c>
      <c r="V108" s="1167">
        <f>'Corrected and Updated TSF 2'!CY108</f>
        <v>277167.63411050761</v>
      </c>
      <c r="W108" s="1167">
        <f>'Corrected and Updated TSF 2'!CZ108</f>
        <v>109673.88265646526</v>
      </c>
      <c r="X108" s="1233">
        <f>'Corrected and Updated TSF 2'!DA108</f>
        <v>79215.892110222063</v>
      </c>
      <c r="Y108" s="1233">
        <f>'Corrected and Updated TSF 2'!DB108</f>
        <v>60286.940807196588</v>
      </c>
      <c r="Z108" s="885">
        <f>H108-'Corrected and Updated TSF 2'!CH108</f>
        <v>0</v>
      </c>
      <c r="AA108" s="885">
        <f>I108-SUM('Corrected and Updated TSF 2'!CJ108:CK108)</f>
        <v>0</v>
      </c>
      <c r="AB108" s="885">
        <f>J108-'Corrected and Updated TSF 2'!CL108</f>
        <v>0</v>
      </c>
      <c r="AC108" s="886">
        <f>K108-'Corrected and Updated TSF 2'!CM108</f>
        <v>0</v>
      </c>
      <c r="AD108" s="885">
        <f>M108-'Corrected and Updated TSF 2'!CO108</f>
        <v>0</v>
      </c>
      <c r="AE108" s="887">
        <f>P108-'Corrected and Updated TSF 2'!CR108</f>
        <v>0</v>
      </c>
      <c r="AF108" s="885">
        <f>Q108-'Corrected and Updated TSF 2'!CT108</f>
        <v>0</v>
      </c>
      <c r="AG108" s="888"/>
      <c r="AH108" s="888"/>
      <c r="AI108" s="885">
        <f>S108-'INTERNAL PRICELIST'!AA108</f>
        <v>9940.4381858904308</v>
      </c>
      <c r="AJ108" s="885">
        <f>T108-'INTERNAL PRICELIST'!AB108</f>
        <v>12840.819494401116</v>
      </c>
      <c r="AK108" s="885">
        <f>U108-'INTERNAL PRICELIST'!AC108</f>
        <v>21898.798256642978</v>
      </c>
    </row>
    <row r="109" spans="1:45" s="152" customFormat="1" ht="12.75" hidden="1" customHeight="1">
      <c r="A109" s="876" t="str">
        <f t="shared" si="1"/>
        <v>7P</v>
      </c>
      <c r="B109" s="877" t="str">
        <f>'Corrected and Updated TSF 2'!FI109</f>
        <v>SOLD</v>
      </c>
      <c r="C109" s="878" t="str">
        <f>'Corrected and Updated TSF 2'!E109</f>
        <v>7th Floor</v>
      </c>
      <c r="D109" s="763" t="str">
        <f>'Corrected and Updated TSF 2'!M109</f>
        <v>Inner</v>
      </c>
      <c r="E109" s="763" t="str">
        <f>'Corrected and Updated TSF 2'!G109</f>
        <v>7P</v>
      </c>
      <c r="F109" s="747" t="str">
        <f>'Corrected and Updated TSF 2'!I109</f>
        <v>Studio</v>
      </c>
      <c r="G109" s="879">
        <f>'Corrected and Updated TSF 2'!J109</f>
        <v>22</v>
      </c>
      <c r="H109" s="879">
        <f>'Corrected and Updated TSF 2'!CH109</f>
        <v>3428069.432706106</v>
      </c>
      <c r="I109" s="879">
        <f>SUM('Corrected and Updated TSF 2'!CJ109:CK109)</f>
        <v>471359.54699708958</v>
      </c>
      <c r="J109" s="879">
        <f>'Corrected and Updated TSF 2'!CL109</f>
        <v>3899428.9797031954</v>
      </c>
      <c r="K109" s="880">
        <f>'Corrected and Updated TSF 2'!CM109</f>
        <v>0.125</v>
      </c>
      <c r="L109" s="879">
        <f>'Corrected and Updated TSF 2'!CN109</f>
        <v>487428.62246289942</v>
      </c>
      <c r="M109" s="879">
        <f>'Corrected and Updated TSF 2'!CO109</f>
        <v>30000</v>
      </c>
      <c r="N109" s="879">
        <f>'Corrected and Updated TSF 2'!CP109</f>
        <v>457428.62246289942</v>
      </c>
      <c r="O109" s="881">
        <f>'Corrected and Updated TSF 2'!CQ109</f>
        <v>13</v>
      </c>
      <c r="P109" s="879">
        <f>'Corrected and Updated TSF 2'!CR109</f>
        <v>35186.817112530727</v>
      </c>
      <c r="Q109" s="879">
        <f>'Corrected and Updated TSF 2'!CT109</f>
        <v>3412000.357240296</v>
      </c>
      <c r="R109" s="879">
        <f>'Corrected and Updated TSF 2'!CU109</f>
        <v>26453.202452996211</v>
      </c>
      <c r="S109" s="879">
        <f>'Corrected and Updated TSF 2'!CV109</f>
        <v>30668.023812461583</v>
      </c>
      <c r="T109" s="882">
        <f>'Corrected and Updated TSF 2'!CW109</f>
        <v>39616.217257257282</v>
      </c>
      <c r="U109" s="882">
        <f>'Corrected and Updated TSF 2'!CX109</f>
        <v>67561.696493458643</v>
      </c>
      <c r="V109" s="1167">
        <f>'Corrected and Updated TSF 2'!CY109</f>
        <v>277167.63411050761</v>
      </c>
      <c r="W109" s="1167">
        <f>'Corrected and Updated TSF 2'!CZ109</f>
        <v>109673.88265646526</v>
      </c>
      <c r="X109" s="1233">
        <f>'Corrected and Updated TSF 2'!DA109</f>
        <v>79215.892110222063</v>
      </c>
      <c r="Y109" s="1233">
        <f>'Corrected and Updated TSF 2'!DB109</f>
        <v>60286.940807196588</v>
      </c>
      <c r="Z109" s="885">
        <f>H109-'Corrected and Updated TSF 2'!CH109</f>
        <v>0</v>
      </c>
      <c r="AA109" s="885">
        <f>I109-SUM('Corrected and Updated TSF 2'!CJ109:CK109)</f>
        <v>0</v>
      </c>
      <c r="AB109" s="885">
        <f>J109-'Corrected and Updated TSF 2'!CL109</f>
        <v>0</v>
      </c>
      <c r="AC109" s="886">
        <f>K109-'Corrected and Updated TSF 2'!CM109</f>
        <v>0</v>
      </c>
      <c r="AD109" s="885">
        <f>M109-'Corrected and Updated TSF 2'!CO109</f>
        <v>0</v>
      </c>
      <c r="AE109" s="887">
        <f>P109-'Corrected and Updated TSF 2'!CR109</f>
        <v>0</v>
      </c>
      <c r="AF109" s="885">
        <f>Q109-'Corrected and Updated TSF 2'!CT109</f>
        <v>0</v>
      </c>
      <c r="AG109" s="888"/>
      <c r="AH109" s="888"/>
      <c r="AI109" s="885">
        <f>S109-'INTERNAL PRICELIST'!AA109</f>
        <v>9940.4381858904308</v>
      </c>
      <c r="AJ109" s="885">
        <f>T109-'INTERNAL PRICELIST'!AB109</f>
        <v>12840.819494401116</v>
      </c>
      <c r="AK109" s="885">
        <f>U109-'INTERNAL PRICELIST'!AC109</f>
        <v>21898.798256642978</v>
      </c>
    </row>
    <row r="110" spans="1:45" s="152" customFormat="1" ht="12.75" hidden="1" customHeight="1">
      <c r="A110" s="876" t="str">
        <f t="shared" si="1"/>
        <v>7Q</v>
      </c>
      <c r="B110" s="877" t="str">
        <f>'Corrected and Updated TSF 2'!FI110</f>
        <v>SOLD</v>
      </c>
      <c r="C110" s="878" t="str">
        <f>'Corrected and Updated TSF 2'!E110</f>
        <v>7th Floor</v>
      </c>
      <c r="D110" s="763" t="str">
        <f>'Corrected and Updated TSF 2'!M110</f>
        <v>Inner</v>
      </c>
      <c r="E110" s="763" t="str">
        <f>'Corrected and Updated TSF 2'!G110</f>
        <v>7Q</v>
      </c>
      <c r="F110" s="747" t="str">
        <f>'Corrected and Updated TSF 2'!I110</f>
        <v>Studio</v>
      </c>
      <c r="G110" s="879">
        <f>'Corrected and Updated TSF 2'!J110</f>
        <v>22</v>
      </c>
      <c r="H110" s="879">
        <f>'Corrected and Updated TSF 2'!CH110</f>
        <v>3428069.432706106</v>
      </c>
      <c r="I110" s="879">
        <f>SUM('Corrected and Updated TSF 2'!CJ110:CK110)</f>
        <v>471359.54699708958</v>
      </c>
      <c r="J110" s="879">
        <f>'Corrected and Updated TSF 2'!CL110</f>
        <v>3899428.9797031954</v>
      </c>
      <c r="K110" s="880">
        <f>'Corrected and Updated TSF 2'!CM110</f>
        <v>0.125</v>
      </c>
      <c r="L110" s="879">
        <f>'Corrected and Updated TSF 2'!CN110</f>
        <v>487428.62246289942</v>
      </c>
      <c r="M110" s="879">
        <f>'Corrected and Updated TSF 2'!CO110</f>
        <v>30000</v>
      </c>
      <c r="N110" s="879">
        <f>'Corrected and Updated TSF 2'!CP110</f>
        <v>457428.62246289942</v>
      </c>
      <c r="O110" s="881">
        <f>'Corrected and Updated TSF 2'!CQ110</f>
        <v>13</v>
      </c>
      <c r="P110" s="879">
        <f>'Corrected and Updated TSF 2'!CR110</f>
        <v>35186.817112530727</v>
      </c>
      <c r="Q110" s="879">
        <f>'Corrected and Updated TSF 2'!CT110</f>
        <v>3412000.357240296</v>
      </c>
      <c r="R110" s="879">
        <f>'Corrected and Updated TSF 2'!CU110</f>
        <v>26453.202452996211</v>
      </c>
      <c r="S110" s="879">
        <f>'Corrected and Updated TSF 2'!CV110</f>
        <v>30668.023812461583</v>
      </c>
      <c r="T110" s="882">
        <f>'Corrected and Updated TSF 2'!CW110</f>
        <v>39616.217257257282</v>
      </c>
      <c r="U110" s="882">
        <f>'Corrected and Updated TSF 2'!CX110</f>
        <v>67561.696493458643</v>
      </c>
      <c r="V110" s="1167">
        <f>'Corrected and Updated TSF 2'!CY110</f>
        <v>277167.63411050761</v>
      </c>
      <c r="W110" s="1167">
        <f>'Corrected and Updated TSF 2'!CZ110</f>
        <v>109673.88265646526</v>
      </c>
      <c r="X110" s="1233">
        <f>'Corrected and Updated TSF 2'!DA110</f>
        <v>79215.892110222063</v>
      </c>
      <c r="Y110" s="1233">
        <f>'Corrected and Updated TSF 2'!DB110</f>
        <v>60286.940807196588</v>
      </c>
      <c r="Z110" s="885">
        <f>H110-'Corrected and Updated TSF 2'!CH110</f>
        <v>0</v>
      </c>
      <c r="AA110" s="885">
        <f>I110-SUM('Corrected and Updated TSF 2'!CJ110:CK110)</f>
        <v>0</v>
      </c>
      <c r="AB110" s="885">
        <f>J110-'Corrected and Updated TSF 2'!CL110</f>
        <v>0</v>
      </c>
      <c r="AC110" s="886">
        <f>K110-'Corrected and Updated TSF 2'!CM110</f>
        <v>0</v>
      </c>
      <c r="AD110" s="885">
        <f>M110-'Corrected and Updated TSF 2'!CO110</f>
        <v>0</v>
      </c>
      <c r="AE110" s="887">
        <f>P110-'Corrected and Updated TSF 2'!CR110</f>
        <v>0</v>
      </c>
      <c r="AF110" s="885">
        <f>Q110-'Corrected and Updated TSF 2'!CT110</f>
        <v>0</v>
      </c>
      <c r="AG110" s="888"/>
      <c r="AH110" s="888"/>
      <c r="AI110" s="885">
        <f>S110-'INTERNAL PRICELIST'!AA110</f>
        <v>9940.4381858904308</v>
      </c>
      <c r="AJ110" s="885">
        <f>T110-'INTERNAL PRICELIST'!AB110</f>
        <v>12840.819494401116</v>
      </c>
      <c r="AK110" s="885">
        <f>U110-'INTERNAL PRICELIST'!AC110</f>
        <v>21898.798256642978</v>
      </c>
    </row>
    <row r="111" spans="1:45" s="152" customFormat="1" ht="12.75" hidden="1" customHeight="1">
      <c r="A111" s="876" t="str">
        <f t="shared" si="1"/>
        <v>7R</v>
      </c>
      <c r="B111" s="877" t="str">
        <f>'Corrected and Updated TSF 2'!FI111</f>
        <v>SOLD</v>
      </c>
      <c r="C111" s="878" t="str">
        <f>'Corrected and Updated TSF 2'!E111</f>
        <v>7th Floor</v>
      </c>
      <c r="D111" s="763" t="str">
        <f>'Corrected and Updated TSF 2'!M111</f>
        <v>Corner</v>
      </c>
      <c r="E111" s="763" t="str">
        <f>'Corrected and Updated TSF 2'!G111</f>
        <v>7R</v>
      </c>
      <c r="F111" s="747" t="str">
        <f>'Corrected and Updated TSF 2'!I111</f>
        <v>Studio</v>
      </c>
      <c r="G111" s="879">
        <f>'Corrected and Updated TSF 2'!J111</f>
        <v>22</v>
      </c>
      <c r="H111" s="879">
        <f>'Corrected and Updated TSF 2'!CH111</f>
        <v>3544558.0170604759</v>
      </c>
      <c r="I111" s="879">
        <f>SUM('Corrected and Updated TSF 2'!CJ111:CK111)</f>
        <v>487376.72734581545</v>
      </c>
      <c r="J111" s="879">
        <f>'Corrected and Updated TSF 2'!CL111</f>
        <v>4031934.7444062913</v>
      </c>
      <c r="K111" s="880">
        <f>'Corrected and Updated TSF 2'!CM111</f>
        <v>0.125</v>
      </c>
      <c r="L111" s="879">
        <f>'Corrected and Updated TSF 2'!CN111</f>
        <v>503991.84305078641</v>
      </c>
      <c r="M111" s="879">
        <f>'Corrected and Updated TSF 2'!CO111</f>
        <v>30000</v>
      </c>
      <c r="N111" s="879">
        <f>'Corrected and Updated TSF 2'!CP111</f>
        <v>473991.84305078641</v>
      </c>
      <c r="O111" s="881">
        <f>'Corrected and Updated TSF 2'!CQ111</f>
        <v>13</v>
      </c>
      <c r="P111" s="879">
        <f>'Corrected and Updated TSF 2'!CR111</f>
        <v>36460.911003906644</v>
      </c>
      <c r="Q111" s="879">
        <f>'Corrected and Updated TSF 2'!CT111</f>
        <v>3527942.901355505</v>
      </c>
      <c r="R111" s="879">
        <f>'Corrected and Updated TSF 2'!CU111</f>
        <v>27352.103763450872</v>
      </c>
      <c r="S111" s="879">
        <f>'Corrected and Updated TSF 2'!CV111</f>
        <v>31710.14817691463</v>
      </c>
      <c r="T111" s="882">
        <f>'Corrected and Updated TSF 2'!CW111</f>
        <v>40962.408504652791</v>
      </c>
      <c r="U111" s="882">
        <f>'Corrected and Updated TSF 2'!CX111</f>
        <v>69857.497828757128</v>
      </c>
      <c r="V111" s="1167">
        <f>'Corrected and Updated TSF 2'!CY111</f>
        <v>286586.01549401879</v>
      </c>
      <c r="W111" s="1167">
        <f>'Corrected and Updated TSF 2'!CZ111</f>
        <v>113400.69029035083</v>
      </c>
      <c r="X111" s="1233">
        <f>'Corrected and Updated TSF 2'!DA111</f>
        <v>81907.712480675851</v>
      </c>
      <c r="Y111" s="1233">
        <f>'Corrected and Updated TSF 2'!DB111</f>
        <v>62335.540034121317</v>
      </c>
      <c r="Z111" s="885">
        <f>H111-'Corrected and Updated TSF 2'!CH111</f>
        <v>0</v>
      </c>
      <c r="AA111" s="885">
        <f>I111-SUM('Corrected and Updated TSF 2'!CJ111:CK111)</f>
        <v>0</v>
      </c>
      <c r="AB111" s="885">
        <f>J111-'Corrected and Updated TSF 2'!CL111</f>
        <v>0</v>
      </c>
      <c r="AC111" s="886">
        <f>K111-'Corrected and Updated TSF 2'!CM111</f>
        <v>0</v>
      </c>
      <c r="AD111" s="885">
        <f>M111-'Corrected and Updated TSF 2'!CO111</f>
        <v>0</v>
      </c>
      <c r="AE111" s="887">
        <f>P111-'Corrected and Updated TSF 2'!CR111</f>
        <v>0</v>
      </c>
      <c r="AF111" s="885">
        <f>Q111-'Corrected and Updated TSF 2'!CT111</f>
        <v>0</v>
      </c>
      <c r="AG111" s="888"/>
      <c r="AH111" s="888"/>
      <c r="AI111" s="885">
        <f>S111-'INTERNAL PRICELIST'!AA111</f>
        <v>10982.562550343479</v>
      </c>
      <c r="AJ111" s="885">
        <f>T111-'INTERNAL PRICELIST'!AB111</f>
        <v>14187.010741796625</v>
      </c>
      <c r="AK111" s="885">
        <f>U111-'INTERNAL PRICELIST'!AC111</f>
        <v>24194.599591941464</v>
      </c>
    </row>
    <row r="112" spans="1:45" s="152" customFormat="1" ht="12.75" customHeight="1">
      <c r="A112" s="876" t="str">
        <f t="shared" si="1"/>
        <v>8A</v>
      </c>
      <c r="B112" s="877" t="str">
        <f>'Corrected and Updated TSF 2'!FI112</f>
        <v>UNSOLD</v>
      </c>
      <c r="C112" s="1002" t="str">
        <f>'Corrected and Updated TSF 2'!E112</f>
        <v>8th Floor</v>
      </c>
      <c r="D112" s="1003" t="str">
        <f>'Corrected and Updated TSF 2'!M112</f>
        <v>End</v>
      </c>
      <c r="E112" s="1003" t="str">
        <f>'Corrected and Updated TSF 2'!G112</f>
        <v>8A</v>
      </c>
      <c r="F112" s="1004" t="str">
        <f>'Corrected and Updated TSF 2'!I112</f>
        <v>Studio</v>
      </c>
      <c r="G112" s="1005">
        <f>'Corrected and Updated TSF 2'!J112</f>
        <v>22</v>
      </c>
      <c r="H112" s="1005">
        <f>'Corrected and Updated TSF 2'!CH112</f>
        <v>3679776.5874363622</v>
      </c>
      <c r="I112" s="1005">
        <f>SUM('Corrected and Updated TSF 2'!CJ112:CK112)</f>
        <v>505969.28077249974</v>
      </c>
      <c r="J112" s="1005">
        <f>'Corrected and Updated TSF 2'!CL112</f>
        <v>4185745.8682088619</v>
      </c>
      <c r="K112" s="1006">
        <f>'Corrected and Updated TSF 2'!CM112</f>
        <v>0.125</v>
      </c>
      <c r="L112" s="1005">
        <f>'Corrected and Updated TSF 2'!CN112</f>
        <v>523218.23352610774</v>
      </c>
      <c r="M112" s="1005">
        <f>'Corrected and Updated TSF 2'!CO112</f>
        <v>30000</v>
      </c>
      <c r="N112" s="1005">
        <f>'Corrected and Updated TSF 2'!CP112</f>
        <v>493218.23352610774</v>
      </c>
      <c r="O112" s="1007">
        <f>'Corrected and Updated TSF 2'!CQ112</f>
        <v>13</v>
      </c>
      <c r="P112" s="1005">
        <f>'Corrected and Updated TSF 2'!CR112</f>
        <v>37939.864117392906</v>
      </c>
      <c r="Q112" s="1005">
        <f>'Corrected and Updated TSF 2'!CT112</f>
        <v>3662527.6346827541</v>
      </c>
      <c r="R112" s="1005">
        <f>'Corrected and Updated TSF 2'!CU112</f>
        <v>28395.537768442537</v>
      </c>
      <c r="S112" s="1005">
        <f>'Corrected and Updated TSF 2'!CV112</f>
        <v>32919.833808311298</v>
      </c>
      <c r="T112" s="882">
        <f>'Corrected and Updated TSF 2'!CW112</f>
        <v>42525.051375919888</v>
      </c>
      <c r="U112" s="882">
        <f>'Corrected and Updated TSF 2'!CX112</f>
        <v>72522.436853869993</v>
      </c>
      <c r="V112" s="1167">
        <f>'Corrected and Updated TSF 2'!CY112</f>
        <v>297518.76116168883</v>
      </c>
      <c r="W112" s="1167">
        <f>'Corrected and Updated TSF 2'!CZ112</f>
        <v>117726.72449458609</v>
      </c>
      <c r="X112" s="1233">
        <f>'Corrected and Updated TSF 2'!DA112</f>
        <v>85032.3457159307</v>
      </c>
      <c r="Y112" s="1233">
        <f>'Corrected and Updated TSF 2'!DB112</f>
        <v>64713.529776834825</v>
      </c>
      <c r="Z112" s="885">
        <f>H112-'Corrected and Updated TSF 2'!CH112</f>
        <v>0</v>
      </c>
      <c r="AA112" s="885">
        <f>I112-SUM('Corrected and Updated TSF 2'!CJ112:CK112)</f>
        <v>0</v>
      </c>
      <c r="AB112" s="885">
        <f>J112-'Corrected and Updated TSF 2'!CL112</f>
        <v>0</v>
      </c>
      <c r="AC112" s="886">
        <f>K112-'Corrected and Updated TSF 2'!CM112</f>
        <v>0</v>
      </c>
      <c r="AD112" s="885">
        <f>M112-'Corrected and Updated TSF 2'!CO112</f>
        <v>0</v>
      </c>
      <c r="AE112" s="887">
        <f>P112-'Corrected and Updated TSF 2'!CR112</f>
        <v>0</v>
      </c>
      <c r="AF112" s="885">
        <f>Q112-'Corrected and Updated TSF 2'!CT112</f>
        <v>0</v>
      </c>
      <c r="AG112" s="888"/>
      <c r="AH112" s="888"/>
      <c r="AI112" s="885">
        <f>S112-'INTERNAL PRICELIST'!AA112</f>
        <v>12192.248181740146</v>
      </c>
      <c r="AJ112" s="885">
        <f>T112-'INTERNAL PRICELIST'!AB112</f>
        <v>15749.653613063721</v>
      </c>
      <c r="AK112" s="885">
        <f>U112-'INTERNAL PRICELIST'!AC112</f>
        <v>26859.538617054328</v>
      </c>
      <c r="AL112" s="883"/>
      <c r="AM112" s="883"/>
      <c r="AN112" s="883"/>
      <c r="AO112" s="883"/>
      <c r="AP112" s="883"/>
      <c r="AQ112" s="883"/>
      <c r="AR112" s="883"/>
      <c r="AS112" s="883"/>
    </row>
    <row r="113" spans="1:45" s="152" customFormat="1" ht="12.75" hidden="1" customHeight="1">
      <c r="A113" s="876" t="str">
        <f t="shared" si="1"/>
        <v>8B</v>
      </c>
      <c r="B113" s="877" t="str">
        <f>'Corrected and Updated TSF 2'!FI113</f>
        <v>SOLD</v>
      </c>
      <c r="C113" s="878" t="str">
        <f>'Corrected and Updated TSF 2'!E113</f>
        <v>8th Floor</v>
      </c>
      <c r="D113" s="763" t="str">
        <f>'Corrected and Updated TSF 2'!M113</f>
        <v>Inner</v>
      </c>
      <c r="E113" s="763" t="str">
        <f>'Corrected and Updated TSF 2'!G113</f>
        <v>8B</v>
      </c>
      <c r="F113" s="747" t="str">
        <f>'Corrected and Updated TSF 2'!I113</f>
        <v>Studio</v>
      </c>
      <c r="G113" s="879">
        <f>'Corrected and Updated TSF 2'!J113</f>
        <v>22</v>
      </c>
      <c r="H113" s="879">
        <f>'Corrected and Updated TSF 2'!CH113</f>
        <v>3586768.7566511203</v>
      </c>
      <c r="I113" s="879">
        <f>SUM('Corrected and Updated TSF 2'!CJ113:CK113)</f>
        <v>493180.70403952902</v>
      </c>
      <c r="J113" s="879">
        <f>'Corrected and Updated TSF 2'!CL113</f>
        <v>4079949.4606906492</v>
      </c>
      <c r="K113" s="880">
        <f>'Corrected and Updated TSF 2'!CM113</f>
        <v>0.125</v>
      </c>
      <c r="L113" s="879">
        <f>'Corrected and Updated TSF 2'!CN113</f>
        <v>509993.68258633115</v>
      </c>
      <c r="M113" s="879">
        <f>'Corrected and Updated TSF 2'!CO113</f>
        <v>30000</v>
      </c>
      <c r="N113" s="879">
        <f>'Corrected and Updated TSF 2'!CP113</f>
        <v>479993.68258633115</v>
      </c>
      <c r="O113" s="881">
        <f>'Corrected and Updated TSF 2'!CQ113</f>
        <v>13</v>
      </c>
      <c r="P113" s="879">
        <f>'Corrected and Updated TSF 2'!CR113</f>
        <v>36922.59096817932</v>
      </c>
      <c r="Q113" s="879">
        <f>'Corrected and Updated TSF 2'!CT113</f>
        <v>3569955.7781043183</v>
      </c>
      <c r="R113" s="879">
        <f>'Corrected and Updated TSF 2'!CU113</f>
        <v>27677.829149707293</v>
      </c>
      <c r="S113" s="879">
        <f>'Corrected and Updated TSF 2'!CV113</f>
        <v>32087.771790531348</v>
      </c>
      <c r="T113" s="882">
        <f>'Corrected and Updated TSF 2'!CW113</f>
        <v>41450.213627343212</v>
      </c>
      <c r="U113" s="882">
        <f>'Corrected and Updated TSF 2'!CX113</f>
        <v>70689.403142511612</v>
      </c>
      <c r="V113" s="1167">
        <f>'Corrected and Updated TSF 2'!CY113</f>
        <v>289998.85501085385</v>
      </c>
      <c r="W113" s="1167">
        <f>'Corrected and Updated TSF 2'!CZ113</f>
        <v>114751.13426226669</v>
      </c>
      <c r="X113" s="1233">
        <f>'Corrected and Updated TSF 2'!DA113</f>
        <v>82883.119034989897</v>
      </c>
      <c r="Y113" s="1233">
        <f>'Corrected and Updated TSF 2'!DB113</f>
        <v>63077.869327352804</v>
      </c>
      <c r="Z113" s="885">
        <f>H113-'Corrected and Updated TSF 2'!CH113</f>
        <v>0</v>
      </c>
      <c r="AA113" s="885">
        <f>I113-SUM('Corrected and Updated TSF 2'!CJ113:CK113)</f>
        <v>0</v>
      </c>
      <c r="AB113" s="885">
        <f>J113-'Corrected and Updated TSF 2'!CL113</f>
        <v>0</v>
      </c>
      <c r="AC113" s="886">
        <f>K113-'Corrected and Updated TSF 2'!CM113</f>
        <v>0</v>
      </c>
      <c r="AD113" s="885">
        <f>M113-'Corrected and Updated TSF 2'!CO113</f>
        <v>0</v>
      </c>
      <c r="AE113" s="887">
        <f>P113-'Corrected and Updated TSF 2'!CR113</f>
        <v>0</v>
      </c>
      <c r="AF113" s="885">
        <f>Q113-'Corrected and Updated TSF 2'!CT113</f>
        <v>0</v>
      </c>
      <c r="AG113" s="888"/>
      <c r="AH113" s="888"/>
      <c r="AI113" s="885">
        <f>S113-'INTERNAL PRICELIST'!AA113</f>
        <v>11342.789792208481</v>
      </c>
      <c r="AJ113" s="885">
        <f>T113-'INTERNAL PRICELIST'!AB113</f>
        <v>14652.343648876682</v>
      </c>
      <c r="AK113" s="885">
        <f>U113-'INTERNAL PRICELIST'!AC113</f>
        <v>24988.180675981035</v>
      </c>
    </row>
    <row r="114" spans="1:45" s="152" customFormat="1" ht="12.75" customHeight="1">
      <c r="A114" s="876" t="str">
        <f t="shared" si="1"/>
        <v>8C</v>
      </c>
      <c r="B114" s="877" t="str">
        <f>'Corrected and Updated TSF 2'!FI114</f>
        <v>UNSOLD</v>
      </c>
      <c r="C114" s="1002" t="str">
        <f>'Corrected and Updated TSF 2'!E114</f>
        <v>8th Floor</v>
      </c>
      <c r="D114" s="1003" t="str">
        <f>'Corrected and Updated TSF 2'!M114</f>
        <v>End</v>
      </c>
      <c r="E114" s="1003" t="str">
        <f>'Corrected and Updated TSF 2'!G114</f>
        <v>8C</v>
      </c>
      <c r="F114" s="1004" t="str">
        <f>'Corrected and Updated TSF 2'!I114</f>
        <v>Studio</v>
      </c>
      <c r="G114" s="1005">
        <f>'Corrected and Updated TSF 2'!J114</f>
        <v>22</v>
      </c>
      <c r="H114" s="1005">
        <f>'Corrected and Updated TSF 2'!CH114</f>
        <v>3745440.0977109349</v>
      </c>
      <c r="I114" s="1005">
        <f>SUM('Corrected and Updated TSF 2'!CJ114:CK114)</f>
        <v>514998.01343525352</v>
      </c>
      <c r="J114" s="1005">
        <f>'Corrected and Updated TSF 2'!CL114</f>
        <v>4260438.1111461883</v>
      </c>
      <c r="K114" s="1006">
        <f>'Corrected and Updated TSF 2'!CM114</f>
        <v>0.125</v>
      </c>
      <c r="L114" s="1005">
        <f>'Corrected and Updated TSF 2'!CN114</f>
        <v>532554.76389327354</v>
      </c>
      <c r="M114" s="1005">
        <f>'Corrected and Updated TSF 2'!CO114</f>
        <v>30000</v>
      </c>
      <c r="N114" s="1005">
        <f>'Corrected and Updated TSF 2'!CP114</f>
        <v>502554.76389327354</v>
      </c>
      <c r="O114" s="1007">
        <f>'Corrected and Updated TSF 2'!CQ114</f>
        <v>13</v>
      </c>
      <c r="P114" s="1005">
        <f>'Corrected and Updated TSF 2'!CR114</f>
        <v>38658.058761021042</v>
      </c>
      <c r="Q114" s="1005">
        <f>'Corrected and Updated TSF 2'!CT114</f>
        <v>3727883.3472529147</v>
      </c>
      <c r="R114" s="1005">
        <f>'Corrected and Updated TSF 2'!CU114</f>
        <v>28902.239912365123</v>
      </c>
      <c r="S114" s="1005">
        <f>'Corrected and Updated TSF 2'!CV114</f>
        <v>33507.269429508946</v>
      </c>
      <c r="T114" s="882">
        <f>'Corrected and Updated TSF 2'!CW114</f>
        <v>43283.886615396972</v>
      </c>
      <c r="U114" s="882">
        <f>'Corrected and Updated TSF 2'!CX114</f>
        <v>73816.558294217743</v>
      </c>
      <c r="V114" s="1167">
        <f>'Corrected and Updated TSF 2'!CY114</f>
        <v>302827.81342782901</v>
      </c>
      <c r="W114" s="1167">
        <f>'Corrected and Updated TSF 2'!CZ114</f>
        <v>119827.49061441937</v>
      </c>
      <c r="X114" s="1233">
        <f>'Corrected and Updated TSF 2'!DA114</f>
        <v>86549.6993307269</v>
      </c>
      <c r="Y114" s="1233">
        <f>'Corrected and Updated TSF 2'!DB114</f>
        <v>65868.30573304728</v>
      </c>
      <c r="Z114" s="885">
        <f>H114-'Corrected and Updated TSF 2'!CH114</f>
        <v>0</v>
      </c>
      <c r="AA114" s="885">
        <f>I114-SUM('Corrected and Updated TSF 2'!CJ114:CK114)</f>
        <v>0</v>
      </c>
      <c r="AB114" s="885">
        <f>J114-'Corrected and Updated TSF 2'!CL114</f>
        <v>0</v>
      </c>
      <c r="AC114" s="886">
        <f>K114-'Corrected and Updated TSF 2'!CM114</f>
        <v>0</v>
      </c>
      <c r="AD114" s="885">
        <f>M114-'Corrected and Updated TSF 2'!CO114</f>
        <v>0</v>
      </c>
      <c r="AE114" s="887">
        <f>P114-'Corrected and Updated TSF 2'!CR114</f>
        <v>0</v>
      </c>
      <c r="AF114" s="885">
        <f>Q114-'Corrected and Updated TSF 2'!CT114</f>
        <v>0</v>
      </c>
      <c r="AG114" s="888"/>
      <c r="AH114" s="888"/>
      <c r="AI114" s="885">
        <f>S114-'INTERNAL PRICELIST'!AA114</f>
        <v>12779.683802937794</v>
      </c>
      <c r="AJ114" s="885">
        <f>T114-'INTERNAL PRICELIST'!AB114</f>
        <v>16508.488852540806</v>
      </c>
      <c r="AK114" s="885">
        <f>U114-'INTERNAL PRICELIST'!AC114</f>
        <v>28153.660057402078</v>
      </c>
      <c r="AL114" s="883"/>
      <c r="AM114" s="883"/>
      <c r="AN114" s="883"/>
      <c r="AO114" s="883"/>
      <c r="AP114" s="883"/>
      <c r="AQ114" s="883"/>
      <c r="AR114" s="883"/>
      <c r="AS114" s="883"/>
    </row>
    <row r="115" spans="1:45" s="152" customFormat="1" ht="12.75" customHeight="1">
      <c r="A115" s="876" t="str">
        <f t="shared" si="1"/>
        <v>8D</v>
      </c>
      <c r="B115" s="877" t="str">
        <f>'Corrected and Updated TSF 2'!FI115</f>
        <v>UNSOLD</v>
      </c>
      <c r="C115" s="1002" t="str">
        <f>'Corrected and Updated TSF 2'!E115</f>
        <v>8th Floor</v>
      </c>
      <c r="D115" s="1003" t="str">
        <f>'Corrected and Updated TSF 2'!M115</f>
        <v>End</v>
      </c>
      <c r="E115" s="1003" t="str">
        <f>'Corrected and Updated TSF 2'!G115</f>
        <v>8D</v>
      </c>
      <c r="F115" s="1004" t="str">
        <f>'Corrected and Updated TSF 2'!I115</f>
        <v>Studio</v>
      </c>
      <c r="G115" s="1005">
        <f>'Corrected and Updated TSF 2'!J115</f>
        <v>22</v>
      </c>
      <c r="H115" s="1005">
        <f>'Corrected and Updated TSF 2'!CH115</f>
        <v>3745440.0977109349</v>
      </c>
      <c r="I115" s="1005">
        <f>SUM('Corrected and Updated TSF 2'!CJ115:CK115)</f>
        <v>514998.01343525352</v>
      </c>
      <c r="J115" s="1005">
        <f>'Corrected and Updated TSF 2'!CL115</f>
        <v>4260438.1111461883</v>
      </c>
      <c r="K115" s="1006">
        <f>'Corrected and Updated TSF 2'!CM115</f>
        <v>0.125</v>
      </c>
      <c r="L115" s="1005">
        <f>'Corrected and Updated TSF 2'!CN115</f>
        <v>532554.76389327354</v>
      </c>
      <c r="M115" s="1005">
        <f>'Corrected and Updated TSF 2'!CO115</f>
        <v>30000</v>
      </c>
      <c r="N115" s="1005">
        <f>'Corrected and Updated TSF 2'!CP115</f>
        <v>502554.76389327354</v>
      </c>
      <c r="O115" s="1007">
        <f>'Corrected and Updated TSF 2'!CQ115</f>
        <v>13</v>
      </c>
      <c r="P115" s="1005">
        <f>'Corrected and Updated TSF 2'!CR115</f>
        <v>38658.058761021042</v>
      </c>
      <c r="Q115" s="1005">
        <f>'Corrected and Updated TSF 2'!CT115</f>
        <v>3727883.3472529147</v>
      </c>
      <c r="R115" s="1005">
        <f>'Corrected and Updated TSF 2'!CU115</f>
        <v>28902.239912365123</v>
      </c>
      <c r="S115" s="1005">
        <f>'Corrected and Updated TSF 2'!CV115</f>
        <v>33507.269429508946</v>
      </c>
      <c r="T115" s="882">
        <f>'Corrected and Updated TSF 2'!CW115</f>
        <v>43283.886615396972</v>
      </c>
      <c r="U115" s="882">
        <f>'Corrected and Updated TSF 2'!CX115</f>
        <v>73816.558294217743</v>
      </c>
      <c r="V115" s="1167">
        <f>'Corrected and Updated TSF 2'!CY115</f>
        <v>302827.81342782901</v>
      </c>
      <c r="W115" s="1167">
        <f>'Corrected and Updated TSF 2'!CZ115</f>
        <v>119827.49061441937</v>
      </c>
      <c r="X115" s="1233">
        <f>'Corrected and Updated TSF 2'!DA115</f>
        <v>86549.6993307269</v>
      </c>
      <c r="Y115" s="1233">
        <f>'Corrected and Updated TSF 2'!DB115</f>
        <v>65868.30573304728</v>
      </c>
      <c r="Z115" s="885">
        <f>H115-'Corrected and Updated TSF 2'!CH115</f>
        <v>0</v>
      </c>
      <c r="AA115" s="885">
        <f>I115-SUM('Corrected and Updated TSF 2'!CJ115:CK115)</f>
        <v>0</v>
      </c>
      <c r="AB115" s="885">
        <f>J115-'Corrected and Updated TSF 2'!CL115</f>
        <v>0</v>
      </c>
      <c r="AC115" s="886">
        <f>K115-'Corrected and Updated TSF 2'!CM115</f>
        <v>0</v>
      </c>
      <c r="AD115" s="885">
        <f>M115-'Corrected and Updated TSF 2'!CO115</f>
        <v>0</v>
      </c>
      <c r="AE115" s="887">
        <f>P115-'Corrected and Updated TSF 2'!CR115</f>
        <v>0</v>
      </c>
      <c r="AF115" s="885">
        <f>Q115-'Corrected and Updated TSF 2'!CT115</f>
        <v>0</v>
      </c>
      <c r="AG115" s="888"/>
      <c r="AH115" s="888"/>
      <c r="AI115" s="885">
        <f>S115-'INTERNAL PRICELIST'!AA115</f>
        <v>12779.683802937794</v>
      </c>
      <c r="AJ115" s="885">
        <f>T115-'INTERNAL PRICELIST'!AB115</f>
        <v>16508.488852540806</v>
      </c>
      <c r="AK115" s="885">
        <f>U115-'INTERNAL PRICELIST'!AC115</f>
        <v>28153.660057402078</v>
      </c>
      <c r="AL115" s="883"/>
      <c r="AM115" s="883"/>
      <c r="AN115" s="883"/>
      <c r="AO115" s="883"/>
      <c r="AP115" s="883"/>
      <c r="AQ115" s="883"/>
      <c r="AR115" s="883"/>
      <c r="AS115" s="883"/>
    </row>
    <row r="116" spans="1:45" s="152" customFormat="1" ht="12.75" hidden="1" customHeight="1">
      <c r="A116" s="876" t="str">
        <f t="shared" si="1"/>
        <v>8E</v>
      </c>
      <c r="B116" s="877" t="str">
        <f>'Corrected and Updated TSF 2'!FI116</f>
        <v>SOLD</v>
      </c>
      <c r="C116" s="878" t="str">
        <f>'Corrected and Updated TSF 2'!E116</f>
        <v>8th Floor</v>
      </c>
      <c r="D116" s="763" t="str">
        <f>'Corrected and Updated TSF 2'!M116</f>
        <v>End</v>
      </c>
      <c r="E116" s="763" t="str">
        <f>'Corrected and Updated TSF 2'!G116</f>
        <v>8E</v>
      </c>
      <c r="F116" s="747" t="str">
        <f>'Corrected and Updated TSF 2'!I116</f>
        <v>Studio</v>
      </c>
      <c r="G116" s="879">
        <f>'Corrected and Updated TSF 2'!J116</f>
        <v>22</v>
      </c>
      <c r="H116" s="879">
        <f>'Corrected and Updated TSF 2'!CH116</f>
        <v>3616724.7653928674</v>
      </c>
      <c r="I116" s="879">
        <f>SUM('Corrected and Updated TSF 2'!CJ116:CK116)</f>
        <v>497299.65524151921</v>
      </c>
      <c r="J116" s="879">
        <f>'Corrected and Updated TSF 2'!CL116</f>
        <v>4548031.392481531</v>
      </c>
      <c r="K116" s="880">
        <f>'Corrected and Updated TSF 2'!CM116</f>
        <v>0.125</v>
      </c>
      <c r="L116" s="879">
        <f>'Corrected and Updated TSF 2'!CN116</f>
        <v>568503.92406019138</v>
      </c>
      <c r="M116" s="879">
        <f>'Corrected and Updated TSF 2'!CO116</f>
        <v>30000</v>
      </c>
      <c r="N116" s="879">
        <f>'Corrected and Updated TSF 2'!CP116</f>
        <v>538503.92406019138</v>
      </c>
      <c r="O116" s="881">
        <f>'Corrected and Updated TSF 2'!CQ116</f>
        <v>13</v>
      </c>
      <c r="P116" s="879">
        <f>'Corrected and Updated TSF 2'!CR116</f>
        <v>41423.378773860873</v>
      </c>
      <c r="Q116" s="879">
        <f>'Corrected and Updated TSF 2'!CT116</f>
        <v>3979527.4684213395</v>
      </c>
      <c r="R116" s="879">
        <f>'Corrected and Updated TSF 2'!CU116</f>
        <v>30853.234105331394</v>
      </c>
      <c r="S116" s="879">
        <f>'Corrected and Updated TSF 2'!CV116</f>
        <v>35769.117932508889</v>
      </c>
      <c r="T116" s="882">
        <f>'Corrected and Updated TSF 2'!CW116</f>
        <v>46205.688236714268</v>
      </c>
      <c r="U116" s="882">
        <f>'Corrected and Updated TSF 2'!CX116</f>
        <v>78799.413498985508</v>
      </c>
      <c r="V116" s="1167">
        <f>'Corrected and Updated TSF 2'!CY116</f>
        <v>323269.66524477419</v>
      </c>
      <c r="W116" s="1167">
        <f>'Corrected and Updated TSF 2'!CZ116</f>
        <v>127916.23180040732</v>
      </c>
      <c r="X116" s="1233">
        <f>'Corrected and Updated TSF 2'!DA116</f>
        <v>92392.082526950486</v>
      </c>
      <c r="Y116" s="1233">
        <f>'Corrected and Updated TSF 2'!DB116</f>
        <v>70314.628314804097</v>
      </c>
      <c r="Z116" s="885">
        <f>H116-'Corrected and Updated TSF 2'!CH116</f>
        <v>0</v>
      </c>
      <c r="AA116" s="885">
        <f>I116-SUM('Corrected and Updated TSF 2'!CJ116:CK116)</f>
        <v>0</v>
      </c>
      <c r="AB116" s="885">
        <f>J116-'Corrected and Updated TSF 2'!CL116</f>
        <v>0</v>
      </c>
      <c r="AC116" s="886">
        <f>K116-'Corrected and Updated TSF 2'!CM116</f>
        <v>0</v>
      </c>
      <c r="AD116" s="885">
        <f>M116-'Corrected and Updated TSF 2'!CO116</f>
        <v>0</v>
      </c>
      <c r="AE116" s="887">
        <f>P116-'Corrected and Updated TSF 2'!CR116</f>
        <v>0</v>
      </c>
      <c r="AF116" s="885">
        <f>Q116-'Corrected and Updated TSF 2'!CT116</f>
        <v>0</v>
      </c>
      <c r="AG116" s="888"/>
      <c r="AH116" s="888"/>
      <c r="AI116" s="885">
        <f>S116-'INTERNAL PRICELIST'!AA116</f>
        <v>15041.532305937737</v>
      </c>
      <c r="AJ116" s="885">
        <f>T116-'INTERNAL PRICELIST'!AB116</f>
        <v>19430.290473858102</v>
      </c>
      <c r="AK116" s="885">
        <f>U116-'INTERNAL PRICELIST'!AC116</f>
        <v>33136.515262169843</v>
      </c>
    </row>
    <row r="117" spans="1:45" s="152" customFormat="1" ht="12.75" hidden="1" customHeight="1">
      <c r="A117" s="876" t="str">
        <f t="shared" si="1"/>
        <v>8F</v>
      </c>
      <c r="B117" s="877" t="str">
        <f>'Corrected and Updated TSF 2'!FI117</f>
        <v>SOLD</v>
      </c>
      <c r="C117" s="878" t="str">
        <f>'Corrected and Updated TSF 2'!E117</f>
        <v>8th Floor</v>
      </c>
      <c r="D117" s="763" t="str">
        <f>'Corrected and Updated TSF 2'!M117</f>
        <v>End</v>
      </c>
      <c r="E117" s="763" t="str">
        <f>'Corrected and Updated TSF 2'!G117</f>
        <v>8F</v>
      </c>
      <c r="F117" s="747" t="str">
        <f>'Corrected and Updated TSF 2'!I117</f>
        <v>Studio</v>
      </c>
      <c r="G117" s="879">
        <f>'Corrected and Updated TSF 2'!J117</f>
        <v>22</v>
      </c>
      <c r="H117" s="879">
        <f>'Corrected and Updated TSF 2'!CH117</f>
        <v>3616724.7653928674</v>
      </c>
      <c r="I117" s="879">
        <f>SUM('Corrected and Updated TSF 2'!CJ117:CK117)</f>
        <v>497299.65524151921</v>
      </c>
      <c r="J117" s="879">
        <f>'Corrected and Updated TSF 2'!CL117</f>
        <v>4548031.392481531</v>
      </c>
      <c r="K117" s="880">
        <f>'Corrected and Updated TSF 2'!CM117</f>
        <v>0.125</v>
      </c>
      <c r="L117" s="879">
        <f>'Corrected and Updated TSF 2'!CN117</f>
        <v>568503.92406019138</v>
      </c>
      <c r="M117" s="879">
        <f>'Corrected and Updated TSF 2'!CO117</f>
        <v>30000</v>
      </c>
      <c r="N117" s="879">
        <f>'Corrected and Updated TSF 2'!CP117</f>
        <v>538503.92406019138</v>
      </c>
      <c r="O117" s="881">
        <f>'Corrected and Updated TSF 2'!CQ117</f>
        <v>13</v>
      </c>
      <c r="P117" s="879">
        <f>'Corrected and Updated TSF 2'!CR117</f>
        <v>41423.378773860873</v>
      </c>
      <c r="Q117" s="879">
        <f>'Corrected and Updated TSF 2'!CT117</f>
        <v>3979527.4684213395</v>
      </c>
      <c r="R117" s="879">
        <f>'Corrected and Updated TSF 2'!CU117</f>
        <v>30853.234105331394</v>
      </c>
      <c r="S117" s="879">
        <f>'Corrected and Updated TSF 2'!CV117</f>
        <v>35769.117932508889</v>
      </c>
      <c r="T117" s="882">
        <f>'Corrected and Updated TSF 2'!CW117</f>
        <v>46205.688236714268</v>
      </c>
      <c r="U117" s="882">
        <f>'Corrected and Updated TSF 2'!CX117</f>
        <v>78799.413498985508</v>
      </c>
      <c r="V117" s="1167">
        <f>'Corrected and Updated TSF 2'!CY117</f>
        <v>323269.66524477419</v>
      </c>
      <c r="W117" s="1167">
        <f>'Corrected and Updated TSF 2'!CZ117</f>
        <v>127916.23180040732</v>
      </c>
      <c r="X117" s="1233">
        <f>'Corrected and Updated TSF 2'!DA117</f>
        <v>92392.082526950486</v>
      </c>
      <c r="Y117" s="1233">
        <f>'Corrected and Updated TSF 2'!DB117</f>
        <v>70314.628314804097</v>
      </c>
      <c r="Z117" s="885">
        <f>H117-'Corrected and Updated TSF 2'!CH117</f>
        <v>0</v>
      </c>
      <c r="AA117" s="885">
        <f>I117-SUM('Corrected and Updated TSF 2'!CJ117:CK117)</f>
        <v>0</v>
      </c>
      <c r="AB117" s="885">
        <f>J117-'Corrected and Updated TSF 2'!CL117</f>
        <v>0</v>
      </c>
      <c r="AC117" s="886">
        <f>K117-'Corrected and Updated TSF 2'!CM117</f>
        <v>0</v>
      </c>
      <c r="AD117" s="885">
        <f>M117-'Corrected and Updated TSF 2'!CO117</f>
        <v>0</v>
      </c>
      <c r="AE117" s="887">
        <f>P117-'Corrected and Updated TSF 2'!CR117</f>
        <v>0</v>
      </c>
      <c r="AF117" s="885">
        <f>Q117-'Corrected and Updated TSF 2'!CT117</f>
        <v>0</v>
      </c>
      <c r="AG117" s="888"/>
      <c r="AH117" s="888"/>
      <c r="AI117" s="885">
        <f>S117-'INTERNAL PRICELIST'!AA117</f>
        <v>15041.532305937737</v>
      </c>
      <c r="AJ117" s="885">
        <f>T117-'INTERNAL PRICELIST'!AB117</f>
        <v>19430.290473858102</v>
      </c>
      <c r="AK117" s="885">
        <f>U117-'INTERNAL PRICELIST'!AC117</f>
        <v>33136.515262169843</v>
      </c>
    </row>
    <row r="118" spans="1:45" s="152" customFormat="1" ht="12.75" hidden="1" customHeight="1">
      <c r="A118" s="876" t="str">
        <f t="shared" si="1"/>
        <v>8G</v>
      </c>
      <c r="B118" s="877" t="str">
        <f>'Corrected and Updated TSF 2'!FI118</f>
        <v>SOLD</v>
      </c>
      <c r="C118" s="878" t="str">
        <f>'Corrected and Updated TSF 2'!E118</f>
        <v>8th Floor</v>
      </c>
      <c r="D118" s="763" t="str">
        <f>'Corrected and Updated TSF 2'!M118</f>
        <v>Corner</v>
      </c>
      <c r="E118" s="763" t="str">
        <f>'Corrected and Updated TSF 2'!G118</f>
        <v>8G</v>
      </c>
      <c r="F118" s="747" t="str">
        <f>'Corrected and Updated TSF 2'!I118</f>
        <v>Studio</v>
      </c>
      <c r="G118" s="879">
        <f>'Corrected and Updated TSF 2'!J118</f>
        <v>22</v>
      </c>
      <c r="H118" s="879">
        <f>'Corrected and Updated TSF 2'!CH118</f>
        <v>3682778.7785054892</v>
      </c>
      <c r="I118" s="879">
        <f>SUM('Corrected and Updated TSF 2'!CJ118:CK118)</f>
        <v>506382.08204450476</v>
      </c>
      <c r="J118" s="879">
        <f>'Corrected and Updated TSF 2'!CL118</f>
        <v>4189160.8605499938</v>
      </c>
      <c r="K118" s="880">
        <f>'Corrected and Updated TSF 2'!CM118</f>
        <v>0.125</v>
      </c>
      <c r="L118" s="879">
        <f>'Corrected and Updated TSF 2'!CN118</f>
        <v>523645.10756874923</v>
      </c>
      <c r="M118" s="879">
        <f>'Corrected and Updated TSF 2'!CO118</f>
        <v>30000</v>
      </c>
      <c r="N118" s="879">
        <f>'Corrected and Updated TSF 2'!CP118</f>
        <v>493645.10756874923</v>
      </c>
      <c r="O118" s="881">
        <f>'Corrected and Updated TSF 2'!CQ118</f>
        <v>13</v>
      </c>
      <c r="P118" s="879">
        <f>'Corrected and Updated TSF 2'!CR118</f>
        <v>37972.700582211481</v>
      </c>
      <c r="Q118" s="879">
        <f>'Corrected and Updated TSF 2'!CT118</f>
        <v>3665515.7529812446</v>
      </c>
      <c r="R118" s="879">
        <f>'Corrected and Updated TSF 2'!CU118</f>
        <v>28418.704617805768</v>
      </c>
      <c r="S118" s="879">
        <f>'Corrected and Updated TSF 2'!CV118</f>
        <v>32946.691860344639</v>
      </c>
      <c r="T118" s="882">
        <f>'Corrected and Updated TSF 2'!CW118</f>
        <v>42559.745963056193</v>
      </c>
      <c r="U118" s="882">
        <f>'Corrected and Updated TSF 2'!CX118</f>
        <v>72581.605177560443</v>
      </c>
      <c r="V118" s="1167">
        <f>'Corrected and Updated TSF 2'!CY118</f>
        <v>297761.49550885183</v>
      </c>
      <c r="W118" s="1167">
        <f>'Corrected and Updated TSF 2'!CZ118</f>
        <v>117822.77329333161</v>
      </c>
      <c r="X118" s="1233">
        <f>'Corrected and Updated TSF 2'!DA118</f>
        <v>85101.720402906751</v>
      </c>
      <c r="Y118" s="1233">
        <f>'Corrected and Updated TSF 2'!DB118</f>
        <v>64766.327107469246</v>
      </c>
      <c r="Z118" s="885">
        <f>H118-'Corrected and Updated TSF 2'!CH118</f>
        <v>0</v>
      </c>
      <c r="AA118" s="885">
        <f>I118-SUM('Corrected and Updated TSF 2'!CJ118:CK118)</f>
        <v>0</v>
      </c>
      <c r="AB118" s="885">
        <f>J118-'Corrected and Updated TSF 2'!CL118</f>
        <v>0</v>
      </c>
      <c r="AC118" s="886">
        <f>K118-'Corrected and Updated TSF 2'!CM118</f>
        <v>0</v>
      </c>
      <c r="AD118" s="885">
        <f>M118-'Corrected and Updated TSF 2'!CO118</f>
        <v>0</v>
      </c>
      <c r="AE118" s="887">
        <f>P118-'Corrected and Updated TSF 2'!CR118</f>
        <v>0</v>
      </c>
      <c r="AF118" s="885">
        <f>Q118-'Corrected and Updated TSF 2'!CT118</f>
        <v>0</v>
      </c>
      <c r="AG118" s="888"/>
      <c r="AH118" s="888"/>
      <c r="AI118" s="885">
        <f>S118-'INTERNAL PRICELIST'!AA118</f>
        <v>12219.106233773487</v>
      </c>
      <c r="AJ118" s="885">
        <f>T118-'INTERNAL PRICELIST'!AB118</f>
        <v>15784.348200200027</v>
      </c>
      <c r="AK118" s="885">
        <f>U118-'INTERNAL PRICELIST'!AC118</f>
        <v>26918.706940744778</v>
      </c>
    </row>
    <row r="119" spans="1:45" s="883" customFormat="1" ht="12.75" hidden="1" customHeight="1">
      <c r="A119" s="876" t="str">
        <f t="shared" si="1"/>
        <v>8H</v>
      </c>
      <c r="B119" s="877" t="str">
        <f>'Corrected and Updated TSF 2'!FI119</f>
        <v>SOLD</v>
      </c>
      <c r="C119" s="878" t="str">
        <f>'Corrected and Updated TSF 2'!E119</f>
        <v>8th Floor</v>
      </c>
      <c r="D119" s="763" t="str">
        <f>'Corrected and Updated TSF 2'!M119</f>
        <v>Corner</v>
      </c>
      <c r="E119" s="763" t="str">
        <f>'Corrected and Updated TSF 2'!G119</f>
        <v>8H</v>
      </c>
      <c r="F119" s="747" t="str">
        <f>'Corrected and Updated TSF 2'!I119</f>
        <v>Studio</v>
      </c>
      <c r="G119" s="879">
        <f>'Corrected and Updated TSF 2'!J119</f>
        <v>22</v>
      </c>
      <c r="H119" s="879">
        <f>'Corrected and Updated TSF 2'!CH119</f>
        <v>3682778.7785054892</v>
      </c>
      <c r="I119" s="879">
        <f>SUM('Corrected and Updated TSF 2'!CJ119:CK119)</f>
        <v>506382.08204450476</v>
      </c>
      <c r="J119" s="879">
        <f>'Corrected and Updated TSF 2'!CL119</f>
        <v>4189160.8605499938</v>
      </c>
      <c r="K119" s="880">
        <f>'Corrected and Updated TSF 2'!CM119</f>
        <v>0.125</v>
      </c>
      <c r="L119" s="879">
        <f>'Corrected and Updated TSF 2'!CN119</f>
        <v>523645.10756874923</v>
      </c>
      <c r="M119" s="879">
        <f>'Corrected and Updated TSF 2'!CO119</f>
        <v>30000</v>
      </c>
      <c r="N119" s="879">
        <f>'Corrected and Updated TSF 2'!CP119</f>
        <v>493645.10756874923</v>
      </c>
      <c r="O119" s="881">
        <f>'Corrected and Updated TSF 2'!CQ119</f>
        <v>13</v>
      </c>
      <c r="P119" s="879">
        <f>'Corrected and Updated TSF 2'!CR119</f>
        <v>37972.700582211481</v>
      </c>
      <c r="Q119" s="879">
        <f>'Corrected and Updated TSF 2'!CT119</f>
        <v>3665515.7529812446</v>
      </c>
      <c r="R119" s="879">
        <f>'Corrected and Updated TSF 2'!CU119</f>
        <v>28418.704617805768</v>
      </c>
      <c r="S119" s="879">
        <f>'Corrected and Updated TSF 2'!CV119</f>
        <v>32946.691860344639</v>
      </c>
      <c r="T119" s="882">
        <f>'Corrected and Updated TSF 2'!CW119</f>
        <v>42559.745963056193</v>
      </c>
      <c r="U119" s="882">
        <f>'Corrected and Updated TSF 2'!CX119</f>
        <v>72581.605177560443</v>
      </c>
      <c r="V119" s="1167">
        <f>'Corrected and Updated TSF 2'!CY119</f>
        <v>297761.49550885183</v>
      </c>
      <c r="W119" s="1167">
        <f>'Corrected and Updated TSF 2'!CZ119</f>
        <v>117822.77329333161</v>
      </c>
      <c r="X119" s="1233">
        <f>'Corrected and Updated TSF 2'!DA119</f>
        <v>85101.720402906751</v>
      </c>
      <c r="Y119" s="1233">
        <f>'Corrected and Updated TSF 2'!DB119</f>
        <v>64766.327107469246</v>
      </c>
      <c r="Z119" s="885">
        <f>H119-'Corrected and Updated TSF 2'!CH119</f>
        <v>0</v>
      </c>
      <c r="AA119" s="885">
        <f>I119-SUM('Corrected and Updated TSF 2'!CJ119:CK119)</f>
        <v>0</v>
      </c>
      <c r="AB119" s="885">
        <f>J119-'Corrected and Updated TSF 2'!CL119</f>
        <v>0</v>
      </c>
      <c r="AC119" s="886">
        <f>K119-'Corrected and Updated TSF 2'!CM119</f>
        <v>0</v>
      </c>
      <c r="AD119" s="885">
        <f>M119-'Corrected and Updated TSF 2'!CO119</f>
        <v>0</v>
      </c>
      <c r="AE119" s="887">
        <f>P119-'Corrected and Updated TSF 2'!CR119</f>
        <v>0</v>
      </c>
      <c r="AF119" s="885">
        <f>Q119-'Corrected and Updated TSF 2'!CT119</f>
        <v>0</v>
      </c>
      <c r="AG119" s="888"/>
      <c r="AH119" s="888"/>
      <c r="AI119" s="885">
        <f>S119-'INTERNAL PRICELIST'!AA119</f>
        <v>12219.106233773487</v>
      </c>
      <c r="AJ119" s="885">
        <f>T119-'INTERNAL PRICELIST'!AB119</f>
        <v>15784.348200200027</v>
      </c>
      <c r="AK119" s="885">
        <f>U119-'INTERNAL PRICELIST'!AC119</f>
        <v>26918.706940744778</v>
      </c>
    </row>
    <row r="120" spans="1:45" s="883" customFormat="1" hidden="1">
      <c r="A120" s="876" t="str">
        <f t="shared" si="1"/>
        <v>8I</v>
      </c>
      <c r="B120" s="877" t="str">
        <f>'Corrected and Updated TSF 2'!FI120</f>
        <v>SOLD</v>
      </c>
      <c r="C120" s="878" t="str">
        <f>'Corrected and Updated TSF 2'!E120</f>
        <v>8th Floor</v>
      </c>
      <c r="D120" s="763" t="str">
        <f>'Corrected and Updated TSF 2'!M120</f>
        <v>Inner</v>
      </c>
      <c r="E120" s="763" t="str">
        <f>'Corrected and Updated TSF 2'!G120</f>
        <v>8I</v>
      </c>
      <c r="F120" s="747" t="str">
        <f>'Corrected and Updated TSF 2'!I120</f>
        <v>Studio</v>
      </c>
      <c r="G120" s="879">
        <f>'Corrected and Updated TSF 2'!J120</f>
        <v>22</v>
      </c>
      <c r="H120" s="879">
        <f>'Corrected and Updated TSF 2'!CH120</f>
        <v>3586768.7566511203</v>
      </c>
      <c r="I120" s="879">
        <f>SUM('Corrected and Updated TSF 2'!CJ120:CK120)</f>
        <v>493180.70403952902</v>
      </c>
      <c r="J120" s="879">
        <f>'Corrected and Updated TSF 2'!CL120</f>
        <v>4079949.4606906492</v>
      </c>
      <c r="K120" s="880">
        <f>'Corrected and Updated TSF 2'!CM120</f>
        <v>0.125</v>
      </c>
      <c r="L120" s="879">
        <f>'Corrected and Updated TSF 2'!CN120</f>
        <v>509993.68258633115</v>
      </c>
      <c r="M120" s="879">
        <f>'Corrected and Updated TSF 2'!CO120</f>
        <v>30000</v>
      </c>
      <c r="N120" s="879">
        <f>'Corrected and Updated TSF 2'!CP120</f>
        <v>479993.68258633115</v>
      </c>
      <c r="O120" s="881">
        <f>'Corrected and Updated TSF 2'!CQ120</f>
        <v>13</v>
      </c>
      <c r="P120" s="879">
        <f>'Corrected and Updated TSF 2'!CR120</f>
        <v>36922.59096817932</v>
      </c>
      <c r="Q120" s="879">
        <f>'Corrected and Updated TSF 2'!CT120</f>
        <v>3569955.7781043183</v>
      </c>
      <c r="R120" s="879">
        <f>'Corrected and Updated TSF 2'!CU120</f>
        <v>27677.829149707293</v>
      </c>
      <c r="S120" s="879">
        <f>'Corrected and Updated TSF 2'!CV120</f>
        <v>32087.771790531348</v>
      </c>
      <c r="T120" s="882">
        <f>'Corrected and Updated TSF 2'!CW120</f>
        <v>41450.213627343212</v>
      </c>
      <c r="U120" s="882">
        <f>'Corrected and Updated TSF 2'!CX120</f>
        <v>70689.403142511612</v>
      </c>
      <c r="V120" s="1167">
        <f>'Corrected and Updated TSF 2'!CY120</f>
        <v>289998.85501085385</v>
      </c>
      <c r="W120" s="1167">
        <f>'Corrected and Updated TSF 2'!CZ120</f>
        <v>114751.13426226669</v>
      </c>
      <c r="X120" s="1233">
        <f>'Corrected and Updated TSF 2'!DA120</f>
        <v>82883.119034989897</v>
      </c>
      <c r="Y120" s="1233">
        <f>'Corrected and Updated TSF 2'!DB120</f>
        <v>63077.869327352804</v>
      </c>
      <c r="Z120" s="885">
        <f>H120-'Corrected and Updated TSF 2'!CH120</f>
        <v>0</v>
      </c>
      <c r="AA120" s="885">
        <f>I120-SUM('Corrected and Updated TSF 2'!CJ120:CK120)</f>
        <v>0</v>
      </c>
      <c r="AB120" s="885">
        <f>J120-'Corrected and Updated TSF 2'!CL120</f>
        <v>0</v>
      </c>
      <c r="AC120" s="886">
        <f>K120-'Corrected and Updated TSF 2'!CM120</f>
        <v>0</v>
      </c>
      <c r="AD120" s="885">
        <f>M120-'Corrected and Updated TSF 2'!CO120</f>
        <v>0</v>
      </c>
      <c r="AE120" s="887">
        <f>P120-'Corrected and Updated TSF 2'!CR120</f>
        <v>0</v>
      </c>
      <c r="AF120" s="885">
        <f>Q120-'Corrected and Updated TSF 2'!CT120</f>
        <v>0</v>
      </c>
      <c r="AG120" s="888"/>
      <c r="AH120" s="888"/>
      <c r="AI120" s="885">
        <f>S120-'INTERNAL PRICELIST'!AA120</f>
        <v>11360.186163960196</v>
      </c>
      <c r="AJ120" s="885">
        <f>T120-'INTERNAL PRICELIST'!AB120</f>
        <v>14674.815864487045</v>
      </c>
      <c r="AK120" s="885">
        <f>U120-'INTERNAL PRICELIST'!AC120</f>
        <v>25026.504905695947</v>
      </c>
    </row>
    <row r="121" spans="1:45" s="152" customFormat="1" ht="12.75" hidden="1" customHeight="1">
      <c r="A121" s="876" t="str">
        <f t="shared" si="1"/>
        <v>8J</v>
      </c>
      <c r="B121" s="877" t="str">
        <f>'Corrected and Updated TSF 2'!FI121</f>
        <v>SOLD</v>
      </c>
      <c r="C121" s="878" t="str">
        <f>'Corrected and Updated TSF 2'!E121</f>
        <v>8th Floor</v>
      </c>
      <c r="D121" s="763" t="str">
        <f>'Corrected and Updated TSF 2'!M121</f>
        <v>Inner</v>
      </c>
      <c r="E121" s="763" t="str">
        <f>'Corrected and Updated TSF 2'!G121</f>
        <v>8J</v>
      </c>
      <c r="F121" s="747" t="str">
        <f>'Corrected and Updated TSF 2'!I121</f>
        <v>Studio</v>
      </c>
      <c r="G121" s="879">
        <f>'Corrected and Updated TSF 2'!J121</f>
        <v>22</v>
      </c>
      <c r="H121" s="879">
        <f>'Corrected and Updated TSF 2'!CH121</f>
        <v>3586768.7566511203</v>
      </c>
      <c r="I121" s="879">
        <f>SUM('Corrected and Updated TSF 2'!CJ121:CK121)</f>
        <v>493180.70403952902</v>
      </c>
      <c r="J121" s="879">
        <f>'Corrected and Updated TSF 2'!CL121</f>
        <v>4079949.4606906492</v>
      </c>
      <c r="K121" s="880">
        <f>'Corrected and Updated TSF 2'!CM121</f>
        <v>0.125</v>
      </c>
      <c r="L121" s="879">
        <f>'Corrected and Updated TSF 2'!CN121</f>
        <v>509993.68258633115</v>
      </c>
      <c r="M121" s="879">
        <f>'Corrected and Updated TSF 2'!CO121</f>
        <v>30000</v>
      </c>
      <c r="N121" s="879">
        <f>'Corrected and Updated TSF 2'!CP121</f>
        <v>479993.68258633115</v>
      </c>
      <c r="O121" s="881">
        <f>'Corrected and Updated TSF 2'!CQ121</f>
        <v>13</v>
      </c>
      <c r="P121" s="879">
        <f>'Corrected and Updated TSF 2'!CR121</f>
        <v>36922.59096817932</v>
      </c>
      <c r="Q121" s="879">
        <f>'Corrected and Updated TSF 2'!CT121</f>
        <v>3569955.7781043183</v>
      </c>
      <c r="R121" s="879">
        <f>'Corrected and Updated TSF 2'!CU121</f>
        <v>27677.829149707293</v>
      </c>
      <c r="S121" s="879">
        <f>'Corrected and Updated TSF 2'!CV121</f>
        <v>32087.771790531348</v>
      </c>
      <c r="T121" s="882">
        <f>'Corrected and Updated TSF 2'!CW121</f>
        <v>41450.213627343212</v>
      </c>
      <c r="U121" s="882">
        <f>'Corrected and Updated TSF 2'!CX121</f>
        <v>70689.403142511612</v>
      </c>
      <c r="V121" s="1167">
        <f>'Corrected and Updated TSF 2'!CY121</f>
        <v>289998.85501085385</v>
      </c>
      <c r="W121" s="1167">
        <f>'Corrected and Updated TSF 2'!CZ121</f>
        <v>114751.13426226669</v>
      </c>
      <c r="X121" s="1233">
        <f>'Corrected and Updated TSF 2'!DA121</f>
        <v>82883.119034989897</v>
      </c>
      <c r="Y121" s="1233">
        <f>'Corrected and Updated TSF 2'!DB121</f>
        <v>63077.869327352804</v>
      </c>
      <c r="Z121" s="885">
        <f>H121-'Corrected and Updated TSF 2'!CH121</f>
        <v>0</v>
      </c>
      <c r="AA121" s="885">
        <f>I121-SUM('Corrected and Updated TSF 2'!CJ121:CK121)</f>
        <v>0</v>
      </c>
      <c r="AB121" s="885">
        <f>J121-'Corrected and Updated TSF 2'!CL121</f>
        <v>0</v>
      </c>
      <c r="AC121" s="886">
        <f>K121-'Corrected and Updated TSF 2'!CM121</f>
        <v>0</v>
      </c>
      <c r="AD121" s="885">
        <f>M121-'Corrected and Updated TSF 2'!CO121</f>
        <v>0</v>
      </c>
      <c r="AE121" s="887">
        <f>P121-'Corrected and Updated TSF 2'!CR121</f>
        <v>0</v>
      </c>
      <c r="AF121" s="885">
        <f>Q121-'Corrected and Updated TSF 2'!CT121</f>
        <v>0</v>
      </c>
      <c r="AG121" s="888"/>
      <c r="AH121" s="888"/>
      <c r="AI121" s="885">
        <f>S121-'INTERNAL PRICELIST'!AA121</f>
        <v>11342.789792208481</v>
      </c>
      <c r="AJ121" s="885">
        <f>T121-'INTERNAL PRICELIST'!AB121</f>
        <v>14652.343648876682</v>
      </c>
      <c r="AK121" s="885">
        <f>U121-'INTERNAL PRICELIST'!AC121</f>
        <v>24988.180675981035</v>
      </c>
    </row>
    <row r="122" spans="1:45" s="152" customFormat="1" ht="12.75" hidden="1" customHeight="1">
      <c r="A122" s="876" t="str">
        <f t="shared" si="1"/>
        <v>8K</v>
      </c>
      <c r="B122" s="877" t="str">
        <f>'Corrected and Updated TSF 2'!FI122</f>
        <v>SOLD</v>
      </c>
      <c r="C122" s="878" t="str">
        <f>'Corrected and Updated TSF 2'!E122</f>
        <v>8th Floor</v>
      </c>
      <c r="D122" s="763" t="str">
        <f>'Corrected and Updated TSF 2'!M122</f>
        <v>Inner</v>
      </c>
      <c r="E122" s="763" t="str">
        <f>'Corrected and Updated TSF 2'!G122</f>
        <v>8K</v>
      </c>
      <c r="F122" s="747" t="str">
        <f>'Corrected and Updated TSF 2'!I122</f>
        <v>Studio</v>
      </c>
      <c r="G122" s="879">
        <f>'Corrected and Updated TSF 2'!J122</f>
        <v>22</v>
      </c>
      <c r="H122" s="879">
        <f>'Corrected and Updated TSF 2'!CH122</f>
        <v>3586768.7566511203</v>
      </c>
      <c r="I122" s="879">
        <f>SUM('Corrected and Updated TSF 2'!CJ122:CK122)</f>
        <v>493180.70403952902</v>
      </c>
      <c r="J122" s="879">
        <f>'Corrected and Updated TSF 2'!CL122</f>
        <v>4079949.4606906492</v>
      </c>
      <c r="K122" s="880">
        <f>'Corrected and Updated TSF 2'!CM122</f>
        <v>0.125</v>
      </c>
      <c r="L122" s="879">
        <f>'Corrected and Updated TSF 2'!CN122</f>
        <v>509993.68258633115</v>
      </c>
      <c r="M122" s="879">
        <f>'Corrected and Updated TSF 2'!CO122</f>
        <v>30000</v>
      </c>
      <c r="N122" s="879">
        <f>'Corrected and Updated TSF 2'!CP122</f>
        <v>479993.68258633115</v>
      </c>
      <c r="O122" s="881">
        <f>'Corrected and Updated TSF 2'!CQ122</f>
        <v>13</v>
      </c>
      <c r="P122" s="879">
        <f>'Corrected and Updated TSF 2'!CR122</f>
        <v>36922.59096817932</v>
      </c>
      <c r="Q122" s="879">
        <f>'Corrected and Updated TSF 2'!CT122</f>
        <v>3569955.7781043183</v>
      </c>
      <c r="R122" s="879">
        <f>'Corrected and Updated TSF 2'!CU122</f>
        <v>27677.829149707293</v>
      </c>
      <c r="S122" s="879">
        <f>'Corrected and Updated TSF 2'!CV122</f>
        <v>32087.771790531348</v>
      </c>
      <c r="T122" s="882">
        <f>'Corrected and Updated TSF 2'!CW122</f>
        <v>41450.213627343212</v>
      </c>
      <c r="U122" s="882">
        <f>'Corrected and Updated TSF 2'!CX122</f>
        <v>70689.403142511612</v>
      </c>
      <c r="V122" s="1167">
        <f>'Corrected and Updated TSF 2'!CY122</f>
        <v>289998.85501085385</v>
      </c>
      <c r="W122" s="1167">
        <f>'Corrected and Updated TSF 2'!CZ122</f>
        <v>114751.13426226669</v>
      </c>
      <c r="X122" s="1233">
        <f>'Corrected and Updated TSF 2'!DA122</f>
        <v>82883.119034989897</v>
      </c>
      <c r="Y122" s="1233">
        <f>'Corrected and Updated TSF 2'!DB122</f>
        <v>63077.869327352804</v>
      </c>
      <c r="Z122" s="885">
        <f>H122-'Corrected and Updated TSF 2'!CH122</f>
        <v>0</v>
      </c>
      <c r="AA122" s="885">
        <f>I122-SUM('Corrected and Updated TSF 2'!CJ122:CK122)</f>
        <v>0</v>
      </c>
      <c r="AB122" s="885">
        <f>J122-'Corrected and Updated TSF 2'!CL122</f>
        <v>0</v>
      </c>
      <c r="AC122" s="886">
        <f>K122-'Corrected and Updated TSF 2'!CM122</f>
        <v>0</v>
      </c>
      <c r="AD122" s="885">
        <f>M122-'Corrected and Updated TSF 2'!CO122</f>
        <v>0</v>
      </c>
      <c r="AE122" s="887">
        <f>P122-'Corrected and Updated TSF 2'!CR122</f>
        <v>0</v>
      </c>
      <c r="AF122" s="885">
        <f>Q122-'Corrected and Updated TSF 2'!CT122</f>
        <v>0</v>
      </c>
      <c r="AG122" s="888"/>
      <c r="AH122" s="888"/>
      <c r="AI122" s="885">
        <f>S122-'INTERNAL PRICELIST'!AA122</f>
        <v>11360.186163960196</v>
      </c>
      <c r="AJ122" s="885">
        <f>T122-'INTERNAL PRICELIST'!AB122</f>
        <v>14674.815864487045</v>
      </c>
      <c r="AK122" s="885">
        <f>U122-'INTERNAL PRICELIST'!AC122</f>
        <v>25026.504905695947</v>
      </c>
    </row>
    <row r="123" spans="1:45" s="152" customFormat="1" ht="12.75" hidden="1" customHeight="1">
      <c r="A123" s="876" t="str">
        <f t="shared" si="1"/>
        <v>8L</v>
      </c>
      <c r="B123" s="877" t="str">
        <f>'Corrected and Updated TSF 2'!FI123</f>
        <v>SOLD</v>
      </c>
      <c r="C123" s="878" t="str">
        <f>'Corrected and Updated TSF 2'!E123</f>
        <v>8th Floor</v>
      </c>
      <c r="D123" s="763" t="str">
        <f>'Corrected and Updated TSF 2'!M123</f>
        <v>Inner</v>
      </c>
      <c r="E123" s="763" t="str">
        <f>'Corrected and Updated TSF 2'!G123</f>
        <v>8L</v>
      </c>
      <c r="F123" s="747" t="str">
        <f>'Corrected and Updated TSF 2'!I123</f>
        <v>Studio</v>
      </c>
      <c r="G123" s="879">
        <f>'Corrected and Updated TSF 2'!J123</f>
        <v>22</v>
      </c>
      <c r="H123" s="879">
        <f>'Corrected and Updated TSF 2'!CH123</f>
        <v>3586768.7566511203</v>
      </c>
      <c r="I123" s="879">
        <f>SUM('Corrected and Updated TSF 2'!CJ123:CK123)</f>
        <v>493180.70403952902</v>
      </c>
      <c r="J123" s="879">
        <f>'Corrected and Updated TSF 2'!CL123</f>
        <v>4079949.4606906492</v>
      </c>
      <c r="K123" s="880">
        <f>'Corrected and Updated TSF 2'!CM123</f>
        <v>0.125</v>
      </c>
      <c r="L123" s="879">
        <f>'Corrected and Updated TSF 2'!CN123</f>
        <v>509993.68258633115</v>
      </c>
      <c r="M123" s="879">
        <f>'Corrected and Updated TSF 2'!CO123</f>
        <v>30000</v>
      </c>
      <c r="N123" s="879">
        <f>'Corrected and Updated TSF 2'!CP123</f>
        <v>479993.68258633115</v>
      </c>
      <c r="O123" s="881">
        <f>'Corrected and Updated TSF 2'!CQ123</f>
        <v>13</v>
      </c>
      <c r="P123" s="879">
        <f>'Corrected and Updated TSF 2'!CR123</f>
        <v>36922.59096817932</v>
      </c>
      <c r="Q123" s="879">
        <f>'Corrected and Updated TSF 2'!CT123</f>
        <v>3569955.7781043183</v>
      </c>
      <c r="R123" s="879">
        <f>'Corrected and Updated TSF 2'!CU123</f>
        <v>27677.829149707293</v>
      </c>
      <c r="S123" s="879">
        <f>'Corrected and Updated TSF 2'!CV123</f>
        <v>32087.771790531348</v>
      </c>
      <c r="T123" s="882">
        <f>'Corrected and Updated TSF 2'!CW123</f>
        <v>41450.213627343212</v>
      </c>
      <c r="U123" s="882">
        <f>'Corrected and Updated TSF 2'!CX123</f>
        <v>70689.403142511612</v>
      </c>
      <c r="V123" s="1167">
        <f>'Corrected and Updated TSF 2'!CY123</f>
        <v>289998.85501085385</v>
      </c>
      <c r="W123" s="1167">
        <f>'Corrected and Updated TSF 2'!CZ123</f>
        <v>114751.13426226669</v>
      </c>
      <c r="X123" s="1233">
        <f>'Corrected and Updated TSF 2'!DA123</f>
        <v>82883.119034989897</v>
      </c>
      <c r="Y123" s="1233">
        <f>'Corrected and Updated TSF 2'!DB123</f>
        <v>63077.869327352804</v>
      </c>
      <c r="Z123" s="885">
        <f>H123-'Corrected and Updated TSF 2'!CH123</f>
        <v>0</v>
      </c>
      <c r="AA123" s="885">
        <f>I123-SUM('Corrected and Updated TSF 2'!CJ123:CK123)</f>
        <v>0</v>
      </c>
      <c r="AB123" s="885">
        <f>J123-'Corrected and Updated TSF 2'!CL123</f>
        <v>0</v>
      </c>
      <c r="AC123" s="886">
        <f>K123-'Corrected and Updated TSF 2'!CM123</f>
        <v>0</v>
      </c>
      <c r="AD123" s="885">
        <f>M123-'Corrected and Updated TSF 2'!CO123</f>
        <v>0</v>
      </c>
      <c r="AE123" s="887">
        <f>P123-'Corrected and Updated TSF 2'!CR123</f>
        <v>0</v>
      </c>
      <c r="AF123" s="885">
        <f>Q123-'Corrected and Updated TSF 2'!CT123</f>
        <v>0</v>
      </c>
      <c r="AG123" s="888"/>
      <c r="AH123" s="888"/>
      <c r="AI123" s="885">
        <f>S123-'INTERNAL PRICELIST'!AA123</f>
        <v>11360.186163960196</v>
      </c>
      <c r="AJ123" s="885">
        <f>T123-'INTERNAL PRICELIST'!AB123</f>
        <v>14674.815864487045</v>
      </c>
      <c r="AK123" s="885">
        <f>U123-'INTERNAL PRICELIST'!AC123</f>
        <v>25026.504905695947</v>
      </c>
    </row>
    <row r="124" spans="1:45" s="152" customFormat="1" ht="12.75" hidden="1" customHeight="1">
      <c r="A124" s="876" t="str">
        <f t="shared" si="1"/>
        <v>8M</v>
      </c>
      <c r="B124" s="877" t="str">
        <f>'Corrected and Updated TSF 2'!FI124</f>
        <v>SOLD</v>
      </c>
      <c r="C124" s="878" t="str">
        <f>'Corrected and Updated TSF 2'!E124</f>
        <v>8th Floor</v>
      </c>
      <c r="D124" s="763" t="str">
        <f>'Corrected and Updated TSF 2'!M124</f>
        <v>Inner</v>
      </c>
      <c r="E124" s="763" t="str">
        <f>'Corrected and Updated TSF 2'!G124</f>
        <v>8M</v>
      </c>
      <c r="F124" s="747" t="str">
        <f>'Corrected and Updated TSF 2'!I124</f>
        <v>Studio</v>
      </c>
      <c r="G124" s="879">
        <f>'Corrected and Updated TSF 2'!J124</f>
        <v>22</v>
      </c>
      <c r="H124" s="879">
        <f>'Corrected and Updated TSF 2'!CH124</f>
        <v>3586768.7566511203</v>
      </c>
      <c r="I124" s="879">
        <f>SUM('Corrected and Updated TSF 2'!CJ124:CK124)</f>
        <v>493180.70403952902</v>
      </c>
      <c r="J124" s="879">
        <f>'Corrected and Updated TSF 2'!CL124</f>
        <v>4079949.4606906492</v>
      </c>
      <c r="K124" s="880">
        <f>'Corrected and Updated TSF 2'!CM124</f>
        <v>0.125</v>
      </c>
      <c r="L124" s="879">
        <f>'Corrected and Updated TSF 2'!CN124</f>
        <v>509993.68258633115</v>
      </c>
      <c r="M124" s="879">
        <f>'Corrected and Updated TSF 2'!CO124</f>
        <v>30000</v>
      </c>
      <c r="N124" s="879">
        <f>'Corrected and Updated TSF 2'!CP124</f>
        <v>479993.68258633115</v>
      </c>
      <c r="O124" s="881">
        <f>'Corrected and Updated TSF 2'!CQ124</f>
        <v>13</v>
      </c>
      <c r="P124" s="879">
        <f>'Corrected and Updated TSF 2'!CR124</f>
        <v>36922.59096817932</v>
      </c>
      <c r="Q124" s="879">
        <f>'Corrected and Updated TSF 2'!CT124</f>
        <v>3569955.7781043183</v>
      </c>
      <c r="R124" s="879">
        <f>'Corrected and Updated TSF 2'!CU124</f>
        <v>27677.829149707293</v>
      </c>
      <c r="S124" s="879">
        <f>'Corrected and Updated TSF 2'!CV124</f>
        <v>32087.771790531348</v>
      </c>
      <c r="T124" s="882">
        <f>'Corrected and Updated TSF 2'!CW124</f>
        <v>41450.213627343212</v>
      </c>
      <c r="U124" s="882">
        <f>'Corrected and Updated TSF 2'!CX124</f>
        <v>70689.403142511612</v>
      </c>
      <c r="V124" s="1167">
        <f>'Corrected and Updated TSF 2'!CY124</f>
        <v>289998.85501085385</v>
      </c>
      <c r="W124" s="1167">
        <f>'Corrected and Updated TSF 2'!CZ124</f>
        <v>114751.13426226669</v>
      </c>
      <c r="X124" s="1233">
        <f>'Corrected and Updated TSF 2'!DA124</f>
        <v>82883.119034989897</v>
      </c>
      <c r="Y124" s="1233">
        <f>'Corrected and Updated TSF 2'!DB124</f>
        <v>63077.869327352804</v>
      </c>
      <c r="Z124" s="885">
        <f>H124-'Corrected and Updated TSF 2'!CH124</f>
        <v>0</v>
      </c>
      <c r="AA124" s="885">
        <f>I124-SUM('Corrected and Updated TSF 2'!CJ124:CK124)</f>
        <v>0</v>
      </c>
      <c r="AB124" s="885">
        <f>J124-'Corrected and Updated TSF 2'!CL124</f>
        <v>0</v>
      </c>
      <c r="AC124" s="886">
        <f>K124-'Corrected and Updated TSF 2'!CM124</f>
        <v>0</v>
      </c>
      <c r="AD124" s="885">
        <f>M124-'Corrected and Updated TSF 2'!CO124</f>
        <v>0</v>
      </c>
      <c r="AE124" s="887">
        <f>P124-'Corrected and Updated TSF 2'!CR124</f>
        <v>0</v>
      </c>
      <c r="AF124" s="885">
        <f>Q124-'Corrected and Updated TSF 2'!CT124</f>
        <v>0</v>
      </c>
      <c r="AG124" s="888"/>
      <c r="AH124" s="888"/>
      <c r="AI124" s="885">
        <f>S124-'INTERNAL PRICELIST'!AA124</f>
        <v>11360.186163960196</v>
      </c>
      <c r="AJ124" s="885">
        <f>T124-'INTERNAL PRICELIST'!AB124</f>
        <v>14674.815864487045</v>
      </c>
      <c r="AK124" s="885">
        <f>U124-'INTERNAL PRICELIST'!AC124</f>
        <v>25026.504905695947</v>
      </c>
    </row>
    <row r="125" spans="1:45" s="152" customFormat="1" ht="12.75" hidden="1" customHeight="1">
      <c r="A125" s="876" t="str">
        <f t="shared" si="1"/>
        <v>8N</v>
      </c>
      <c r="B125" s="877" t="str">
        <f>'Corrected and Updated TSF 2'!FI125</f>
        <v>SOLD</v>
      </c>
      <c r="C125" s="878" t="str">
        <f>'Corrected and Updated TSF 2'!E125</f>
        <v>8th Floor</v>
      </c>
      <c r="D125" s="763" t="str">
        <f>'Corrected and Updated TSF 2'!M125</f>
        <v>Inner</v>
      </c>
      <c r="E125" s="763" t="str">
        <f>'Corrected and Updated TSF 2'!G125</f>
        <v>8N</v>
      </c>
      <c r="F125" s="747" t="str">
        <f>'Corrected and Updated TSF 2'!I125</f>
        <v>Studio</v>
      </c>
      <c r="G125" s="879">
        <f>'Corrected and Updated TSF 2'!J125</f>
        <v>22</v>
      </c>
      <c r="H125" s="879">
        <f>'Corrected and Updated TSF 2'!CH125</f>
        <v>3586768.7566511203</v>
      </c>
      <c r="I125" s="879">
        <f>SUM('Corrected and Updated TSF 2'!CJ125:CK125)</f>
        <v>493180.70403952902</v>
      </c>
      <c r="J125" s="879">
        <f>'Corrected and Updated TSF 2'!CL125</f>
        <v>4079949.4606906492</v>
      </c>
      <c r="K125" s="880">
        <f>'Corrected and Updated TSF 2'!CM125</f>
        <v>0.125</v>
      </c>
      <c r="L125" s="879">
        <f>'Corrected and Updated TSF 2'!CN125</f>
        <v>509993.68258633115</v>
      </c>
      <c r="M125" s="879">
        <f>'Corrected and Updated TSF 2'!CO125</f>
        <v>30000</v>
      </c>
      <c r="N125" s="879">
        <f>'Corrected and Updated TSF 2'!CP125</f>
        <v>479993.68258633115</v>
      </c>
      <c r="O125" s="881">
        <f>'Corrected and Updated TSF 2'!CQ125</f>
        <v>13</v>
      </c>
      <c r="P125" s="879">
        <f>'Corrected and Updated TSF 2'!CR125</f>
        <v>36922.59096817932</v>
      </c>
      <c r="Q125" s="879">
        <f>'Corrected and Updated TSF 2'!CT125</f>
        <v>3569955.7781043183</v>
      </c>
      <c r="R125" s="879">
        <f>'Corrected and Updated TSF 2'!CU125</f>
        <v>27677.829149707293</v>
      </c>
      <c r="S125" s="879">
        <f>'Corrected and Updated TSF 2'!CV125</f>
        <v>32087.771790531348</v>
      </c>
      <c r="T125" s="882">
        <f>'Corrected and Updated TSF 2'!CW125</f>
        <v>41450.213627343212</v>
      </c>
      <c r="U125" s="882">
        <f>'Corrected and Updated TSF 2'!CX125</f>
        <v>70689.403142511612</v>
      </c>
      <c r="V125" s="1167">
        <f>'Corrected and Updated TSF 2'!CY125</f>
        <v>289998.85501085385</v>
      </c>
      <c r="W125" s="1167">
        <f>'Corrected and Updated TSF 2'!CZ125</f>
        <v>114751.13426226669</v>
      </c>
      <c r="X125" s="1233">
        <f>'Corrected and Updated TSF 2'!DA125</f>
        <v>82883.119034989897</v>
      </c>
      <c r="Y125" s="1233">
        <f>'Corrected and Updated TSF 2'!DB125</f>
        <v>63077.869327352804</v>
      </c>
      <c r="Z125" s="885">
        <f>H125-'Corrected and Updated TSF 2'!CH125</f>
        <v>0</v>
      </c>
      <c r="AA125" s="885">
        <f>I125-SUM('Corrected and Updated TSF 2'!CJ125:CK125)</f>
        <v>0</v>
      </c>
      <c r="AB125" s="885">
        <f>J125-'Corrected and Updated TSF 2'!CL125</f>
        <v>0</v>
      </c>
      <c r="AC125" s="886">
        <f>K125-'Corrected and Updated TSF 2'!CM125</f>
        <v>0</v>
      </c>
      <c r="AD125" s="885">
        <f>M125-'Corrected and Updated TSF 2'!CO125</f>
        <v>0</v>
      </c>
      <c r="AE125" s="887">
        <f>P125-'Corrected and Updated TSF 2'!CR125</f>
        <v>0</v>
      </c>
      <c r="AF125" s="885">
        <f>Q125-'Corrected and Updated TSF 2'!CT125</f>
        <v>0</v>
      </c>
      <c r="AG125" s="888"/>
      <c r="AH125" s="888"/>
      <c r="AI125" s="885">
        <f>S125-'INTERNAL PRICELIST'!AA125</f>
        <v>11360.186163960196</v>
      </c>
      <c r="AJ125" s="885">
        <f>T125-'INTERNAL PRICELIST'!AB125</f>
        <v>14674.815864487045</v>
      </c>
      <c r="AK125" s="885">
        <f>U125-'INTERNAL PRICELIST'!AC125</f>
        <v>25026.504905695947</v>
      </c>
    </row>
    <row r="126" spans="1:45" s="152" customFormat="1">
      <c r="A126" s="876" t="str">
        <f t="shared" si="1"/>
        <v>8O</v>
      </c>
      <c r="B126" s="877" t="str">
        <f>'Corrected and Updated TSF 2'!FI126</f>
        <v>UNSOLD</v>
      </c>
      <c r="C126" s="878" t="str">
        <f>'Corrected and Updated TSF 2'!E126</f>
        <v>8th Floor</v>
      </c>
      <c r="D126" s="763" t="str">
        <f>'Corrected and Updated TSF 2'!M126</f>
        <v>Inner</v>
      </c>
      <c r="E126" s="763" t="str">
        <f>'Corrected and Updated TSF 2'!G126</f>
        <v>8O</v>
      </c>
      <c r="F126" s="747" t="str">
        <f>'Corrected and Updated TSF 2'!I126</f>
        <v>Studio</v>
      </c>
      <c r="G126" s="879">
        <f>'Corrected and Updated TSF 2'!J126</f>
        <v>22</v>
      </c>
      <c r="H126" s="879">
        <f>'Corrected and Updated TSF 2'!CH126</f>
        <v>3649820.578694615</v>
      </c>
      <c r="I126" s="879">
        <f>SUM('Corrected and Updated TSF 2'!CJ126:CK126)</f>
        <v>501850.32957050961</v>
      </c>
      <c r="J126" s="879">
        <f>'Corrected and Updated TSF 2'!CL126</f>
        <v>4151670.9082651245</v>
      </c>
      <c r="K126" s="880">
        <f>'Corrected and Updated TSF 2'!CM126</f>
        <v>0.125</v>
      </c>
      <c r="L126" s="879">
        <f>'Corrected and Updated TSF 2'!CN126</f>
        <v>518958.86353314057</v>
      </c>
      <c r="M126" s="879">
        <f>'Corrected and Updated TSF 2'!CO126</f>
        <v>30000</v>
      </c>
      <c r="N126" s="879">
        <f>'Corrected and Updated TSF 2'!CP126</f>
        <v>488958.86353314057</v>
      </c>
      <c r="O126" s="881">
        <f>'Corrected and Updated TSF 2'!CQ126</f>
        <v>13</v>
      </c>
      <c r="P126" s="879">
        <f>'Corrected and Updated TSF 2'!CR126</f>
        <v>37612.220271780046</v>
      </c>
      <c r="Q126" s="879">
        <f>'Corrected and Updated TSF 2'!CT126</f>
        <v>3632712.0447319839</v>
      </c>
      <c r="R126" s="879">
        <f>'Corrected and Updated TSF 2'!CU126</f>
        <v>28164.37781690573</v>
      </c>
      <c r="S126" s="879">
        <f>'Corrected and Updated TSF 2'!CV126</f>
        <v>32651.842856712337</v>
      </c>
      <c r="T126" s="882">
        <f>'Corrected and Updated TSF 2'!CW126</f>
        <v>42178.867095300884</v>
      </c>
      <c r="U126" s="882">
        <f>'Corrected and Updated TSF 2'!CX126</f>
        <v>71932.052437657127</v>
      </c>
      <c r="V126" s="1167">
        <f>'Corrected and Updated TSF 2'!CY126</f>
        <v>295096.74602070916</v>
      </c>
      <c r="W126" s="1167">
        <f>'Corrected and Updated TSF 2'!CZ126</f>
        <v>116768.34490161357</v>
      </c>
      <c r="X126" s="1233">
        <f>'Corrected and Updated TSF 2'!DA126</f>
        <v>84340.12170964331</v>
      </c>
      <c r="Y126" s="1233">
        <f>'Corrected and Updated TSF 2'!DB126</f>
        <v>64186.715439702813</v>
      </c>
      <c r="Z126" s="885">
        <f>H126-'Corrected and Updated TSF 2'!CH126</f>
        <v>0</v>
      </c>
      <c r="AA126" s="885">
        <f>I126-SUM('Corrected and Updated TSF 2'!CJ126:CK126)</f>
        <v>0</v>
      </c>
      <c r="AB126" s="885">
        <f>J126-'Corrected and Updated TSF 2'!CL126</f>
        <v>0</v>
      </c>
      <c r="AC126" s="886">
        <f>K126-'Corrected and Updated TSF 2'!CM126</f>
        <v>0</v>
      </c>
      <c r="AD126" s="885">
        <f>M126-'Corrected and Updated TSF 2'!CO126</f>
        <v>0</v>
      </c>
      <c r="AE126" s="887">
        <f>P126-'Corrected and Updated TSF 2'!CR126</f>
        <v>0</v>
      </c>
      <c r="AF126" s="885">
        <f>Q126-'Corrected and Updated TSF 2'!CT126</f>
        <v>0</v>
      </c>
      <c r="AG126" s="888"/>
      <c r="AH126" s="888"/>
      <c r="AI126" s="885">
        <f>S126-'INTERNAL PRICELIST'!AA126</f>
        <v>11924.257230141186</v>
      </c>
      <c r="AJ126" s="885">
        <f>T126-'INTERNAL PRICELIST'!AB126</f>
        <v>15403.469332444718</v>
      </c>
      <c r="AK126" s="885">
        <f>U126-'INTERNAL PRICELIST'!AC126</f>
        <v>26269.154200841462</v>
      </c>
    </row>
    <row r="127" spans="1:45" s="883" customFormat="1" ht="12.75" customHeight="1">
      <c r="A127" s="876" t="str">
        <f t="shared" si="1"/>
        <v>8P</v>
      </c>
      <c r="B127" s="877" t="str">
        <f>'Corrected and Updated TSF 2'!FI127</f>
        <v>UNSOLD</v>
      </c>
      <c r="C127" s="878" t="str">
        <f>'Corrected and Updated TSF 2'!E127</f>
        <v>8th Floor</v>
      </c>
      <c r="D127" s="763" t="str">
        <f>'Corrected and Updated TSF 2'!M127</f>
        <v>Inner</v>
      </c>
      <c r="E127" s="763" t="str">
        <f>'Corrected and Updated TSF 2'!G127</f>
        <v>8P</v>
      </c>
      <c r="F127" s="747" t="str">
        <f>'Corrected and Updated TSF 2'!I127</f>
        <v>Studio</v>
      </c>
      <c r="G127" s="879">
        <f>'Corrected and Updated TSF 2'!J127</f>
        <v>22</v>
      </c>
      <c r="H127" s="879">
        <f>'Corrected and Updated TSF 2'!CH127</f>
        <v>3649820.578694615</v>
      </c>
      <c r="I127" s="879">
        <f>SUM('Corrected and Updated TSF 2'!CJ127:CK127)</f>
        <v>501850.32957050961</v>
      </c>
      <c r="J127" s="879">
        <f>'Corrected and Updated TSF 2'!CL127</f>
        <v>4151670.9082651245</v>
      </c>
      <c r="K127" s="880">
        <f>'Corrected and Updated TSF 2'!CM127</f>
        <v>0.125</v>
      </c>
      <c r="L127" s="879">
        <f>'Corrected and Updated TSF 2'!CN127</f>
        <v>518958.86353314057</v>
      </c>
      <c r="M127" s="879">
        <f>'Corrected and Updated TSF 2'!CO127</f>
        <v>30000</v>
      </c>
      <c r="N127" s="879">
        <f>'Corrected and Updated TSF 2'!CP127</f>
        <v>488958.86353314057</v>
      </c>
      <c r="O127" s="881">
        <f>'Corrected and Updated TSF 2'!CQ127</f>
        <v>13</v>
      </c>
      <c r="P127" s="879">
        <f>'Corrected and Updated TSF 2'!CR127</f>
        <v>37612.220271780046</v>
      </c>
      <c r="Q127" s="879">
        <f>'Corrected and Updated TSF 2'!CT127</f>
        <v>3632712.0447319839</v>
      </c>
      <c r="R127" s="879">
        <f>'Corrected and Updated TSF 2'!CU127</f>
        <v>28164.37781690573</v>
      </c>
      <c r="S127" s="879">
        <f>'Corrected and Updated TSF 2'!CV127</f>
        <v>32651.842856712337</v>
      </c>
      <c r="T127" s="882">
        <f>'Corrected and Updated TSF 2'!CW127</f>
        <v>42178.867095300884</v>
      </c>
      <c r="U127" s="882">
        <f>'Corrected and Updated TSF 2'!CX127</f>
        <v>71932.052437657127</v>
      </c>
      <c r="V127" s="1167">
        <f>'Corrected and Updated TSF 2'!CY127</f>
        <v>295096.74602070916</v>
      </c>
      <c r="W127" s="1167">
        <f>'Corrected and Updated TSF 2'!CZ127</f>
        <v>116768.34490161357</v>
      </c>
      <c r="X127" s="1233">
        <f>'Corrected and Updated TSF 2'!DA127</f>
        <v>84340.12170964331</v>
      </c>
      <c r="Y127" s="1233">
        <f>'Corrected and Updated TSF 2'!DB127</f>
        <v>64186.715439702813</v>
      </c>
      <c r="Z127" s="885">
        <f>H127-'Corrected and Updated TSF 2'!CH127</f>
        <v>0</v>
      </c>
      <c r="AA127" s="885">
        <f>I127-SUM('Corrected and Updated TSF 2'!CJ127:CK127)</f>
        <v>0</v>
      </c>
      <c r="AB127" s="885">
        <f>J127-'Corrected and Updated TSF 2'!CL127</f>
        <v>0</v>
      </c>
      <c r="AC127" s="886">
        <f>K127-'Corrected and Updated TSF 2'!CM127</f>
        <v>0</v>
      </c>
      <c r="AD127" s="885">
        <f>M127-'Corrected and Updated TSF 2'!CO127</f>
        <v>0</v>
      </c>
      <c r="AE127" s="887">
        <f>P127-'Corrected and Updated TSF 2'!CR127</f>
        <v>0</v>
      </c>
      <c r="AF127" s="885">
        <f>Q127-'Corrected and Updated TSF 2'!CT127</f>
        <v>0</v>
      </c>
      <c r="AG127" s="888"/>
      <c r="AH127" s="888"/>
      <c r="AI127" s="885">
        <f>S127-'INTERNAL PRICELIST'!AA127</f>
        <v>11924.257230141186</v>
      </c>
      <c r="AJ127" s="885">
        <f>T127-'INTERNAL PRICELIST'!AB127</f>
        <v>15403.469332444718</v>
      </c>
      <c r="AK127" s="885">
        <f>U127-'INTERNAL PRICELIST'!AC127</f>
        <v>26269.154200841462</v>
      </c>
    </row>
    <row r="128" spans="1:45" s="152" customFormat="1" ht="12.75" hidden="1" customHeight="1">
      <c r="A128" s="876" t="str">
        <f t="shared" si="1"/>
        <v>8Q</v>
      </c>
      <c r="B128" s="877" t="str">
        <f>'Corrected and Updated TSF 2'!FI128</f>
        <v>SOLD</v>
      </c>
      <c r="C128" s="878" t="str">
        <f>'Corrected and Updated TSF 2'!E128</f>
        <v>8th Floor</v>
      </c>
      <c r="D128" s="763" t="str">
        <f>'Corrected and Updated TSF 2'!M128</f>
        <v>Inner</v>
      </c>
      <c r="E128" s="763" t="str">
        <f>'Corrected and Updated TSF 2'!G128</f>
        <v>8Q</v>
      </c>
      <c r="F128" s="747" t="str">
        <f>'Corrected and Updated TSF 2'!I128</f>
        <v>Studio</v>
      </c>
      <c r="G128" s="879">
        <f>'Corrected and Updated TSF 2'!J128</f>
        <v>22</v>
      </c>
      <c r="H128" s="879">
        <f>'Corrected and Updated TSF 2'!CH128</f>
        <v>3586768.7566511203</v>
      </c>
      <c r="I128" s="879">
        <f>SUM('Corrected and Updated TSF 2'!CJ128:CK128)</f>
        <v>493180.70403952902</v>
      </c>
      <c r="J128" s="879">
        <f>'Corrected and Updated TSF 2'!CL128</f>
        <v>4079949.4606906492</v>
      </c>
      <c r="K128" s="880">
        <f>'Corrected and Updated TSF 2'!CM128</f>
        <v>0.125</v>
      </c>
      <c r="L128" s="879">
        <f>'Corrected and Updated TSF 2'!CN128</f>
        <v>509993.68258633115</v>
      </c>
      <c r="M128" s="879">
        <f>'Corrected and Updated TSF 2'!CO128</f>
        <v>30000</v>
      </c>
      <c r="N128" s="879">
        <f>'Corrected and Updated TSF 2'!CP128</f>
        <v>479993.68258633115</v>
      </c>
      <c r="O128" s="881">
        <f>'Corrected and Updated TSF 2'!CQ128</f>
        <v>13</v>
      </c>
      <c r="P128" s="879">
        <f>'Corrected and Updated TSF 2'!CR128</f>
        <v>36922.59096817932</v>
      </c>
      <c r="Q128" s="879">
        <f>'Corrected and Updated TSF 2'!CT128</f>
        <v>3569955.7781043183</v>
      </c>
      <c r="R128" s="879">
        <f>'Corrected and Updated TSF 2'!CU128</f>
        <v>27677.829149707293</v>
      </c>
      <c r="S128" s="879">
        <f>'Corrected and Updated TSF 2'!CV128</f>
        <v>32087.771790531348</v>
      </c>
      <c r="T128" s="882">
        <f>'Corrected and Updated TSF 2'!CW128</f>
        <v>41450.213627343212</v>
      </c>
      <c r="U128" s="882">
        <f>'Corrected and Updated TSF 2'!CX128</f>
        <v>70689.403142511612</v>
      </c>
      <c r="V128" s="1167">
        <f>'Corrected and Updated TSF 2'!CY128</f>
        <v>289998.85501085385</v>
      </c>
      <c r="W128" s="1167">
        <f>'Corrected and Updated TSF 2'!CZ128</f>
        <v>114751.13426226669</v>
      </c>
      <c r="X128" s="1233">
        <f>'Corrected and Updated TSF 2'!DA128</f>
        <v>82883.119034989897</v>
      </c>
      <c r="Y128" s="1233">
        <f>'Corrected and Updated TSF 2'!DB128</f>
        <v>63077.869327352804</v>
      </c>
      <c r="Z128" s="885">
        <f>H128-'Corrected and Updated TSF 2'!CH128</f>
        <v>0</v>
      </c>
      <c r="AA128" s="885">
        <f>I128-SUM('Corrected and Updated TSF 2'!CJ128:CK128)</f>
        <v>0</v>
      </c>
      <c r="AB128" s="885">
        <f>J128-'Corrected and Updated TSF 2'!CL128</f>
        <v>0</v>
      </c>
      <c r="AC128" s="886">
        <f>K128-'Corrected and Updated TSF 2'!CM128</f>
        <v>0</v>
      </c>
      <c r="AD128" s="885">
        <f>M128-'Corrected and Updated TSF 2'!CO128</f>
        <v>0</v>
      </c>
      <c r="AE128" s="887">
        <f>P128-'Corrected and Updated TSF 2'!CR128</f>
        <v>0</v>
      </c>
      <c r="AF128" s="885">
        <f>Q128-'Corrected and Updated TSF 2'!CT128</f>
        <v>0</v>
      </c>
      <c r="AG128" s="888"/>
      <c r="AH128" s="888"/>
      <c r="AI128" s="885">
        <f>S128-'INTERNAL PRICELIST'!AA128</f>
        <v>11360.186163960196</v>
      </c>
      <c r="AJ128" s="885">
        <f>T128-'INTERNAL PRICELIST'!AB128</f>
        <v>14674.815864487045</v>
      </c>
      <c r="AK128" s="885">
        <f>U128-'INTERNAL PRICELIST'!AC128</f>
        <v>25026.504905695947</v>
      </c>
    </row>
    <row r="129" spans="1:45" s="152" customFormat="1" ht="12.75" hidden="1" customHeight="1">
      <c r="A129" s="876" t="str">
        <f t="shared" si="1"/>
        <v>8R</v>
      </c>
      <c r="B129" s="877" t="str">
        <f>'Corrected and Updated TSF 2'!FI129</f>
        <v>SOLD</v>
      </c>
      <c r="C129" s="878" t="str">
        <f>'Corrected and Updated TSF 2'!E129</f>
        <v>8th Floor</v>
      </c>
      <c r="D129" s="763" t="str">
        <f>'Corrected and Updated TSF 2'!M129</f>
        <v>Corner</v>
      </c>
      <c r="E129" s="763" t="str">
        <f>'Corrected and Updated TSF 2'!G129</f>
        <v>8R</v>
      </c>
      <c r="F129" s="747" t="str">
        <f>'Corrected and Updated TSF 2'!I129</f>
        <v>Studio</v>
      </c>
      <c r="G129" s="879">
        <f>'Corrected and Updated TSF 2'!J129</f>
        <v>22</v>
      </c>
      <c r="H129" s="879">
        <f>'Corrected and Updated TSF 2'!CH129</f>
        <v>3682778.7785054892</v>
      </c>
      <c r="I129" s="879">
        <f>SUM('Corrected and Updated TSF 2'!CJ129:CK129)</f>
        <v>506382.08204450476</v>
      </c>
      <c r="J129" s="879">
        <f>'Corrected and Updated TSF 2'!CL129</f>
        <v>4189160.8605499938</v>
      </c>
      <c r="K129" s="880">
        <f>'Corrected and Updated TSF 2'!CM129</f>
        <v>0.125</v>
      </c>
      <c r="L129" s="879">
        <f>'Corrected and Updated TSF 2'!CN129</f>
        <v>523645.10756874923</v>
      </c>
      <c r="M129" s="879">
        <f>'Corrected and Updated TSF 2'!CO129</f>
        <v>30000</v>
      </c>
      <c r="N129" s="879">
        <f>'Corrected and Updated TSF 2'!CP129</f>
        <v>493645.10756874923</v>
      </c>
      <c r="O129" s="881">
        <f>'Corrected and Updated TSF 2'!CQ129</f>
        <v>13</v>
      </c>
      <c r="P129" s="879">
        <f>'Corrected and Updated TSF 2'!CR129</f>
        <v>37972.700582211481</v>
      </c>
      <c r="Q129" s="879">
        <f>'Corrected and Updated TSF 2'!CT129</f>
        <v>3665515.7529812446</v>
      </c>
      <c r="R129" s="879">
        <f>'Corrected and Updated TSF 2'!CU129</f>
        <v>28418.704617805768</v>
      </c>
      <c r="S129" s="879">
        <f>'Corrected and Updated TSF 2'!CV129</f>
        <v>32946.691860344639</v>
      </c>
      <c r="T129" s="882">
        <f>'Corrected and Updated TSF 2'!CW129</f>
        <v>42559.745963056193</v>
      </c>
      <c r="U129" s="882">
        <f>'Corrected and Updated TSF 2'!CX129</f>
        <v>72581.605177560443</v>
      </c>
      <c r="V129" s="1167">
        <f>'Corrected and Updated TSF 2'!CY129</f>
        <v>297761.49550885183</v>
      </c>
      <c r="W129" s="1167">
        <f>'Corrected and Updated TSF 2'!CZ129</f>
        <v>117822.77329333161</v>
      </c>
      <c r="X129" s="1233">
        <f>'Corrected and Updated TSF 2'!DA129</f>
        <v>85101.720402906751</v>
      </c>
      <c r="Y129" s="1233">
        <f>'Corrected and Updated TSF 2'!DB129</f>
        <v>64766.327107469246</v>
      </c>
      <c r="Z129" s="885">
        <f>H129-'Corrected and Updated TSF 2'!CH129</f>
        <v>0</v>
      </c>
      <c r="AA129" s="885">
        <f>I129-SUM('Corrected and Updated TSF 2'!CJ129:CK129)</f>
        <v>0</v>
      </c>
      <c r="AB129" s="885">
        <f>J129-'Corrected and Updated TSF 2'!CL129</f>
        <v>0</v>
      </c>
      <c r="AC129" s="886">
        <f>K129-'Corrected and Updated TSF 2'!CM129</f>
        <v>0</v>
      </c>
      <c r="AD129" s="885">
        <f>M129-'Corrected and Updated TSF 2'!CO129</f>
        <v>0</v>
      </c>
      <c r="AE129" s="887">
        <f>P129-'Corrected and Updated TSF 2'!CR129</f>
        <v>0</v>
      </c>
      <c r="AF129" s="885">
        <f>Q129-'Corrected and Updated TSF 2'!CT129</f>
        <v>0</v>
      </c>
      <c r="AG129" s="888"/>
      <c r="AH129" s="888"/>
      <c r="AI129" s="885">
        <f>S129-'INTERNAL PRICELIST'!AA129</f>
        <v>12219.106233773487</v>
      </c>
      <c r="AJ129" s="885">
        <f>T129-'INTERNAL PRICELIST'!AB129</f>
        <v>15784.348200200027</v>
      </c>
      <c r="AK129" s="885">
        <f>U129-'INTERNAL PRICELIST'!AC129</f>
        <v>26918.706940744778</v>
      </c>
    </row>
    <row r="130" spans="1:45" s="152" customFormat="1" ht="12.75" customHeight="1">
      <c r="A130" s="876" t="str">
        <f t="shared" si="1"/>
        <v>9A</v>
      </c>
      <c r="B130" s="877" t="str">
        <f>'Corrected and Updated TSF 2'!FI130</f>
        <v>UNSOLD</v>
      </c>
      <c r="C130" s="1002" t="str">
        <f>'Corrected and Updated TSF 2'!E130</f>
        <v>9th Floor</v>
      </c>
      <c r="D130" s="1003" t="str">
        <f>'Corrected and Updated TSF 2'!M130</f>
        <v>End</v>
      </c>
      <c r="E130" s="1003" t="str">
        <f>'Corrected and Updated TSF 2'!G130</f>
        <v>9A</v>
      </c>
      <c r="F130" s="1004" t="str">
        <f>'Corrected and Updated TSF 2'!I130</f>
        <v>Studio</v>
      </c>
      <c r="G130" s="1005">
        <f>'Corrected and Updated TSF 2'!J130</f>
        <v>22</v>
      </c>
      <c r="H130" s="1005">
        <f>'Corrected and Updated TSF 2'!CH130</f>
        <v>3596021.29643089</v>
      </c>
      <c r="I130" s="1005">
        <f>SUM('Corrected and Updated TSF 2'!CJ130:CK130)</f>
        <v>494452.92825924733</v>
      </c>
      <c r="J130" s="1005">
        <f>'Corrected and Updated TSF 2'!CL130</f>
        <v>4090474.224690137</v>
      </c>
      <c r="K130" s="1006">
        <f>'Corrected and Updated TSF 2'!CM130</f>
        <v>0.125</v>
      </c>
      <c r="L130" s="1005">
        <f>'Corrected and Updated TSF 2'!CN130</f>
        <v>511309.27808626712</v>
      </c>
      <c r="M130" s="1005">
        <f>'Corrected and Updated TSF 2'!CO130</f>
        <v>30000</v>
      </c>
      <c r="N130" s="1005">
        <f>'Corrected and Updated TSF 2'!CP130</f>
        <v>481309.27808626712</v>
      </c>
      <c r="O130" s="1007">
        <f>'Corrected and Updated TSF 2'!CQ130</f>
        <v>13</v>
      </c>
      <c r="P130" s="1005">
        <f>'Corrected and Updated TSF 2'!CR130</f>
        <v>37023.790622020548</v>
      </c>
      <c r="Q130" s="1005">
        <f>'Corrected and Updated TSF 2'!CT130</f>
        <v>3579164.94660387</v>
      </c>
      <c r="R130" s="1005">
        <f>'Corrected and Updated TSF 2'!CU130</f>
        <v>27749.227735063669</v>
      </c>
      <c r="S130" s="1005">
        <f>'Corrected and Updated TSF 2'!CV130</f>
        <v>32170.546400515759</v>
      </c>
      <c r="T130" s="882">
        <f>'Corrected and Updated TSF 2'!CW130</f>
        <v>41557.139882278316</v>
      </c>
      <c r="U130" s="882">
        <f>'Corrected and Updated TSF 2'!CX130</f>
        <v>70871.755716362779</v>
      </c>
      <c r="V130" s="1167">
        <f>'Corrected and Updated TSF 2'!CY130</f>
        <v>290746.94503954606</v>
      </c>
      <c r="W130" s="1167">
        <f>'Corrected and Updated TSF 2'!CZ130</f>
        <v>115047.14984246445</v>
      </c>
      <c r="X130" s="1233">
        <f>'Corrected and Updated TSF 2'!DA130</f>
        <v>83096.926896040473</v>
      </c>
      <c r="Y130" s="1233">
        <f>'Corrected and Updated TSF 2'!DB130</f>
        <v>63240.586952817837</v>
      </c>
      <c r="Z130" s="885">
        <f>H130-'Corrected and Updated TSF 2'!CH130</f>
        <v>0</v>
      </c>
      <c r="AA130" s="885">
        <f>I130-SUM('Corrected and Updated TSF 2'!CJ130:CK130)</f>
        <v>0</v>
      </c>
      <c r="AB130" s="885">
        <f>J130-'Corrected and Updated TSF 2'!CL130</f>
        <v>0</v>
      </c>
      <c r="AC130" s="886">
        <f>K130-'Corrected and Updated TSF 2'!CM130</f>
        <v>0</v>
      </c>
      <c r="AD130" s="885">
        <f>M130-'Corrected and Updated TSF 2'!CO130</f>
        <v>0</v>
      </c>
      <c r="AE130" s="887">
        <f>P130-'Corrected and Updated TSF 2'!CR130</f>
        <v>0</v>
      </c>
      <c r="AF130" s="885">
        <f>Q130-'Corrected and Updated TSF 2'!CT130</f>
        <v>0</v>
      </c>
      <c r="AG130" s="888"/>
      <c r="AH130" s="888"/>
      <c r="AI130" s="885">
        <f>S130-'INTERNAL PRICELIST'!AA130</f>
        <v>11442.960773944607</v>
      </c>
      <c r="AJ130" s="885">
        <f>T130-'INTERNAL PRICELIST'!AB130</f>
        <v>14781.74211942215</v>
      </c>
      <c r="AK130" s="885">
        <f>U130-'INTERNAL PRICELIST'!AC130</f>
        <v>25208.857479547114</v>
      </c>
      <c r="AL130" s="883"/>
      <c r="AM130" s="883"/>
      <c r="AN130" s="883"/>
      <c r="AO130" s="883"/>
      <c r="AP130" s="883"/>
      <c r="AQ130" s="883"/>
      <c r="AR130" s="883"/>
      <c r="AS130" s="883"/>
    </row>
    <row r="131" spans="1:45" s="152" customFormat="1" ht="12.75" customHeight="1">
      <c r="A131" s="876" t="str">
        <f t="shared" si="1"/>
        <v>9B</v>
      </c>
      <c r="B131" s="877" t="str">
        <f>'Corrected and Updated TSF 2'!FI131</f>
        <v>UNSOLD</v>
      </c>
      <c r="C131" s="1002" t="str">
        <f>'Corrected and Updated TSF 2'!E131</f>
        <v>9th Floor</v>
      </c>
      <c r="D131" s="1003" t="str">
        <f>'Corrected and Updated TSF 2'!M131</f>
        <v>Inner</v>
      </c>
      <c r="E131" s="1003" t="str">
        <f>'Corrected and Updated TSF 2'!G131</f>
        <v>9B</v>
      </c>
      <c r="F131" s="1004" t="str">
        <f>'Corrected and Updated TSF 2'!I131</f>
        <v>Studio</v>
      </c>
      <c r="G131" s="1005">
        <f>'Corrected and Updated TSF 2'!J131</f>
        <v>22</v>
      </c>
      <c r="H131" s="1005">
        <f>'Corrected and Updated TSF 2'!CH131</f>
        <v>3566065.2876891419</v>
      </c>
      <c r="I131" s="1005">
        <f>SUM('Corrected and Updated TSF 2'!CJ131:CK131)</f>
        <v>490333.97705725703</v>
      </c>
      <c r="J131" s="1005">
        <f>'Corrected and Updated TSF 2'!CL131</f>
        <v>4056399.2647463991</v>
      </c>
      <c r="K131" s="1006">
        <f>'Corrected and Updated TSF 2'!CM131</f>
        <v>0.125</v>
      </c>
      <c r="L131" s="1005">
        <f>'Corrected and Updated TSF 2'!CN131</f>
        <v>507049.90809329989</v>
      </c>
      <c r="M131" s="1005">
        <f>'Corrected and Updated TSF 2'!CO131</f>
        <v>30000</v>
      </c>
      <c r="N131" s="1005">
        <f>'Corrected and Updated TSF 2'!CP131</f>
        <v>477049.90809329989</v>
      </c>
      <c r="O131" s="1007">
        <f>'Corrected and Updated TSF 2'!CQ131</f>
        <v>13</v>
      </c>
      <c r="P131" s="1005">
        <f>'Corrected and Updated TSF 2'!CR131</f>
        <v>36696.146776407681</v>
      </c>
      <c r="Q131" s="1005">
        <f>'Corrected and Updated TSF 2'!CT131</f>
        <v>3549349.3566530994</v>
      </c>
      <c r="R131" s="1005">
        <f>'Corrected and Updated TSF 2'!CU131</f>
        <v>27518.067783526851</v>
      </c>
      <c r="S131" s="1005">
        <f>'Corrected and Updated TSF 2'!CV131</f>
        <v>31902.555448916795</v>
      </c>
      <c r="T131" s="882">
        <f>'Corrected and Updated TSF 2'!CW131</f>
        <v>41210.955601659312</v>
      </c>
      <c r="U131" s="882">
        <f>'Corrected and Updated TSF 2'!CX131</f>
        <v>70281.371300149913</v>
      </c>
      <c r="V131" s="1167">
        <f>'Corrected and Updated TSF 2'!CY131</f>
        <v>288324.92989856633</v>
      </c>
      <c r="W131" s="1167">
        <f>'Corrected and Updated TSF 2'!CZ131</f>
        <v>114088.77024949191</v>
      </c>
      <c r="X131" s="1233">
        <f>'Corrected and Updated TSF 2'!DA131</f>
        <v>82404.702889753084</v>
      </c>
      <c r="Y131" s="1233">
        <f>'Corrected and Updated TSF 2'!DB131</f>
        <v>62713.772615685812</v>
      </c>
      <c r="Z131" s="885">
        <f>H131-'Corrected and Updated TSF 2'!CH131</f>
        <v>0</v>
      </c>
      <c r="AA131" s="885">
        <f>I131-SUM('Corrected and Updated TSF 2'!CJ131:CK131)</f>
        <v>0</v>
      </c>
      <c r="AB131" s="885">
        <f>J131-'Corrected and Updated TSF 2'!CL131</f>
        <v>0</v>
      </c>
      <c r="AC131" s="886">
        <f>K131-'Corrected and Updated TSF 2'!CM131</f>
        <v>0</v>
      </c>
      <c r="AD131" s="885">
        <f>M131-'Corrected and Updated TSF 2'!CO131</f>
        <v>0</v>
      </c>
      <c r="AE131" s="887">
        <f>P131-'Corrected and Updated TSF 2'!CR131</f>
        <v>0</v>
      </c>
      <c r="AF131" s="885">
        <f>Q131-'Corrected and Updated TSF 2'!CT131</f>
        <v>0</v>
      </c>
      <c r="AG131" s="888"/>
      <c r="AH131" s="888"/>
      <c r="AI131" s="885">
        <f>S131-'INTERNAL PRICELIST'!AA131</f>
        <v>11157.573450593929</v>
      </c>
      <c r="AJ131" s="885">
        <f>T131-'INTERNAL PRICELIST'!AB131</f>
        <v>14413.085623192783</v>
      </c>
      <c r="AK131" s="885">
        <f>U131-'INTERNAL PRICELIST'!AC131</f>
        <v>24580.148833619336</v>
      </c>
      <c r="AL131" s="883"/>
      <c r="AM131" s="883"/>
      <c r="AN131" s="883"/>
      <c r="AO131" s="883"/>
      <c r="AP131" s="883"/>
      <c r="AQ131" s="883"/>
      <c r="AR131" s="883"/>
      <c r="AS131" s="883"/>
    </row>
    <row r="132" spans="1:45" s="152" customFormat="1" ht="12.75" hidden="1" customHeight="1">
      <c r="A132" s="876" t="str">
        <f t="shared" si="1"/>
        <v>9C</v>
      </c>
      <c r="B132" s="877" t="str">
        <f>'Corrected and Updated TSF 2'!FI132</f>
        <v>SOLD</v>
      </c>
      <c r="C132" s="878" t="str">
        <f>'Corrected and Updated TSF 2'!E132</f>
        <v>9th Floor</v>
      </c>
      <c r="D132" s="763" t="str">
        <f>'Corrected and Updated TSF 2'!M132</f>
        <v>End</v>
      </c>
      <c r="E132" s="763" t="str">
        <f>'Corrected and Updated TSF 2'!G132</f>
        <v>9C</v>
      </c>
      <c r="F132" s="747" t="str">
        <f>'Corrected and Updated TSF 2'!I132</f>
        <v>Studio</v>
      </c>
      <c r="G132" s="879">
        <f>'Corrected and Updated TSF 2'!J132</f>
        <v>22</v>
      </c>
      <c r="H132" s="879">
        <f>'Corrected and Updated TSF 2'!CH132</f>
        <v>3554089.4743873952</v>
      </c>
      <c r="I132" s="879">
        <f>SUM('Corrected and Updated TSF 2'!CJ132:CK132)</f>
        <v>488687.3027282668</v>
      </c>
      <c r="J132" s="879">
        <f>'Corrected and Updated TSF 2'!CL132</f>
        <v>4042776.7771156621</v>
      </c>
      <c r="K132" s="880">
        <f>'Corrected and Updated TSF 2'!CM132</f>
        <v>0.125</v>
      </c>
      <c r="L132" s="879">
        <f>'Corrected and Updated TSF 2'!CN132</f>
        <v>505347.09713945776</v>
      </c>
      <c r="M132" s="879">
        <f>'Corrected and Updated TSF 2'!CO132</f>
        <v>30000</v>
      </c>
      <c r="N132" s="879">
        <f>'Corrected and Updated TSF 2'!CP132</f>
        <v>475347.09713945776</v>
      </c>
      <c r="O132" s="881">
        <f>'Corrected and Updated TSF 2'!CQ132</f>
        <v>13</v>
      </c>
      <c r="P132" s="879">
        <f>'Corrected and Updated TSF 2'!CR132</f>
        <v>36565.161318419829</v>
      </c>
      <c r="Q132" s="879">
        <f>'Corrected and Updated TSF 2'!CT132</f>
        <v>3537429.6799762044</v>
      </c>
      <c r="R132" s="879">
        <f>'Corrected and Updated TSF 2'!CU132</f>
        <v>27425.654657121675</v>
      </c>
      <c r="S132" s="879">
        <f>'Corrected and Updated TSF 2'!CV132</f>
        <v>31795.418025150662</v>
      </c>
      <c r="T132" s="882">
        <f>'Corrected and Updated TSF 2'!CW132</f>
        <v>41072.558048486106</v>
      </c>
      <c r="U132" s="882">
        <f>'Corrected and Updated TSF 2'!CX132</f>
        <v>70045.347415733937</v>
      </c>
      <c r="V132" s="1167">
        <f>'Corrected and Updated TSF 2'!CY132</f>
        <v>287356.65667523956</v>
      </c>
      <c r="W132" s="1167">
        <f>'Corrected and Updated TSF 2'!CZ132</f>
        <v>113705.62925175118</v>
      </c>
      <c r="X132" s="1233">
        <f>'Corrected and Updated TSF 2'!DA132</f>
        <v>82127.965573585461</v>
      </c>
      <c r="Y132" s="1233">
        <f>'Corrected and Updated TSF 2'!DB132</f>
        <v>62503.162777754231</v>
      </c>
      <c r="Z132" s="885">
        <f>H132-'Corrected and Updated TSF 2'!CH132</f>
        <v>0</v>
      </c>
      <c r="AA132" s="885">
        <f>I132-SUM('Corrected and Updated TSF 2'!CJ132:CK132)</f>
        <v>0</v>
      </c>
      <c r="AB132" s="885">
        <f>J132-'Corrected and Updated TSF 2'!CL132</f>
        <v>0</v>
      </c>
      <c r="AC132" s="886">
        <f>K132-'Corrected and Updated TSF 2'!CM132</f>
        <v>0</v>
      </c>
      <c r="AD132" s="885">
        <f>M132-'Corrected and Updated TSF 2'!CO132</f>
        <v>0</v>
      </c>
      <c r="AE132" s="887">
        <f>P132-'Corrected and Updated TSF 2'!CR132</f>
        <v>0</v>
      </c>
      <c r="AF132" s="885">
        <f>Q132-'Corrected and Updated TSF 2'!CT132</f>
        <v>0</v>
      </c>
      <c r="AG132" s="888"/>
      <c r="AH132" s="888"/>
      <c r="AI132" s="885">
        <f>S132-'INTERNAL PRICELIST'!AA132</f>
        <v>11067.83239857951</v>
      </c>
      <c r="AJ132" s="885">
        <f>T132-'INTERNAL PRICELIST'!AB132</f>
        <v>14297.16028562994</v>
      </c>
      <c r="AK132" s="885">
        <f>U132-'INTERNAL PRICELIST'!AC132</f>
        <v>24382.449178918272</v>
      </c>
    </row>
    <row r="133" spans="1:45" s="152" customFormat="1" ht="12.75" hidden="1" customHeight="1">
      <c r="A133" s="876" t="str">
        <f t="shared" si="1"/>
        <v>9D</v>
      </c>
      <c r="B133" s="877" t="str">
        <f>'Corrected and Updated TSF 2'!FI133</f>
        <v>SOLD</v>
      </c>
      <c r="C133" s="878" t="str">
        <f>'Corrected and Updated TSF 2'!E133</f>
        <v>9th Floor</v>
      </c>
      <c r="D133" s="763" t="str">
        <f>'Corrected and Updated TSF 2'!M133</f>
        <v>End</v>
      </c>
      <c r="E133" s="763" t="str">
        <f>'Corrected and Updated TSF 2'!G133</f>
        <v>9D</v>
      </c>
      <c r="F133" s="747" t="str">
        <f>'Corrected and Updated TSF 2'!I133</f>
        <v>Studio</v>
      </c>
      <c r="G133" s="879">
        <f>'Corrected and Updated TSF 2'!J133</f>
        <v>22</v>
      </c>
      <c r="H133" s="879">
        <f>'Corrected and Updated TSF 2'!CH133</f>
        <v>3554089.4743873952</v>
      </c>
      <c r="I133" s="879">
        <f>SUM('Corrected and Updated TSF 2'!CJ133:CK133)</f>
        <v>488687.3027282668</v>
      </c>
      <c r="J133" s="879">
        <f>'Corrected and Updated TSF 2'!CL133</f>
        <v>4042776.7771156621</v>
      </c>
      <c r="K133" s="880">
        <f>'Corrected and Updated TSF 2'!CM133</f>
        <v>0.125</v>
      </c>
      <c r="L133" s="879">
        <f>'Corrected and Updated TSF 2'!CN133</f>
        <v>505347.09713945776</v>
      </c>
      <c r="M133" s="879">
        <f>'Corrected and Updated TSF 2'!CO133</f>
        <v>30000</v>
      </c>
      <c r="N133" s="879">
        <f>'Corrected and Updated TSF 2'!CP133</f>
        <v>475347.09713945776</v>
      </c>
      <c r="O133" s="881">
        <f>'Corrected and Updated TSF 2'!CQ133</f>
        <v>13</v>
      </c>
      <c r="P133" s="879">
        <f>'Corrected and Updated TSF 2'!CR133</f>
        <v>36565.161318419829</v>
      </c>
      <c r="Q133" s="879">
        <f>'Corrected and Updated TSF 2'!CT133</f>
        <v>3537429.6799762044</v>
      </c>
      <c r="R133" s="879">
        <f>'Corrected and Updated TSF 2'!CU133</f>
        <v>27425.654657121675</v>
      </c>
      <c r="S133" s="879">
        <f>'Corrected and Updated TSF 2'!CV133</f>
        <v>31795.418025150662</v>
      </c>
      <c r="T133" s="882">
        <f>'Corrected and Updated TSF 2'!CW133</f>
        <v>41072.558048486106</v>
      </c>
      <c r="U133" s="882">
        <f>'Corrected and Updated TSF 2'!CX133</f>
        <v>70045.347415733937</v>
      </c>
      <c r="V133" s="1167">
        <f>'Corrected and Updated TSF 2'!CY133</f>
        <v>287356.65667523956</v>
      </c>
      <c r="W133" s="1167">
        <f>'Corrected and Updated TSF 2'!CZ133</f>
        <v>113705.62925175118</v>
      </c>
      <c r="X133" s="1233">
        <f>'Corrected and Updated TSF 2'!DA133</f>
        <v>82127.965573585461</v>
      </c>
      <c r="Y133" s="1233">
        <f>'Corrected and Updated TSF 2'!DB133</f>
        <v>62503.162777754231</v>
      </c>
      <c r="Z133" s="885">
        <f>H133-'Corrected and Updated TSF 2'!CH133</f>
        <v>0</v>
      </c>
      <c r="AA133" s="885">
        <f>I133-SUM('Corrected and Updated TSF 2'!CJ133:CK133)</f>
        <v>0</v>
      </c>
      <c r="AB133" s="885">
        <f>J133-'Corrected and Updated TSF 2'!CL133</f>
        <v>0</v>
      </c>
      <c r="AC133" s="886">
        <f>K133-'Corrected and Updated TSF 2'!CM133</f>
        <v>0</v>
      </c>
      <c r="AD133" s="885">
        <f>M133-'Corrected and Updated TSF 2'!CO133</f>
        <v>0</v>
      </c>
      <c r="AE133" s="887">
        <f>P133-'Corrected and Updated TSF 2'!CR133</f>
        <v>0</v>
      </c>
      <c r="AF133" s="885">
        <f>Q133-'Corrected and Updated TSF 2'!CT133</f>
        <v>0</v>
      </c>
      <c r="AG133" s="888"/>
      <c r="AH133" s="888"/>
      <c r="AI133" s="885">
        <f>S133-'INTERNAL PRICELIST'!AA133</f>
        <v>11067.83239857951</v>
      </c>
      <c r="AJ133" s="885">
        <f>T133-'INTERNAL PRICELIST'!AB133</f>
        <v>14297.16028562994</v>
      </c>
      <c r="AK133" s="885">
        <f>U133-'INTERNAL PRICELIST'!AC133</f>
        <v>24382.449178918272</v>
      </c>
    </row>
    <row r="134" spans="1:45" s="152" customFormat="1" ht="12.75" hidden="1" customHeight="1">
      <c r="A134" s="876" t="str">
        <f t="shared" si="1"/>
        <v>9E</v>
      </c>
      <c r="B134" s="877" t="str">
        <f>'Corrected and Updated TSF 2'!FI134</f>
        <v>SOLD</v>
      </c>
      <c r="C134" s="1002" t="str">
        <f>'Corrected and Updated TSF 2'!E134</f>
        <v>9th Floor</v>
      </c>
      <c r="D134" s="1003" t="str">
        <f>'Corrected and Updated TSF 2'!M134</f>
        <v>End</v>
      </c>
      <c r="E134" s="1003" t="str">
        <f>'Corrected and Updated TSF 2'!G134</f>
        <v>9E</v>
      </c>
      <c r="F134" s="1004" t="str">
        <f>'Corrected and Updated TSF 2'!I134</f>
        <v>Studio</v>
      </c>
      <c r="G134" s="1005">
        <f>'Corrected and Updated TSF 2'!J134</f>
        <v>22</v>
      </c>
      <c r="H134" s="1005">
        <f>'Corrected and Updated TSF 2'!CH134</f>
        <v>3554089.4743873952</v>
      </c>
      <c r="I134" s="1005">
        <f>SUM('Corrected and Updated TSF 2'!CJ134:CK134)</f>
        <v>488687.3027282668</v>
      </c>
      <c r="J134" s="1005">
        <f>'Corrected and Updated TSF 2'!CL134</f>
        <v>4042776.7771156621</v>
      </c>
      <c r="K134" s="1006">
        <f>'Corrected and Updated TSF 2'!CM134</f>
        <v>0.125</v>
      </c>
      <c r="L134" s="1005">
        <f>'Corrected and Updated TSF 2'!CN134</f>
        <v>505347.09713945776</v>
      </c>
      <c r="M134" s="1005">
        <f>'Corrected and Updated TSF 2'!CO134</f>
        <v>30000</v>
      </c>
      <c r="N134" s="1005">
        <f>'Corrected and Updated TSF 2'!CP134</f>
        <v>475347.09713945776</v>
      </c>
      <c r="O134" s="1007">
        <f>'Corrected and Updated TSF 2'!CQ134</f>
        <v>13</v>
      </c>
      <c r="P134" s="1005">
        <f>'Corrected and Updated TSF 2'!CR134</f>
        <v>36565.161318419829</v>
      </c>
      <c r="Q134" s="1005">
        <f>'Corrected and Updated TSF 2'!CT134</f>
        <v>3537429.6799762044</v>
      </c>
      <c r="R134" s="1005">
        <f>'Corrected and Updated TSF 2'!CU134</f>
        <v>27425.654657121675</v>
      </c>
      <c r="S134" s="1005">
        <f>'Corrected and Updated TSF 2'!CV134</f>
        <v>31795.418025150662</v>
      </c>
      <c r="T134" s="882">
        <f>'Corrected and Updated TSF 2'!CW134</f>
        <v>41072.558048486106</v>
      </c>
      <c r="U134" s="882">
        <f>'Corrected and Updated TSF 2'!CX134</f>
        <v>70045.347415733937</v>
      </c>
      <c r="V134" s="1167">
        <f>'Corrected and Updated TSF 2'!CY134</f>
        <v>287356.65667523956</v>
      </c>
      <c r="W134" s="1167">
        <f>'Corrected and Updated TSF 2'!CZ134</f>
        <v>113705.62925175118</v>
      </c>
      <c r="X134" s="1233">
        <f>'Corrected and Updated TSF 2'!DA134</f>
        <v>82127.965573585461</v>
      </c>
      <c r="Y134" s="1233">
        <f>'Corrected and Updated TSF 2'!DB134</f>
        <v>62503.162777754231</v>
      </c>
      <c r="Z134" s="885">
        <f>H134-'Corrected and Updated TSF 2'!CH134</f>
        <v>0</v>
      </c>
      <c r="AA134" s="885">
        <f>I134-SUM('Corrected and Updated TSF 2'!CJ134:CK134)</f>
        <v>0</v>
      </c>
      <c r="AB134" s="885">
        <f>J134-'Corrected and Updated TSF 2'!CL134</f>
        <v>0</v>
      </c>
      <c r="AC134" s="886">
        <f>K134-'Corrected and Updated TSF 2'!CM134</f>
        <v>0</v>
      </c>
      <c r="AD134" s="885">
        <f>M134-'Corrected and Updated TSF 2'!CO134</f>
        <v>0</v>
      </c>
      <c r="AE134" s="887">
        <f>P134-'Corrected and Updated TSF 2'!CR134</f>
        <v>0</v>
      </c>
      <c r="AF134" s="885">
        <f>Q134-'Corrected and Updated TSF 2'!CT134</f>
        <v>0</v>
      </c>
      <c r="AG134" s="888"/>
      <c r="AH134" s="888"/>
      <c r="AI134" s="885">
        <f>S134-'INTERNAL PRICELIST'!AA134</f>
        <v>11067.83239857951</v>
      </c>
      <c r="AJ134" s="885">
        <f>T134-'INTERNAL PRICELIST'!AB134</f>
        <v>14297.16028562994</v>
      </c>
      <c r="AK134" s="885">
        <f>U134-'INTERNAL PRICELIST'!AC134</f>
        <v>24382.449178918272</v>
      </c>
      <c r="AL134" s="883"/>
      <c r="AM134" s="883"/>
      <c r="AN134" s="883"/>
      <c r="AO134" s="883"/>
      <c r="AP134" s="883"/>
      <c r="AQ134" s="883"/>
      <c r="AR134" s="883"/>
      <c r="AS134" s="883"/>
    </row>
    <row r="135" spans="1:45" s="152" customFormat="1" ht="12.75" hidden="1" customHeight="1">
      <c r="A135" s="876" t="str">
        <f t="shared" si="1"/>
        <v>9F</v>
      </c>
      <c r="B135" s="877" t="str">
        <f>'Corrected and Updated TSF 2'!FI135</f>
        <v>SOLD</v>
      </c>
      <c r="C135" s="878" t="str">
        <f>'Corrected and Updated TSF 2'!E135</f>
        <v>9th Floor</v>
      </c>
      <c r="D135" s="763" t="str">
        <f>'Corrected and Updated TSF 2'!M135</f>
        <v>End</v>
      </c>
      <c r="E135" s="763" t="str">
        <f>'Corrected and Updated TSF 2'!G135</f>
        <v>9F</v>
      </c>
      <c r="F135" s="747" t="str">
        <f>'Corrected and Updated TSF 2'!I135</f>
        <v>Studio</v>
      </c>
      <c r="G135" s="879">
        <f>'Corrected and Updated TSF 2'!J135</f>
        <v>22</v>
      </c>
      <c r="H135" s="879">
        <f>'Corrected and Updated TSF 2'!CH135</f>
        <v>3554089.4743873952</v>
      </c>
      <c r="I135" s="879">
        <f>SUM('Corrected and Updated TSF 2'!CJ135:CK135)</f>
        <v>488687.3027282668</v>
      </c>
      <c r="J135" s="879">
        <f>'Corrected and Updated TSF 2'!CL135</f>
        <v>4042776.7771156621</v>
      </c>
      <c r="K135" s="880">
        <f>'Corrected and Updated TSF 2'!CM135</f>
        <v>0.125</v>
      </c>
      <c r="L135" s="879">
        <f>'Corrected and Updated TSF 2'!CN135</f>
        <v>505347.09713945776</v>
      </c>
      <c r="M135" s="879">
        <f>'Corrected and Updated TSF 2'!CO135</f>
        <v>30000</v>
      </c>
      <c r="N135" s="879">
        <f>'Corrected and Updated TSF 2'!CP135</f>
        <v>475347.09713945776</v>
      </c>
      <c r="O135" s="881">
        <f>'Corrected and Updated TSF 2'!CQ135</f>
        <v>13</v>
      </c>
      <c r="P135" s="879">
        <f>'Corrected and Updated TSF 2'!CR135</f>
        <v>36565.161318419829</v>
      </c>
      <c r="Q135" s="879">
        <f>'Corrected and Updated TSF 2'!CT135</f>
        <v>3537429.6799762044</v>
      </c>
      <c r="R135" s="879">
        <f>'Corrected and Updated TSF 2'!CU135</f>
        <v>27425.654657121675</v>
      </c>
      <c r="S135" s="879">
        <f>'Corrected and Updated TSF 2'!CV135</f>
        <v>31795.418025150662</v>
      </c>
      <c r="T135" s="882">
        <f>'Corrected and Updated TSF 2'!CW135</f>
        <v>41072.558048486106</v>
      </c>
      <c r="U135" s="882">
        <f>'Corrected and Updated TSF 2'!CX135</f>
        <v>70045.347415733937</v>
      </c>
      <c r="V135" s="1167">
        <f>'Corrected and Updated TSF 2'!CY135</f>
        <v>287356.65667523956</v>
      </c>
      <c r="W135" s="1167">
        <f>'Corrected and Updated TSF 2'!CZ135</f>
        <v>113705.62925175118</v>
      </c>
      <c r="X135" s="1233">
        <f>'Corrected and Updated TSF 2'!DA135</f>
        <v>82127.965573585461</v>
      </c>
      <c r="Y135" s="1233">
        <f>'Corrected and Updated TSF 2'!DB135</f>
        <v>62503.162777754231</v>
      </c>
      <c r="Z135" s="885">
        <f>H135-'Corrected and Updated TSF 2'!CH135</f>
        <v>0</v>
      </c>
      <c r="AA135" s="885">
        <f>I135-SUM('Corrected and Updated TSF 2'!CJ135:CK135)</f>
        <v>0</v>
      </c>
      <c r="AB135" s="885">
        <f>J135-'Corrected and Updated TSF 2'!CL135</f>
        <v>0</v>
      </c>
      <c r="AC135" s="886">
        <f>K135-'Corrected and Updated TSF 2'!CM135</f>
        <v>0</v>
      </c>
      <c r="AD135" s="885">
        <f>M135-'Corrected and Updated TSF 2'!CO135</f>
        <v>0</v>
      </c>
      <c r="AE135" s="887">
        <f>P135-'Corrected and Updated TSF 2'!CR135</f>
        <v>0</v>
      </c>
      <c r="AF135" s="885">
        <f>Q135-'Corrected and Updated TSF 2'!CT135</f>
        <v>0</v>
      </c>
      <c r="AG135" s="888"/>
      <c r="AH135" s="888"/>
      <c r="AI135" s="885">
        <f>S135-'INTERNAL PRICELIST'!AA135</f>
        <v>11067.83239857951</v>
      </c>
      <c r="AJ135" s="885">
        <f>T135-'INTERNAL PRICELIST'!AB135</f>
        <v>14297.16028562994</v>
      </c>
      <c r="AK135" s="885">
        <f>U135-'INTERNAL PRICELIST'!AC135</f>
        <v>24382.449178918272</v>
      </c>
    </row>
    <row r="136" spans="1:45" s="152" customFormat="1" ht="12.75" hidden="1" customHeight="1">
      <c r="A136" s="876" t="str">
        <f t="shared" ref="A136:A199" si="2">E136</f>
        <v>9G</v>
      </c>
      <c r="B136" s="877" t="str">
        <f>'Corrected and Updated TSF 2'!FI136</f>
        <v>SOLD</v>
      </c>
      <c r="C136" s="1002" t="str">
        <f>'Corrected and Updated TSF 2'!E136</f>
        <v>9th Floor</v>
      </c>
      <c r="D136" s="1003" t="str">
        <f>'Corrected and Updated TSF 2'!M136</f>
        <v>Corner</v>
      </c>
      <c r="E136" s="1003" t="str">
        <f>'Corrected and Updated TSF 2'!G136</f>
        <v>9G</v>
      </c>
      <c r="F136" s="1004" t="str">
        <f>'Corrected and Updated TSF 2'!I136</f>
        <v>Studio</v>
      </c>
      <c r="G136" s="1005">
        <f>'Corrected and Updated TSF 2'!J136</f>
        <v>22</v>
      </c>
      <c r="H136" s="1005">
        <f>'Corrected and Updated TSF 2'!CH136</f>
        <v>3599023.487500017</v>
      </c>
      <c r="I136" s="1005">
        <f>SUM('Corrected and Updated TSF 2'!CJ136:CK136)</f>
        <v>494865.72953125229</v>
      </c>
      <c r="J136" s="1005">
        <f>'Corrected and Updated TSF 2'!CL136</f>
        <v>4093889.2170312693</v>
      </c>
      <c r="K136" s="1006">
        <f>'Corrected and Updated TSF 2'!CM136</f>
        <v>0.125</v>
      </c>
      <c r="L136" s="1005">
        <f>'Corrected and Updated TSF 2'!CN136</f>
        <v>511736.15212890867</v>
      </c>
      <c r="M136" s="1005">
        <f>'Corrected and Updated TSF 2'!CO136</f>
        <v>30000</v>
      </c>
      <c r="N136" s="1005">
        <f>'Corrected and Updated TSF 2'!CP136</f>
        <v>481736.15212890867</v>
      </c>
      <c r="O136" s="1007">
        <f>'Corrected and Updated TSF 2'!CQ136</f>
        <v>13</v>
      </c>
      <c r="P136" s="1005">
        <f>'Corrected and Updated TSF 2'!CR136</f>
        <v>37056.627086839129</v>
      </c>
      <c r="Q136" s="1005">
        <f>'Corrected and Updated TSF 2'!CT136</f>
        <v>3582153.0649023606</v>
      </c>
      <c r="R136" s="1005">
        <f>'Corrected and Updated TSF 2'!CU136</f>
        <v>27772.394584426893</v>
      </c>
      <c r="S136" s="1005">
        <f>'Corrected and Updated TSF 2'!CV136</f>
        <v>32197.404452549104</v>
      </c>
      <c r="T136" s="882">
        <f>'Corrected and Updated TSF 2'!CW136</f>
        <v>41591.834469414622</v>
      </c>
      <c r="U136" s="882">
        <f>'Corrected and Updated TSF 2'!CX136</f>
        <v>70930.924040053244</v>
      </c>
      <c r="V136" s="1167">
        <f>'Corrected and Updated TSF 2'!CY136</f>
        <v>290989.67938670918</v>
      </c>
      <c r="W136" s="1167">
        <f>'Corrected and Updated TSF 2'!CZ136</f>
        <v>115143.19864121001</v>
      </c>
      <c r="X136" s="1233">
        <f>'Corrected and Updated TSF 2'!DA136</f>
        <v>83166.301583016568</v>
      </c>
      <c r="Y136" s="1233">
        <f>'Corrected and Updated TSF 2'!DB136</f>
        <v>63293.384283452273</v>
      </c>
      <c r="Z136" s="885">
        <f>H136-'Corrected and Updated TSF 2'!CH136</f>
        <v>0</v>
      </c>
      <c r="AA136" s="885">
        <f>I136-SUM('Corrected and Updated TSF 2'!CJ136:CK136)</f>
        <v>0</v>
      </c>
      <c r="AB136" s="885">
        <f>J136-'Corrected and Updated TSF 2'!CL136</f>
        <v>0</v>
      </c>
      <c r="AC136" s="886">
        <f>K136-'Corrected and Updated TSF 2'!CM136</f>
        <v>0</v>
      </c>
      <c r="AD136" s="885">
        <f>M136-'Corrected and Updated TSF 2'!CO136</f>
        <v>0</v>
      </c>
      <c r="AE136" s="887">
        <f>P136-'Corrected and Updated TSF 2'!CR136</f>
        <v>0</v>
      </c>
      <c r="AF136" s="885">
        <f>Q136-'Corrected and Updated TSF 2'!CT136</f>
        <v>0</v>
      </c>
      <c r="AG136" s="888"/>
      <c r="AH136" s="888"/>
      <c r="AI136" s="885">
        <f>S136-'INTERNAL PRICELIST'!AA136</f>
        <v>11469.818825977953</v>
      </c>
      <c r="AJ136" s="885">
        <f>T136-'INTERNAL PRICELIST'!AB136</f>
        <v>14816.436706558456</v>
      </c>
      <c r="AK136" s="885">
        <f>U136-'INTERNAL PRICELIST'!AC136</f>
        <v>25268.025803237579</v>
      </c>
      <c r="AL136" s="883"/>
      <c r="AM136" s="883"/>
      <c r="AN136" s="883"/>
      <c r="AO136" s="883"/>
      <c r="AP136" s="883"/>
      <c r="AQ136" s="883"/>
      <c r="AR136" s="883"/>
      <c r="AS136" s="883"/>
    </row>
    <row r="137" spans="1:45" s="883" customFormat="1" ht="12.75" hidden="1" customHeight="1">
      <c r="A137" s="876" t="str">
        <f t="shared" si="2"/>
        <v>9H</v>
      </c>
      <c r="B137" s="877" t="str">
        <f>'Corrected and Updated TSF 2'!FI137</f>
        <v>SOLD</v>
      </c>
      <c r="C137" s="878" t="str">
        <f>'Corrected and Updated TSF 2'!E137</f>
        <v>9th Floor</v>
      </c>
      <c r="D137" s="763" t="str">
        <f>'Corrected and Updated TSF 2'!M137</f>
        <v>Corner</v>
      </c>
      <c r="E137" s="763" t="str">
        <f>'Corrected and Updated TSF 2'!G137</f>
        <v>9H</v>
      </c>
      <c r="F137" s="747" t="str">
        <f>'Corrected and Updated TSF 2'!I137</f>
        <v>Studio</v>
      </c>
      <c r="G137" s="879">
        <f>'Corrected and Updated TSF 2'!J137</f>
        <v>22</v>
      </c>
      <c r="H137" s="879">
        <f>'Corrected and Updated TSF 2'!CH137</f>
        <v>3599023.487500017</v>
      </c>
      <c r="I137" s="879">
        <f>SUM('Corrected and Updated TSF 2'!CJ137:CK137)</f>
        <v>494865.72953125229</v>
      </c>
      <c r="J137" s="879">
        <f>'Corrected and Updated TSF 2'!CL137</f>
        <v>4093889.2170312693</v>
      </c>
      <c r="K137" s="880">
        <f>'Corrected and Updated TSF 2'!CM137</f>
        <v>0.125</v>
      </c>
      <c r="L137" s="879">
        <f>'Corrected and Updated TSF 2'!CN137</f>
        <v>511736.15212890867</v>
      </c>
      <c r="M137" s="879">
        <f>'Corrected and Updated TSF 2'!CO137</f>
        <v>30000</v>
      </c>
      <c r="N137" s="879">
        <f>'Corrected and Updated TSF 2'!CP137</f>
        <v>481736.15212890867</v>
      </c>
      <c r="O137" s="881">
        <f>'Corrected and Updated TSF 2'!CQ137</f>
        <v>13</v>
      </c>
      <c r="P137" s="879">
        <f>'Corrected and Updated TSF 2'!CR137</f>
        <v>37056.627086839129</v>
      </c>
      <c r="Q137" s="879">
        <f>'Corrected and Updated TSF 2'!CT137</f>
        <v>3582153.0649023606</v>
      </c>
      <c r="R137" s="879">
        <f>'Corrected and Updated TSF 2'!CU137</f>
        <v>27772.394584426893</v>
      </c>
      <c r="S137" s="879">
        <f>'Corrected and Updated TSF 2'!CV137</f>
        <v>32197.404452549104</v>
      </c>
      <c r="T137" s="882">
        <f>'Corrected and Updated TSF 2'!CW137</f>
        <v>41591.834469414622</v>
      </c>
      <c r="U137" s="882">
        <f>'Corrected and Updated TSF 2'!CX137</f>
        <v>70930.924040053244</v>
      </c>
      <c r="V137" s="1167">
        <f>'Corrected and Updated TSF 2'!CY137</f>
        <v>290989.67938670918</v>
      </c>
      <c r="W137" s="1167">
        <f>'Corrected and Updated TSF 2'!CZ137</f>
        <v>115143.19864121001</v>
      </c>
      <c r="X137" s="1233">
        <f>'Corrected and Updated TSF 2'!DA137</f>
        <v>83166.301583016568</v>
      </c>
      <c r="Y137" s="1233">
        <f>'Corrected and Updated TSF 2'!DB137</f>
        <v>63293.384283452273</v>
      </c>
      <c r="Z137" s="885">
        <f>H137-'Corrected and Updated TSF 2'!CH137</f>
        <v>0</v>
      </c>
      <c r="AA137" s="885">
        <f>I137-SUM('Corrected and Updated TSF 2'!CJ137:CK137)</f>
        <v>0</v>
      </c>
      <c r="AB137" s="885">
        <f>J137-'Corrected and Updated TSF 2'!CL137</f>
        <v>0</v>
      </c>
      <c r="AC137" s="886">
        <f>K137-'Corrected and Updated TSF 2'!CM137</f>
        <v>0</v>
      </c>
      <c r="AD137" s="885">
        <f>M137-'Corrected and Updated TSF 2'!CO137</f>
        <v>0</v>
      </c>
      <c r="AE137" s="887">
        <f>P137-'Corrected and Updated TSF 2'!CR137</f>
        <v>0</v>
      </c>
      <c r="AF137" s="885">
        <f>Q137-'Corrected and Updated TSF 2'!CT137</f>
        <v>0</v>
      </c>
      <c r="AG137" s="888"/>
      <c r="AH137" s="888"/>
      <c r="AI137" s="885">
        <f>S137-'INTERNAL PRICELIST'!AA137</f>
        <v>11469.818825977953</v>
      </c>
      <c r="AJ137" s="885">
        <f>T137-'INTERNAL PRICELIST'!AB137</f>
        <v>14816.436706558456</v>
      </c>
      <c r="AK137" s="885">
        <f>U137-'INTERNAL PRICELIST'!AC137</f>
        <v>25268.025803237579</v>
      </c>
    </row>
    <row r="138" spans="1:45" s="152" customFormat="1" ht="12.75" hidden="1" customHeight="1">
      <c r="A138" s="876" t="str">
        <f t="shared" si="2"/>
        <v>9I</v>
      </c>
      <c r="B138" s="877" t="str">
        <f>'Corrected and Updated TSF 2'!FI138</f>
        <v>SOLD</v>
      </c>
      <c r="C138" s="878" t="str">
        <f>'Corrected and Updated TSF 2'!E138</f>
        <v>9th Floor</v>
      </c>
      <c r="D138" s="763" t="str">
        <f>'Corrected and Updated TSF 2'!M138</f>
        <v>Inner</v>
      </c>
      <c r="E138" s="763" t="str">
        <f>'Corrected and Updated TSF 2'!G138</f>
        <v>9I</v>
      </c>
      <c r="F138" s="747" t="str">
        <f>'Corrected and Updated TSF 2'!I138</f>
        <v>Studio</v>
      </c>
      <c r="G138" s="879">
        <f>'Corrected and Updated TSF 2'!J138</f>
        <v>22</v>
      </c>
      <c r="H138" s="879">
        <f>'Corrected and Updated TSF 2'!CH138</f>
        <v>3524133.4656456471</v>
      </c>
      <c r="I138" s="879">
        <f>SUM('Corrected and Updated TSF 2'!CJ138:CK138)</f>
        <v>484568.35152627644</v>
      </c>
      <c r="J138" s="879">
        <f>'Corrected and Updated TSF 2'!CL138</f>
        <v>4008701.8171719238</v>
      </c>
      <c r="K138" s="880">
        <f>'Corrected and Updated TSF 2'!CM138</f>
        <v>0.125</v>
      </c>
      <c r="L138" s="879">
        <f>'Corrected and Updated TSF 2'!CN138</f>
        <v>501087.72714649048</v>
      </c>
      <c r="M138" s="879">
        <f>'Corrected and Updated TSF 2'!CO138</f>
        <v>30000</v>
      </c>
      <c r="N138" s="879">
        <f>'Corrected and Updated TSF 2'!CP138</f>
        <v>471087.72714649048</v>
      </c>
      <c r="O138" s="881">
        <f>'Corrected and Updated TSF 2'!CQ138</f>
        <v>13</v>
      </c>
      <c r="P138" s="879">
        <f>'Corrected and Updated TSF 2'!CR138</f>
        <v>36237.517472806961</v>
      </c>
      <c r="Q138" s="879">
        <f>'Corrected and Updated TSF 2'!CT138</f>
        <v>3507614.0900254333</v>
      </c>
      <c r="R138" s="879">
        <f>'Corrected and Updated TSF 2'!CU138</f>
        <v>27194.494705584857</v>
      </c>
      <c r="S138" s="879">
        <f>'Corrected and Updated TSF 2'!CV138</f>
        <v>31527.427073551698</v>
      </c>
      <c r="T138" s="882">
        <f>'Corrected and Updated TSF 2'!CW138</f>
        <v>40726.373767867095</v>
      </c>
      <c r="U138" s="882">
        <f>'Corrected and Updated TSF 2'!CX138</f>
        <v>69454.962999521085</v>
      </c>
      <c r="V138" s="1167">
        <f>'Corrected and Updated TSF 2'!CY138</f>
        <v>284934.64153425989</v>
      </c>
      <c r="W138" s="1167">
        <f>'Corrected and Updated TSF 2'!CZ138</f>
        <v>112747.24965877863</v>
      </c>
      <c r="X138" s="1233">
        <f>'Corrected and Updated TSF 2'!DA138</f>
        <v>81435.741567298086</v>
      </c>
      <c r="Y138" s="1233">
        <f>'Corrected and Updated TSF 2'!DB138</f>
        <v>61976.348440622212</v>
      </c>
      <c r="Z138" s="885">
        <f>H138-'Corrected and Updated TSF 2'!CH138</f>
        <v>0</v>
      </c>
      <c r="AA138" s="885">
        <f>I138-SUM('Corrected and Updated TSF 2'!CJ138:CK138)</f>
        <v>0</v>
      </c>
      <c r="AB138" s="885">
        <f>J138-'Corrected and Updated TSF 2'!CL138</f>
        <v>0</v>
      </c>
      <c r="AC138" s="886">
        <f>K138-'Corrected and Updated TSF 2'!CM138</f>
        <v>0</v>
      </c>
      <c r="AD138" s="885">
        <f>M138-'Corrected and Updated TSF 2'!CO138</f>
        <v>0</v>
      </c>
      <c r="AE138" s="887">
        <f>P138-'Corrected and Updated TSF 2'!CR138</f>
        <v>0</v>
      </c>
      <c r="AF138" s="885">
        <f>Q138-'Corrected and Updated TSF 2'!CT138</f>
        <v>0</v>
      </c>
      <c r="AG138" s="888"/>
      <c r="AH138" s="888"/>
      <c r="AI138" s="885">
        <f>S138-'INTERNAL PRICELIST'!AA138</f>
        <v>10799.841446980547</v>
      </c>
      <c r="AJ138" s="885">
        <f>T138-'INTERNAL PRICELIST'!AB138</f>
        <v>13950.976005010929</v>
      </c>
      <c r="AK138" s="885">
        <f>U138-'INTERNAL PRICELIST'!AC138</f>
        <v>23792.06476270542</v>
      </c>
    </row>
    <row r="139" spans="1:45" s="152" customFormat="1" ht="12.75" hidden="1" customHeight="1">
      <c r="A139" s="876" t="str">
        <f t="shared" si="2"/>
        <v>9J</v>
      </c>
      <c r="B139" s="877" t="str">
        <f>'Corrected and Updated TSF 2'!FI139</f>
        <v>SOLD</v>
      </c>
      <c r="C139" s="878" t="str">
        <f>'Corrected and Updated TSF 2'!E139</f>
        <v>9th Floor</v>
      </c>
      <c r="D139" s="763" t="str">
        <f>'Corrected and Updated TSF 2'!M139</f>
        <v>Inner</v>
      </c>
      <c r="E139" s="763" t="str">
        <f>'Corrected and Updated TSF 2'!G139</f>
        <v>9J</v>
      </c>
      <c r="F139" s="747" t="str">
        <f>'Corrected and Updated TSF 2'!I139</f>
        <v>Studio</v>
      </c>
      <c r="G139" s="879">
        <f>'Corrected and Updated TSF 2'!J139</f>
        <v>22</v>
      </c>
      <c r="H139" s="879">
        <f>'Corrected and Updated TSF 2'!CH139</f>
        <v>3524133.4656456471</v>
      </c>
      <c r="I139" s="879">
        <f>SUM('Corrected and Updated TSF 2'!CJ139:CK139)</f>
        <v>484568.35152627644</v>
      </c>
      <c r="J139" s="879">
        <f>'Corrected and Updated TSF 2'!CL139</f>
        <v>4008701.8171719238</v>
      </c>
      <c r="K139" s="880">
        <f>'Corrected and Updated TSF 2'!CM139</f>
        <v>0.125</v>
      </c>
      <c r="L139" s="879">
        <f>'Corrected and Updated TSF 2'!CN139</f>
        <v>501087.72714649048</v>
      </c>
      <c r="M139" s="879">
        <f>'Corrected and Updated TSF 2'!CO139</f>
        <v>30000</v>
      </c>
      <c r="N139" s="879">
        <f>'Corrected and Updated TSF 2'!CP139</f>
        <v>471087.72714649048</v>
      </c>
      <c r="O139" s="881">
        <f>'Corrected and Updated TSF 2'!CQ139</f>
        <v>13</v>
      </c>
      <c r="P139" s="879">
        <f>'Corrected and Updated TSF 2'!CR139</f>
        <v>36237.517472806961</v>
      </c>
      <c r="Q139" s="879">
        <f>'Corrected and Updated TSF 2'!CT139</f>
        <v>3507614.0900254333</v>
      </c>
      <c r="R139" s="879">
        <f>'Corrected and Updated TSF 2'!CU139</f>
        <v>27194.494705584857</v>
      </c>
      <c r="S139" s="879">
        <f>'Corrected and Updated TSF 2'!CV139</f>
        <v>31527.427073551698</v>
      </c>
      <c r="T139" s="882">
        <f>'Corrected and Updated TSF 2'!CW139</f>
        <v>40726.373767867095</v>
      </c>
      <c r="U139" s="882">
        <f>'Corrected and Updated TSF 2'!CX139</f>
        <v>69454.962999521085</v>
      </c>
      <c r="V139" s="1167">
        <f>'Corrected and Updated TSF 2'!CY139</f>
        <v>284934.64153425989</v>
      </c>
      <c r="W139" s="1167">
        <f>'Corrected and Updated TSF 2'!CZ139</f>
        <v>112747.24965877863</v>
      </c>
      <c r="X139" s="1233">
        <f>'Corrected and Updated TSF 2'!DA139</f>
        <v>81435.741567298086</v>
      </c>
      <c r="Y139" s="1233">
        <f>'Corrected and Updated TSF 2'!DB139</f>
        <v>61976.348440622212</v>
      </c>
      <c r="Z139" s="885">
        <f>H139-'Corrected and Updated TSF 2'!CH139</f>
        <v>0</v>
      </c>
      <c r="AA139" s="885">
        <f>I139-SUM('Corrected and Updated TSF 2'!CJ139:CK139)</f>
        <v>0</v>
      </c>
      <c r="AB139" s="885">
        <f>J139-'Corrected and Updated TSF 2'!CL139</f>
        <v>0</v>
      </c>
      <c r="AC139" s="886">
        <f>K139-'Corrected and Updated TSF 2'!CM139</f>
        <v>0</v>
      </c>
      <c r="AD139" s="885">
        <f>M139-'Corrected and Updated TSF 2'!CO139</f>
        <v>0</v>
      </c>
      <c r="AE139" s="887">
        <f>P139-'Corrected and Updated TSF 2'!CR139</f>
        <v>0</v>
      </c>
      <c r="AF139" s="885">
        <f>Q139-'Corrected and Updated TSF 2'!CT139</f>
        <v>0</v>
      </c>
      <c r="AG139" s="888"/>
      <c r="AH139" s="888"/>
      <c r="AI139" s="885">
        <f>S139-'INTERNAL PRICELIST'!AA139</f>
        <v>10782.445075228832</v>
      </c>
      <c r="AJ139" s="885">
        <f>T139-'INTERNAL PRICELIST'!AB139</f>
        <v>13928.503789400565</v>
      </c>
      <c r="AK139" s="885">
        <f>U139-'INTERNAL PRICELIST'!AC139</f>
        <v>23753.740532990509</v>
      </c>
    </row>
    <row r="140" spans="1:45" s="152" customFormat="1" ht="12.75" hidden="1" customHeight="1">
      <c r="A140" s="876" t="str">
        <f t="shared" si="2"/>
        <v>9K</v>
      </c>
      <c r="B140" s="877" t="str">
        <f>'Corrected and Updated TSF 2'!FI140</f>
        <v>SOLD</v>
      </c>
      <c r="C140" s="878" t="str">
        <f>'Corrected and Updated TSF 2'!E140</f>
        <v>9th Floor</v>
      </c>
      <c r="D140" s="763" t="str">
        <f>'Corrected and Updated TSF 2'!M140</f>
        <v>Inner</v>
      </c>
      <c r="E140" s="763" t="str">
        <f>'Corrected and Updated TSF 2'!G140</f>
        <v>9K</v>
      </c>
      <c r="F140" s="747" t="str">
        <f>'Corrected and Updated TSF 2'!I140</f>
        <v>Studio</v>
      </c>
      <c r="G140" s="879">
        <f>'Corrected and Updated TSF 2'!J140</f>
        <v>22</v>
      </c>
      <c r="H140" s="879">
        <f>'Corrected and Updated TSF 2'!CH140</f>
        <v>3524133.4656456471</v>
      </c>
      <c r="I140" s="879">
        <f>SUM('Corrected and Updated TSF 2'!CJ140:CK140)</f>
        <v>484568.35152627644</v>
      </c>
      <c r="J140" s="879">
        <f>'Corrected and Updated TSF 2'!CL140</f>
        <v>4008701.8171719238</v>
      </c>
      <c r="K140" s="880">
        <f>'Corrected and Updated TSF 2'!CM140</f>
        <v>0.125</v>
      </c>
      <c r="L140" s="879">
        <f>'Corrected and Updated TSF 2'!CN140</f>
        <v>501087.72714649048</v>
      </c>
      <c r="M140" s="879">
        <f>'Corrected and Updated TSF 2'!CO140</f>
        <v>30000</v>
      </c>
      <c r="N140" s="879">
        <f>'Corrected and Updated TSF 2'!CP140</f>
        <v>471087.72714649048</v>
      </c>
      <c r="O140" s="881">
        <f>'Corrected and Updated TSF 2'!CQ140</f>
        <v>13</v>
      </c>
      <c r="P140" s="879">
        <f>'Corrected and Updated TSF 2'!CR140</f>
        <v>36237.517472806961</v>
      </c>
      <c r="Q140" s="879">
        <f>'Corrected and Updated TSF 2'!CT140</f>
        <v>3507614.0900254333</v>
      </c>
      <c r="R140" s="879">
        <f>'Corrected and Updated TSF 2'!CU140</f>
        <v>27194.494705584857</v>
      </c>
      <c r="S140" s="879">
        <f>'Corrected and Updated TSF 2'!CV140</f>
        <v>31527.427073551698</v>
      </c>
      <c r="T140" s="882">
        <f>'Corrected and Updated TSF 2'!CW140</f>
        <v>40726.373767867095</v>
      </c>
      <c r="U140" s="882">
        <f>'Corrected and Updated TSF 2'!CX140</f>
        <v>69454.962999521085</v>
      </c>
      <c r="V140" s="1167">
        <f>'Corrected and Updated TSF 2'!CY140</f>
        <v>284934.64153425989</v>
      </c>
      <c r="W140" s="1167">
        <f>'Corrected and Updated TSF 2'!CZ140</f>
        <v>112747.24965877863</v>
      </c>
      <c r="X140" s="1233">
        <f>'Corrected and Updated TSF 2'!DA140</f>
        <v>81435.741567298086</v>
      </c>
      <c r="Y140" s="1233">
        <f>'Corrected and Updated TSF 2'!DB140</f>
        <v>61976.348440622212</v>
      </c>
      <c r="Z140" s="885">
        <f>H140-'Corrected and Updated TSF 2'!CH140</f>
        <v>0</v>
      </c>
      <c r="AA140" s="885">
        <f>I140-SUM('Corrected and Updated TSF 2'!CJ140:CK140)</f>
        <v>0</v>
      </c>
      <c r="AB140" s="885">
        <f>J140-'Corrected and Updated TSF 2'!CL140</f>
        <v>0</v>
      </c>
      <c r="AC140" s="886">
        <f>K140-'Corrected and Updated TSF 2'!CM140</f>
        <v>0</v>
      </c>
      <c r="AD140" s="885">
        <f>M140-'Corrected and Updated TSF 2'!CO140</f>
        <v>0</v>
      </c>
      <c r="AE140" s="887">
        <f>P140-'Corrected and Updated TSF 2'!CR140</f>
        <v>0</v>
      </c>
      <c r="AF140" s="885">
        <f>Q140-'Corrected and Updated TSF 2'!CT140</f>
        <v>0</v>
      </c>
      <c r="AG140" s="888"/>
      <c r="AH140" s="888"/>
      <c r="AI140" s="885">
        <f>S140-'INTERNAL PRICELIST'!AA140</f>
        <v>10799.841446980547</v>
      </c>
      <c r="AJ140" s="885">
        <f>T140-'INTERNAL PRICELIST'!AB140</f>
        <v>13950.976005010929</v>
      </c>
      <c r="AK140" s="885">
        <f>U140-'INTERNAL PRICELIST'!AC140</f>
        <v>23792.06476270542</v>
      </c>
    </row>
    <row r="141" spans="1:45" s="152" customFormat="1" ht="12.75" hidden="1" customHeight="1">
      <c r="A141" s="876" t="str">
        <f t="shared" si="2"/>
        <v>9L</v>
      </c>
      <c r="B141" s="877" t="str">
        <f>'Corrected and Updated TSF 2'!FI141</f>
        <v>SOLD</v>
      </c>
      <c r="C141" s="878" t="str">
        <f>'Corrected and Updated TSF 2'!E141</f>
        <v>9th Floor</v>
      </c>
      <c r="D141" s="763" t="str">
        <f>'Corrected and Updated TSF 2'!M141</f>
        <v>Inner</v>
      </c>
      <c r="E141" s="763" t="str">
        <f>'Corrected and Updated TSF 2'!G141</f>
        <v>9L</v>
      </c>
      <c r="F141" s="747" t="str">
        <f>'Corrected and Updated TSF 2'!I141</f>
        <v>Studio</v>
      </c>
      <c r="G141" s="879">
        <f>'Corrected and Updated TSF 2'!J141</f>
        <v>22</v>
      </c>
      <c r="H141" s="879">
        <f>'Corrected and Updated TSF 2'!CH141</f>
        <v>3524133.4656456471</v>
      </c>
      <c r="I141" s="879">
        <f>SUM('Corrected and Updated TSF 2'!CJ141:CK141)</f>
        <v>484568.35152627644</v>
      </c>
      <c r="J141" s="879">
        <f>'Corrected and Updated TSF 2'!CL141</f>
        <v>4008701.8171719238</v>
      </c>
      <c r="K141" s="880">
        <f>'Corrected and Updated TSF 2'!CM141</f>
        <v>0.125</v>
      </c>
      <c r="L141" s="879">
        <f>'Corrected and Updated TSF 2'!CN141</f>
        <v>501087.72714649048</v>
      </c>
      <c r="M141" s="879">
        <f>'Corrected and Updated TSF 2'!CO141</f>
        <v>30000</v>
      </c>
      <c r="N141" s="879">
        <f>'Corrected and Updated TSF 2'!CP141</f>
        <v>471087.72714649048</v>
      </c>
      <c r="O141" s="881">
        <f>'Corrected and Updated TSF 2'!CQ141</f>
        <v>13</v>
      </c>
      <c r="P141" s="879">
        <f>'Corrected and Updated TSF 2'!CR141</f>
        <v>36237.517472806961</v>
      </c>
      <c r="Q141" s="879">
        <f>'Corrected and Updated TSF 2'!CT141</f>
        <v>3507614.0900254333</v>
      </c>
      <c r="R141" s="879">
        <f>'Corrected and Updated TSF 2'!CU141</f>
        <v>27194.494705584857</v>
      </c>
      <c r="S141" s="879">
        <f>'Corrected and Updated TSF 2'!CV141</f>
        <v>31527.427073551698</v>
      </c>
      <c r="T141" s="882">
        <f>'Corrected and Updated TSF 2'!CW141</f>
        <v>40726.373767867095</v>
      </c>
      <c r="U141" s="882">
        <f>'Corrected and Updated TSF 2'!CX141</f>
        <v>69454.962999521085</v>
      </c>
      <c r="V141" s="1167">
        <f>'Corrected and Updated TSF 2'!CY141</f>
        <v>284934.64153425989</v>
      </c>
      <c r="W141" s="1167">
        <f>'Corrected and Updated TSF 2'!CZ141</f>
        <v>112747.24965877863</v>
      </c>
      <c r="X141" s="1233">
        <f>'Corrected and Updated TSF 2'!DA141</f>
        <v>81435.741567298086</v>
      </c>
      <c r="Y141" s="1233">
        <f>'Corrected and Updated TSF 2'!DB141</f>
        <v>61976.348440622212</v>
      </c>
      <c r="Z141" s="885">
        <f>H141-'Corrected and Updated TSF 2'!CH141</f>
        <v>0</v>
      </c>
      <c r="AA141" s="885">
        <f>I141-SUM('Corrected and Updated TSF 2'!CJ141:CK141)</f>
        <v>0</v>
      </c>
      <c r="AB141" s="885">
        <f>J141-'Corrected and Updated TSF 2'!CL141</f>
        <v>0</v>
      </c>
      <c r="AC141" s="886">
        <f>K141-'Corrected and Updated TSF 2'!CM141</f>
        <v>0</v>
      </c>
      <c r="AD141" s="885">
        <f>M141-'Corrected and Updated TSF 2'!CO141</f>
        <v>0</v>
      </c>
      <c r="AE141" s="887">
        <f>P141-'Corrected and Updated TSF 2'!CR141</f>
        <v>0</v>
      </c>
      <c r="AF141" s="885">
        <f>Q141-'Corrected and Updated TSF 2'!CT141</f>
        <v>0</v>
      </c>
      <c r="AG141" s="888"/>
      <c r="AH141" s="888"/>
      <c r="AI141" s="885">
        <f>S141-'INTERNAL PRICELIST'!AA141</f>
        <v>10799.841446980547</v>
      </c>
      <c r="AJ141" s="885">
        <f>T141-'INTERNAL PRICELIST'!AB141</f>
        <v>13950.976005010929</v>
      </c>
      <c r="AK141" s="885">
        <f>U141-'INTERNAL PRICELIST'!AC141</f>
        <v>23792.06476270542</v>
      </c>
      <c r="AL141" s="883"/>
      <c r="AM141" s="883"/>
      <c r="AN141" s="883"/>
      <c r="AO141" s="883"/>
      <c r="AP141" s="883"/>
      <c r="AQ141" s="883"/>
      <c r="AR141" s="883"/>
      <c r="AS141" s="883"/>
    </row>
    <row r="142" spans="1:45" s="883" customFormat="1" ht="12.75" customHeight="1">
      <c r="A142" s="876" t="str">
        <f t="shared" si="2"/>
        <v>9M</v>
      </c>
      <c r="B142" s="877" t="str">
        <f>'Corrected and Updated TSF 2'!FI142</f>
        <v>UNSOLD</v>
      </c>
      <c r="C142" s="878" t="str">
        <f>'Corrected and Updated TSF 2'!E142</f>
        <v>9th Floor</v>
      </c>
      <c r="D142" s="763" t="str">
        <f>'Corrected and Updated TSF 2'!M142</f>
        <v>Inner</v>
      </c>
      <c r="E142" s="763" t="str">
        <f>'Corrected and Updated TSF 2'!G142</f>
        <v>9M</v>
      </c>
      <c r="F142" s="747" t="str">
        <f>'Corrected and Updated TSF 2'!I142</f>
        <v>Studio</v>
      </c>
      <c r="G142" s="879">
        <f>'Corrected and Updated TSF 2'!J142</f>
        <v>22</v>
      </c>
      <c r="H142" s="879">
        <f>'Corrected and Updated TSF 2'!CH142</f>
        <v>3554682.6493690913</v>
      </c>
      <c r="I142" s="879">
        <f>SUM('Corrected and Updated TSF 2'!CJ142:CK142)</f>
        <v>488768.86428825004</v>
      </c>
      <c r="J142" s="879">
        <f>'Corrected and Updated TSF 2'!CL142</f>
        <v>4043451.5136573412</v>
      </c>
      <c r="K142" s="880">
        <f>'Corrected and Updated TSF 2'!CM142</f>
        <v>0.125</v>
      </c>
      <c r="L142" s="879">
        <f>'Corrected and Updated TSF 2'!CN142</f>
        <v>505431.43920716766</v>
      </c>
      <c r="M142" s="879">
        <f>'Corrected and Updated TSF 2'!CO142</f>
        <v>30000</v>
      </c>
      <c r="N142" s="879">
        <f>'Corrected and Updated TSF 2'!CP142</f>
        <v>475431.43920716766</v>
      </c>
      <c r="O142" s="881">
        <f>'Corrected and Updated TSF 2'!CQ142</f>
        <v>13</v>
      </c>
      <c r="P142" s="879">
        <f>'Corrected and Updated TSF 2'!CR142</f>
        <v>36571.649169782126</v>
      </c>
      <c r="Q142" s="879">
        <f>'Corrected and Updated TSF 2'!CT142</f>
        <v>3538020.0744501734</v>
      </c>
      <c r="R142" s="879">
        <f>'Corrected and Updated TSF 2'!CU142</f>
        <v>27430.231979194312</v>
      </c>
      <c r="S142" s="879">
        <f>'Corrected and Updated TSF 2'!CV142</f>
        <v>31800.724657592247</v>
      </c>
      <c r="T142" s="882">
        <f>'Corrected and Updated TSF 2'!CW142</f>
        <v>41079.41302893727</v>
      </c>
      <c r="U142" s="882">
        <f>'Corrected and Updated TSF 2'!CX142</f>
        <v>70057.037933930129</v>
      </c>
      <c r="V142" s="1167">
        <f>'Corrected and Updated TSF 2'!CY142</f>
        <v>287404.61629493738</v>
      </c>
      <c r="W142" s="1167">
        <f>'Corrected and Updated TSF 2'!CZ142</f>
        <v>113724.60663964089</v>
      </c>
      <c r="X142" s="1233">
        <f>'Corrected and Updated TSF 2'!DA142</f>
        <v>82141.672672077766</v>
      </c>
      <c r="Y142" s="1233">
        <f>'Corrected and Updated TSF 2'!DB142</f>
        <v>62513.594510749092</v>
      </c>
      <c r="Z142" s="885">
        <f>H142-'Corrected and Updated TSF 2'!CH142</f>
        <v>0</v>
      </c>
      <c r="AA142" s="885">
        <f>I142-SUM('Corrected and Updated TSF 2'!CJ142:CK142)</f>
        <v>0</v>
      </c>
      <c r="AB142" s="885">
        <f>J142-'Corrected and Updated TSF 2'!CL142</f>
        <v>0</v>
      </c>
      <c r="AC142" s="886">
        <f>K142-'Corrected and Updated TSF 2'!CM142</f>
        <v>0</v>
      </c>
      <c r="AD142" s="885">
        <f>M142-'Corrected and Updated TSF 2'!CO142</f>
        <v>0</v>
      </c>
      <c r="AE142" s="887">
        <f>P142-'Corrected and Updated TSF 2'!CR142</f>
        <v>0</v>
      </c>
      <c r="AF142" s="885">
        <f>Q142-'Corrected and Updated TSF 2'!CT142</f>
        <v>0</v>
      </c>
      <c r="AG142" s="888"/>
      <c r="AH142" s="888"/>
      <c r="AI142" s="885">
        <f>S142-'INTERNAL PRICELIST'!AA142</f>
        <v>11073.139031021095</v>
      </c>
      <c r="AJ142" s="885">
        <f>T142-'INTERNAL PRICELIST'!AB142</f>
        <v>14304.015266081104</v>
      </c>
      <c r="AK142" s="885">
        <f>U142-'INTERNAL PRICELIST'!AC142</f>
        <v>24394.139697114464</v>
      </c>
    </row>
    <row r="143" spans="1:45" s="152" customFormat="1" ht="12.75" hidden="1" customHeight="1">
      <c r="A143" s="876" t="str">
        <f t="shared" si="2"/>
        <v>9N</v>
      </c>
      <c r="B143" s="877" t="str">
        <f>'Corrected and Updated TSF 2'!FI143</f>
        <v>SOLD</v>
      </c>
      <c r="C143" s="878" t="str">
        <f>'Corrected and Updated TSF 2'!E143</f>
        <v>9th Floor</v>
      </c>
      <c r="D143" s="763" t="str">
        <f>'Corrected and Updated TSF 2'!M143</f>
        <v>Inner</v>
      </c>
      <c r="E143" s="763" t="str">
        <f>'Corrected and Updated TSF 2'!G143</f>
        <v>9N</v>
      </c>
      <c r="F143" s="747" t="str">
        <f>'Corrected and Updated TSF 2'!I143</f>
        <v>Studio</v>
      </c>
      <c r="G143" s="879">
        <f>'Corrected and Updated TSF 2'!J143</f>
        <v>22</v>
      </c>
      <c r="H143" s="879">
        <f>'Corrected and Updated TSF 2'!CH143</f>
        <v>3524133.4656456471</v>
      </c>
      <c r="I143" s="879">
        <f>SUM('Corrected and Updated TSF 2'!CJ143:CK143)</f>
        <v>484568.35152627644</v>
      </c>
      <c r="J143" s="879">
        <f>'Corrected and Updated TSF 2'!CL143</f>
        <v>4008701.8171719238</v>
      </c>
      <c r="K143" s="880">
        <f>'Corrected and Updated TSF 2'!CM143</f>
        <v>0.125</v>
      </c>
      <c r="L143" s="879">
        <f>'Corrected and Updated TSF 2'!CN143</f>
        <v>501087.72714649048</v>
      </c>
      <c r="M143" s="879">
        <f>'Corrected and Updated TSF 2'!CO143</f>
        <v>30000</v>
      </c>
      <c r="N143" s="879">
        <f>'Corrected and Updated TSF 2'!CP143</f>
        <v>471087.72714649048</v>
      </c>
      <c r="O143" s="881">
        <f>'Corrected and Updated TSF 2'!CQ143</f>
        <v>13</v>
      </c>
      <c r="P143" s="879">
        <f>'Corrected and Updated TSF 2'!CR143</f>
        <v>36237.517472806961</v>
      </c>
      <c r="Q143" s="879">
        <f>'Corrected and Updated TSF 2'!CT143</f>
        <v>3507614.0900254333</v>
      </c>
      <c r="R143" s="879">
        <f>'Corrected and Updated TSF 2'!CU143</f>
        <v>27194.494705584857</v>
      </c>
      <c r="S143" s="879">
        <f>'Corrected and Updated TSF 2'!CV143</f>
        <v>31527.427073551698</v>
      </c>
      <c r="T143" s="882">
        <f>'Corrected and Updated TSF 2'!CW143</f>
        <v>40726.373767867095</v>
      </c>
      <c r="U143" s="882">
        <f>'Corrected and Updated TSF 2'!CX143</f>
        <v>69454.962999521085</v>
      </c>
      <c r="V143" s="1167">
        <f>'Corrected and Updated TSF 2'!CY143</f>
        <v>284934.64153425989</v>
      </c>
      <c r="W143" s="1167">
        <f>'Corrected and Updated TSF 2'!CZ143</f>
        <v>112747.24965877863</v>
      </c>
      <c r="X143" s="1233">
        <f>'Corrected and Updated TSF 2'!DA143</f>
        <v>81435.741567298086</v>
      </c>
      <c r="Y143" s="1233">
        <f>'Corrected and Updated TSF 2'!DB143</f>
        <v>61976.348440622212</v>
      </c>
      <c r="Z143" s="885">
        <f>H143-'Corrected and Updated TSF 2'!CH143</f>
        <v>0</v>
      </c>
      <c r="AA143" s="885">
        <f>I143-SUM('Corrected and Updated TSF 2'!CJ143:CK143)</f>
        <v>0</v>
      </c>
      <c r="AB143" s="885">
        <f>J143-'Corrected and Updated TSF 2'!CL143</f>
        <v>0</v>
      </c>
      <c r="AC143" s="886">
        <f>K143-'Corrected and Updated TSF 2'!CM143</f>
        <v>0</v>
      </c>
      <c r="AD143" s="885">
        <f>M143-'Corrected and Updated TSF 2'!CO143</f>
        <v>0</v>
      </c>
      <c r="AE143" s="887">
        <f>P143-'Corrected and Updated TSF 2'!CR143</f>
        <v>0</v>
      </c>
      <c r="AF143" s="885">
        <f>Q143-'Corrected and Updated TSF 2'!CT143</f>
        <v>0</v>
      </c>
      <c r="AG143" s="888"/>
      <c r="AH143" s="888"/>
      <c r="AI143" s="885">
        <f>S143-'INTERNAL PRICELIST'!AA143</f>
        <v>10799.841446980547</v>
      </c>
      <c r="AJ143" s="885">
        <f>T143-'INTERNAL PRICELIST'!AB143</f>
        <v>13950.976005010929</v>
      </c>
      <c r="AK143" s="885">
        <f>U143-'INTERNAL PRICELIST'!AC143</f>
        <v>23792.06476270542</v>
      </c>
      <c r="AL143" s="883"/>
      <c r="AM143" s="883"/>
      <c r="AN143" s="883"/>
      <c r="AO143" s="883"/>
      <c r="AP143" s="883"/>
      <c r="AQ143" s="883"/>
      <c r="AR143" s="883"/>
      <c r="AS143" s="883"/>
    </row>
    <row r="144" spans="1:45" s="152" customFormat="1" ht="12.75" hidden="1" customHeight="1">
      <c r="A144" s="876" t="str">
        <f t="shared" si="2"/>
        <v>9O</v>
      </c>
      <c r="B144" s="877" t="str">
        <f>'Corrected and Updated TSF 2'!FI144</f>
        <v>SOLD</v>
      </c>
      <c r="C144" s="878" t="str">
        <f>'Corrected and Updated TSF 2'!E144</f>
        <v>9th Floor</v>
      </c>
      <c r="D144" s="763" t="str">
        <f>'Corrected and Updated TSF 2'!M144</f>
        <v>Inner</v>
      </c>
      <c r="E144" s="763" t="str">
        <f>'Corrected and Updated TSF 2'!G144</f>
        <v>9O</v>
      </c>
      <c r="F144" s="747" t="str">
        <f>'Corrected and Updated TSF 2'!I144</f>
        <v>Studio</v>
      </c>
      <c r="G144" s="879">
        <f>'Corrected and Updated TSF 2'!J144</f>
        <v>22</v>
      </c>
      <c r="H144" s="879">
        <f>'Corrected and Updated TSF 2'!CH144</f>
        <v>3524133.4656456471</v>
      </c>
      <c r="I144" s="879">
        <f>SUM('Corrected and Updated TSF 2'!CJ144:CK144)</f>
        <v>484568.35152627644</v>
      </c>
      <c r="J144" s="879">
        <f>'Corrected and Updated TSF 2'!CL144</f>
        <v>4008701.8171719238</v>
      </c>
      <c r="K144" s="880">
        <f>'Corrected and Updated TSF 2'!CM144</f>
        <v>0.125</v>
      </c>
      <c r="L144" s="879">
        <f>'Corrected and Updated TSF 2'!CN144</f>
        <v>501087.72714649048</v>
      </c>
      <c r="M144" s="879">
        <f>'Corrected and Updated TSF 2'!CO144</f>
        <v>30000</v>
      </c>
      <c r="N144" s="879">
        <f>'Corrected and Updated TSF 2'!CP144</f>
        <v>471087.72714649048</v>
      </c>
      <c r="O144" s="881">
        <f>'Corrected and Updated TSF 2'!CQ144</f>
        <v>13</v>
      </c>
      <c r="P144" s="879">
        <f>'Corrected and Updated TSF 2'!CR144</f>
        <v>36237.517472806961</v>
      </c>
      <c r="Q144" s="879">
        <f>'Corrected and Updated TSF 2'!CT144</f>
        <v>3507614.0900254333</v>
      </c>
      <c r="R144" s="879">
        <f>'Corrected and Updated TSF 2'!CU144</f>
        <v>27194.494705584857</v>
      </c>
      <c r="S144" s="879">
        <f>'Corrected and Updated TSF 2'!CV144</f>
        <v>31527.427073551698</v>
      </c>
      <c r="T144" s="882">
        <f>'Corrected and Updated TSF 2'!CW144</f>
        <v>40726.373767867095</v>
      </c>
      <c r="U144" s="882">
        <f>'Corrected and Updated TSF 2'!CX144</f>
        <v>69454.962999521085</v>
      </c>
      <c r="V144" s="1167">
        <f>'Corrected and Updated TSF 2'!CY144</f>
        <v>284934.64153425989</v>
      </c>
      <c r="W144" s="1167">
        <f>'Corrected and Updated TSF 2'!CZ144</f>
        <v>112747.24965877863</v>
      </c>
      <c r="X144" s="1233">
        <f>'Corrected and Updated TSF 2'!DA144</f>
        <v>81435.741567298086</v>
      </c>
      <c r="Y144" s="1233">
        <f>'Corrected and Updated TSF 2'!DB144</f>
        <v>61976.348440622212</v>
      </c>
      <c r="Z144" s="885">
        <f>H144-'Corrected and Updated TSF 2'!CH144</f>
        <v>0</v>
      </c>
      <c r="AA144" s="885">
        <f>I144-SUM('Corrected and Updated TSF 2'!CJ144:CK144)</f>
        <v>0</v>
      </c>
      <c r="AB144" s="885">
        <f>J144-'Corrected and Updated TSF 2'!CL144</f>
        <v>0</v>
      </c>
      <c r="AC144" s="886">
        <f>K144-'Corrected and Updated TSF 2'!CM144</f>
        <v>0</v>
      </c>
      <c r="AD144" s="885">
        <f>M144-'Corrected and Updated TSF 2'!CO144</f>
        <v>0</v>
      </c>
      <c r="AE144" s="887">
        <f>P144-'Corrected and Updated TSF 2'!CR144</f>
        <v>0</v>
      </c>
      <c r="AF144" s="885">
        <f>Q144-'Corrected and Updated TSF 2'!CT144</f>
        <v>0</v>
      </c>
      <c r="AG144" s="888"/>
      <c r="AH144" s="888"/>
      <c r="AI144" s="885">
        <f>S144-'INTERNAL PRICELIST'!AA144</f>
        <v>10799.841446980547</v>
      </c>
      <c r="AJ144" s="885">
        <f>T144-'INTERNAL PRICELIST'!AB144</f>
        <v>13950.976005010929</v>
      </c>
      <c r="AK144" s="885">
        <f>U144-'INTERNAL PRICELIST'!AC144</f>
        <v>23792.06476270542</v>
      </c>
    </row>
    <row r="145" spans="1:45" s="152" customFormat="1" ht="12.75" hidden="1" customHeight="1">
      <c r="A145" s="876" t="str">
        <f t="shared" si="2"/>
        <v>9P</v>
      </c>
      <c r="B145" s="877" t="str">
        <f>'Corrected and Updated TSF 2'!FI145</f>
        <v>SOLD</v>
      </c>
      <c r="C145" s="878" t="str">
        <f>'Corrected and Updated TSF 2'!E145</f>
        <v>9th Floor</v>
      </c>
      <c r="D145" s="763" t="str">
        <f>'Corrected and Updated TSF 2'!M145</f>
        <v>Inner</v>
      </c>
      <c r="E145" s="763" t="str">
        <f>'Corrected and Updated TSF 2'!G145</f>
        <v>9P</v>
      </c>
      <c r="F145" s="747" t="str">
        <f>'Corrected and Updated TSF 2'!I145</f>
        <v>Studio</v>
      </c>
      <c r="G145" s="879">
        <f>'Corrected and Updated TSF 2'!J145</f>
        <v>22</v>
      </c>
      <c r="H145" s="879">
        <f>'Corrected and Updated TSF 2'!CH145</f>
        <v>3524133.4656456471</v>
      </c>
      <c r="I145" s="879">
        <f>SUM('Corrected and Updated TSF 2'!CJ145:CK145)</f>
        <v>484568.35152627644</v>
      </c>
      <c r="J145" s="879">
        <f>'Corrected and Updated TSF 2'!CL145</f>
        <v>4008701.8171719238</v>
      </c>
      <c r="K145" s="880">
        <f>'Corrected and Updated TSF 2'!CM145</f>
        <v>0.125</v>
      </c>
      <c r="L145" s="879">
        <f>'Corrected and Updated TSF 2'!CN145</f>
        <v>501087.72714649048</v>
      </c>
      <c r="M145" s="879">
        <f>'Corrected and Updated TSF 2'!CO145</f>
        <v>30000</v>
      </c>
      <c r="N145" s="879">
        <f>'Corrected and Updated TSF 2'!CP145</f>
        <v>471087.72714649048</v>
      </c>
      <c r="O145" s="881">
        <f>'Corrected and Updated TSF 2'!CQ145</f>
        <v>13</v>
      </c>
      <c r="P145" s="879">
        <f>'Corrected and Updated TSF 2'!CR145</f>
        <v>36237.517472806961</v>
      </c>
      <c r="Q145" s="879">
        <f>'Corrected and Updated TSF 2'!CT145</f>
        <v>3507614.0900254333</v>
      </c>
      <c r="R145" s="879">
        <f>'Corrected and Updated TSF 2'!CU145</f>
        <v>27194.494705584857</v>
      </c>
      <c r="S145" s="879">
        <f>'Corrected and Updated TSF 2'!CV145</f>
        <v>31527.427073551698</v>
      </c>
      <c r="T145" s="882">
        <f>'Corrected and Updated TSF 2'!CW145</f>
        <v>40726.373767867095</v>
      </c>
      <c r="U145" s="882">
        <f>'Corrected and Updated TSF 2'!CX145</f>
        <v>69454.962999521085</v>
      </c>
      <c r="V145" s="1167">
        <f>'Corrected and Updated TSF 2'!CY145</f>
        <v>284934.64153425989</v>
      </c>
      <c r="W145" s="1167">
        <f>'Corrected and Updated TSF 2'!CZ145</f>
        <v>112747.24965877863</v>
      </c>
      <c r="X145" s="1233">
        <f>'Corrected and Updated TSF 2'!DA145</f>
        <v>81435.741567298086</v>
      </c>
      <c r="Y145" s="1233">
        <f>'Corrected and Updated TSF 2'!DB145</f>
        <v>61976.348440622212</v>
      </c>
      <c r="Z145" s="885">
        <f>H145-'Corrected and Updated TSF 2'!CH145</f>
        <v>0</v>
      </c>
      <c r="AA145" s="885">
        <f>I145-SUM('Corrected and Updated TSF 2'!CJ145:CK145)</f>
        <v>0</v>
      </c>
      <c r="AB145" s="885">
        <f>J145-'Corrected and Updated TSF 2'!CL145</f>
        <v>0</v>
      </c>
      <c r="AC145" s="886">
        <f>K145-'Corrected and Updated TSF 2'!CM145</f>
        <v>0</v>
      </c>
      <c r="AD145" s="885">
        <f>M145-'Corrected and Updated TSF 2'!CO145</f>
        <v>0</v>
      </c>
      <c r="AE145" s="887">
        <f>P145-'Corrected and Updated TSF 2'!CR145</f>
        <v>0</v>
      </c>
      <c r="AF145" s="885">
        <f>Q145-'Corrected and Updated TSF 2'!CT145</f>
        <v>0</v>
      </c>
      <c r="AG145" s="888"/>
      <c r="AH145" s="888"/>
      <c r="AI145" s="885">
        <f>S145-'INTERNAL PRICELIST'!AA145</f>
        <v>10799.841446980547</v>
      </c>
      <c r="AJ145" s="885">
        <f>T145-'INTERNAL PRICELIST'!AB145</f>
        <v>13950.976005010929</v>
      </c>
      <c r="AK145" s="885">
        <f>U145-'INTERNAL PRICELIST'!AC145</f>
        <v>23792.06476270542</v>
      </c>
    </row>
    <row r="146" spans="1:45" s="152" customFormat="1" ht="12.75" hidden="1" customHeight="1">
      <c r="A146" s="876" t="str">
        <f t="shared" si="2"/>
        <v>9Q</v>
      </c>
      <c r="B146" s="877" t="str">
        <f>'Corrected and Updated TSF 2'!FI146</f>
        <v>SOLD</v>
      </c>
      <c r="C146" s="878" t="str">
        <f>'Corrected and Updated TSF 2'!E146</f>
        <v>9th Floor</v>
      </c>
      <c r="D146" s="763" t="str">
        <f>'Corrected and Updated TSF 2'!M146</f>
        <v>Inner</v>
      </c>
      <c r="E146" s="763" t="str">
        <f>'Corrected and Updated TSF 2'!G146</f>
        <v>9Q</v>
      </c>
      <c r="F146" s="747" t="str">
        <f>'Corrected and Updated TSF 2'!I146</f>
        <v>Studio</v>
      </c>
      <c r="G146" s="879">
        <f>'Corrected and Updated TSF 2'!J146</f>
        <v>22</v>
      </c>
      <c r="H146" s="879">
        <f>'Corrected and Updated TSF 2'!CH146</f>
        <v>3524133.4656456471</v>
      </c>
      <c r="I146" s="879">
        <f>SUM('Corrected and Updated TSF 2'!CJ146:CK146)</f>
        <v>484568.35152627644</v>
      </c>
      <c r="J146" s="879">
        <f>'Corrected and Updated TSF 2'!CL146</f>
        <v>4008701.8171719238</v>
      </c>
      <c r="K146" s="880">
        <f>'Corrected and Updated TSF 2'!CM146</f>
        <v>0.125</v>
      </c>
      <c r="L146" s="879">
        <f>'Corrected and Updated TSF 2'!CN146</f>
        <v>501087.72714649048</v>
      </c>
      <c r="M146" s="879">
        <f>'Corrected and Updated TSF 2'!CO146</f>
        <v>30000</v>
      </c>
      <c r="N146" s="879">
        <f>'Corrected and Updated TSF 2'!CP146</f>
        <v>471087.72714649048</v>
      </c>
      <c r="O146" s="881">
        <f>'Corrected and Updated TSF 2'!CQ146</f>
        <v>13</v>
      </c>
      <c r="P146" s="879">
        <f>'Corrected and Updated TSF 2'!CR146</f>
        <v>36237.517472806961</v>
      </c>
      <c r="Q146" s="879">
        <f>'Corrected and Updated TSF 2'!CT146</f>
        <v>3507614.0900254333</v>
      </c>
      <c r="R146" s="879">
        <f>'Corrected and Updated TSF 2'!CU146</f>
        <v>27194.494705584857</v>
      </c>
      <c r="S146" s="879">
        <f>'Corrected and Updated TSF 2'!CV146</f>
        <v>31527.427073551698</v>
      </c>
      <c r="T146" s="882">
        <f>'Corrected and Updated TSF 2'!CW146</f>
        <v>40726.373767867095</v>
      </c>
      <c r="U146" s="882">
        <f>'Corrected and Updated TSF 2'!CX146</f>
        <v>69454.962999521085</v>
      </c>
      <c r="V146" s="1167">
        <f>'Corrected and Updated TSF 2'!CY146</f>
        <v>284934.64153425989</v>
      </c>
      <c r="W146" s="1167">
        <f>'Corrected and Updated TSF 2'!CZ146</f>
        <v>112747.24965877863</v>
      </c>
      <c r="X146" s="1233">
        <f>'Corrected and Updated TSF 2'!DA146</f>
        <v>81435.741567298086</v>
      </c>
      <c r="Y146" s="1233">
        <f>'Corrected and Updated TSF 2'!DB146</f>
        <v>61976.348440622212</v>
      </c>
      <c r="Z146" s="885">
        <f>H146-'Corrected and Updated TSF 2'!CH146</f>
        <v>0</v>
      </c>
      <c r="AA146" s="885">
        <f>I146-SUM('Corrected and Updated TSF 2'!CJ146:CK146)</f>
        <v>0</v>
      </c>
      <c r="AB146" s="885">
        <f>J146-'Corrected and Updated TSF 2'!CL146</f>
        <v>0</v>
      </c>
      <c r="AC146" s="886">
        <f>K146-'Corrected and Updated TSF 2'!CM146</f>
        <v>0</v>
      </c>
      <c r="AD146" s="885">
        <f>M146-'Corrected and Updated TSF 2'!CO146</f>
        <v>0</v>
      </c>
      <c r="AE146" s="887">
        <f>P146-'Corrected and Updated TSF 2'!CR146</f>
        <v>0</v>
      </c>
      <c r="AF146" s="885">
        <f>Q146-'Corrected and Updated TSF 2'!CT146</f>
        <v>0</v>
      </c>
      <c r="AG146" s="888"/>
      <c r="AH146" s="888"/>
      <c r="AI146" s="885">
        <f>S146-'INTERNAL PRICELIST'!AA146</f>
        <v>10799.841446980547</v>
      </c>
      <c r="AJ146" s="885">
        <f>T146-'INTERNAL PRICELIST'!AB146</f>
        <v>13950.976005010929</v>
      </c>
      <c r="AK146" s="885">
        <f>U146-'INTERNAL PRICELIST'!AC146</f>
        <v>23792.06476270542</v>
      </c>
    </row>
    <row r="147" spans="1:45" s="152" customFormat="1" ht="12.75" hidden="1" customHeight="1">
      <c r="A147" s="876" t="str">
        <f t="shared" si="2"/>
        <v>9R</v>
      </c>
      <c r="B147" s="877" t="str">
        <f>'Corrected and Updated TSF 2'!FI147</f>
        <v>SOLD</v>
      </c>
      <c r="C147" s="878" t="str">
        <f>'Corrected and Updated TSF 2'!E147</f>
        <v>9th Floor</v>
      </c>
      <c r="D147" s="763" t="str">
        <f>'Corrected and Updated TSF 2'!M147</f>
        <v>Corner</v>
      </c>
      <c r="E147" s="763" t="str">
        <f>'Corrected and Updated TSF 2'!G147</f>
        <v>9R</v>
      </c>
      <c r="F147" s="747" t="str">
        <f>'Corrected and Updated TSF 2'!I147</f>
        <v>Studio</v>
      </c>
      <c r="G147" s="879">
        <f>'Corrected and Updated TSF 2'!J147</f>
        <v>22</v>
      </c>
      <c r="H147" s="879">
        <f>'Corrected and Updated TSF 2'!CH147</f>
        <v>3599023.487500017</v>
      </c>
      <c r="I147" s="879">
        <f>SUM('Corrected and Updated TSF 2'!CJ147:CK147)</f>
        <v>494865.72953125229</v>
      </c>
      <c r="J147" s="879">
        <f>'Corrected and Updated TSF 2'!CL147</f>
        <v>4093889.2170312693</v>
      </c>
      <c r="K147" s="880">
        <f>'Corrected and Updated TSF 2'!CM147</f>
        <v>0.125</v>
      </c>
      <c r="L147" s="879">
        <f>'Corrected and Updated TSF 2'!CN147</f>
        <v>511736.15212890867</v>
      </c>
      <c r="M147" s="879">
        <f>'Corrected and Updated TSF 2'!CO147</f>
        <v>30000</v>
      </c>
      <c r="N147" s="879">
        <f>'Corrected and Updated TSF 2'!CP147</f>
        <v>481736.15212890867</v>
      </c>
      <c r="O147" s="881">
        <f>'Corrected and Updated TSF 2'!CQ147</f>
        <v>13</v>
      </c>
      <c r="P147" s="879">
        <f>'Corrected and Updated TSF 2'!CR147</f>
        <v>37056.627086839129</v>
      </c>
      <c r="Q147" s="879">
        <f>'Corrected and Updated TSF 2'!CT147</f>
        <v>3582153.0649023606</v>
      </c>
      <c r="R147" s="879">
        <f>'Corrected and Updated TSF 2'!CU147</f>
        <v>27772.394584426893</v>
      </c>
      <c r="S147" s="879">
        <f>'Corrected and Updated TSF 2'!CV147</f>
        <v>32197.404452549104</v>
      </c>
      <c r="T147" s="882">
        <f>'Corrected and Updated TSF 2'!CW147</f>
        <v>41591.834469414622</v>
      </c>
      <c r="U147" s="882">
        <f>'Corrected and Updated TSF 2'!CX147</f>
        <v>70930.924040053244</v>
      </c>
      <c r="V147" s="1167">
        <f>'Corrected and Updated TSF 2'!CY147</f>
        <v>290989.67938670918</v>
      </c>
      <c r="W147" s="1167">
        <f>'Corrected and Updated TSF 2'!CZ147</f>
        <v>115143.19864121001</v>
      </c>
      <c r="X147" s="1233">
        <f>'Corrected and Updated TSF 2'!DA147</f>
        <v>83166.301583016568</v>
      </c>
      <c r="Y147" s="1233">
        <f>'Corrected and Updated TSF 2'!DB147</f>
        <v>63293.384283452273</v>
      </c>
      <c r="Z147" s="885">
        <f>H147-'Corrected and Updated TSF 2'!CH147</f>
        <v>0</v>
      </c>
      <c r="AA147" s="885">
        <f>I147-SUM('Corrected and Updated TSF 2'!CJ147:CK147)</f>
        <v>0</v>
      </c>
      <c r="AB147" s="885">
        <f>J147-'Corrected and Updated TSF 2'!CL147</f>
        <v>0</v>
      </c>
      <c r="AC147" s="886">
        <f>K147-'Corrected and Updated TSF 2'!CM147</f>
        <v>0</v>
      </c>
      <c r="AD147" s="885">
        <f>M147-'Corrected and Updated TSF 2'!CO147</f>
        <v>0</v>
      </c>
      <c r="AE147" s="887">
        <f>P147-'Corrected and Updated TSF 2'!CR147</f>
        <v>0</v>
      </c>
      <c r="AF147" s="885">
        <f>Q147-'Corrected and Updated TSF 2'!CT147</f>
        <v>0</v>
      </c>
      <c r="AG147" s="888"/>
      <c r="AH147" s="888"/>
      <c r="AI147" s="885">
        <f>S147-'INTERNAL PRICELIST'!AA147</f>
        <v>11469.818825977953</v>
      </c>
      <c r="AJ147" s="885">
        <f>T147-'INTERNAL PRICELIST'!AB147</f>
        <v>14816.436706558456</v>
      </c>
      <c r="AK147" s="885">
        <f>U147-'INTERNAL PRICELIST'!AC147</f>
        <v>25268.025803237579</v>
      </c>
    </row>
    <row r="148" spans="1:45" s="152" customFormat="1">
      <c r="A148" s="876" t="str">
        <f t="shared" si="2"/>
        <v>10A</v>
      </c>
      <c r="B148" s="877" t="str">
        <f>'Corrected and Updated TSF 2'!FI148</f>
        <v>UNSOLD</v>
      </c>
      <c r="C148" s="1002" t="str">
        <f>'Corrected and Updated TSF 2'!E148</f>
        <v>10th Floor</v>
      </c>
      <c r="D148" s="1003" t="str">
        <f>'Corrected and Updated TSF 2'!M148</f>
        <v>End</v>
      </c>
      <c r="E148" s="1003" t="str">
        <f>'Corrected and Updated TSF 2'!G148</f>
        <v>10A</v>
      </c>
      <c r="F148" s="1004" t="str">
        <f>'Corrected and Updated TSF 2'!I148</f>
        <v>Studio</v>
      </c>
      <c r="G148" s="1005">
        <f>'Corrected and Updated TSF 2'!J148</f>
        <v>22</v>
      </c>
      <c r="H148" s="1005">
        <f>'Corrected and Updated TSF 2'!CH148</f>
        <v>3708428.2251252332</v>
      </c>
      <c r="I148" s="1005">
        <f>SUM('Corrected and Updated TSF 2'!CJ148:CK148)</f>
        <v>509908.8809547195</v>
      </c>
      <c r="J148" s="1005">
        <f>'Corrected and Updated TSF 2'!CL148</f>
        <v>4218337.1060799528</v>
      </c>
      <c r="K148" s="1006">
        <f>'Corrected and Updated TSF 2'!CM148</f>
        <v>0.125</v>
      </c>
      <c r="L148" s="1005">
        <f>'Corrected and Updated TSF 2'!CN148</f>
        <v>527292.1382599941</v>
      </c>
      <c r="M148" s="1005">
        <f>'Corrected and Updated TSF 2'!CO148</f>
        <v>30000</v>
      </c>
      <c r="N148" s="1005">
        <f>'Corrected and Updated TSF 2'!CP148</f>
        <v>497292.1382599941</v>
      </c>
      <c r="O148" s="1007">
        <f>'Corrected and Updated TSF 2'!CQ148</f>
        <v>14</v>
      </c>
      <c r="P148" s="1005">
        <f>'Corrected and Updated TSF 2'!CR148</f>
        <v>35520.867018571007</v>
      </c>
      <c r="Q148" s="1005">
        <f>'Corrected and Updated TSF 2'!CT148</f>
        <v>3691044.9678199589</v>
      </c>
      <c r="R148" s="1005">
        <f>'Corrected and Updated TSF 2'!CU148</f>
        <v>28616.632348722174</v>
      </c>
      <c r="S148" s="1005">
        <f>'Corrected and Updated TSF 2'!CV148</f>
        <v>33176.155660641656</v>
      </c>
      <c r="T148" s="882">
        <f>'Corrected and Updated TSF 2'!CW148</f>
        <v>42856.161794113061</v>
      </c>
      <c r="U148" s="882">
        <f>'Corrected and Updated TSF 2'!CX148</f>
        <v>73087.114229161074</v>
      </c>
      <c r="V148" s="1167">
        <f>'Corrected and Updated TSF 2'!CY148</f>
        <v>299835.31477517466</v>
      </c>
      <c r="W148" s="1167">
        <f>'Corrected and Updated TSF 2'!CZ148</f>
        <v>118643.37347486192</v>
      </c>
      <c r="X148" s="1233">
        <f>'Corrected and Updated TSF 2'!DA148</f>
        <v>85694.428291706034</v>
      </c>
      <c r="Y148" s="1233">
        <f>'Corrected and Updated TSF 2'!DB148</f>
        <v>65217.405097707386</v>
      </c>
      <c r="Z148" s="885">
        <f>H148-'Corrected and Updated TSF 2'!CH148</f>
        <v>0</v>
      </c>
      <c r="AA148" s="885">
        <f>I148-SUM('Corrected and Updated TSF 2'!CJ148:CK148)</f>
        <v>0</v>
      </c>
      <c r="AB148" s="885">
        <f>J148-'Corrected and Updated TSF 2'!CL148</f>
        <v>0</v>
      </c>
      <c r="AC148" s="886">
        <f>K148-'Corrected and Updated TSF 2'!CM148</f>
        <v>0</v>
      </c>
      <c r="AD148" s="885">
        <f>M148-'Corrected and Updated TSF 2'!CO148</f>
        <v>0</v>
      </c>
      <c r="AE148" s="887">
        <f>P148-'Corrected and Updated TSF 2'!CR148</f>
        <v>0</v>
      </c>
      <c r="AF148" s="885">
        <f>Q148-'Corrected and Updated TSF 2'!CT148</f>
        <v>0</v>
      </c>
      <c r="AG148" s="888"/>
      <c r="AH148" s="888"/>
      <c r="AI148" s="885">
        <f>S148-'INTERNAL PRICELIST'!AA148</f>
        <v>12448.570034070504</v>
      </c>
      <c r="AJ148" s="885">
        <f>T148-'INTERNAL PRICELIST'!AB148</f>
        <v>16080.764031256895</v>
      </c>
      <c r="AK148" s="885">
        <f>U148-'INTERNAL PRICELIST'!AC148</f>
        <v>27424.215992345409</v>
      </c>
    </row>
    <row r="149" spans="1:45" s="152" customFormat="1" ht="12.75" hidden="1" customHeight="1">
      <c r="A149" s="876" t="str">
        <f t="shared" si="2"/>
        <v>10B</v>
      </c>
      <c r="B149" s="877" t="str">
        <f>'Corrected and Updated TSF 2'!FI149</f>
        <v>SOLD</v>
      </c>
      <c r="C149" s="878" t="str">
        <f>'Corrected and Updated TSF 2'!E149</f>
        <v>10th Floor</v>
      </c>
      <c r="D149" s="763" t="str">
        <f>'Corrected and Updated TSF 2'!M149</f>
        <v>Inner</v>
      </c>
      <c r="E149" s="763" t="str">
        <f>'Corrected and Updated TSF 2'!G149</f>
        <v>10B</v>
      </c>
      <c r="F149" s="747" t="str">
        <f>'Corrected and Updated TSF 2'!I149</f>
        <v>Studio</v>
      </c>
      <c r="G149" s="879">
        <f>'Corrected and Updated TSF 2'!J149</f>
        <v>22</v>
      </c>
      <c r="H149" s="879">
        <f>'Corrected and Updated TSF 2'!CH149</f>
        <v>3551366.2008654187</v>
      </c>
      <c r="I149" s="879">
        <f>SUM('Corrected and Updated TSF 2'!CJ149:CK149)</f>
        <v>488312.85261899506</v>
      </c>
      <c r="J149" s="879">
        <f>'Corrected and Updated TSF 2'!CL149</f>
        <v>4039679.0534844138</v>
      </c>
      <c r="K149" s="880">
        <f>'Corrected and Updated TSF 2'!CM149</f>
        <v>0.125</v>
      </c>
      <c r="L149" s="879">
        <f>'Corrected and Updated TSF 2'!CN149</f>
        <v>504959.88168555172</v>
      </c>
      <c r="M149" s="879">
        <f>'Corrected and Updated TSF 2'!CO149</f>
        <v>30000</v>
      </c>
      <c r="N149" s="879">
        <f>'Corrected and Updated TSF 2'!CP149</f>
        <v>474959.88168555172</v>
      </c>
      <c r="O149" s="881">
        <f>'Corrected and Updated TSF 2'!CQ149</f>
        <v>14</v>
      </c>
      <c r="P149" s="879">
        <f>'Corrected and Updated TSF 2'!CR149</f>
        <v>33925.705834682267</v>
      </c>
      <c r="Q149" s="879">
        <f>'Corrected and Updated TSF 2'!CT149</f>
        <v>3534719.1717988621</v>
      </c>
      <c r="R149" s="879">
        <f>'Corrected and Updated TSF 2'!CU149</f>
        <v>27404.640116072878</v>
      </c>
      <c r="S149" s="879">
        <f>'Corrected and Updated TSF 2'!CV149</f>
        <v>31771.055211368941</v>
      </c>
      <c r="T149" s="882">
        <f>'Corrected and Updated TSF 2'!CW149</f>
        <v>41041.086750248025</v>
      </c>
      <c r="U149" s="882">
        <f>'Corrected and Updated TSF 2'!CX149</f>
        <v>69991.676105169143</v>
      </c>
      <c r="V149" s="1167">
        <f>'Corrected and Updated TSF 2'!CY149</f>
        <v>287136.47348060511</v>
      </c>
      <c r="W149" s="1167">
        <f>'Corrected and Updated TSF 2'!CZ149</f>
        <v>113618.50383420824</v>
      </c>
      <c r="X149" s="1233">
        <f>'Corrected and Updated TSF 2'!DA149</f>
        <v>82065.036118468444</v>
      </c>
      <c r="Y149" s="1233">
        <f>'Corrected and Updated TSF 2'!DB149</f>
        <v>62455.270565287698</v>
      </c>
      <c r="Z149" s="885">
        <f>H149-'Corrected and Updated TSF 2'!CH149</f>
        <v>0</v>
      </c>
      <c r="AA149" s="885">
        <f>I149-SUM('Corrected and Updated TSF 2'!CJ149:CK149)</f>
        <v>0</v>
      </c>
      <c r="AB149" s="885">
        <f>J149-'Corrected and Updated TSF 2'!CL149</f>
        <v>0</v>
      </c>
      <c r="AC149" s="886">
        <f>K149-'Corrected and Updated TSF 2'!CM149</f>
        <v>0</v>
      </c>
      <c r="AD149" s="885">
        <f>M149-'Corrected and Updated TSF 2'!CO149</f>
        <v>0</v>
      </c>
      <c r="AE149" s="887">
        <f>P149-'Corrected and Updated TSF 2'!CR149</f>
        <v>0</v>
      </c>
      <c r="AF149" s="885">
        <f>Q149-'Corrected and Updated TSF 2'!CT149</f>
        <v>0</v>
      </c>
      <c r="AG149" s="888"/>
      <c r="AH149" s="888"/>
      <c r="AI149" s="885">
        <f>S149-'INTERNAL PRICELIST'!AA149</f>
        <v>11026.073213046075</v>
      </c>
      <c r="AJ149" s="885">
        <f>T149-'INTERNAL PRICELIST'!AB149</f>
        <v>14243.216771781495</v>
      </c>
      <c r="AK149" s="885">
        <f>U149-'INTERNAL PRICELIST'!AC149</f>
        <v>24290.453638638566</v>
      </c>
    </row>
    <row r="150" spans="1:45" s="152" customFormat="1" ht="12.75" customHeight="1">
      <c r="A150" s="876" t="str">
        <f t="shared" si="2"/>
        <v>10C</v>
      </c>
      <c r="B150" s="877" t="str">
        <f>'Corrected and Updated TSF 2'!FI150</f>
        <v>UNSOLD</v>
      </c>
      <c r="C150" s="1002" t="str">
        <f>'Corrected and Updated TSF 2'!E150</f>
        <v>10th Floor</v>
      </c>
      <c r="D150" s="1003" t="str">
        <f>'Corrected and Updated TSF 2'!M150</f>
        <v>End</v>
      </c>
      <c r="E150" s="1003" t="str">
        <f>'Corrected and Updated TSF 2'!G150</f>
        <v>10C</v>
      </c>
      <c r="F150" s="1004" t="str">
        <f>'Corrected and Updated TSF 2'!I150</f>
        <v>Studio</v>
      </c>
      <c r="G150" s="1005">
        <f>'Corrected and Updated TSF 2'!J150</f>
        <v>22</v>
      </c>
      <c r="H150" s="1005">
        <f>'Corrected and Updated TSF 2'!CH150</f>
        <v>3708428.2251252332</v>
      </c>
      <c r="I150" s="1005">
        <f>SUM('Corrected and Updated TSF 2'!CJ150:CK150)</f>
        <v>509908.8809547195</v>
      </c>
      <c r="J150" s="1005">
        <f>'Corrected and Updated TSF 2'!CL150</f>
        <v>4218337.1060799528</v>
      </c>
      <c r="K150" s="1006">
        <f>'Corrected and Updated TSF 2'!CM150</f>
        <v>0.125</v>
      </c>
      <c r="L150" s="1005">
        <f>'Corrected and Updated TSF 2'!CN150</f>
        <v>527292.1382599941</v>
      </c>
      <c r="M150" s="1005">
        <f>'Corrected and Updated TSF 2'!CO150</f>
        <v>30000</v>
      </c>
      <c r="N150" s="1005">
        <f>'Corrected and Updated TSF 2'!CP150</f>
        <v>497292.1382599941</v>
      </c>
      <c r="O150" s="1007">
        <f>'Corrected and Updated TSF 2'!CQ150</f>
        <v>14</v>
      </c>
      <c r="P150" s="1005">
        <f>'Corrected and Updated TSF 2'!CR150</f>
        <v>35520.867018571007</v>
      </c>
      <c r="Q150" s="1005">
        <f>'Corrected and Updated TSF 2'!CT150</f>
        <v>3691044.9678199589</v>
      </c>
      <c r="R150" s="1005">
        <f>'Corrected and Updated TSF 2'!CU150</f>
        <v>28616.632348722174</v>
      </c>
      <c r="S150" s="1005">
        <f>'Corrected and Updated TSF 2'!CV150</f>
        <v>33176.155660641656</v>
      </c>
      <c r="T150" s="882">
        <f>'Corrected and Updated TSF 2'!CW150</f>
        <v>42856.161794113061</v>
      </c>
      <c r="U150" s="882">
        <f>'Corrected and Updated TSF 2'!CX150</f>
        <v>73087.114229161074</v>
      </c>
      <c r="V150" s="1167">
        <f>'Corrected and Updated TSF 2'!CY150</f>
        <v>299835.31477517466</v>
      </c>
      <c r="W150" s="1167">
        <f>'Corrected and Updated TSF 2'!CZ150</f>
        <v>118643.37347486192</v>
      </c>
      <c r="X150" s="1233">
        <f>'Corrected and Updated TSF 2'!DA150</f>
        <v>85694.428291706034</v>
      </c>
      <c r="Y150" s="1233">
        <f>'Corrected and Updated TSF 2'!DB150</f>
        <v>65217.405097707386</v>
      </c>
      <c r="Z150" s="885">
        <f>H150-'Corrected and Updated TSF 2'!CH150</f>
        <v>0</v>
      </c>
      <c r="AA150" s="885">
        <f>I150-SUM('Corrected and Updated TSF 2'!CJ150:CK150)</f>
        <v>0</v>
      </c>
      <c r="AB150" s="885">
        <f>J150-'Corrected and Updated TSF 2'!CL150</f>
        <v>0</v>
      </c>
      <c r="AC150" s="886">
        <f>K150-'Corrected and Updated TSF 2'!CM150</f>
        <v>0</v>
      </c>
      <c r="AD150" s="885">
        <f>M150-'Corrected and Updated TSF 2'!CO150</f>
        <v>0</v>
      </c>
      <c r="AE150" s="887">
        <f>P150-'Corrected and Updated TSF 2'!CR150</f>
        <v>0</v>
      </c>
      <c r="AF150" s="885">
        <f>Q150-'Corrected and Updated TSF 2'!CT150</f>
        <v>0</v>
      </c>
      <c r="AG150" s="888"/>
      <c r="AH150" s="888"/>
      <c r="AI150" s="885">
        <f>S150-'INTERNAL PRICELIST'!AA150</f>
        <v>12448.570034070504</v>
      </c>
      <c r="AJ150" s="885">
        <f>T150-'INTERNAL PRICELIST'!AB150</f>
        <v>16080.764031256895</v>
      </c>
      <c r="AK150" s="885">
        <f>U150-'INTERNAL PRICELIST'!AC150</f>
        <v>27424.215992345409</v>
      </c>
      <c r="AL150" s="883"/>
      <c r="AM150" s="883"/>
      <c r="AN150" s="883"/>
      <c r="AO150" s="883"/>
      <c r="AP150" s="883"/>
      <c r="AQ150" s="883"/>
      <c r="AR150" s="883"/>
      <c r="AS150" s="883"/>
    </row>
    <row r="151" spans="1:45" s="152" customFormat="1" ht="12.75" customHeight="1">
      <c r="A151" s="876" t="str">
        <f t="shared" si="2"/>
        <v>10D</v>
      </c>
      <c r="B151" s="877" t="str">
        <f>'Corrected and Updated TSF 2'!FI151</f>
        <v>UNSOLD</v>
      </c>
      <c r="C151" s="1002" t="str">
        <f>'Corrected and Updated TSF 2'!E151</f>
        <v>10th Floor</v>
      </c>
      <c r="D151" s="1003" t="str">
        <f>'Corrected and Updated TSF 2'!M151</f>
        <v>End</v>
      </c>
      <c r="E151" s="1003" t="str">
        <f>'Corrected and Updated TSF 2'!G151</f>
        <v>10D</v>
      </c>
      <c r="F151" s="1004" t="str">
        <f>'Corrected and Updated TSF 2'!I151</f>
        <v>Studio</v>
      </c>
      <c r="G151" s="1005">
        <f>'Corrected and Updated TSF 2'!J151</f>
        <v>22</v>
      </c>
      <c r="H151" s="1005">
        <f>'Corrected and Updated TSF 2'!CH151</f>
        <v>3639308.6606236333</v>
      </c>
      <c r="I151" s="1005">
        <f>SUM('Corrected and Updated TSF 2'!CJ151:CK151)</f>
        <v>500404.94083574956</v>
      </c>
      <c r="J151" s="1005">
        <f>'Corrected and Updated TSF 2'!CL151</f>
        <v>4139713.6014593826</v>
      </c>
      <c r="K151" s="1006">
        <f>'Corrected and Updated TSF 2'!CM151</f>
        <v>0.125</v>
      </c>
      <c r="L151" s="1005">
        <f>'Corrected and Updated TSF 2'!CN151</f>
        <v>517464.20018242282</v>
      </c>
      <c r="M151" s="1005">
        <f>'Corrected and Updated TSF 2'!CO151</f>
        <v>30000</v>
      </c>
      <c r="N151" s="1005">
        <f>'Corrected and Updated TSF 2'!CP151</f>
        <v>487464.20018242282</v>
      </c>
      <c r="O151" s="1007">
        <f>'Corrected and Updated TSF 2'!CQ151</f>
        <v>14</v>
      </c>
      <c r="P151" s="1005">
        <f>'Corrected and Updated TSF 2'!CR151</f>
        <v>34818.87144160163</v>
      </c>
      <c r="Q151" s="1005">
        <f>'Corrected and Updated TSF 2'!CT151</f>
        <v>3622249.4012769596</v>
      </c>
      <c r="R151" s="1005">
        <f>'Corrected and Updated TSF 2'!CU151</f>
        <v>28083.261053561328</v>
      </c>
      <c r="S151" s="1005">
        <f>'Corrected and Updated TSF 2'!CV151</f>
        <v>32557.801659460089</v>
      </c>
      <c r="T151" s="882">
        <f>'Corrected and Updated TSF 2'!CW151</f>
        <v>42057.386933283931</v>
      </c>
      <c r="U151" s="882">
        <f>'Corrected and Updated TSF 2'!CX151</f>
        <v>71724.879557347303</v>
      </c>
      <c r="V151" s="1167">
        <f>'Corrected and Updated TSF 2'!CY151</f>
        <v>294246.83223719586</v>
      </c>
      <c r="W151" s="1167">
        <f>'Corrected and Updated TSF 2'!CZ151</f>
        <v>116432.03815764509</v>
      </c>
      <c r="X151" s="1233">
        <f>'Corrected and Updated TSF 2'!DA151</f>
        <v>84097.212111652741</v>
      </c>
      <c r="Y151" s="1233">
        <f>'Corrected and Updated TSF 2'!DB151</f>
        <v>64001.85005265168</v>
      </c>
      <c r="Z151" s="885">
        <f>H151-'Corrected and Updated TSF 2'!CH151</f>
        <v>0</v>
      </c>
      <c r="AA151" s="885">
        <f>I151-SUM('Corrected and Updated TSF 2'!CJ151:CK151)</f>
        <v>0</v>
      </c>
      <c r="AB151" s="885">
        <f>J151-'Corrected and Updated TSF 2'!CL151</f>
        <v>0</v>
      </c>
      <c r="AC151" s="886">
        <f>K151-'Corrected and Updated TSF 2'!CM151</f>
        <v>0</v>
      </c>
      <c r="AD151" s="885">
        <f>M151-'Corrected and Updated TSF 2'!CO151</f>
        <v>0</v>
      </c>
      <c r="AE151" s="887">
        <f>P151-'Corrected and Updated TSF 2'!CR151</f>
        <v>0</v>
      </c>
      <c r="AF151" s="885">
        <f>Q151-'Corrected and Updated TSF 2'!CT151</f>
        <v>0</v>
      </c>
      <c r="AG151" s="888"/>
      <c r="AH151" s="888"/>
      <c r="AI151" s="885">
        <f>S151-'INTERNAL PRICELIST'!AA151</f>
        <v>11830.216032888937</v>
      </c>
      <c r="AJ151" s="885">
        <f>T151-'INTERNAL PRICELIST'!AB151</f>
        <v>15281.989170427765</v>
      </c>
      <c r="AK151" s="885">
        <f>U151-'INTERNAL PRICELIST'!AC151</f>
        <v>26061.981320531639</v>
      </c>
      <c r="AL151" s="883"/>
      <c r="AM151" s="883"/>
      <c r="AN151" s="883"/>
      <c r="AO151" s="883"/>
      <c r="AP151" s="883"/>
      <c r="AQ151" s="883"/>
      <c r="AR151" s="883"/>
      <c r="AS151" s="883"/>
    </row>
    <row r="152" spans="1:45" s="152" customFormat="1" ht="12.75" hidden="1" customHeight="1">
      <c r="A152" s="876" t="str">
        <f t="shared" si="2"/>
        <v>10E</v>
      </c>
      <c r="B152" s="877" t="str">
        <f>'Corrected and Updated TSF 2'!FI152</f>
        <v>SOLD</v>
      </c>
      <c r="C152" s="878" t="str">
        <f>'Corrected and Updated TSF 2'!E152</f>
        <v>10th Floor</v>
      </c>
      <c r="D152" s="763" t="str">
        <f>'Corrected and Updated TSF 2'!M152</f>
        <v>End</v>
      </c>
      <c r="E152" s="763" t="str">
        <f>'Corrected and Updated TSF 2'!G152</f>
        <v>10E</v>
      </c>
      <c r="F152" s="747" t="str">
        <f>'Corrected and Updated TSF 2'!I152</f>
        <v>Studio</v>
      </c>
      <c r="G152" s="879">
        <f>'Corrected and Updated TSF 2'!J152</f>
        <v>22</v>
      </c>
      <c r="H152" s="879">
        <f>'Corrected and Updated TSF 2'!CH152</f>
        <v>3581322.2096071658</v>
      </c>
      <c r="I152" s="879">
        <f>SUM('Corrected and Updated TSF 2'!CJ152:CK152)</f>
        <v>492431.80382098531</v>
      </c>
      <c r="J152" s="879">
        <f>'Corrected and Updated TSF 2'!CL152</f>
        <v>4073754.0134281511</v>
      </c>
      <c r="K152" s="880">
        <f>'Corrected and Updated TSF 2'!CM152</f>
        <v>0.125</v>
      </c>
      <c r="L152" s="879">
        <f>'Corrected and Updated TSF 2'!CN152</f>
        <v>509219.25167851889</v>
      </c>
      <c r="M152" s="879">
        <f>'Corrected and Updated TSF 2'!CO152</f>
        <v>30000</v>
      </c>
      <c r="N152" s="879">
        <f>'Corrected and Updated TSF 2'!CP152</f>
        <v>479219.25167851889</v>
      </c>
      <c r="O152" s="881">
        <f>'Corrected and Updated TSF 2'!CQ152</f>
        <v>14</v>
      </c>
      <c r="P152" s="879">
        <f>'Corrected and Updated TSF 2'!CR152</f>
        <v>34229.946548465632</v>
      </c>
      <c r="Q152" s="879">
        <f>'Corrected and Updated TSF 2'!CT152</f>
        <v>3564534.7617496322</v>
      </c>
      <c r="R152" s="879">
        <f>'Corrected and Updated TSF 2'!CU152</f>
        <v>27635.800067609685</v>
      </c>
      <c r="S152" s="879">
        <f>'Corrected and Updated TSF 2'!CV152</f>
        <v>32039.046162967898</v>
      </c>
      <c r="T152" s="882">
        <f>'Corrected and Updated TSF 2'!CW152</f>
        <v>41387.271030867021</v>
      </c>
      <c r="U152" s="882">
        <f>'Corrected and Updated TSF 2'!CX152</f>
        <v>70582.060521381994</v>
      </c>
      <c r="V152" s="1167">
        <f>'Corrected and Updated TSF 2'!CY152</f>
        <v>289558.48862158478</v>
      </c>
      <c r="W152" s="1167">
        <f>'Corrected and Updated TSF 2'!CZ152</f>
        <v>114576.88342718076</v>
      </c>
      <c r="X152" s="1233">
        <f>'Corrected and Updated TSF 2'!DA152</f>
        <v>82757.26012475582</v>
      </c>
      <c r="Y152" s="1233">
        <f>'Corrected and Updated TSF 2'!DB152</f>
        <v>62982.084902419709</v>
      </c>
      <c r="Z152" s="885">
        <f>H152-'Corrected and Updated TSF 2'!CH152</f>
        <v>0</v>
      </c>
      <c r="AA152" s="885">
        <f>I152-SUM('Corrected and Updated TSF 2'!CJ152:CK152)</f>
        <v>0</v>
      </c>
      <c r="AB152" s="885">
        <f>J152-'Corrected and Updated TSF 2'!CL152</f>
        <v>0</v>
      </c>
      <c r="AC152" s="886">
        <f>K152-'Corrected and Updated TSF 2'!CM152</f>
        <v>0</v>
      </c>
      <c r="AD152" s="885">
        <f>M152-'Corrected and Updated TSF 2'!CO152</f>
        <v>0</v>
      </c>
      <c r="AE152" s="887">
        <f>P152-'Corrected and Updated TSF 2'!CR152</f>
        <v>0</v>
      </c>
      <c r="AF152" s="885">
        <f>Q152-'Corrected and Updated TSF 2'!CT152</f>
        <v>0</v>
      </c>
      <c r="AG152" s="888"/>
      <c r="AH152" s="888"/>
      <c r="AI152" s="885">
        <f>S152-'INTERNAL PRICELIST'!AA152</f>
        <v>11311.460536396746</v>
      </c>
      <c r="AJ152" s="885">
        <f>T152-'INTERNAL PRICELIST'!AB152</f>
        <v>14611.873268010855</v>
      </c>
      <c r="AK152" s="885">
        <f>U152-'INTERNAL PRICELIST'!AC152</f>
        <v>24919.16228456633</v>
      </c>
    </row>
    <row r="153" spans="1:45" s="152" customFormat="1" hidden="1">
      <c r="A153" s="876" t="str">
        <f t="shared" si="2"/>
        <v>10F</v>
      </c>
      <c r="B153" s="877" t="str">
        <f>'Corrected and Updated TSF 2'!FI153</f>
        <v>SOLD</v>
      </c>
      <c r="C153" s="1002" t="str">
        <f>'Corrected and Updated TSF 2'!E153</f>
        <v>10th Floor</v>
      </c>
      <c r="D153" s="1003" t="str">
        <f>'Corrected and Updated TSF 2'!M153</f>
        <v>End</v>
      </c>
      <c r="E153" s="1003" t="str">
        <f>'Corrected and Updated TSF 2'!G153</f>
        <v>10F</v>
      </c>
      <c r="F153" s="1004" t="str">
        <f>'Corrected and Updated TSF 2'!I153</f>
        <v>Studio</v>
      </c>
      <c r="G153" s="1005">
        <f>'Corrected and Updated TSF 2'!J153</f>
        <v>22</v>
      </c>
      <c r="H153" s="1005">
        <f>'Corrected and Updated TSF 2'!CH153</f>
        <v>3581322.2096071658</v>
      </c>
      <c r="I153" s="1005">
        <f>SUM('Corrected and Updated TSF 2'!CJ153:CK153)</f>
        <v>492431.80382098531</v>
      </c>
      <c r="J153" s="1005">
        <f>'Corrected and Updated TSF 2'!CL153</f>
        <v>4073754.0134281511</v>
      </c>
      <c r="K153" s="1006">
        <f>'Corrected and Updated TSF 2'!CM153</f>
        <v>0.125</v>
      </c>
      <c r="L153" s="1005">
        <f>'Corrected and Updated TSF 2'!CN153</f>
        <v>509219.25167851889</v>
      </c>
      <c r="M153" s="1005">
        <f>'Corrected and Updated TSF 2'!CO153</f>
        <v>30000</v>
      </c>
      <c r="N153" s="1005">
        <f>'Corrected and Updated TSF 2'!CP153</f>
        <v>479219.25167851889</v>
      </c>
      <c r="O153" s="1007">
        <f>'Corrected and Updated TSF 2'!CQ153</f>
        <v>14</v>
      </c>
      <c r="P153" s="1005">
        <f>'Corrected and Updated TSF 2'!CR153</f>
        <v>34229.946548465632</v>
      </c>
      <c r="Q153" s="1005">
        <f>'Corrected and Updated TSF 2'!CT153</f>
        <v>3564534.7617496322</v>
      </c>
      <c r="R153" s="1005">
        <f>'Corrected and Updated TSF 2'!CU153</f>
        <v>27635.800067609685</v>
      </c>
      <c r="S153" s="1005">
        <f>'Corrected and Updated TSF 2'!CV153</f>
        <v>32039.046162967898</v>
      </c>
      <c r="T153" s="882">
        <f>'Corrected and Updated TSF 2'!CW153</f>
        <v>41387.271030867021</v>
      </c>
      <c r="U153" s="882">
        <f>'Corrected and Updated TSF 2'!CX153</f>
        <v>70582.060521381994</v>
      </c>
      <c r="V153" s="1167">
        <f>'Corrected and Updated TSF 2'!CY153</f>
        <v>289558.48862158478</v>
      </c>
      <c r="W153" s="1167">
        <f>'Corrected and Updated TSF 2'!CZ153</f>
        <v>114576.88342718076</v>
      </c>
      <c r="X153" s="1233">
        <f>'Corrected and Updated TSF 2'!DA153</f>
        <v>82757.26012475582</v>
      </c>
      <c r="Y153" s="1233">
        <f>'Corrected and Updated TSF 2'!DB153</f>
        <v>62982.084902419709</v>
      </c>
      <c r="Z153" s="885">
        <f>H153-'Corrected and Updated TSF 2'!CH153</f>
        <v>0</v>
      </c>
      <c r="AA153" s="885">
        <f>I153-SUM('Corrected and Updated TSF 2'!CJ153:CK153)</f>
        <v>0</v>
      </c>
      <c r="AB153" s="885">
        <f>J153-'Corrected and Updated TSF 2'!CL153</f>
        <v>0</v>
      </c>
      <c r="AC153" s="886">
        <f>K153-'Corrected and Updated TSF 2'!CM153</f>
        <v>0</v>
      </c>
      <c r="AD153" s="885">
        <f>M153-'Corrected and Updated TSF 2'!CO153</f>
        <v>0</v>
      </c>
      <c r="AE153" s="887">
        <f>P153-'Corrected and Updated TSF 2'!CR153</f>
        <v>0</v>
      </c>
      <c r="AF153" s="885">
        <f>Q153-'Corrected and Updated TSF 2'!CT153</f>
        <v>0</v>
      </c>
      <c r="AG153" s="888"/>
      <c r="AH153" s="888"/>
      <c r="AI153" s="885">
        <f>S153-'INTERNAL PRICELIST'!AA153</f>
        <v>11311.460536396746</v>
      </c>
      <c r="AJ153" s="885">
        <f>T153-'INTERNAL PRICELIST'!AB153</f>
        <v>14611.873268010855</v>
      </c>
      <c r="AK153" s="885">
        <f>U153-'INTERNAL PRICELIST'!AC153</f>
        <v>24919.16228456633</v>
      </c>
      <c r="AL153" s="883"/>
      <c r="AM153" s="883"/>
      <c r="AN153" s="883"/>
      <c r="AO153" s="883"/>
      <c r="AP153" s="883"/>
      <c r="AQ153" s="883"/>
      <c r="AR153" s="883"/>
      <c r="AS153" s="883"/>
    </row>
    <row r="154" spans="1:45" s="152" customFormat="1" ht="12.75" hidden="1" customHeight="1">
      <c r="A154" s="876" t="str">
        <f t="shared" si="2"/>
        <v>10G</v>
      </c>
      <c r="B154" s="877" t="str">
        <f>'Corrected and Updated TSF 2'!FI154</f>
        <v>SOLD</v>
      </c>
      <c r="C154" s="1002" t="str">
        <f>'Corrected and Updated TSF 2'!E154</f>
        <v>10th Floor</v>
      </c>
      <c r="D154" s="1003" t="str">
        <f>'Corrected and Updated TSF 2'!M154</f>
        <v>Corner</v>
      </c>
      <c r="E154" s="1003" t="str">
        <f>'Corrected and Updated TSF 2'!G154</f>
        <v>10G</v>
      </c>
      <c r="F154" s="1004" t="str">
        <f>'Corrected and Updated TSF 2'!I154</f>
        <v>Studio</v>
      </c>
      <c r="G154" s="1005">
        <f>'Corrected and Updated TSF 2'!J154</f>
        <v>22</v>
      </c>
      <c r="H154" s="1005">
        <f>'Corrected and Updated TSF 2'!CH154</f>
        <v>3626256.2227197876</v>
      </c>
      <c r="I154" s="1005">
        <f>SUM('Corrected and Updated TSF 2'!CJ154:CK154)</f>
        <v>498610.23062397074</v>
      </c>
      <c r="J154" s="1005">
        <f>'Corrected and Updated TSF 2'!CL154</f>
        <v>4560017.2000701325</v>
      </c>
      <c r="K154" s="1006">
        <f>'Corrected and Updated TSF 2'!CM154</f>
        <v>0.125</v>
      </c>
      <c r="L154" s="1005">
        <f>'Corrected and Updated TSF 2'!CN154</f>
        <v>570002.15000876656</v>
      </c>
      <c r="M154" s="1005">
        <f>'Corrected and Updated TSF 2'!CO154</f>
        <v>30000</v>
      </c>
      <c r="N154" s="1005">
        <f>'Corrected and Updated TSF 2'!CP154</f>
        <v>540002.15000876656</v>
      </c>
      <c r="O154" s="1007">
        <f>'Corrected and Updated TSF 2'!CQ154</f>
        <v>14</v>
      </c>
      <c r="P154" s="1005">
        <f>'Corrected and Updated TSF 2'!CR154</f>
        <v>38571.582143483327</v>
      </c>
      <c r="Q154" s="1005">
        <f>'Corrected and Updated TSF 2'!CT154</f>
        <v>3990015.0500613661</v>
      </c>
      <c r="R154" s="1005">
        <f>'Corrected and Updated TSF 2'!CU154</f>
        <v>30934.544214158675</v>
      </c>
      <c r="S154" s="1005">
        <f>'Corrected and Updated TSF 2'!CV154</f>
        <v>35863.383281218179</v>
      </c>
      <c r="T154" s="882">
        <f>'Corrected and Updated TSF 2'!CW154</f>
        <v>46327.457952204735</v>
      </c>
      <c r="U154" s="882">
        <f>'Corrected and Updated TSF 2'!CX154</f>
        <v>79007.080185247803</v>
      </c>
      <c r="V154" s="1167">
        <f>'Corrected and Updated TSF 2'!CY154</f>
        <v>324121.60483632161</v>
      </c>
      <c r="W154" s="1167">
        <f>'Corrected and Updated TSF 2'!CZ154</f>
        <v>128253.3401467466</v>
      </c>
      <c r="X154" s="1233">
        <f>'Corrected and Updated TSF 2'!DA154</f>
        <v>92635.571110980251</v>
      </c>
      <c r="Y154" s="1233">
        <f>'Corrected and Updated TSF 2'!DB154</f>
        <v>70499.934336886203</v>
      </c>
      <c r="Z154" s="885">
        <f>H154-'Corrected and Updated TSF 2'!CH154</f>
        <v>0</v>
      </c>
      <c r="AA154" s="885">
        <f>I154-SUM('Corrected and Updated TSF 2'!CJ154:CK154)</f>
        <v>0</v>
      </c>
      <c r="AB154" s="885">
        <f>J154-'Corrected and Updated TSF 2'!CL154</f>
        <v>0</v>
      </c>
      <c r="AC154" s="886">
        <f>K154-'Corrected and Updated TSF 2'!CM154</f>
        <v>0</v>
      </c>
      <c r="AD154" s="885">
        <f>M154-'Corrected and Updated TSF 2'!CO154</f>
        <v>0</v>
      </c>
      <c r="AE154" s="887">
        <f>P154-'Corrected and Updated TSF 2'!CR154</f>
        <v>0</v>
      </c>
      <c r="AF154" s="885">
        <f>Q154-'Corrected and Updated TSF 2'!CT154</f>
        <v>0</v>
      </c>
      <c r="AG154" s="888"/>
      <c r="AH154" s="888"/>
      <c r="AI154" s="885">
        <f>S154-'INTERNAL PRICELIST'!AA154</f>
        <v>15135.797654647027</v>
      </c>
      <c r="AJ154" s="885">
        <f>T154-'INTERNAL PRICELIST'!AB154</f>
        <v>19552.060189348569</v>
      </c>
      <c r="AK154" s="885">
        <f>U154-'INTERNAL PRICELIST'!AC154</f>
        <v>33344.181948432139</v>
      </c>
      <c r="AL154" s="883"/>
      <c r="AM154" s="883"/>
      <c r="AN154" s="883"/>
      <c r="AO154" s="883"/>
      <c r="AP154" s="883"/>
      <c r="AQ154" s="883"/>
      <c r="AR154" s="883"/>
      <c r="AS154" s="883"/>
    </row>
    <row r="155" spans="1:45" s="152" customFormat="1" ht="12.75" hidden="1" customHeight="1">
      <c r="A155" s="876" t="str">
        <f t="shared" si="2"/>
        <v>10H</v>
      </c>
      <c r="B155" s="877" t="str">
        <f>'Corrected and Updated TSF 2'!FI155</f>
        <v>SOLD</v>
      </c>
      <c r="C155" s="878" t="str">
        <f>'Corrected and Updated TSF 2'!E155</f>
        <v>10th Floor</v>
      </c>
      <c r="D155" s="763" t="str">
        <f>'Corrected and Updated TSF 2'!M155</f>
        <v>Corner</v>
      </c>
      <c r="E155" s="763" t="str">
        <f>'Corrected and Updated TSF 2'!G155</f>
        <v>10H</v>
      </c>
      <c r="F155" s="747" t="str">
        <f>'Corrected and Updated TSF 2'!I155</f>
        <v>Studio</v>
      </c>
      <c r="G155" s="879">
        <f>'Corrected and Updated TSF 2'!J155</f>
        <v>22</v>
      </c>
      <c r="H155" s="879">
        <f>'Corrected and Updated TSF 2'!CH155</f>
        <v>3626256.2227197876</v>
      </c>
      <c r="I155" s="879">
        <f>SUM('Corrected and Updated TSF 2'!CJ155:CK155)</f>
        <v>498610.23062397074</v>
      </c>
      <c r="J155" s="879">
        <f>'Corrected and Updated TSF 2'!CL155</f>
        <v>4560017.2000701325</v>
      </c>
      <c r="K155" s="880">
        <f>'Corrected and Updated TSF 2'!CM155</f>
        <v>0.125</v>
      </c>
      <c r="L155" s="879">
        <f>'Corrected and Updated TSF 2'!CN155</f>
        <v>570002.15000876656</v>
      </c>
      <c r="M155" s="879">
        <f>'Corrected and Updated TSF 2'!CO155</f>
        <v>30000</v>
      </c>
      <c r="N155" s="879">
        <f>'Corrected and Updated TSF 2'!CP155</f>
        <v>540002.15000876656</v>
      </c>
      <c r="O155" s="881">
        <f>'Corrected and Updated TSF 2'!CQ155</f>
        <v>14</v>
      </c>
      <c r="P155" s="879">
        <f>'Corrected and Updated TSF 2'!CR155</f>
        <v>38571.582143483327</v>
      </c>
      <c r="Q155" s="879">
        <f>'Corrected and Updated TSF 2'!CT155</f>
        <v>3990015.0500613661</v>
      </c>
      <c r="R155" s="879">
        <f>'Corrected and Updated TSF 2'!CU155</f>
        <v>30934.544214158675</v>
      </c>
      <c r="S155" s="879">
        <f>'Corrected and Updated TSF 2'!CV155</f>
        <v>35863.383281218179</v>
      </c>
      <c r="T155" s="882">
        <f>'Corrected and Updated TSF 2'!CW155</f>
        <v>46327.457952204735</v>
      </c>
      <c r="U155" s="882">
        <f>'Corrected and Updated TSF 2'!CX155</f>
        <v>79007.080185247803</v>
      </c>
      <c r="V155" s="1167">
        <f>'Corrected and Updated TSF 2'!CY155</f>
        <v>324121.60483632161</v>
      </c>
      <c r="W155" s="1167">
        <f>'Corrected and Updated TSF 2'!CZ155</f>
        <v>128253.3401467466</v>
      </c>
      <c r="X155" s="1233">
        <f>'Corrected and Updated TSF 2'!DA155</f>
        <v>92635.571110980251</v>
      </c>
      <c r="Y155" s="1233">
        <f>'Corrected and Updated TSF 2'!DB155</f>
        <v>70499.934336886203</v>
      </c>
      <c r="Z155" s="885">
        <f>H155-'Corrected and Updated TSF 2'!CH155</f>
        <v>0</v>
      </c>
      <c r="AA155" s="885">
        <f>I155-SUM('Corrected and Updated TSF 2'!CJ155:CK155)</f>
        <v>0</v>
      </c>
      <c r="AB155" s="885">
        <f>J155-'Corrected and Updated TSF 2'!CL155</f>
        <v>0</v>
      </c>
      <c r="AC155" s="886">
        <f>K155-'Corrected and Updated TSF 2'!CM155</f>
        <v>0</v>
      </c>
      <c r="AD155" s="885">
        <f>M155-'Corrected and Updated TSF 2'!CO155</f>
        <v>0</v>
      </c>
      <c r="AE155" s="887">
        <f>P155-'Corrected and Updated TSF 2'!CR155</f>
        <v>0</v>
      </c>
      <c r="AF155" s="885">
        <f>Q155-'Corrected and Updated TSF 2'!CT155</f>
        <v>0</v>
      </c>
      <c r="AG155" s="888"/>
      <c r="AH155" s="888"/>
      <c r="AI155" s="885">
        <f>S155-'INTERNAL PRICELIST'!AA155</f>
        <v>15135.797654647027</v>
      </c>
      <c r="AJ155" s="885">
        <f>T155-'INTERNAL PRICELIST'!AB155</f>
        <v>19552.060189348569</v>
      </c>
      <c r="AK155" s="885">
        <f>U155-'INTERNAL PRICELIST'!AC155</f>
        <v>33344.181948432139</v>
      </c>
    </row>
    <row r="156" spans="1:45" s="152" customFormat="1" ht="12.75" hidden="1" customHeight="1">
      <c r="A156" s="876" t="str">
        <f t="shared" si="2"/>
        <v>10I</v>
      </c>
      <c r="B156" s="877" t="str">
        <f>'Corrected and Updated TSF 2'!FI156</f>
        <v>SOLD</v>
      </c>
      <c r="C156" s="878" t="str">
        <f>'Corrected and Updated TSF 2'!E156</f>
        <v>10th Floor</v>
      </c>
      <c r="D156" s="763" t="str">
        <f>'Corrected and Updated TSF 2'!M156</f>
        <v>Inner</v>
      </c>
      <c r="E156" s="763" t="str">
        <f>'Corrected and Updated TSF 2'!G156</f>
        <v>10I</v>
      </c>
      <c r="F156" s="747" t="str">
        <f>'Corrected and Updated TSF 2'!I156</f>
        <v>Studio</v>
      </c>
      <c r="G156" s="879">
        <f>'Corrected and Updated TSF 2'!J156</f>
        <v>22</v>
      </c>
      <c r="H156" s="879">
        <f>'Corrected and Updated TSF 2'!CH156</f>
        <v>3551366.2008654187</v>
      </c>
      <c r="I156" s="879">
        <f>SUM('Corrected and Updated TSF 2'!CJ156:CK156)</f>
        <v>488312.85261899506</v>
      </c>
      <c r="J156" s="879">
        <f>'Corrected and Updated TSF 2'!CL156</f>
        <v>4039679.0534844138</v>
      </c>
      <c r="K156" s="880">
        <f>'Corrected and Updated TSF 2'!CM156</f>
        <v>0.125</v>
      </c>
      <c r="L156" s="879">
        <f>'Corrected and Updated TSF 2'!CN156</f>
        <v>504959.88168555172</v>
      </c>
      <c r="M156" s="879">
        <f>'Corrected and Updated TSF 2'!CO156</f>
        <v>30000</v>
      </c>
      <c r="N156" s="879">
        <f>'Corrected and Updated TSF 2'!CP156</f>
        <v>474959.88168555172</v>
      </c>
      <c r="O156" s="881">
        <f>'Corrected and Updated TSF 2'!CQ156</f>
        <v>14</v>
      </c>
      <c r="P156" s="879">
        <f>'Corrected and Updated TSF 2'!CR156</f>
        <v>33925.705834682267</v>
      </c>
      <c r="Q156" s="879">
        <f>'Corrected and Updated TSF 2'!CT156</f>
        <v>3534719.1717988621</v>
      </c>
      <c r="R156" s="879">
        <f>'Corrected and Updated TSF 2'!CU156</f>
        <v>27404.640116072878</v>
      </c>
      <c r="S156" s="879">
        <f>'Corrected and Updated TSF 2'!CV156</f>
        <v>31771.055211368941</v>
      </c>
      <c r="T156" s="882">
        <f>'Corrected and Updated TSF 2'!CW156</f>
        <v>41041.086750248025</v>
      </c>
      <c r="U156" s="882">
        <f>'Corrected and Updated TSF 2'!CX156</f>
        <v>69991.676105169143</v>
      </c>
      <c r="V156" s="1167">
        <f>'Corrected and Updated TSF 2'!CY156</f>
        <v>287136.47348060511</v>
      </c>
      <c r="W156" s="1167">
        <f>'Corrected and Updated TSF 2'!CZ156</f>
        <v>113618.50383420824</v>
      </c>
      <c r="X156" s="1233">
        <f>'Corrected and Updated TSF 2'!DA156</f>
        <v>82065.036118468444</v>
      </c>
      <c r="Y156" s="1233">
        <f>'Corrected and Updated TSF 2'!DB156</f>
        <v>62455.270565287698</v>
      </c>
      <c r="Z156" s="885">
        <f>H156-'Corrected and Updated TSF 2'!CH156</f>
        <v>0</v>
      </c>
      <c r="AA156" s="885">
        <f>I156-SUM('Corrected and Updated TSF 2'!CJ156:CK156)</f>
        <v>0</v>
      </c>
      <c r="AB156" s="885">
        <f>J156-'Corrected and Updated TSF 2'!CL156</f>
        <v>0</v>
      </c>
      <c r="AC156" s="886">
        <f>K156-'Corrected and Updated TSF 2'!CM156</f>
        <v>0</v>
      </c>
      <c r="AD156" s="885">
        <f>M156-'Corrected and Updated TSF 2'!CO156</f>
        <v>0</v>
      </c>
      <c r="AE156" s="887">
        <f>P156-'Corrected and Updated TSF 2'!CR156</f>
        <v>0</v>
      </c>
      <c r="AF156" s="885">
        <f>Q156-'Corrected and Updated TSF 2'!CT156</f>
        <v>0</v>
      </c>
      <c r="AG156" s="888"/>
      <c r="AH156" s="888"/>
      <c r="AI156" s="885">
        <f>S156-'INTERNAL PRICELIST'!AA156</f>
        <v>11043.469584797789</v>
      </c>
      <c r="AJ156" s="885">
        <f>T156-'INTERNAL PRICELIST'!AB156</f>
        <v>14265.688987391859</v>
      </c>
      <c r="AK156" s="885">
        <f>U156-'INTERNAL PRICELIST'!AC156</f>
        <v>24328.777868353478</v>
      </c>
    </row>
    <row r="157" spans="1:45" s="152" customFormat="1" ht="12.75" hidden="1" customHeight="1">
      <c r="A157" s="876" t="str">
        <f t="shared" si="2"/>
        <v>10J</v>
      </c>
      <c r="B157" s="877" t="str">
        <f>'Corrected and Updated TSF 2'!FI157</f>
        <v>SOLD</v>
      </c>
      <c r="C157" s="1002" t="str">
        <f>'Corrected and Updated TSF 2'!E157</f>
        <v>10th Floor</v>
      </c>
      <c r="D157" s="1003" t="str">
        <f>'Corrected and Updated TSF 2'!M157</f>
        <v>Inner</v>
      </c>
      <c r="E157" s="1003" t="str">
        <f>'Corrected and Updated TSF 2'!G157</f>
        <v>10J</v>
      </c>
      <c r="F157" s="1004" t="str">
        <f>'Corrected and Updated TSF 2'!I157</f>
        <v>Studio</v>
      </c>
      <c r="G157" s="1005">
        <f>'Corrected and Updated TSF 2'!J157</f>
        <v>22</v>
      </c>
      <c r="H157" s="1005">
        <f>'Corrected and Updated TSF 2'!CH157</f>
        <v>3551366.2008654187</v>
      </c>
      <c r="I157" s="1005">
        <f>SUM('Corrected and Updated TSF 2'!CJ157:CK157)</f>
        <v>488312.85261899506</v>
      </c>
      <c r="J157" s="1005">
        <f>'Corrected and Updated TSF 2'!CL157</f>
        <v>4039679.0534844138</v>
      </c>
      <c r="K157" s="1006">
        <f>'Corrected and Updated TSF 2'!CM157</f>
        <v>0.125</v>
      </c>
      <c r="L157" s="1005">
        <f>'Corrected and Updated TSF 2'!CN157</f>
        <v>504959.88168555172</v>
      </c>
      <c r="M157" s="1005">
        <f>'Corrected and Updated TSF 2'!CO157</f>
        <v>30000</v>
      </c>
      <c r="N157" s="1005">
        <f>'Corrected and Updated TSF 2'!CP157</f>
        <v>474959.88168555172</v>
      </c>
      <c r="O157" s="1007">
        <f>'Corrected and Updated TSF 2'!CQ157</f>
        <v>14</v>
      </c>
      <c r="P157" s="1005">
        <f>'Corrected and Updated TSF 2'!CR157</f>
        <v>33925.705834682267</v>
      </c>
      <c r="Q157" s="1005">
        <f>'Corrected and Updated TSF 2'!CT157</f>
        <v>3534719.1717988621</v>
      </c>
      <c r="R157" s="1005">
        <f>'Corrected and Updated TSF 2'!CU157</f>
        <v>27404.640116072878</v>
      </c>
      <c r="S157" s="1005">
        <f>'Corrected and Updated TSF 2'!CV157</f>
        <v>31771.055211368941</v>
      </c>
      <c r="T157" s="882">
        <f>'Corrected and Updated TSF 2'!CW157</f>
        <v>41041.086750248025</v>
      </c>
      <c r="U157" s="882">
        <f>'Corrected and Updated TSF 2'!CX157</f>
        <v>69991.676105169143</v>
      </c>
      <c r="V157" s="1167">
        <f>'Corrected and Updated TSF 2'!CY157</f>
        <v>287136.47348060511</v>
      </c>
      <c r="W157" s="1167">
        <f>'Corrected and Updated TSF 2'!CZ157</f>
        <v>113618.50383420824</v>
      </c>
      <c r="X157" s="1233">
        <f>'Corrected and Updated TSF 2'!DA157</f>
        <v>82065.036118468444</v>
      </c>
      <c r="Y157" s="1233">
        <f>'Corrected and Updated TSF 2'!DB157</f>
        <v>62455.270565287698</v>
      </c>
      <c r="Z157" s="885">
        <f>H157-'Corrected and Updated TSF 2'!CH157</f>
        <v>0</v>
      </c>
      <c r="AA157" s="885">
        <f>I157-SUM('Corrected and Updated TSF 2'!CJ157:CK157)</f>
        <v>0</v>
      </c>
      <c r="AB157" s="885">
        <f>J157-'Corrected and Updated TSF 2'!CL157</f>
        <v>0</v>
      </c>
      <c r="AC157" s="886">
        <f>K157-'Corrected and Updated TSF 2'!CM157</f>
        <v>0</v>
      </c>
      <c r="AD157" s="885">
        <f>M157-'Corrected and Updated TSF 2'!CO157</f>
        <v>0</v>
      </c>
      <c r="AE157" s="887">
        <f>P157-'Corrected and Updated TSF 2'!CR157</f>
        <v>0</v>
      </c>
      <c r="AF157" s="885">
        <f>Q157-'Corrected and Updated TSF 2'!CT157</f>
        <v>0</v>
      </c>
      <c r="AG157" s="888"/>
      <c r="AH157" s="888"/>
      <c r="AI157" s="885">
        <f>S157-'INTERNAL PRICELIST'!AA157</f>
        <v>11026.073213046075</v>
      </c>
      <c r="AJ157" s="885">
        <f>T157-'INTERNAL PRICELIST'!AB157</f>
        <v>14243.216771781495</v>
      </c>
      <c r="AK157" s="885">
        <f>U157-'INTERNAL PRICELIST'!AC157</f>
        <v>24290.453638638566</v>
      </c>
    </row>
    <row r="158" spans="1:45" s="152" customFormat="1" ht="12.75" hidden="1" customHeight="1">
      <c r="A158" s="876" t="str">
        <f t="shared" si="2"/>
        <v>10K</v>
      </c>
      <c r="B158" s="877" t="str">
        <f>'Corrected and Updated TSF 2'!FI158</f>
        <v>SOLD</v>
      </c>
      <c r="C158" s="878" t="str">
        <f>'Corrected and Updated TSF 2'!E158</f>
        <v>10th Floor</v>
      </c>
      <c r="D158" s="763" t="str">
        <f>'Corrected and Updated TSF 2'!M158</f>
        <v>Inner</v>
      </c>
      <c r="E158" s="763" t="str">
        <f>'Corrected and Updated TSF 2'!G158</f>
        <v>10K</v>
      </c>
      <c r="F158" s="747" t="str">
        <f>'Corrected and Updated TSF 2'!I158</f>
        <v>Studio</v>
      </c>
      <c r="G158" s="879">
        <f>'Corrected and Updated TSF 2'!J158</f>
        <v>22</v>
      </c>
      <c r="H158" s="879">
        <f>'Corrected and Updated TSF 2'!CH158</f>
        <v>3551366.2008654187</v>
      </c>
      <c r="I158" s="879">
        <f>SUM('Corrected and Updated TSF 2'!CJ158:CK158)</f>
        <v>488312.85261899506</v>
      </c>
      <c r="J158" s="879">
        <f>'Corrected and Updated TSF 2'!CL158</f>
        <v>4039679.0534844138</v>
      </c>
      <c r="K158" s="880">
        <f>'Corrected and Updated TSF 2'!CM158</f>
        <v>0.125</v>
      </c>
      <c r="L158" s="879">
        <f>'Corrected and Updated TSF 2'!CN158</f>
        <v>504959.88168555172</v>
      </c>
      <c r="M158" s="879">
        <f>'Corrected and Updated TSF 2'!CO158</f>
        <v>30000</v>
      </c>
      <c r="N158" s="879">
        <f>'Corrected and Updated TSF 2'!CP158</f>
        <v>474959.88168555172</v>
      </c>
      <c r="O158" s="881">
        <f>'Corrected and Updated TSF 2'!CQ158</f>
        <v>14</v>
      </c>
      <c r="P158" s="879">
        <f>'Corrected and Updated TSF 2'!CR158</f>
        <v>33925.705834682267</v>
      </c>
      <c r="Q158" s="879">
        <f>'Corrected and Updated TSF 2'!CT158</f>
        <v>3534719.1717988621</v>
      </c>
      <c r="R158" s="879">
        <f>'Corrected and Updated TSF 2'!CU158</f>
        <v>27404.640116072878</v>
      </c>
      <c r="S158" s="879">
        <f>'Corrected and Updated TSF 2'!CV158</f>
        <v>31771.055211368941</v>
      </c>
      <c r="T158" s="882">
        <f>'Corrected and Updated TSF 2'!CW158</f>
        <v>41041.086750248025</v>
      </c>
      <c r="U158" s="882">
        <f>'Corrected and Updated TSF 2'!CX158</f>
        <v>69991.676105169143</v>
      </c>
      <c r="V158" s="1167">
        <f>'Corrected and Updated TSF 2'!CY158</f>
        <v>287136.47348060511</v>
      </c>
      <c r="W158" s="1167">
        <f>'Corrected and Updated TSF 2'!CZ158</f>
        <v>113618.50383420824</v>
      </c>
      <c r="X158" s="1233">
        <f>'Corrected and Updated TSF 2'!DA158</f>
        <v>82065.036118468444</v>
      </c>
      <c r="Y158" s="1233">
        <f>'Corrected and Updated TSF 2'!DB158</f>
        <v>62455.270565287698</v>
      </c>
      <c r="Z158" s="885">
        <f>H158-'Corrected and Updated TSF 2'!CH158</f>
        <v>0</v>
      </c>
      <c r="AA158" s="885">
        <f>I158-SUM('Corrected and Updated TSF 2'!CJ158:CK158)</f>
        <v>0</v>
      </c>
      <c r="AB158" s="885">
        <f>J158-'Corrected and Updated TSF 2'!CL158</f>
        <v>0</v>
      </c>
      <c r="AC158" s="886">
        <f>K158-'Corrected and Updated TSF 2'!CM158</f>
        <v>0</v>
      </c>
      <c r="AD158" s="885">
        <f>M158-'Corrected and Updated TSF 2'!CO158</f>
        <v>0</v>
      </c>
      <c r="AE158" s="887">
        <f>P158-'Corrected and Updated TSF 2'!CR158</f>
        <v>0</v>
      </c>
      <c r="AF158" s="885">
        <f>Q158-'Corrected and Updated TSF 2'!CT158</f>
        <v>0</v>
      </c>
      <c r="AG158" s="888"/>
      <c r="AH158" s="888"/>
      <c r="AI158" s="885">
        <f>S158-'INTERNAL PRICELIST'!AA158</f>
        <v>11043.469584797789</v>
      </c>
      <c r="AJ158" s="885">
        <f>T158-'INTERNAL PRICELIST'!AB158</f>
        <v>14265.688987391859</v>
      </c>
      <c r="AK158" s="885">
        <f>U158-'INTERNAL PRICELIST'!AC158</f>
        <v>24328.777868353478</v>
      </c>
    </row>
    <row r="159" spans="1:45" s="152" customFormat="1" ht="12.75" hidden="1" customHeight="1">
      <c r="A159" s="876" t="str">
        <f t="shared" si="2"/>
        <v>10L</v>
      </c>
      <c r="B159" s="877" t="str">
        <f>'Corrected and Updated TSF 2'!FI159</f>
        <v>SOLD</v>
      </c>
      <c r="C159" s="878" t="str">
        <f>'Corrected and Updated TSF 2'!E159</f>
        <v>10th Floor</v>
      </c>
      <c r="D159" s="763" t="str">
        <f>'Corrected and Updated TSF 2'!M159</f>
        <v>Inner</v>
      </c>
      <c r="E159" s="763" t="str">
        <f>'Corrected and Updated TSF 2'!G159</f>
        <v>10L</v>
      </c>
      <c r="F159" s="747" t="str">
        <f>'Corrected and Updated TSF 2'!I159</f>
        <v>Studio</v>
      </c>
      <c r="G159" s="879">
        <f>'Corrected and Updated TSF 2'!J159</f>
        <v>22</v>
      </c>
      <c r="H159" s="879">
        <f>'Corrected and Updated TSF 2'!CH159</f>
        <v>3551366.2008654187</v>
      </c>
      <c r="I159" s="879">
        <f>SUM('Corrected and Updated TSF 2'!CJ159:CK159)</f>
        <v>488312.85261899506</v>
      </c>
      <c r="J159" s="879">
        <f>'Corrected and Updated TSF 2'!CL159</f>
        <v>4039679.0534844138</v>
      </c>
      <c r="K159" s="880">
        <f>'Corrected and Updated TSF 2'!CM159</f>
        <v>0.125</v>
      </c>
      <c r="L159" s="879">
        <f>'Corrected and Updated TSF 2'!CN159</f>
        <v>504959.88168555172</v>
      </c>
      <c r="M159" s="879">
        <f>'Corrected and Updated TSF 2'!CO159</f>
        <v>30000</v>
      </c>
      <c r="N159" s="879">
        <f>'Corrected and Updated TSF 2'!CP159</f>
        <v>474959.88168555172</v>
      </c>
      <c r="O159" s="881">
        <f>'Corrected and Updated TSF 2'!CQ159</f>
        <v>14</v>
      </c>
      <c r="P159" s="879">
        <f>'Corrected and Updated TSF 2'!CR159</f>
        <v>33925.705834682267</v>
      </c>
      <c r="Q159" s="879">
        <f>'Corrected and Updated TSF 2'!CT159</f>
        <v>3534719.1717988621</v>
      </c>
      <c r="R159" s="879">
        <f>'Corrected and Updated TSF 2'!CU159</f>
        <v>27404.640116072878</v>
      </c>
      <c r="S159" s="879">
        <f>'Corrected and Updated TSF 2'!CV159</f>
        <v>31771.055211368941</v>
      </c>
      <c r="T159" s="882">
        <f>'Corrected and Updated TSF 2'!CW159</f>
        <v>41041.086750248025</v>
      </c>
      <c r="U159" s="882">
        <f>'Corrected and Updated TSF 2'!CX159</f>
        <v>69991.676105169143</v>
      </c>
      <c r="V159" s="1167">
        <f>'Corrected and Updated TSF 2'!CY159</f>
        <v>287136.47348060511</v>
      </c>
      <c r="W159" s="1167">
        <f>'Corrected and Updated TSF 2'!CZ159</f>
        <v>113618.50383420824</v>
      </c>
      <c r="X159" s="1233">
        <f>'Corrected and Updated TSF 2'!DA159</f>
        <v>82065.036118468444</v>
      </c>
      <c r="Y159" s="1233">
        <f>'Corrected and Updated TSF 2'!DB159</f>
        <v>62455.270565287698</v>
      </c>
      <c r="Z159" s="885">
        <f>H159-'Corrected and Updated TSF 2'!CH159</f>
        <v>0</v>
      </c>
      <c r="AA159" s="885">
        <f>I159-SUM('Corrected and Updated TSF 2'!CJ159:CK159)</f>
        <v>0</v>
      </c>
      <c r="AB159" s="885">
        <f>J159-'Corrected and Updated TSF 2'!CL159</f>
        <v>0</v>
      </c>
      <c r="AC159" s="886">
        <f>K159-'Corrected and Updated TSF 2'!CM159</f>
        <v>0</v>
      </c>
      <c r="AD159" s="885">
        <f>M159-'Corrected and Updated TSF 2'!CO159</f>
        <v>0</v>
      </c>
      <c r="AE159" s="887">
        <f>P159-'Corrected and Updated TSF 2'!CR159</f>
        <v>0</v>
      </c>
      <c r="AF159" s="885">
        <f>Q159-'Corrected and Updated TSF 2'!CT159</f>
        <v>0</v>
      </c>
      <c r="AG159" s="888"/>
      <c r="AH159" s="888"/>
      <c r="AI159" s="885">
        <f>S159-'INTERNAL PRICELIST'!AA159</f>
        <v>11043.469584797789</v>
      </c>
      <c r="AJ159" s="885">
        <f>T159-'INTERNAL PRICELIST'!AB159</f>
        <v>14265.688987391859</v>
      </c>
      <c r="AK159" s="885">
        <f>U159-'INTERNAL PRICELIST'!AC159</f>
        <v>24328.777868353478</v>
      </c>
    </row>
    <row r="160" spans="1:45" s="152" customFormat="1" ht="12.75" hidden="1" customHeight="1">
      <c r="A160" s="876" t="str">
        <f t="shared" si="2"/>
        <v>10M</v>
      </c>
      <c r="B160" s="877" t="str">
        <f>'Corrected and Updated TSF 2'!FI160</f>
        <v>SOLD</v>
      </c>
      <c r="C160" s="878" t="str">
        <f>'Corrected and Updated TSF 2'!E160</f>
        <v>10th Floor</v>
      </c>
      <c r="D160" s="763" t="str">
        <f>'Corrected and Updated TSF 2'!M160</f>
        <v>Inner</v>
      </c>
      <c r="E160" s="763" t="str">
        <f>'Corrected and Updated TSF 2'!G160</f>
        <v>10M</v>
      </c>
      <c r="F160" s="747" t="str">
        <f>'Corrected and Updated TSF 2'!I160</f>
        <v>Studio</v>
      </c>
      <c r="G160" s="879">
        <f>'Corrected and Updated TSF 2'!J160</f>
        <v>22</v>
      </c>
      <c r="H160" s="879">
        <f>'Corrected and Updated TSF 2'!CH160</f>
        <v>3551366.2008654187</v>
      </c>
      <c r="I160" s="879">
        <f>SUM('Corrected and Updated TSF 2'!CJ160:CK160)</f>
        <v>488312.85261899506</v>
      </c>
      <c r="J160" s="879">
        <f>'Corrected and Updated TSF 2'!CL160</f>
        <v>4039679.0534844138</v>
      </c>
      <c r="K160" s="880">
        <f>'Corrected and Updated TSF 2'!CM160</f>
        <v>0.125</v>
      </c>
      <c r="L160" s="879">
        <f>'Corrected and Updated TSF 2'!CN160</f>
        <v>504959.88168555172</v>
      </c>
      <c r="M160" s="879">
        <f>'Corrected and Updated TSF 2'!CO160</f>
        <v>30000</v>
      </c>
      <c r="N160" s="879">
        <f>'Corrected and Updated TSF 2'!CP160</f>
        <v>474959.88168555172</v>
      </c>
      <c r="O160" s="881">
        <f>'Corrected and Updated TSF 2'!CQ160</f>
        <v>14</v>
      </c>
      <c r="P160" s="879">
        <f>'Corrected and Updated TSF 2'!CR160</f>
        <v>33925.705834682267</v>
      </c>
      <c r="Q160" s="879">
        <f>'Corrected and Updated TSF 2'!CT160</f>
        <v>3534719.1717988621</v>
      </c>
      <c r="R160" s="879">
        <f>'Corrected and Updated TSF 2'!CU160</f>
        <v>27404.640116072878</v>
      </c>
      <c r="S160" s="879">
        <f>'Corrected and Updated TSF 2'!CV160</f>
        <v>31771.055211368941</v>
      </c>
      <c r="T160" s="882">
        <f>'Corrected and Updated TSF 2'!CW160</f>
        <v>41041.086750248025</v>
      </c>
      <c r="U160" s="882">
        <f>'Corrected and Updated TSF 2'!CX160</f>
        <v>69991.676105169143</v>
      </c>
      <c r="V160" s="1167">
        <f>'Corrected and Updated TSF 2'!CY160</f>
        <v>287136.47348060511</v>
      </c>
      <c r="W160" s="1167">
        <f>'Corrected and Updated TSF 2'!CZ160</f>
        <v>113618.50383420824</v>
      </c>
      <c r="X160" s="1233">
        <f>'Corrected and Updated TSF 2'!DA160</f>
        <v>82065.036118468444</v>
      </c>
      <c r="Y160" s="1233">
        <f>'Corrected and Updated TSF 2'!DB160</f>
        <v>62455.270565287698</v>
      </c>
      <c r="Z160" s="885">
        <f>H160-'Corrected and Updated TSF 2'!CH160</f>
        <v>0</v>
      </c>
      <c r="AA160" s="885">
        <f>I160-SUM('Corrected and Updated TSF 2'!CJ160:CK160)</f>
        <v>0</v>
      </c>
      <c r="AB160" s="885">
        <f>J160-'Corrected and Updated TSF 2'!CL160</f>
        <v>0</v>
      </c>
      <c r="AC160" s="886">
        <f>K160-'Corrected and Updated TSF 2'!CM160</f>
        <v>0</v>
      </c>
      <c r="AD160" s="885">
        <f>M160-'Corrected and Updated TSF 2'!CO160</f>
        <v>0</v>
      </c>
      <c r="AE160" s="887">
        <f>P160-'Corrected and Updated TSF 2'!CR160</f>
        <v>0</v>
      </c>
      <c r="AF160" s="885">
        <f>Q160-'Corrected and Updated TSF 2'!CT160</f>
        <v>0</v>
      </c>
      <c r="AG160" s="888"/>
      <c r="AH160" s="888"/>
      <c r="AI160" s="885">
        <f>S160-'INTERNAL PRICELIST'!AA160</f>
        <v>11043.469584797789</v>
      </c>
      <c r="AJ160" s="885">
        <f>T160-'INTERNAL PRICELIST'!AB160</f>
        <v>14265.688987391859</v>
      </c>
      <c r="AK160" s="885">
        <f>U160-'INTERNAL PRICELIST'!AC160</f>
        <v>24328.777868353478</v>
      </c>
    </row>
    <row r="161" spans="1:45" s="152" customFormat="1" ht="12.75" hidden="1" customHeight="1">
      <c r="A161" s="876" t="str">
        <f t="shared" si="2"/>
        <v>10N</v>
      </c>
      <c r="B161" s="877" t="str">
        <f>'Corrected and Updated TSF 2'!FI161</f>
        <v>SOLD</v>
      </c>
      <c r="C161" s="878" t="str">
        <f>'Corrected and Updated TSF 2'!E161</f>
        <v>10th Floor</v>
      </c>
      <c r="D161" s="763" t="str">
        <f>'Corrected and Updated TSF 2'!M161</f>
        <v>Inner</v>
      </c>
      <c r="E161" s="763" t="str">
        <f>'Corrected and Updated TSF 2'!G161</f>
        <v>10N</v>
      </c>
      <c r="F161" s="747" t="str">
        <f>'Corrected and Updated TSF 2'!I161</f>
        <v>Studio</v>
      </c>
      <c r="G161" s="879">
        <f>'Corrected and Updated TSF 2'!J161</f>
        <v>22</v>
      </c>
      <c r="H161" s="879">
        <f>'Corrected and Updated TSF 2'!CH161</f>
        <v>3551366.2008654187</v>
      </c>
      <c r="I161" s="879">
        <f>SUM('Corrected and Updated TSF 2'!CJ161:CK161)</f>
        <v>488312.85261899506</v>
      </c>
      <c r="J161" s="879">
        <f>'Corrected and Updated TSF 2'!CL161</f>
        <v>4039679.0534844138</v>
      </c>
      <c r="K161" s="880">
        <f>'Corrected and Updated TSF 2'!CM161</f>
        <v>0.125</v>
      </c>
      <c r="L161" s="879">
        <f>'Corrected and Updated TSF 2'!CN161</f>
        <v>504959.88168555172</v>
      </c>
      <c r="M161" s="879">
        <f>'Corrected and Updated TSF 2'!CO161</f>
        <v>30000</v>
      </c>
      <c r="N161" s="879">
        <f>'Corrected and Updated TSF 2'!CP161</f>
        <v>474959.88168555172</v>
      </c>
      <c r="O161" s="881">
        <f>'Corrected and Updated TSF 2'!CQ161</f>
        <v>14</v>
      </c>
      <c r="P161" s="879">
        <f>'Corrected and Updated TSF 2'!CR161</f>
        <v>33925.705834682267</v>
      </c>
      <c r="Q161" s="879">
        <f>'Corrected and Updated TSF 2'!CT161</f>
        <v>3534719.1717988621</v>
      </c>
      <c r="R161" s="879">
        <f>'Corrected and Updated TSF 2'!CU161</f>
        <v>27404.640116072878</v>
      </c>
      <c r="S161" s="879">
        <f>'Corrected and Updated TSF 2'!CV161</f>
        <v>31771.055211368941</v>
      </c>
      <c r="T161" s="882">
        <f>'Corrected and Updated TSF 2'!CW161</f>
        <v>41041.086750248025</v>
      </c>
      <c r="U161" s="882">
        <f>'Corrected and Updated TSF 2'!CX161</f>
        <v>69991.676105169143</v>
      </c>
      <c r="V161" s="1167">
        <f>'Corrected and Updated TSF 2'!CY161</f>
        <v>287136.47348060511</v>
      </c>
      <c r="W161" s="1167">
        <f>'Corrected and Updated TSF 2'!CZ161</f>
        <v>113618.50383420824</v>
      </c>
      <c r="X161" s="1233">
        <f>'Corrected and Updated TSF 2'!DA161</f>
        <v>82065.036118468444</v>
      </c>
      <c r="Y161" s="1233">
        <f>'Corrected and Updated TSF 2'!DB161</f>
        <v>62455.270565287698</v>
      </c>
      <c r="Z161" s="885">
        <f>H161-'Corrected and Updated TSF 2'!CH161</f>
        <v>0</v>
      </c>
      <c r="AA161" s="885">
        <f>I161-SUM('Corrected and Updated TSF 2'!CJ161:CK161)</f>
        <v>0</v>
      </c>
      <c r="AB161" s="885">
        <f>J161-'Corrected and Updated TSF 2'!CL161</f>
        <v>0</v>
      </c>
      <c r="AC161" s="886">
        <f>K161-'Corrected and Updated TSF 2'!CM161</f>
        <v>0</v>
      </c>
      <c r="AD161" s="885">
        <f>M161-'Corrected and Updated TSF 2'!CO161</f>
        <v>0</v>
      </c>
      <c r="AE161" s="887">
        <f>P161-'Corrected and Updated TSF 2'!CR161</f>
        <v>0</v>
      </c>
      <c r="AF161" s="885">
        <f>Q161-'Corrected and Updated TSF 2'!CT161</f>
        <v>0</v>
      </c>
      <c r="AG161" s="888"/>
      <c r="AH161" s="888"/>
      <c r="AI161" s="885">
        <f>S161-'INTERNAL PRICELIST'!AA161</f>
        <v>11043.469584797789</v>
      </c>
      <c r="AJ161" s="885">
        <f>T161-'INTERNAL PRICELIST'!AB161</f>
        <v>14265.688987391859</v>
      </c>
      <c r="AK161" s="885">
        <f>U161-'INTERNAL PRICELIST'!AC161</f>
        <v>24328.777868353478</v>
      </c>
    </row>
    <row r="162" spans="1:45" s="152" customFormat="1" ht="12.75" hidden="1" customHeight="1">
      <c r="A162" s="876" t="str">
        <f t="shared" si="2"/>
        <v>10O</v>
      </c>
      <c r="B162" s="877" t="str">
        <f>'Corrected and Updated TSF 2'!FI162</f>
        <v>SOLD</v>
      </c>
      <c r="C162" s="878" t="str">
        <f>'Corrected and Updated TSF 2'!E162</f>
        <v>10th Floor</v>
      </c>
      <c r="D162" s="763" t="str">
        <f>'Corrected and Updated TSF 2'!M162</f>
        <v>Inner</v>
      </c>
      <c r="E162" s="763" t="str">
        <f>'Corrected and Updated TSF 2'!G162</f>
        <v>10O</v>
      </c>
      <c r="F162" s="747" t="str">
        <f>'Corrected and Updated TSF 2'!I162</f>
        <v>Studio</v>
      </c>
      <c r="G162" s="879">
        <f>'Corrected and Updated TSF 2'!J162</f>
        <v>22</v>
      </c>
      <c r="H162" s="879">
        <f>'Corrected and Updated TSF 2'!CH162</f>
        <v>3551366.2008654187</v>
      </c>
      <c r="I162" s="879">
        <f>SUM('Corrected and Updated TSF 2'!CJ162:CK162)</f>
        <v>488312.85261899506</v>
      </c>
      <c r="J162" s="879">
        <f>'Corrected and Updated TSF 2'!CL162</f>
        <v>4039679.0534844138</v>
      </c>
      <c r="K162" s="880">
        <f>'Corrected and Updated TSF 2'!CM162</f>
        <v>0.125</v>
      </c>
      <c r="L162" s="879">
        <f>'Corrected and Updated TSF 2'!CN162</f>
        <v>504959.88168555172</v>
      </c>
      <c r="M162" s="879">
        <f>'Corrected and Updated TSF 2'!CO162</f>
        <v>30000</v>
      </c>
      <c r="N162" s="879">
        <f>'Corrected and Updated TSF 2'!CP162</f>
        <v>474959.88168555172</v>
      </c>
      <c r="O162" s="881">
        <f>'Corrected and Updated TSF 2'!CQ162</f>
        <v>14</v>
      </c>
      <c r="P162" s="879">
        <f>'Corrected and Updated TSF 2'!CR162</f>
        <v>33925.705834682267</v>
      </c>
      <c r="Q162" s="879">
        <f>'Corrected and Updated TSF 2'!CT162</f>
        <v>3534719.1717988621</v>
      </c>
      <c r="R162" s="879">
        <f>'Corrected and Updated TSF 2'!CU162</f>
        <v>27404.640116072878</v>
      </c>
      <c r="S162" s="879">
        <f>'Corrected and Updated TSF 2'!CV162</f>
        <v>31771.055211368941</v>
      </c>
      <c r="T162" s="882">
        <f>'Corrected and Updated TSF 2'!CW162</f>
        <v>41041.086750248025</v>
      </c>
      <c r="U162" s="882">
        <f>'Corrected and Updated TSF 2'!CX162</f>
        <v>69991.676105169143</v>
      </c>
      <c r="V162" s="1167">
        <f>'Corrected and Updated TSF 2'!CY162</f>
        <v>287136.47348060511</v>
      </c>
      <c r="W162" s="1167">
        <f>'Corrected and Updated TSF 2'!CZ162</f>
        <v>113618.50383420824</v>
      </c>
      <c r="X162" s="1233">
        <f>'Corrected and Updated TSF 2'!DA162</f>
        <v>82065.036118468444</v>
      </c>
      <c r="Y162" s="1233">
        <f>'Corrected and Updated TSF 2'!DB162</f>
        <v>62455.270565287698</v>
      </c>
      <c r="Z162" s="885">
        <f>H162-'Corrected and Updated TSF 2'!CH162</f>
        <v>0</v>
      </c>
      <c r="AA162" s="885">
        <f>I162-SUM('Corrected and Updated TSF 2'!CJ162:CK162)</f>
        <v>0</v>
      </c>
      <c r="AB162" s="885">
        <f>J162-'Corrected and Updated TSF 2'!CL162</f>
        <v>0</v>
      </c>
      <c r="AC162" s="886">
        <f>K162-'Corrected and Updated TSF 2'!CM162</f>
        <v>0</v>
      </c>
      <c r="AD162" s="885">
        <f>M162-'Corrected and Updated TSF 2'!CO162</f>
        <v>0</v>
      </c>
      <c r="AE162" s="887">
        <f>P162-'Corrected and Updated TSF 2'!CR162</f>
        <v>0</v>
      </c>
      <c r="AF162" s="885">
        <f>Q162-'Corrected and Updated TSF 2'!CT162</f>
        <v>0</v>
      </c>
      <c r="AG162" s="888"/>
      <c r="AH162" s="888"/>
      <c r="AI162" s="885">
        <f>S162-'INTERNAL PRICELIST'!AA162</f>
        <v>11043.469584797789</v>
      </c>
      <c r="AJ162" s="885">
        <f>T162-'INTERNAL PRICELIST'!AB162</f>
        <v>14265.688987391859</v>
      </c>
      <c r="AK162" s="885">
        <f>U162-'INTERNAL PRICELIST'!AC162</f>
        <v>24328.777868353478</v>
      </c>
    </row>
    <row r="163" spans="1:45" s="140" customFormat="1" ht="12.75" hidden="1" customHeight="1">
      <c r="A163" s="876" t="str">
        <f t="shared" si="2"/>
        <v>10P</v>
      </c>
      <c r="B163" s="877" t="str">
        <f>'Corrected and Updated TSF 2'!FI163</f>
        <v>SOLD</v>
      </c>
      <c r="C163" s="878" t="str">
        <f>'Corrected and Updated TSF 2'!E163</f>
        <v>10th Floor</v>
      </c>
      <c r="D163" s="763" t="str">
        <f>'Corrected and Updated TSF 2'!M163</f>
        <v>Inner</v>
      </c>
      <c r="E163" s="763" t="str">
        <f>'Corrected and Updated TSF 2'!G163</f>
        <v>10P</v>
      </c>
      <c r="F163" s="747" t="str">
        <f>'Corrected and Updated TSF 2'!I163</f>
        <v>Studio</v>
      </c>
      <c r="G163" s="879">
        <f>'Corrected and Updated TSF 2'!J163</f>
        <v>22</v>
      </c>
      <c r="H163" s="879">
        <f>'Corrected and Updated TSF 2'!CH163</f>
        <v>3551366.2008654187</v>
      </c>
      <c r="I163" s="879">
        <f>SUM('Corrected and Updated TSF 2'!CJ163:CK163)</f>
        <v>488312.85261899506</v>
      </c>
      <c r="J163" s="879">
        <f>'Corrected and Updated TSF 2'!CL163</f>
        <v>4039679.0534844138</v>
      </c>
      <c r="K163" s="880">
        <f>'Corrected and Updated TSF 2'!CM163</f>
        <v>0.125</v>
      </c>
      <c r="L163" s="879">
        <f>'Corrected and Updated TSF 2'!CN163</f>
        <v>504959.88168555172</v>
      </c>
      <c r="M163" s="879">
        <f>'Corrected and Updated TSF 2'!CO163</f>
        <v>30000</v>
      </c>
      <c r="N163" s="879">
        <f>'Corrected and Updated TSF 2'!CP163</f>
        <v>474959.88168555172</v>
      </c>
      <c r="O163" s="881">
        <f>'Corrected and Updated TSF 2'!CQ163</f>
        <v>14</v>
      </c>
      <c r="P163" s="879">
        <f>'Corrected and Updated TSF 2'!CR163</f>
        <v>33925.705834682267</v>
      </c>
      <c r="Q163" s="879">
        <f>'Corrected and Updated TSF 2'!CT163</f>
        <v>3534719.1717988621</v>
      </c>
      <c r="R163" s="879">
        <f>'Corrected and Updated TSF 2'!CU163</f>
        <v>27404.640116072878</v>
      </c>
      <c r="S163" s="879">
        <f>'Corrected and Updated TSF 2'!CV163</f>
        <v>31771.055211368941</v>
      </c>
      <c r="T163" s="882">
        <f>'Corrected and Updated TSF 2'!CW163</f>
        <v>41041.086750248025</v>
      </c>
      <c r="U163" s="882">
        <f>'Corrected and Updated TSF 2'!CX163</f>
        <v>69991.676105169143</v>
      </c>
      <c r="V163" s="1167">
        <f>'Corrected and Updated TSF 2'!CY163</f>
        <v>287136.47348060511</v>
      </c>
      <c r="W163" s="1167">
        <f>'Corrected and Updated TSF 2'!CZ163</f>
        <v>113618.50383420824</v>
      </c>
      <c r="X163" s="1233">
        <f>'Corrected and Updated TSF 2'!DA163</f>
        <v>82065.036118468444</v>
      </c>
      <c r="Y163" s="1233">
        <f>'Corrected and Updated TSF 2'!DB163</f>
        <v>62455.270565287698</v>
      </c>
      <c r="Z163" s="885">
        <f>H163-'Corrected and Updated TSF 2'!CH163</f>
        <v>0</v>
      </c>
      <c r="AA163" s="885">
        <f>I163-SUM('Corrected and Updated TSF 2'!CJ163:CK163)</f>
        <v>0</v>
      </c>
      <c r="AB163" s="885">
        <f>J163-'Corrected and Updated TSF 2'!CL163</f>
        <v>0</v>
      </c>
      <c r="AC163" s="886">
        <f>K163-'Corrected and Updated TSF 2'!CM163</f>
        <v>0</v>
      </c>
      <c r="AD163" s="885">
        <f>M163-'Corrected and Updated TSF 2'!CO163</f>
        <v>0</v>
      </c>
      <c r="AE163" s="887">
        <f>P163-'Corrected and Updated TSF 2'!CR163</f>
        <v>0</v>
      </c>
      <c r="AF163" s="885">
        <f>Q163-'Corrected and Updated TSF 2'!CT163</f>
        <v>0</v>
      </c>
      <c r="AG163" s="888"/>
      <c r="AH163" s="888"/>
      <c r="AI163" s="888">
        <f>S163-'INTERNAL PRICELIST'!AA163</f>
        <v>11043.469584797789</v>
      </c>
      <c r="AJ163" s="888">
        <f>T163-'INTERNAL PRICELIST'!AB163</f>
        <v>14265.688987391859</v>
      </c>
      <c r="AK163" s="888">
        <f>U163-'INTERNAL PRICELIST'!AC163</f>
        <v>24328.777868353478</v>
      </c>
    </row>
    <row r="164" spans="1:45" s="140" customFormat="1" ht="12.75" hidden="1" customHeight="1">
      <c r="A164" s="876" t="str">
        <f t="shared" si="2"/>
        <v>10Q</v>
      </c>
      <c r="B164" s="877" t="str">
        <f>'Corrected and Updated TSF 2'!FI164</f>
        <v>SOLD</v>
      </c>
      <c r="C164" s="1002" t="str">
        <f>'Corrected and Updated TSF 2'!E164</f>
        <v>10th Floor</v>
      </c>
      <c r="D164" s="1003" t="str">
        <f>'Corrected and Updated TSF 2'!M164</f>
        <v>Inner</v>
      </c>
      <c r="E164" s="1003" t="str">
        <f>'Corrected and Updated TSF 2'!G164</f>
        <v>10Q</v>
      </c>
      <c r="F164" s="1004" t="str">
        <f>'Corrected and Updated TSF 2'!I164</f>
        <v>Studio</v>
      </c>
      <c r="G164" s="1005">
        <f>'Corrected and Updated TSF 2'!J164</f>
        <v>22</v>
      </c>
      <c r="H164" s="1005">
        <f>'Corrected and Updated TSF 2'!CH164</f>
        <v>3551366.2008654187</v>
      </c>
      <c r="I164" s="1005">
        <f>SUM('Corrected and Updated TSF 2'!CJ164:CK164)</f>
        <v>488312.85261899506</v>
      </c>
      <c r="J164" s="1005">
        <f>'Corrected and Updated TSF 2'!CL164</f>
        <v>4039679.0534844138</v>
      </c>
      <c r="K164" s="1006">
        <f>'Corrected and Updated TSF 2'!CM164</f>
        <v>0.125</v>
      </c>
      <c r="L164" s="1005">
        <f>'Corrected and Updated TSF 2'!CN164</f>
        <v>504959.88168555172</v>
      </c>
      <c r="M164" s="1005">
        <f>'Corrected and Updated TSF 2'!CO164</f>
        <v>30000</v>
      </c>
      <c r="N164" s="1005">
        <f>'Corrected and Updated TSF 2'!CP164</f>
        <v>474959.88168555172</v>
      </c>
      <c r="O164" s="1007">
        <f>'Corrected and Updated TSF 2'!CQ164</f>
        <v>14</v>
      </c>
      <c r="P164" s="1005">
        <f>'Corrected and Updated TSF 2'!CR164</f>
        <v>33925.705834682267</v>
      </c>
      <c r="Q164" s="1005">
        <f>'Corrected and Updated TSF 2'!CT164</f>
        <v>3534719.1717988621</v>
      </c>
      <c r="R164" s="1005">
        <f>'Corrected and Updated TSF 2'!CU164</f>
        <v>27404.640116072878</v>
      </c>
      <c r="S164" s="1005">
        <f>'Corrected and Updated TSF 2'!CV164</f>
        <v>31771.055211368941</v>
      </c>
      <c r="T164" s="882">
        <f>'Corrected and Updated TSF 2'!CW164</f>
        <v>41041.086750248025</v>
      </c>
      <c r="U164" s="882">
        <f>'Corrected and Updated TSF 2'!CX164</f>
        <v>69991.676105169143</v>
      </c>
      <c r="V164" s="1167">
        <f>'Corrected and Updated TSF 2'!CY164</f>
        <v>287136.47348060511</v>
      </c>
      <c r="W164" s="1167">
        <f>'Corrected and Updated TSF 2'!CZ164</f>
        <v>113618.50383420824</v>
      </c>
      <c r="X164" s="1233">
        <f>'Corrected and Updated TSF 2'!DA164</f>
        <v>82065.036118468444</v>
      </c>
      <c r="Y164" s="1233">
        <f>'Corrected and Updated TSF 2'!DB164</f>
        <v>62455.270565287698</v>
      </c>
      <c r="Z164" s="885">
        <f>H164-'Corrected and Updated TSF 2'!CH164</f>
        <v>0</v>
      </c>
      <c r="AA164" s="885">
        <f>I164-SUM('Corrected and Updated TSF 2'!CJ164:CK164)</f>
        <v>0</v>
      </c>
      <c r="AB164" s="885">
        <f>J164-'Corrected and Updated TSF 2'!CL164</f>
        <v>0</v>
      </c>
      <c r="AC164" s="886">
        <f>K164-'Corrected and Updated TSF 2'!CM164</f>
        <v>0</v>
      </c>
      <c r="AD164" s="885">
        <f>M164-'Corrected and Updated TSF 2'!CO164</f>
        <v>0</v>
      </c>
      <c r="AE164" s="887">
        <f>P164-'Corrected and Updated TSF 2'!CR164</f>
        <v>0</v>
      </c>
      <c r="AF164" s="885">
        <f>Q164-'Corrected and Updated TSF 2'!CT164</f>
        <v>0</v>
      </c>
      <c r="AG164" s="888"/>
      <c r="AH164" s="888"/>
      <c r="AI164" s="885">
        <f>S164-'INTERNAL PRICELIST'!AA164</f>
        <v>11043.469584797789</v>
      </c>
      <c r="AJ164" s="885">
        <f>T164-'INTERNAL PRICELIST'!AB164</f>
        <v>14265.688987391859</v>
      </c>
      <c r="AK164" s="885">
        <f>U164-'INTERNAL PRICELIST'!AC164</f>
        <v>24328.777868353478</v>
      </c>
      <c r="AL164" s="884"/>
      <c r="AM164" s="884"/>
      <c r="AN164" s="884"/>
      <c r="AO164" s="884"/>
      <c r="AP164" s="884"/>
      <c r="AQ164" s="884"/>
      <c r="AR164" s="884"/>
      <c r="AS164" s="884"/>
    </row>
    <row r="165" spans="1:45" s="140" customFormat="1" hidden="1">
      <c r="A165" s="876" t="str">
        <f t="shared" si="2"/>
        <v>10R</v>
      </c>
      <c r="B165" s="877" t="str">
        <f>'Corrected and Updated TSF 2'!FI165</f>
        <v>SOLD</v>
      </c>
      <c r="C165" s="1002" t="str">
        <f>'Corrected and Updated TSF 2'!E165</f>
        <v>10th Floor</v>
      </c>
      <c r="D165" s="1003" t="str">
        <f>'Corrected and Updated TSF 2'!M165</f>
        <v>Corner</v>
      </c>
      <c r="E165" s="1003" t="str">
        <f>'Corrected and Updated TSF 2'!G165</f>
        <v>10R</v>
      </c>
      <c r="F165" s="1004" t="str">
        <f>'Corrected and Updated TSF 2'!I165</f>
        <v>Studio</v>
      </c>
      <c r="G165" s="1005">
        <f>'Corrected and Updated TSF 2'!J165</f>
        <v>22</v>
      </c>
      <c r="H165" s="1005">
        <f>'Corrected and Updated TSF 2'!CH165</f>
        <v>3626256.2227197876</v>
      </c>
      <c r="I165" s="1005">
        <f>SUM('Corrected and Updated TSF 2'!CJ165:CK165)</f>
        <v>498610.23062397074</v>
      </c>
      <c r="J165" s="1005">
        <f>'Corrected and Updated TSF 2'!CL165</f>
        <v>4560017.2000701325</v>
      </c>
      <c r="K165" s="1006">
        <f>'Corrected and Updated TSF 2'!CM165</f>
        <v>0.125</v>
      </c>
      <c r="L165" s="1005">
        <f>'Corrected and Updated TSF 2'!CN165</f>
        <v>570002.15000876656</v>
      </c>
      <c r="M165" s="1005">
        <f>'Corrected and Updated TSF 2'!CO165</f>
        <v>30000</v>
      </c>
      <c r="N165" s="1005">
        <f>'Corrected and Updated TSF 2'!CP165</f>
        <v>540002.15000876656</v>
      </c>
      <c r="O165" s="1007">
        <f>'Corrected and Updated TSF 2'!CQ165</f>
        <v>14</v>
      </c>
      <c r="P165" s="1005">
        <f>'Corrected and Updated TSF 2'!CR165</f>
        <v>38571.582143483327</v>
      </c>
      <c r="Q165" s="1005">
        <f>'Corrected and Updated TSF 2'!CT165</f>
        <v>3990015.0500613661</v>
      </c>
      <c r="R165" s="1005">
        <f>'Corrected and Updated TSF 2'!CU165</f>
        <v>30934.544214158675</v>
      </c>
      <c r="S165" s="1005">
        <f>'Corrected and Updated TSF 2'!CV165</f>
        <v>35863.383281218179</v>
      </c>
      <c r="T165" s="882">
        <f>'Corrected and Updated TSF 2'!CW165</f>
        <v>46327.457952204735</v>
      </c>
      <c r="U165" s="882">
        <f>'Corrected and Updated TSF 2'!CX165</f>
        <v>79007.080185247803</v>
      </c>
      <c r="V165" s="1167">
        <f>'Corrected and Updated TSF 2'!CY165</f>
        <v>324121.60483632161</v>
      </c>
      <c r="W165" s="1167">
        <f>'Corrected and Updated TSF 2'!CZ165</f>
        <v>128253.3401467466</v>
      </c>
      <c r="X165" s="1233">
        <f>'Corrected and Updated TSF 2'!DA165</f>
        <v>92635.571110980251</v>
      </c>
      <c r="Y165" s="1233">
        <f>'Corrected and Updated TSF 2'!DB165</f>
        <v>70499.934336886203</v>
      </c>
      <c r="Z165" s="885">
        <f>H165-'Corrected and Updated TSF 2'!CH165</f>
        <v>0</v>
      </c>
      <c r="AA165" s="885">
        <f>I165-SUM('Corrected and Updated TSF 2'!CJ165:CK165)</f>
        <v>0</v>
      </c>
      <c r="AB165" s="885">
        <f>J165-'Corrected and Updated TSF 2'!CL165</f>
        <v>0</v>
      </c>
      <c r="AC165" s="886">
        <f>K165-'Corrected and Updated TSF 2'!CM165</f>
        <v>0</v>
      </c>
      <c r="AD165" s="885">
        <f>M165-'Corrected and Updated TSF 2'!CO165</f>
        <v>0</v>
      </c>
      <c r="AE165" s="887">
        <f>P165-'Corrected and Updated TSF 2'!CR165</f>
        <v>0</v>
      </c>
      <c r="AF165" s="885">
        <f>Q165-'Corrected and Updated TSF 2'!CT165</f>
        <v>0</v>
      </c>
      <c r="AG165" s="888"/>
      <c r="AH165" s="888"/>
      <c r="AI165" s="885">
        <f>S165-'INTERNAL PRICELIST'!AA165</f>
        <v>15135.797654647027</v>
      </c>
      <c r="AJ165" s="885">
        <f>T165-'INTERNAL PRICELIST'!AB165</f>
        <v>19552.060189348569</v>
      </c>
      <c r="AK165" s="885">
        <f>U165-'INTERNAL PRICELIST'!AC165</f>
        <v>33344.181948432139</v>
      </c>
      <c r="AL165" s="884"/>
      <c r="AM165" s="884"/>
      <c r="AN165" s="884"/>
      <c r="AO165" s="884"/>
      <c r="AP165" s="884"/>
      <c r="AQ165" s="884"/>
      <c r="AR165" s="884"/>
      <c r="AS165" s="884"/>
    </row>
    <row r="166" spans="1:45" s="140" customFormat="1" ht="12.75" hidden="1" customHeight="1">
      <c r="A166" s="876" t="str">
        <f t="shared" si="2"/>
        <v>11A</v>
      </c>
      <c r="B166" s="877" t="str">
        <f>'Corrected and Updated TSF 2'!FI166</f>
        <v>SOLD</v>
      </c>
      <c r="C166" s="1002" t="str">
        <f>'Corrected and Updated TSF 2'!E166</f>
        <v>11th Floor</v>
      </c>
      <c r="D166" s="1003" t="str">
        <f>'Corrected and Updated TSF 2'!M166</f>
        <v>End</v>
      </c>
      <c r="E166" s="1003" t="str">
        <f>'Corrected and Updated TSF 2'!G166</f>
        <v>11A</v>
      </c>
      <c r="F166" s="1004" t="str">
        <f>'Corrected and Updated TSF 2'!I166</f>
        <v>Studio</v>
      </c>
      <c r="G166" s="1005">
        <f>'Corrected and Updated TSF 2'!J166</f>
        <v>22</v>
      </c>
      <c r="H166" s="1005">
        <f>'Corrected and Updated TSF 2'!CH166</f>
        <v>3608554.9448269368</v>
      </c>
      <c r="I166" s="1005">
        <f>SUM('Corrected and Updated TSF 2'!CJ166:CK166)</f>
        <v>496176.30491370382</v>
      </c>
      <c r="J166" s="1005">
        <f>'Corrected and Updated TSF 2'!CL166</f>
        <v>4537757.8431198727</v>
      </c>
      <c r="K166" s="1006">
        <f>'Corrected and Updated TSF 2'!CM166</f>
        <v>0.125</v>
      </c>
      <c r="L166" s="1005">
        <f>'Corrected and Updated TSF 2'!CN166</f>
        <v>567219.73038998409</v>
      </c>
      <c r="M166" s="1005">
        <f>'Corrected and Updated TSF 2'!CO166</f>
        <v>30000</v>
      </c>
      <c r="N166" s="1005">
        <f>'Corrected and Updated TSF 2'!CP166</f>
        <v>537219.73038998409</v>
      </c>
      <c r="O166" s="1007">
        <f>'Corrected and Updated TSF 2'!CQ166</f>
        <v>15</v>
      </c>
      <c r="P166" s="1005">
        <f>'Corrected and Updated TSF 2'!CR166</f>
        <v>35814.648692665607</v>
      </c>
      <c r="Q166" s="1005">
        <f>'Corrected and Updated TSF 2'!CT166</f>
        <v>3970538.1127298884</v>
      </c>
      <c r="R166" s="1005">
        <f>'Corrected and Updated TSF 2'!CU166</f>
        <v>30783.539726336574</v>
      </c>
      <c r="S166" s="1005">
        <f>'Corrected and Updated TSF 2'!CV166</f>
        <v>35688.319062186645</v>
      </c>
      <c r="T166" s="882">
        <f>'Corrected and Updated TSF 2'!CW166</f>
        <v>46101.314194865306</v>
      </c>
      <c r="U166" s="882">
        <f>'Corrected and Updated TSF 2'!CX166</f>
        <v>78621.413482189266</v>
      </c>
      <c r="V166" s="1167">
        <f>'Corrected and Updated TSF 2'!CY166</f>
        <v>322539.43130916212</v>
      </c>
      <c r="W166" s="1167">
        <f>'Corrected and Updated TSF 2'!CZ166</f>
        <v>127627.28178925934</v>
      </c>
      <c r="X166" s="1233">
        <f>'Corrected and Updated TSF 2'!DA166</f>
        <v>92183.378026353559</v>
      </c>
      <c r="Y166" s="1233">
        <f>'Corrected and Updated TSF 2'!DB166</f>
        <v>70155.794581590861</v>
      </c>
      <c r="Z166" s="885">
        <f>H166-'Corrected and Updated TSF 2'!CH166</f>
        <v>0</v>
      </c>
      <c r="AA166" s="885">
        <f>I166-SUM('Corrected and Updated TSF 2'!CJ166:CK166)</f>
        <v>0</v>
      </c>
      <c r="AB166" s="885">
        <f>J166-'Corrected and Updated TSF 2'!CL166</f>
        <v>0</v>
      </c>
      <c r="AC166" s="886">
        <f>K166-'Corrected and Updated TSF 2'!CM166</f>
        <v>0</v>
      </c>
      <c r="AD166" s="885">
        <f>M166-'Corrected and Updated TSF 2'!CO166</f>
        <v>0</v>
      </c>
      <c r="AE166" s="887">
        <f>P166-'Corrected and Updated TSF 2'!CR166</f>
        <v>0</v>
      </c>
      <c r="AF166" s="885">
        <f>Q166-'Corrected and Updated TSF 2'!CT166</f>
        <v>0</v>
      </c>
      <c r="AG166" s="888"/>
      <c r="AH166" s="888"/>
      <c r="AI166" s="885">
        <f>S166-'INTERNAL PRICELIST'!AA166</f>
        <v>14960.733435615493</v>
      </c>
      <c r="AJ166" s="885">
        <f>T166-'INTERNAL PRICELIST'!AB166</f>
        <v>19325.91643200914</v>
      </c>
      <c r="AK166" s="885">
        <f>U166-'INTERNAL PRICELIST'!AC166</f>
        <v>32958.515245373601</v>
      </c>
      <c r="AL166" s="884"/>
      <c r="AM166" s="884"/>
      <c r="AN166" s="884"/>
      <c r="AO166" s="884"/>
      <c r="AP166" s="884"/>
      <c r="AQ166" s="884"/>
      <c r="AR166" s="884"/>
      <c r="AS166" s="884"/>
    </row>
    <row r="167" spans="1:45" s="140" customFormat="1" ht="12.75" customHeight="1">
      <c r="A167" s="876" t="str">
        <f t="shared" si="2"/>
        <v>11B</v>
      </c>
      <c r="B167" s="877" t="str">
        <f>'Corrected and Updated TSF 2'!FI167</f>
        <v>UNSOLD</v>
      </c>
      <c r="C167" s="1002" t="str">
        <f>'Corrected and Updated TSF 2'!E167</f>
        <v>11th Floor</v>
      </c>
      <c r="D167" s="1003" t="str">
        <f>'Corrected and Updated TSF 2'!M167</f>
        <v>Inner</v>
      </c>
      <c r="E167" s="1003" t="str">
        <f>'Corrected and Updated TSF 2'!G167</f>
        <v>11B</v>
      </c>
      <c r="F167" s="1004" t="str">
        <f>'Corrected and Updated TSF 2'!I167</f>
        <v>Studio</v>
      </c>
      <c r="G167" s="1005">
        <f>'Corrected and Updated TSF 2'!J167</f>
        <v>22</v>
      </c>
      <c r="H167" s="1005">
        <f>'Corrected and Updated TSF 2'!CH167</f>
        <v>3636585.3871016572</v>
      </c>
      <c r="I167" s="1005">
        <f>SUM('Corrected and Updated TSF 2'!CJ167:CK167)</f>
        <v>500030.49072647787</v>
      </c>
      <c r="J167" s="1005">
        <f>'Corrected and Updated TSF 2'!CL167</f>
        <v>4136615.8778281352</v>
      </c>
      <c r="K167" s="1006">
        <f>'Corrected and Updated TSF 2'!CM167</f>
        <v>0.125</v>
      </c>
      <c r="L167" s="1005">
        <f>'Corrected and Updated TSF 2'!CN167</f>
        <v>517076.98472851689</v>
      </c>
      <c r="M167" s="1005">
        <f>'Corrected and Updated TSF 2'!CO167</f>
        <v>30000</v>
      </c>
      <c r="N167" s="1005">
        <f>'Corrected and Updated TSF 2'!CP167</f>
        <v>487076.98472851689</v>
      </c>
      <c r="O167" s="1007">
        <f>'Corrected and Updated TSF 2'!CQ167</f>
        <v>15</v>
      </c>
      <c r="P167" s="1005">
        <f>'Corrected and Updated TSF 2'!CR167</f>
        <v>32471.798981901127</v>
      </c>
      <c r="Q167" s="1005">
        <f>'Corrected and Updated TSF 2'!CT167</f>
        <v>3619538.8930996181</v>
      </c>
      <c r="R167" s="1005">
        <f>'Corrected and Updated TSF 2'!CU167</f>
        <v>28062.246512512531</v>
      </c>
      <c r="S167" s="1005">
        <f>'Corrected and Updated TSF 2'!CV167</f>
        <v>32533.438845678374</v>
      </c>
      <c r="T167" s="882">
        <f>'Corrected and Updated TSF 2'!CW167</f>
        <v>42025.915635045858</v>
      </c>
      <c r="U167" s="882">
        <f>'Corrected and Updated TSF 2'!CX167</f>
        <v>71671.208246782538</v>
      </c>
      <c r="V167" s="1167">
        <f>'Corrected and Updated TSF 2'!CY167</f>
        <v>294026.64904256142</v>
      </c>
      <c r="W167" s="1167">
        <f>'Corrected and Updated TSF 2'!CZ167</f>
        <v>116344.91274010217</v>
      </c>
      <c r="X167" s="1233">
        <f>'Corrected and Updated TSF 2'!DA167</f>
        <v>84034.282656535739</v>
      </c>
      <c r="Y167" s="1233">
        <f>'Corrected and Updated TSF 2'!DB167</f>
        <v>63953.957840185147</v>
      </c>
      <c r="Z167" s="885">
        <f>H167-'Corrected and Updated TSF 2'!CH167</f>
        <v>0</v>
      </c>
      <c r="AA167" s="885">
        <f>I167-SUM('Corrected and Updated TSF 2'!CJ167:CK167)</f>
        <v>0</v>
      </c>
      <c r="AB167" s="885">
        <f>J167-'Corrected and Updated TSF 2'!CL167</f>
        <v>0</v>
      </c>
      <c r="AC167" s="886">
        <f>K167-'Corrected and Updated TSF 2'!CM167</f>
        <v>0</v>
      </c>
      <c r="AD167" s="885">
        <f>M167-'Corrected and Updated TSF 2'!CO167</f>
        <v>0</v>
      </c>
      <c r="AE167" s="887">
        <f>P167-'Corrected and Updated TSF 2'!CR167</f>
        <v>0</v>
      </c>
      <c r="AF167" s="885">
        <f>Q167-'Corrected and Updated TSF 2'!CT167</f>
        <v>0</v>
      </c>
      <c r="AG167" s="888"/>
      <c r="AH167" s="888"/>
      <c r="AI167" s="885">
        <f>S167-'INTERNAL PRICELIST'!AA167</f>
        <v>11788.456847355508</v>
      </c>
      <c r="AJ167" s="885">
        <f>T167-'INTERNAL PRICELIST'!AB167</f>
        <v>15228.045656579328</v>
      </c>
      <c r="AK167" s="885">
        <f>U167-'INTERNAL PRICELIST'!AC167</f>
        <v>25969.985780251962</v>
      </c>
      <c r="AL167" s="884"/>
      <c r="AM167" s="884"/>
      <c r="AN167" s="884"/>
      <c r="AO167" s="884"/>
      <c r="AP167" s="884"/>
      <c r="AQ167" s="884"/>
      <c r="AR167" s="884"/>
      <c r="AS167" s="884"/>
    </row>
    <row r="168" spans="1:45" s="884" customFormat="1" ht="12.75" customHeight="1">
      <c r="A168" s="876" t="str">
        <f t="shared" si="2"/>
        <v>11C</v>
      </c>
      <c r="B168" s="877" t="str">
        <f>'Corrected and Updated TSF 2'!FI168</f>
        <v>UNSOLD</v>
      </c>
      <c r="C168" s="1002" t="str">
        <f>'Corrected and Updated TSF 2'!E168</f>
        <v>11th Floor</v>
      </c>
      <c r="D168" s="1003" t="str">
        <f>'Corrected and Updated TSF 2'!M168</f>
        <v>End</v>
      </c>
      <c r="E168" s="1003" t="str">
        <f>'Corrected and Updated TSF 2'!G168</f>
        <v>11C</v>
      </c>
      <c r="F168" s="1004" t="str">
        <f>'Corrected and Updated TSF 2'!I168</f>
        <v>Studio</v>
      </c>
      <c r="G168" s="1005">
        <f>'Corrected and Updated TSF 2'!J168</f>
        <v>22</v>
      </c>
      <c r="H168" s="1005">
        <f>'Corrected and Updated TSF 2'!CH168</f>
        <v>3737270.2771450044</v>
      </c>
      <c r="I168" s="1005">
        <f>SUM('Corrected and Updated TSF 2'!CJ168:CK168)</f>
        <v>513874.66310743807</v>
      </c>
      <c r="J168" s="1005">
        <f>'Corrected and Updated TSF 2'!CL168</f>
        <v>4251144.9402524428</v>
      </c>
      <c r="K168" s="1006">
        <f>'Corrected and Updated TSF 2'!CM168</f>
        <v>0.125</v>
      </c>
      <c r="L168" s="1005">
        <f>'Corrected and Updated TSF 2'!CN168</f>
        <v>531393.11753155536</v>
      </c>
      <c r="M168" s="1005">
        <f>'Corrected and Updated TSF 2'!CO168</f>
        <v>30000</v>
      </c>
      <c r="N168" s="1005">
        <f>'Corrected and Updated TSF 2'!CP168</f>
        <v>501393.11753155536</v>
      </c>
      <c r="O168" s="1007">
        <f>'Corrected and Updated TSF 2'!CQ168</f>
        <v>15</v>
      </c>
      <c r="P168" s="1005">
        <f>'Corrected and Updated TSF 2'!CR168</f>
        <v>33426.207835437024</v>
      </c>
      <c r="Q168" s="1005">
        <f>'Corrected and Updated TSF 2'!CT168</f>
        <v>3719751.8227208876</v>
      </c>
      <c r="R168" s="1005">
        <f>'Corrected and Updated TSF 2'!CU168</f>
        <v>28839.196289218729</v>
      </c>
      <c r="S168" s="1005">
        <f>'Corrected and Updated TSF 2'!CV168</f>
        <v>33434.180988163789</v>
      </c>
      <c r="T168" s="882">
        <f>'Corrected and Updated TSF 2'!CW168</f>
        <v>43189.472720682716</v>
      </c>
      <c r="U168" s="882">
        <f>'Corrected and Updated TSF 2'!CX168</f>
        <v>73655.54436252336</v>
      </c>
      <c r="V168" s="1167">
        <f>'Corrected and Updated TSF 2'!CY168</f>
        <v>302167.26384392555</v>
      </c>
      <c r="W168" s="1167">
        <f>'Corrected and Updated TSF 2'!CZ168</f>
        <v>119566.11436179053</v>
      </c>
      <c r="X168" s="1233">
        <f>'Corrected and Updated TSF 2'!DA168</f>
        <v>86360.910965375821</v>
      </c>
      <c r="Y168" s="1233">
        <f>'Corrected and Updated TSF 2'!DB168</f>
        <v>65724.629095647659</v>
      </c>
      <c r="Z168" s="885">
        <f>H168-'Corrected and Updated TSF 2'!CH168</f>
        <v>0</v>
      </c>
      <c r="AA168" s="885">
        <f>I168-SUM('Corrected and Updated TSF 2'!CJ168:CK168)</f>
        <v>0</v>
      </c>
      <c r="AB168" s="885">
        <f>J168-'Corrected and Updated TSF 2'!CL168</f>
        <v>0</v>
      </c>
      <c r="AC168" s="886">
        <f>K168-'Corrected and Updated TSF 2'!CM168</f>
        <v>0</v>
      </c>
      <c r="AD168" s="885">
        <f>M168-'Corrected and Updated TSF 2'!CO168</f>
        <v>0</v>
      </c>
      <c r="AE168" s="887">
        <f>P168-'Corrected and Updated TSF 2'!CR168</f>
        <v>0</v>
      </c>
      <c r="AF168" s="885">
        <f>Q168-'Corrected and Updated TSF 2'!CT168</f>
        <v>0</v>
      </c>
      <c r="AG168" s="888"/>
      <c r="AH168" s="888"/>
      <c r="AI168" s="885">
        <f>S168-'INTERNAL PRICELIST'!AA168</f>
        <v>12706.595361592637</v>
      </c>
      <c r="AJ168" s="885">
        <f>T168-'INTERNAL PRICELIST'!AB168</f>
        <v>16414.07495782655</v>
      </c>
      <c r="AK168" s="885">
        <f>U168-'INTERNAL PRICELIST'!AC168</f>
        <v>27992.646125707695</v>
      </c>
    </row>
    <row r="169" spans="1:45" s="884" customFormat="1" ht="12.75" customHeight="1">
      <c r="A169" s="876" t="str">
        <f t="shared" si="2"/>
        <v>11D</v>
      </c>
      <c r="B169" s="877" t="str">
        <f>'Corrected and Updated TSF 2'!FI169</f>
        <v>UNSOLD</v>
      </c>
      <c r="C169" s="1002" t="str">
        <f>'Corrected and Updated TSF 2'!E169</f>
        <v>11th Floor</v>
      </c>
      <c r="D169" s="1003" t="str">
        <f>'Corrected and Updated TSF 2'!M169</f>
        <v>End</v>
      </c>
      <c r="E169" s="1003" t="str">
        <f>'Corrected and Updated TSF 2'!G169</f>
        <v>11D</v>
      </c>
      <c r="F169" s="1004" t="str">
        <f>'Corrected and Updated TSF 2'!I169</f>
        <v>Studio</v>
      </c>
      <c r="G169" s="1005">
        <f>'Corrected and Updated TSF 2'!J169</f>
        <v>22</v>
      </c>
      <c r="H169" s="1005">
        <f>'Corrected and Updated TSF 2'!CH169</f>
        <v>3737270.2771450044</v>
      </c>
      <c r="I169" s="1005">
        <f>SUM('Corrected and Updated TSF 2'!CJ169:CK169)</f>
        <v>513874.66310743807</v>
      </c>
      <c r="J169" s="1005">
        <f>'Corrected and Updated TSF 2'!CL169</f>
        <v>4251144.9402524428</v>
      </c>
      <c r="K169" s="1006">
        <f>'Corrected and Updated TSF 2'!CM169</f>
        <v>0.125</v>
      </c>
      <c r="L169" s="1005">
        <f>'Corrected and Updated TSF 2'!CN169</f>
        <v>531393.11753155536</v>
      </c>
      <c r="M169" s="1005">
        <f>'Corrected and Updated TSF 2'!CO169</f>
        <v>30000</v>
      </c>
      <c r="N169" s="1005">
        <f>'Corrected and Updated TSF 2'!CP169</f>
        <v>501393.11753155536</v>
      </c>
      <c r="O169" s="1007">
        <f>'Corrected and Updated TSF 2'!CQ169</f>
        <v>15</v>
      </c>
      <c r="P169" s="1005">
        <f>'Corrected and Updated TSF 2'!CR169</f>
        <v>33426.207835437024</v>
      </c>
      <c r="Q169" s="1005">
        <f>'Corrected and Updated TSF 2'!CT169</f>
        <v>3719751.8227208876</v>
      </c>
      <c r="R169" s="1005">
        <f>'Corrected and Updated TSF 2'!CU169</f>
        <v>28839.196289218729</v>
      </c>
      <c r="S169" s="1005">
        <f>'Corrected and Updated TSF 2'!CV169</f>
        <v>33434.180988163789</v>
      </c>
      <c r="T169" s="882">
        <f>'Corrected and Updated TSF 2'!CW169</f>
        <v>43189.472720682716</v>
      </c>
      <c r="U169" s="882">
        <f>'Corrected and Updated TSF 2'!CX169</f>
        <v>73655.54436252336</v>
      </c>
      <c r="V169" s="1167">
        <f>'Corrected and Updated TSF 2'!CY169</f>
        <v>302167.26384392555</v>
      </c>
      <c r="W169" s="1167">
        <f>'Corrected and Updated TSF 2'!CZ169</f>
        <v>119566.11436179053</v>
      </c>
      <c r="X169" s="1233">
        <f>'Corrected and Updated TSF 2'!DA169</f>
        <v>86360.910965375821</v>
      </c>
      <c r="Y169" s="1233">
        <f>'Corrected and Updated TSF 2'!DB169</f>
        <v>65724.629095647659</v>
      </c>
      <c r="Z169" s="885">
        <f>H169-'Corrected and Updated TSF 2'!CH169</f>
        <v>0</v>
      </c>
      <c r="AA169" s="885">
        <f>I169-SUM('Corrected and Updated TSF 2'!CJ169:CK169)</f>
        <v>0</v>
      </c>
      <c r="AB169" s="885">
        <f>J169-'Corrected and Updated TSF 2'!CL169</f>
        <v>0</v>
      </c>
      <c r="AC169" s="886">
        <f>K169-'Corrected and Updated TSF 2'!CM169</f>
        <v>0</v>
      </c>
      <c r="AD169" s="885">
        <f>M169-'Corrected and Updated TSF 2'!CO169</f>
        <v>0</v>
      </c>
      <c r="AE169" s="887">
        <f>P169-'Corrected and Updated TSF 2'!CR169</f>
        <v>0</v>
      </c>
      <c r="AF169" s="885">
        <f>Q169-'Corrected and Updated TSF 2'!CT169</f>
        <v>0</v>
      </c>
      <c r="AG169" s="888"/>
      <c r="AH169" s="888"/>
      <c r="AI169" s="885">
        <f>S169-'INTERNAL PRICELIST'!AA169</f>
        <v>12706.595361592637</v>
      </c>
      <c r="AJ169" s="885">
        <f>T169-'INTERNAL PRICELIST'!AB169</f>
        <v>16414.07495782655</v>
      </c>
      <c r="AK169" s="885">
        <f>U169-'INTERNAL PRICELIST'!AC169</f>
        <v>27992.646125707695</v>
      </c>
    </row>
    <row r="170" spans="1:45" s="822" customFormat="1" ht="12.75" customHeight="1">
      <c r="A170" s="876" t="str">
        <f t="shared" si="2"/>
        <v>11E</v>
      </c>
      <c r="B170" s="877" t="str">
        <f>'Corrected and Updated TSF 2'!FI170</f>
        <v>UNSOLD</v>
      </c>
      <c r="C170" s="1002" t="str">
        <f>'Corrected and Updated TSF 2'!E170</f>
        <v>11th Floor</v>
      </c>
      <c r="D170" s="1003" t="str">
        <f>'Corrected and Updated TSF 2'!M170</f>
        <v>End</v>
      </c>
      <c r="E170" s="1003" t="str">
        <f>'Corrected and Updated TSF 2'!G170</f>
        <v>11E</v>
      </c>
      <c r="F170" s="1004" t="str">
        <f>'Corrected and Updated TSF 2'!I170</f>
        <v>Studio</v>
      </c>
      <c r="G170" s="1005">
        <f>'Corrected and Updated TSF 2'!J170</f>
        <v>22</v>
      </c>
      <c r="H170" s="1005">
        <f>'Corrected and Updated TSF 2'!CH170</f>
        <v>3737270.2771450044</v>
      </c>
      <c r="I170" s="1005">
        <f>SUM('Corrected and Updated TSF 2'!CJ170:CK170)</f>
        <v>513874.66310743807</v>
      </c>
      <c r="J170" s="1005">
        <f>'Corrected and Updated TSF 2'!CL170</f>
        <v>4251144.9402524428</v>
      </c>
      <c r="K170" s="1006">
        <f>'Corrected and Updated TSF 2'!CM170</f>
        <v>0.125</v>
      </c>
      <c r="L170" s="1005">
        <f>'Corrected and Updated TSF 2'!CN170</f>
        <v>531393.11753155536</v>
      </c>
      <c r="M170" s="1005">
        <f>'Corrected and Updated TSF 2'!CO170</f>
        <v>30000</v>
      </c>
      <c r="N170" s="1005">
        <f>'Corrected and Updated TSF 2'!CP170</f>
        <v>501393.11753155536</v>
      </c>
      <c r="O170" s="1007">
        <f>'Corrected and Updated TSF 2'!CQ170</f>
        <v>15</v>
      </c>
      <c r="P170" s="1005">
        <f>'Corrected and Updated TSF 2'!CR170</f>
        <v>33426.207835437024</v>
      </c>
      <c r="Q170" s="1005">
        <f>'Corrected and Updated TSF 2'!CT170</f>
        <v>3719751.8227208876</v>
      </c>
      <c r="R170" s="1005">
        <f>'Corrected and Updated TSF 2'!CU170</f>
        <v>28839.196289218729</v>
      </c>
      <c r="S170" s="1005">
        <f>'Corrected and Updated TSF 2'!CV170</f>
        <v>33434.180988163789</v>
      </c>
      <c r="T170" s="882">
        <f>'Corrected and Updated TSF 2'!CW170</f>
        <v>43189.472720682716</v>
      </c>
      <c r="U170" s="882">
        <f>'Corrected and Updated TSF 2'!CX170</f>
        <v>73655.54436252336</v>
      </c>
      <c r="V170" s="1167">
        <f>'Corrected and Updated TSF 2'!CY170</f>
        <v>302167.26384392555</v>
      </c>
      <c r="W170" s="1167">
        <f>'Corrected and Updated TSF 2'!CZ170</f>
        <v>119566.11436179053</v>
      </c>
      <c r="X170" s="1233">
        <f>'Corrected and Updated TSF 2'!DA170</f>
        <v>86360.910965375821</v>
      </c>
      <c r="Y170" s="1233">
        <f>'Corrected and Updated TSF 2'!DB170</f>
        <v>65724.629095647659</v>
      </c>
      <c r="Z170" s="885">
        <f>H170-'Corrected and Updated TSF 2'!CH170</f>
        <v>0</v>
      </c>
      <c r="AA170" s="885">
        <f>I170-SUM('Corrected and Updated TSF 2'!CJ170:CK170)</f>
        <v>0</v>
      </c>
      <c r="AB170" s="885">
        <f>J170-'Corrected and Updated TSF 2'!CL170</f>
        <v>0</v>
      </c>
      <c r="AC170" s="886">
        <f>K170-'Corrected and Updated TSF 2'!CM170</f>
        <v>0</v>
      </c>
      <c r="AD170" s="885">
        <f>M170-'Corrected and Updated TSF 2'!CO170</f>
        <v>0</v>
      </c>
      <c r="AE170" s="887">
        <f>P170-'Corrected and Updated TSF 2'!CR170</f>
        <v>0</v>
      </c>
      <c r="AF170" s="885">
        <f>Q170-'Corrected and Updated TSF 2'!CT170</f>
        <v>0</v>
      </c>
      <c r="AG170" s="888"/>
      <c r="AH170" s="888"/>
      <c r="AI170" s="885">
        <f>S170-'INTERNAL PRICELIST'!AA170</f>
        <v>12706.595361592637</v>
      </c>
      <c r="AJ170" s="885">
        <f>T170-'INTERNAL PRICELIST'!AB170</f>
        <v>16414.07495782655</v>
      </c>
      <c r="AK170" s="885">
        <f>U170-'INTERNAL PRICELIST'!AC170</f>
        <v>27992.646125707695</v>
      </c>
    </row>
    <row r="171" spans="1:45" s="822" customFormat="1" hidden="1">
      <c r="A171" s="876" t="str">
        <f t="shared" si="2"/>
        <v>11F</v>
      </c>
      <c r="B171" s="877" t="str">
        <f>'Corrected and Updated TSF 2'!FI171</f>
        <v>SOLD</v>
      </c>
      <c r="C171" s="1002" t="str">
        <f>'Corrected and Updated TSF 2'!E171</f>
        <v>11th Floor</v>
      </c>
      <c r="D171" s="1003" t="str">
        <f>'Corrected and Updated TSF 2'!M171</f>
        <v>End</v>
      </c>
      <c r="E171" s="1003" t="str">
        <f>'Corrected and Updated TSF 2'!G171</f>
        <v>11F</v>
      </c>
      <c r="F171" s="1004" t="str">
        <f>'Corrected and Updated TSF 2'!I171</f>
        <v>Studio</v>
      </c>
      <c r="G171" s="1005">
        <f>'Corrected and Updated TSF 2'!J171</f>
        <v>22</v>
      </c>
      <c r="H171" s="1005">
        <f>'Corrected and Updated TSF 2'!CH171</f>
        <v>3608554.9448269368</v>
      </c>
      <c r="I171" s="1005">
        <f>SUM('Corrected and Updated TSF 2'!CJ171:CK171)</f>
        <v>496176.30491370382</v>
      </c>
      <c r="J171" s="1005">
        <f>'Corrected and Updated TSF 2'!CL171</f>
        <v>4537757.8431198727</v>
      </c>
      <c r="K171" s="1006">
        <f>'Corrected and Updated TSF 2'!CM171</f>
        <v>0.125</v>
      </c>
      <c r="L171" s="1005">
        <f>'Corrected and Updated TSF 2'!CN171</f>
        <v>567219.73038998409</v>
      </c>
      <c r="M171" s="1005">
        <f>'Corrected and Updated TSF 2'!CO171</f>
        <v>30000</v>
      </c>
      <c r="N171" s="1005">
        <f>'Corrected and Updated TSF 2'!CP171</f>
        <v>537219.73038998409</v>
      </c>
      <c r="O171" s="1007">
        <f>'Corrected and Updated TSF 2'!CQ171</f>
        <v>15</v>
      </c>
      <c r="P171" s="1005">
        <f>'Corrected and Updated TSF 2'!CR171</f>
        <v>35814.648692665607</v>
      </c>
      <c r="Q171" s="1005">
        <f>'Corrected and Updated TSF 2'!CT171</f>
        <v>3970538.1127298884</v>
      </c>
      <c r="R171" s="1005">
        <f>'Corrected and Updated TSF 2'!CU171</f>
        <v>30783.539726336574</v>
      </c>
      <c r="S171" s="1005">
        <f>'Corrected and Updated TSF 2'!CV171</f>
        <v>35688.319062186645</v>
      </c>
      <c r="T171" s="882">
        <f>'Corrected and Updated TSF 2'!CW171</f>
        <v>46101.314194865306</v>
      </c>
      <c r="U171" s="882">
        <f>'Corrected and Updated TSF 2'!CX171</f>
        <v>78621.413482189266</v>
      </c>
      <c r="V171" s="1167">
        <f>'Corrected and Updated TSF 2'!CY171</f>
        <v>322539.43130916212</v>
      </c>
      <c r="W171" s="1167">
        <f>'Corrected and Updated TSF 2'!CZ171</f>
        <v>127627.28178925934</v>
      </c>
      <c r="X171" s="1233">
        <f>'Corrected and Updated TSF 2'!DA171</f>
        <v>92183.378026353559</v>
      </c>
      <c r="Y171" s="1233">
        <f>'Corrected and Updated TSF 2'!DB171</f>
        <v>70155.794581590861</v>
      </c>
      <c r="Z171" s="885">
        <f>H171-'Corrected and Updated TSF 2'!CH171</f>
        <v>0</v>
      </c>
      <c r="AA171" s="885">
        <f>I171-SUM('Corrected and Updated TSF 2'!CJ171:CK171)</f>
        <v>0</v>
      </c>
      <c r="AB171" s="885">
        <f>J171-'Corrected and Updated TSF 2'!CL171</f>
        <v>0</v>
      </c>
      <c r="AC171" s="886">
        <f>K171-'Corrected and Updated TSF 2'!CM171</f>
        <v>0</v>
      </c>
      <c r="AD171" s="885">
        <f>M171-'Corrected and Updated TSF 2'!CO171</f>
        <v>0</v>
      </c>
      <c r="AE171" s="887">
        <f>P171-'Corrected and Updated TSF 2'!CR171</f>
        <v>0</v>
      </c>
      <c r="AF171" s="885">
        <f>Q171-'Corrected and Updated TSF 2'!CT171</f>
        <v>0</v>
      </c>
      <c r="AG171" s="888"/>
      <c r="AH171" s="888"/>
      <c r="AI171" s="885">
        <f>S171-'INTERNAL PRICELIST'!AA171</f>
        <v>14960.733435615493</v>
      </c>
      <c r="AJ171" s="885">
        <f>T171-'INTERNAL PRICELIST'!AB171</f>
        <v>19325.91643200914</v>
      </c>
      <c r="AK171" s="885">
        <f>U171-'INTERNAL PRICELIST'!AC171</f>
        <v>32958.515245373601</v>
      </c>
    </row>
    <row r="172" spans="1:45" s="822" customFormat="1" ht="12.75" hidden="1" customHeight="1">
      <c r="A172" s="876" t="str">
        <f t="shared" si="2"/>
        <v>11G</v>
      </c>
      <c r="B172" s="877" t="str">
        <f>'Corrected and Updated TSF 2'!FI172</f>
        <v>SOLD</v>
      </c>
      <c r="C172" s="1002" t="str">
        <f>'Corrected and Updated TSF 2'!E172</f>
        <v>11th Floor</v>
      </c>
      <c r="D172" s="1003" t="str">
        <f>'Corrected and Updated TSF 2'!M172</f>
        <v>Corner</v>
      </c>
      <c r="E172" s="1003" t="str">
        <f>'Corrected and Updated TSF 2'!G172</f>
        <v>11G</v>
      </c>
      <c r="F172" s="1004" t="str">
        <f>'Corrected and Updated TSF 2'!I172</f>
        <v>Studio</v>
      </c>
      <c r="G172" s="1005">
        <f>'Corrected and Updated TSF 2'!J172</f>
        <v>22</v>
      </c>
      <c r="H172" s="1005">
        <f>'Corrected and Updated TSF 2'!CH172</f>
        <v>3653488.9579395587</v>
      </c>
      <c r="I172" s="1005">
        <f>SUM('Corrected and Updated TSF 2'!CJ172:CK172)</f>
        <v>502354.7317166893</v>
      </c>
      <c r="J172" s="1005">
        <f>'Corrected and Updated TSF 2'!CL172</f>
        <v>4594262.3646089947</v>
      </c>
      <c r="K172" s="1006">
        <f>'Corrected and Updated TSF 2'!CM172</f>
        <v>0.125</v>
      </c>
      <c r="L172" s="1005">
        <f>'Corrected and Updated TSF 2'!CN172</f>
        <v>574282.79557612434</v>
      </c>
      <c r="M172" s="1005">
        <f>'Corrected and Updated TSF 2'!CO172</f>
        <v>30000</v>
      </c>
      <c r="N172" s="1005">
        <f>'Corrected and Updated TSF 2'!CP172</f>
        <v>544282.79557612434</v>
      </c>
      <c r="O172" s="1007">
        <f>'Corrected and Updated TSF 2'!CQ172</f>
        <v>15</v>
      </c>
      <c r="P172" s="1005">
        <f>'Corrected and Updated TSF 2'!CR172</f>
        <v>36285.519705074956</v>
      </c>
      <c r="Q172" s="1005">
        <f>'Corrected and Updated TSF 2'!CT172</f>
        <v>4019979.5690328702</v>
      </c>
      <c r="R172" s="1005">
        <f>'Corrected and Updated TSF 2'!CU172</f>
        <v>31166.858810808069</v>
      </c>
      <c r="S172" s="1005">
        <f>'Corrected and Updated TSF 2'!CV172</f>
        <v>36132.712848958996</v>
      </c>
      <c r="T172" s="882">
        <f>'Corrected and Updated TSF 2'!CW172</f>
        <v>46675.371425034631</v>
      </c>
      <c r="U172" s="882">
        <f>'Corrected and Updated TSF 2'!CX172</f>
        <v>79600.413574568622</v>
      </c>
      <c r="V172" s="1167">
        <f>'Corrected and Updated TSF 2'!CY172</f>
        <v>326555.71795502852</v>
      </c>
      <c r="W172" s="1167">
        <f>'Corrected and Updated TSF 2'!CZ172</f>
        <v>129216.50685057316</v>
      </c>
      <c r="X172" s="1233">
        <f>'Corrected and Updated TSF 2'!DA172</f>
        <v>93331.252779636707</v>
      </c>
      <c r="Y172" s="1233">
        <f>'Corrected and Updated TSF 2'!DB172</f>
        <v>71029.380114263637</v>
      </c>
      <c r="Z172" s="885">
        <f>H172-'Corrected and Updated TSF 2'!CH172</f>
        <v>0</v>
      </c>
      <c r="AA172" s="885">
        <f>I172-SUM('Corrected and Updated TSF 2'!CJ172:CK172)</f>
        <v>0</v>
      </c>
      <c r="AB172" s="885">
        <f>J172-'Corrected and Updated TSF 2'!CL172</f>
        <v>0</v>
      </c>
      <c r="AC172" s="886">
        <f>K172-'Corrected and Updated TSF 2'!CM172</f>
        <v>0</v>
      </c>
      <c r="AD172" s="885">
        <f>M172-'Corrected and Updated TSF 2'!CO172</f>
        <v>0</v>
      </c>
      <c r="AE172" s="887">
        <f>P172-'Corrected and Updated TSF 2'!CR172</f>
        <v>0</v>
      </c>
      <c r="AF172" s="885">
        <f>Q172-'Corrected and Updated TSF 2'!CT172</f>
        <v>0</v>
      </c>
      <c r="AG172" s="888"/>
      <c r="AH172" s="888"/>
      <c r="AI172" s="885">
        <f>S172-'INTERNAL PRICELIST'!AA172</f>
        <v>15405.127222387844</v>
      </c>
      <c r="AJ172" s="885">
        <f>T172-'INTERNAL PRICELIST'!AB172</f>
        <v>19899.973662178465</v>
      </c>
      <c r="AK172" s="885">
        <f>U172-'INTERNAL PRICELIST'!AC172</f>
        <v>33937.515337752957</v>
      </c>
    </row>
    <row r="173" spans="1:45" s="822" customFormat="1" hidden="1">
      <c r="A173" s="876" t="str">
        <f t="shared" si="2"/>
        <v>11H</v>
      </c>
      <c r="B173" s="877" t="str">
        <f>'Corrected and Updated TSF 2'!FI173</f>
        <v>SOLD</v>
      </c>
      <c r="C173" s="1002" t="str">
        <f>'Corrected and Updated TSF 2'!E173</f>
        <v>11th Floor</v>
      </c>
      <c r="D173" s="1003" t="str">
        <f>'Corrected and Updated TSF 2'!M173</f>
        <v>Corner</v>
      </c>
      <c r="E173" s="1003" t="str">
        <f>'Corrected and Updated TSF 2'!G173</f>
        <v>11H</v>
      </c>
      <c r="F173" s="1004" t="str">
        <f>'Corrected and Updated TSF 2'!I173</f>
        <v>Studio</v>
      </c>
      <c r="G173" s="1005">
        <f>'Corrected and Updated TSF 2'!J173</f>
        <v>22</v>
      </c>
      <c r="H173" s="1005">
        <f>'Corrected and Updated TSF 2'!CH173</f>
        <v>3653488.9579395587</v>
      </c>
      <c r="I173" s="1005">
        <f>SUM('Corrected and Updated TSF 2'!CJ173:CK173)</f>
        <v>502354.7317166893</v>
      </c>
      <c r="J173" s="1005">
        <f>'Corrected and Updated TSF 2'!CL173</f>
        <v>4594262.3646089947</v>
      </c>
      <c r="K173" s="1006">
        <f>'Corrected and Updated TSF 2'!CM173</f>
        <v>0.125</v>
      </c>
      <c r="L173" s="1005">
        <f>'Corrected and Updated TSF 2'!CN173</f>
        <v>574282.79557612434</v>
      </c>
      <c r="M173" s="1005">
        <f>'Corrected and Updated TSF 2'!CO173</f>
        <v>30000</v>
      </c>
      <c r="N173" s="1005">
        <f>'Corrected and Updated TSF 2'!CP173</f>
        <v>544282.79557612434</v>
      </c>
      <c r="O173" s="1007">
        <f>'Corrected and Updated TSF 2'!CQ173</f>
        <v>15</v>
      </c>
      <c r="P173" s="1005">
        <f>'Corrected and Updated TSF 2'!CR173</f>
        <v>36285.519705074956</v>
      </c>
      <c r="Q173" s="1005">
        <f>'Corrected and Updated TSF 2'!CT173</f>
        <v>4019979.5690328702</v>
      </c>
      <c r="R173" s="1005">
        <f>'Corrected and Updated TSF 2'!CU173</f>
        <v>31166.858810808069</v>
      </c>
      <c r="S173" s="1005">
        <f>'Corrected and Updated TSF 2'!CV173</f>
        <v>36132.712848958996</v>
      </c>
      <c r="T173" s="882">
        <f>'Corrected and Updated TSF 2'!CW173</f>
        <v>46675.371425034631</v>
      </c>
      <c r="U173" s="882">
        <f>'Corrected and Updated TSF 2'!CX173</f>
        <v>79600.413574568622</v>
      </c>
      <c r="V173" s="1167">
        <f>'Corrected and Updated TSF 2'!CY173</f>
        <v>326555.71795502852</v>
      </c>
      <c r="W173" s="1167">
        <f>'Corrected and Updated TSF 2'!CZ173</f>
        <v>129216.50685057316</v>
      </c>
      <c r="X173" s="1233">
        <f>'Corrected and Updated TSF 2'!DA173</f>
        <v>93331.252779636707</v>
      </c>
      <c r="Y173" s="1233">
        <f>'Corrected and Updated TSF 2'!DB173</f>
        <v>71029.380114263637</v>
      </c>
      <c r="Z173" s="885">
        <f>H173-'Corrected and Updated TSF 2'!CH173</f>
        <v>0</v>
      </c>
      <c r="AA173" s="885">
        <f>I173-SUM('Corrected and Updated TSF 2'!CJ173:CK173)</f>
        <v>0</v>
      </c>
      <c r="AB173" s="885">
        <f>J173-'Corrected and Updated TSF 2'!CL173</f>
        <v>0</v>
      </c>
      <c r="AC173" s="886">
        <f>K173-'Corrected and Updated TSF 2'!CM173</f>
        <v>0</v>
      </c>
      <c r="AD173" s="885">
        <f>M173-'Corrected and Updated TSF 2'!CO173</f>
        <v>0</v>
      </c>
      <c r="AE173" s="887">
        <f>P173-'Corrected and Updated TSF 2'!CR173</f>
        <v>0</v>
      </c>
      <c r="AF173" s="885">
        <f>Q173-'Corrected and Updated TSF 2'!CT173</f>
        <v>0</v>
      </c>
      <c r="AG173" s="888"/>
      <c r="AH173" s="888"/>
      <c r="AI173" s="885">
        <f>S173-'INTERNAL PRICELIST'!AA173</f>
        <v>15405.127222387844</v>
      </c>
      <c r="AJ173" s="885">
        <f>T173-'INTERNAL PRICELIST'!AB173</f>
        <v>19899.973662178465</v>
      </c>
      <c r="AK173" s="885">
        <f>U173-'INTERNAL PRICELIST'!AC173</f>
        <v>33937.515337752957</v>
      </c>
    </row>
    <row r="174" spans="1:45" s="822" customFormat="1" ht="12.75" hidden="1" customHeight="1">
      <c r="A174" s="876" t="str">
        <f t="shared" si="2"/>
        <v>11I</v>
      </c>
      <c r="B174" s="877" t="str">
        <f>'Corrected and Updated TSF 2'!FI174</f>
        <v>SOLD</v>
      </c>
      <c r="C174" s="878" t="str">
        <f>'Corrected and Updated TSF 2'!E174</f>
        <v>11th Floor</v>
      </c>
      <c r="D174" s="763" t="str">
        <f>'Corrected and Updated TSF 2'!M174</f>
        <v>Inner</v>
      </c>
      <c r="E174" s="763" t="str">
        <f>'Corrected and Updated TSF 2'!G174</f>
        <v>11I</v>
      </c>
      <c r="F174" s="747" t="str">
        <f>'Corrected and Updated TSF 2'!I174</f>
        <v>Studio</v>
      </c>
      <c r="G174" s="879">
        <f>'Corrected and Updated TSF 2'!J174</f>
        <v>22</v>
      </c>
      <c r="H174" s="879">
        <f>'Corrected and Updated TSF 2'!CH174</f>
        <v>3578598.9360851897</v>
      </c>
      <c r="I174" s="879">
        <f>SUM('Corrected and Updated TSF 2'!CJ174:CK174)</f>
        <v>492057.35371171357</v>
      </c>
      <c r="J174" s="879">
        <f>'Corrected and Updated TSF 2'!CL174</f>
        <v>4070656.2897969033</v>
      </c>
      <c r="K174" s="880">
        <f>'Corrected and Updated TSF 2'!CM174</f>
        <v>0.125</v>
      </c>
      <c r="L174" s="879">
        <f>'Corrected and Updated TSF 2'!CN174</f>
        <v>508832.03622461291</v>
      </c>
      <c r="M174" s="879">
        <f>'Corrected and Updated TSF 2'!CO174</f>
        <v>30000</v>
      </c>
      <c r="N174" s="879">
        <f>'Corrected and Updated TSF 2'!CP174</f>
        <v>478832.03622461291</v>
      </c>
      <c r="O174" s="881">
        <f>'Corrected and Updated TSF 2'!CQ174</f>
        <v>15</v>
      </c>
      <c r="P174" s="879">
        <f>'Corrected and Updated TSF 2'!CR174</f>
        <v>31922.135748307526</v>
      </c>
      <c r="Q174" s="879">
        <f>'Corrected and Updated TSF 2'!CT174</f>
        <v>3561824.2535722903</v>
      </c>
      <c r="R174" s="879">
        <f>'Corrected and Updated TSF 2'!CU174</f>
        <v>27614.785526560896</v>
      </c>
      <c r="S174" s="879">
        <f>'Corrected and Updated TSF 2'!CV174</f>
        <v>32014.68334918618</v>
      </c>
      <c r="T174" s="882">
        <f>'Corrected and Updated TSF 2'!CW174</f>
        <v>41355.799732628948</v>
      </c>
      <c r="U174" s="882">
        <f>'Corrected and Updated TSF 2'!CX174</f>
        <v>70528.3892108172</v>
      </c>
      <c r="V174" s="1167">
        <f>'Corrected and Updated TSF 2'!CY174</f>
        <v>289338.30542695033</v>
      </c>
      <c r="W174" s="1167">
        <f>'Corrected and Updated TSF 2'!CZ174</f>
        <v>114489.75800963784</v>
      </c>
      <c r="X174" s="1233">
        <f>'Corrected and Updated TSF 2'!DA174</f>
        <v>82694.330669638817</v>
      </c>
      <c r="Y174" s="1233">
        <f>'Corrected and Updated TSF 2'!DB174</f>
        <v>62934.192689953175</v>
      </c>
      <c r="Z174" s="885">
        <f>H174-'Corrected and Updated TSF 2'!CH174</f>
        <v>0</v>
      </c>
      <c r="AA174" s="885">
        <f>I174-SUM('Corrected and Updated TSF 2'!CJ174:CK174)</f>
        <v>0</v>
      </c>
      <c r="AB174" s="885">
        <f>J174-'Corrected and Updated TSF 2'!CL174</f>
        <v>0</v>
      </c>
      <c r="AC174" s="886">
        <f>K174-'Corrected and Updated TSF 2'!CM174</f>
        <v>0</v>
      </c>
      <c r="AD174" s="885">
        <f>M174-'Corrected and Updated TSF 2'!CO174</f>
        <v>0</v>
      </c>
      <c r="AE174" s="887">
        <f>P174-'Corrected and Updated TSF 2'!CR174</f>
        <v>0</v>
      </c>
      <c r="AF174" s="885">
        <f>Q174-'Corrected and Updated TSF 2'!CT174</f>
        <v>0</v>
      </c>
      <c r="AG174" s="888"/>
      <c r="AH174" s="888"/>
      <c r="AI174" s="888">
        <f>S174-'INTERNAL PRICELIST'!AA174</f>
        <v>11287.097722615028</v>
      </c>
      <c r="AJ174" s="888">
        <f>T174-'INTERNAL PRICELIST'!AB174</f>
        <v>14580.401969772782</v>
      </c>
      <c r="AK174" s="888">
        <f>U174-'INTERNAL PRICELIST'!AC174</f>
        <v>24865.490974001536</v>
      </c>
    </row>
    <row r="175" spans="1:45" s="822" customFormat="1" hidden="1">
      <c r="A175" s="876" t="str">
        <f t="shared" si="2"/>
        <v>11J</v>
      </c>
      <c r="B175" s="877" t="str">
        <f>'Corrected and Updated TSF 2'!FI175</f>
        <v>SOLD</v>
      </c>
      <c r="C175" s="878" t="str">
        <f>'Corrected and Updated TSF 2'!E175</f>
        <v>11th Floor</v>
      </c>
      <c r="D175" s="763" t="str">
        <f>'Corrected and Updated TSF 2'!M175</f>
        <v>Inner</v>
      </c>
      <c r="E175" s="763" t="str">
        <f>'Corrected and Updated TSF 2'!G175</f>
        <v>11J</v>
      </c>
      <c r="F175" s="747" t="str">
        <f>'Corrected and Updated TSF 2'!I175</f>
        <v>Studio</v>
      </c>
      <c r="G175" s="879">
        <f>'Corrected and Updated TSF 2'!J175</f>
        <v>22</v>
      </c>
      <c r="H175" s="879">
        <f>'Corrected and Updated TSF 2'!CH175</f>
        <v>3578598.9360851897</v>
      </c>
      <c r="I175" s="879">
        <f>SUM('Corrected and Updated TSF 2'!CJ175:CK175)</f>
        <v>492057.35371171357</v>
      </c>
      <c r="J175" s="879">
        <f>'Corrected and Updated TSF 2'!CL175</f>
        <v>4070656.2897969033</v>
      </c>
      <c r="K175" s="880">
        <f>'Corrected and Updated TSF 2'!CM175</f>
        <v>0.125</v>
      </c>
      <c r="L175" s="879">
        <f>'Corrected and Updated TSF 2'!CN175</f>
        <v>508832.03622461291</v>
      </c>
      <c r="M175" s="879">
        <f>'Corrected and Updated TSF 2'!CO175</f>
        <v>30000</v>
      </c>
      <c r="N175" s="879">
        <f>'Corrected and Updated TSF 2'!CP175</f>
        <v>478832.03622461291</v>
      </c>
      <c r="O175" s="881">
        <f>'Corrected and Updated TSF 2'!CQ175</f>
        <v>15</v>
      </c>
      <c r="P175" s="879">
        <f>'Corrected and Updated TSF 2'!CR175</f>
        <v>31922.135748307526</v>
      </c>
      <c r="Q175" s="879">
        <f>'Corrected and Updated TSF 2'!CT175</f>
        <v>3561824.2535722903</v>
      </c>
      <c r="R175" s="879">
        <f>'Corrected and Updated TSF 2'!CU175</f>
        <v>27614.785526560896</v>
      </c>
      <c r="S175" s="879">
        <f>'Corrected and Updated TSF 2'!CV175</f>
        <v>32014.68334918618</v>
      </c>
      <c r="T175" s="882">
        <f>'Corrected and Updated TSF 2'!CW175</f>
        <v>41355.799732628948</v>
      </c>
      <c r="U175" s="882">
        <f>'Corrected and Updated TSF 2'!CX175</f>
        <v>70528.3892108172</v>
      </c>
      <c r="V175" s="1167">
        <f>'Corrected and Updated TSF 2'!CY175</f>
        <v>289338.30542695033</v>
      </c>
      <c r="W175" s="1167">
        <f>'Corrected and Updated TSF 2'!CZ175</f>
        <v>114489.75800963784</v>
      </c>
      <c r="X175" s="1233">
        <f>'Corrected and Updated TSF 2'!DA175</f>
        <v>82694.330669638817</v>
      </c>
      <c r="Y175" s="1233">
        <f>'Corrected and Updated TSF 2'!DB175</f>
        <v>62934.192689953175</v>
      </c>
      <c r="Z175" s="885">
        <f>H175-'Corrected and Updated TSF 2'!CH175</f>
        <v>0</v>
      </c>
      <c r="AA175" s="885">
        <f>I175-SUM('Corrected and Updated TSF 2'!CJ175:CK175)</f>
        <v>0</v>
      </c>
      <c r="AB175" s="885">
        <f>J175-'Corrected and Updated TSF 2'!CL175</f>
        <v>0</v>
      </c>
      <c r="AC175" s="886">
        <f>K175-'Corrected and Updated TSF 2'!CM175</f>
        <v>0</v>
      </c>
      <c r="AD175" s="885">
        <f>M175-'Corrected and Updated TSF 2'!CO175</f>
        <v>0</v>
      </c>
      <c r="AE175" s="887">
        <f>P175-'Corrected and Updated TSF 2'!CR175</f>
        <v>0</v>
      </c>
      <c r="AF175" s="885">
        <f>Q175-'Corrected and Updated TSF 2'!CT175</f>
        <v>0</v>
      </c>
      <c r="AG175" s="888"/>
      <c r="AH175" s="888"/>
      <c r="AI175" s="885">
        <f>S175-'INTERNAL PRICELIST'!AA175</f>
        <v>11269.701350863314</v>
      </c>
      <c r="AJ175" s="885">
        <f>T175-'INTERNAL PRICELIST'!AB175</f>
        <v>14557.929754162418</v>
      </c>
      <c r="AK175" s="885">
        <f>U175-'INTERNAL PRICELIST'!AC175</f>
        <v>24827.166744286624</v>
      </c>
    </row>
    <row r="176" spans="1:45" s="822" customFormat="1" ht="12.75" customHeight="1">
      <c r="A176" s="876" t="str">
        <f t="shared" si="2"/>
        <v>11K</v>
      </c>
      <c r="B176" s="877" t="str">
        <f>'Corrected and Updated TSF 2'!FI176</f>
        <v>UNSOLD</v>
      </c>
      <c r="C176" s="1002" t="str">
        <f>'Corrected and Updated TSF 2'!E176</f>
        <v>11th Floor</v>
      </c>
      <c r="D176" s="1003" t="str">
        <f>'Corrected and Updated TSF 2'!M176</f>
        <v>Inner</v>
      </c>
      <c r="E176" s="1003" t="str">
        <f>'Corrected and Updated TSF 2'!G176</f>
        <v>11K</v>
      </c>
      <c r="F176" s="1004" t="str">
        <f>'Corrected and Updated TSF 2'!I176</f>
        <v>Studio</v>
      </c>
      <c r="G176" s="1005">
        <f>'Corrected and Updated TSF 2'!J176</f>
        <v>22</v>
      </c>
      <c r="H176" s="1005">
        <f>'Corrected and Updated TSF 2'!CH176</f>
        <v>3724006.2168407571</v>
      </c>
      <c r="I176" s="1005">
        <f>SUM('Corrected and Updated TSF 2'!CJ176:CK176)</f>
        <v>512050.85481560405</v>
      </c>
      <c r="J176" s="1005">
        <f>'Corrected and Updated TSF 2'!CL176</f>
        <v>4236057.0716563612</v>
      </c>
      <c r="K176" s="1006">
        <f>'Corrected and Updated TSF 2'!CM176</f>
        <v>0.125</v>
      </c>
      <c r="L176" s="1005">
        <f>'Corrected and Updated TSF 2'!CN176</f>
        <v>529507.13395704515</v>
      </c>
      <c r="M176" s="1005">
        <f>'Corrected and Updated TSF 2'!CO176</f>
        <v>30000</v>
      </c>
      <c r="N176" s="1005">
        <f>'Corrected and Updated TSF 2'!CP176</f>
        <v>499507.13395704515</v>
      </c>
      <c r="O176" s="1007">
        <f>'Corrected and Updated TSF 2'!CQ176</f>
        <v>15</v>
      </c>
      <c r="P176" s="1005">
        <f>'Corrected and Updated TSF 2'!CR176</f>
        <v>33300.475597136341</v>
      </c>
      <c r="Q176" s="1005">
        <f>'Corrected and Updated TSF 2'!CT176</f>
        <v>3706549.9376993161</v>
      </c>
      <c r="R176" s="1005">
        <f>'Corrected and Updated TSF 2'!CU176</f>
        <v>28736.842215164856</v>
      </c>
      <c r="S176" s="1005">
        <f>'Corrected and Updated TSF 2'!CV176</f>
        <v>33315.518713304475</v>
      </c>
      <c r="T176" s="882">
        <f>'Corrected and Updated TSF 2'!CW176</f>
        <v>43036.18764141533</v>
      </c>
      <c r="U176" s="882">
        <f>'Corrected and Updated TSF 2'!CX176</f>
        <v>73394.131216104361</v>
      </c>
      <c r="V176" s="1167">
        <f>'Corrected and Updated TSF 2'!CY176</f>
        <v>301094.8327612431</v>
      </c>
      <c r="W176" s="1167">
        <f>'Corrected and Updated TSF 2'!CZ176</f>
        <v>119141.75860648483</v>
      </c>
      <c r="X176" s="1233">
        <f>'Corrected and Updated TSF 2'!DA176</f>
        <v>86054.404813551664</v>
      </c>
      <c r="Y176" s="1233">
        <f>'Corrected and Updated TSF 2'!DB176</f>
        <v>65491.36380329504</v>
      </c>
      <c r="Z176" s="885">
        <f>H176-'Corrected and Updated TSF 2'!CH176</f>
        <v>0</v>
      </c>
      <c r="AA176" s="885">
        <f>I176-SUM('Corrected and Updated TSF 2'!CJ176:CK176)</f>
        <v>0</v>
      </c>
      <c r="AB176" s="885">
        <f>J176-'Corrected and Updated TSF 2'!CL176</f>
        <v>0</v>
      </c>
      <c r="AC176" s="886">
        <f>K176-'Corrected and Updated TSF 2'!CM176</f>
        <v>0</v>
      </c>
      <c r="AD176" s="885">
        <f>M176-'Corrected and Updated TSF 2'!CO176</f>
        <v>0</v>
      </c>
      <c r="AE176" s="887">
        <f>P176-'Corrected and Updated TSF 2'!CR176</f>
        <v>0</v>
      </c>
      <c r="AF176" s="885">
        <f>Q176-'Corrected and Updated TSF 2'!CT176</f>
        <v>0</v>
      </c>
      <c r="AG176" s="888"/>
      <c r="AH176" s="888"/>
      <c r="AI176" s="885">
        <f>S176-'INTERNAL PRICELIST'!AA176</f>
        <v>12587.933086733323</v>
      </c>
      <c r="AJ176" s="885">
        <f>T176-'INTERNAL PRICELIST'!AB176</f>
        <v>16260.789878559164</v>
      </c>
      <c r="AK176" s="885">
        <f>U176-'INTERNAL PRICELIST'!AC176</f>
        <v>27731.232979288696</v>
      </c>
    </row>
    <row r="177" spans="1:37" s="822" customFormat="1" ht="12.75" hidden="1" customHeight="1">
      <c r="A177" s="876" t="str">
        <f t="shared" si="2"/>
        <v>11L</v>
      </c>
      <c r="B177" s="877" t="str">
        <f>'Corrected and Updated TSF 2'!FI177</f>
        <v>SOLD</v>
      </c>
      <c r="C177" s="1002" t="str">
        <f>'Corrected and Updated TSF 2'!E177</f>
        <v>11th Floor</v>
      </c>
      <c r="D177" s="1003" t="str">
        <f>'Corrected and Updated TSF 2'!M177</f>
        <v>Inner</v>
      </c>
      <c r="E177" s="1003" t="str">
        <f>'Corrected and Updated TSF 2'!G177</f>
        <v>11L</v>
      </c>
      <c r="F177" s="1004" t="str">
        <f>'Corrected and Updated TSF 2'!I177</f>
        <v>Studio</v>
      </c>
      <c r="G177" s="1005">
        <f>'Corrected and Updated TSF 2'!J177</f>
        <v>22</v>
      </c>
      <c r="H177" s="1005">
        <f>'Corrected and Updated TSF 2'!CH177</f>
        <v>3578598.9360851897</v>
      </c>
      <c r="I177" s="1005">
        <f>SUM('Corrected and Updated TSF 2'!CJ177:CK177)</f>
        <v>492057.35371171357</v>
      </c>
      <c r="J177" s="1005">
        <f>'Corrected and Updated TSF 2'!CL177</f>
        <v>4070656.2897969033</v>
      </c>
      <c r="K177" s="1006">
        <f>'Corrected and Updated TSF 2'!CM177</f>
        <v>0.125</v>
      </c>
      <c r="L177" s="1005">
        <f>'Corrected and Updated TSF 2'!CN177</f>
        <v>508832.03622461291</v>
      </c>
      <c r="M177" s="1005">
        <f>'Corrected and Updated TSF 2'!CO177</f>
        <v>30000</v>
      </c>
      <c r="N177" s="1005">
        <f>'Corrected and Updated TSF 2'!CP177</f>
        <v>478832.03622461291</v>
      </c>
      <c r="O177" s="1007">
        <f>'Corrected and Updated TSF 2'!CQ177</f>
        <v>15</v>
      </c>
      <c r="P177" s="1005">
        <f>'Corrected and Updated TSF 2'!CR177</f>
        <v>31922.135748307526</v>
      </c>
      <c r="Q177" s="1005">
        <f>'Corrected and Updated TSF 2'!CT177</f>
        <v>3561824.2535722903</v>
      </c>
      <c r="R177" s="1005">
        <f>'Corrected and Updated TSF 2'!CU177</f>
        <v>27614.785526560896</v>
      </c>
      <c r="S177" s="1005">
        <f>'Corrected and Updated TSF 2'!CV177</f>
        <v>32014.68334918618</v>
      </c>
      <c r="T177" s="882">
        <f>'Corrected and Updated TSF 2'!CW177</f>
        <v>41355.799732628948</v>
      </c>
      <c r="U177" s="882">
        <f>'Corrected and Updated TSF 2'!CX177</f>
        <v>70528.3892108172</v>
      </c>
      <c r="V177" s="1167">
        <f>'Corrected and Updated TSF 2'!CY177</f>
        <v>289338.30542695033</v>
      </c>
      <c r="W177" s="1167">
        <f>'Corrected and Updated TSF 2'!CZ177</f>
        <v>114489.75800963784</v>
      </c>
      <c r="X177" s="1233">
        <f>'Corrected and Updated TSF 2'!DA177</f>
        <v>82694.330669638817</v>
      </c>
      <c r="Y177" s="1233">
        <f>'Corrected and Updated TSF 2'!DB177</f>
        <v>62934.192689953175</v>
      </c>
      <c r="Z177" s="885">
        <f>H177-'Corrected and Updated TSF 2'!CH177</f>
        <v>0</v>
      </c>
      <c r="AA177" s="885">
        <f>I177-SUM('Corrected and Updated TSF 2'!CJ177:CK177)</f>
        <v>0</v>
      </c>
      <c r="AB177" s="885">
        <f>J177-'Corrected and Updated TSF 2'!CL177</f>
        <v>0</v>
      </c>
      <c r="AC177" s="886">
        <f>K177-'Corrected and Updated TSF 2'!CM177</f>
        <v>0</v>
      </c>
      <c r="AD177" s="885">
        <f>M177-'Corrected and Updated TSF 2'!CO177</f>
        <v>0</v>
      </c>
      <c r="AE177" s="887">
        <f>P177-'Corrected and Updated TSF 2'!CR177</f>
        <v>0</v>
      </c>
      <c r="AF177" s="885">
        <f>Q177-'Corrected and Updated TSF 2'!CT177</f>
        <v>0</v>
      </c>
      <c r="AG177" s="888"/>
      <c r="AH177" s="888"/>
      <c r="AI177" s="885">
        <f>S177-'INTERNAL PRICELIST'!AA177</f>
        <v>11287.097722615028</v>
      </c>
      <c r="AJ177" s="885">
        <f>T177-'INTERNAL PRICELIST'!AB177</f>
        <v>14580.401969772782</v>
      </c>
      <c r="AK177" s="885">
        <f>U177-'INTERNAL PRICELIST'!AC177</f>
        <v>24865.490974001536</v>
      </c>
    </row>
    <row r="178" spans="1:37" s="822" customFormat="1" ht="12.75" hidden="1" customHeight="1">
      <c r="A178" s="876" t="str">
        <f t="shared" si="2"/>
        <v>11M</v>
      </c>
      <c r="B178" s="877" t="str">
        <f>'Corrected and Updated TSF 2'!FI178</f>
        <v>SOLD</v>
      </c>
      <c r="C178" s="1002" t="str">
        <f>'Corrected and Updated TSF 2'!E178</f>
        <v>11th Floor</v>
      </c>
      <c r="D178" s="1003" t="str">
        <f>'Corrected and Updated TSF 2'!M178</f>
        <v>Inner</v>
      </c>
      <c r="E178" s="1003" t="str">
        <f>'Corrected and Updated TSF 2'!G178</f>
        <v>11M</v>
      </c>
      <c r="F178" s="1004" t="str">
        <f>'Corrected and Updated TSF 2'!I178</f>
        <v>Studio</v>
      </c>
      <c r="G178" s="1005">
        <f>'Corrected and Updated TSF 2'!J178</f>
        <v>22</v>
      </c>
      <c r="H178" s="1005">
        <f>'Corrected and Updated TSF 2'!CH178</f>
        <v>3578598.9360851897</v>
      </c>
      <c r="I178" s="1005">
        <f>SUM('Corrected and Updated TSF 2'!CJ178:CK178)</f>
        <v>492057.35371171357</v>
      </c>
      <c r="J178" s="1005">
        <f>'Corrected and Updated TSF 2'!CL178</f>
        <v>4070656.2897969033</v>
      </c>
      <c r="K178" s="1006">
        <f>'Corrected and Updated TSF 2'!CM178</f>
        <v>0.125</v>
      </c>
      <c r="L178" s="1005">
        <f>'Corrected and Updated TSF 2'!CN178</f>
        <v>508832.03622461291</v>
      </c>
      <c r="M178" s="1005">
        <f>'Corrected and Updated TSF 2'!CO178</f>
        <v>30000</v>
      </c>
      <c r="N178" s="1005">
        <f>'Corrected and Updated TSF 2'!CP178</f>
        <v>478832.03622461291</v>
      </c>
      <c r="O178" s="1007">
        <f>'Corrected and Updated TSF 2'!CQ178</f>
        <v>15</v>
      </c>
      <c r="P178" s="1005">
        <f>'Corrected and Updated TSF 2'!CR178</f>
        <v>31922.135748307526</v>
      </c>
      <c r="Q178" s="1005">
        <f>'Corrected and Updated TSF 2'!CT178</f>
        <v>3561824.2535722903</v>
      </c>
      <c r="R178" s="1005">
        <f>'Corrected and Updated TSF 2'!CU178</f>
        <v>27614.785526560896</v>
      </c>
      <c r="S178" s="1005">
        <f>'Corrected and Updated TSF 2'!CV178</f>
        <v>32014.68334918618</v>
      </c>
      <c r="T178" s="882">
        <f>'Corrected and Updated TSF 2'!CW178</f>
        <v>41355.799732628948</v>
      </c>
      <c r="U178" s="882">
        <f>'Corrected and Updated TSF 2'!CX178</f>
        <v>70528.3892108172</v>
      </c>
      <c r="V178" s="1167">
        <f>'Corrected and Updated TSF 2'!CY178</f>
        <v>289338.30542695033</v>
      </c>
      <c r="W178" s="1167">
        <f>'Corrected and Updated TSF 2'!CZ178</f>
        <v>114489.75800963784</v>
      </c>
      <c r="X178" s="1233">
        <f>'Corrected and Updated TSF 2'!DA178</f>
        <v>82694.330669638817</v>
      </c>
      <c r="Y178" s="1233">
        <f>'Corrected and Updated TSF 2'!DB178</f>
        <v>62934.192689953175</v>
      </c>
      <c r="Z178" s="885">
        <f>H178-'Corrected and Updated TSF 2'!CH178</f>
        <v>0</v>
      </c>
      <c r="AA178" s="885">
        <f>I178-SUM('Corrected and Updated TSF 2'!CJ178:CK178)</f>
        <v>0</v>
      </c>
      <c r="AB178" s="885">
        <f>J178-'Corrected and Updated TSF 2'!CL178</f>
        <v>0</v>
      </c>
      <c r="AC178" s="886">
        <f>K178-'Corrected and Updated TSF 2'!CM178</f>
        <v>0</v>
      </c>
      <c r="AD178" s="885">
        <f>M178-'Corrected and Updated TSF 2'!CO178</f>
        <v>0</v>
      </c>
      <c r="AE178" s="887">
        <f>P178-'Corrected and Updated TSF 2'!CR178</f>
        <v>0</v>
      </c>
      <c r="AF178" s="885">
        <f>Q178-'Corrected and Updated TSF 2'!CT178</f>
        <v>0</v>
      </c>
      <c r="AG178" s="888"/>
      <c r="AH178" s="888"/>
      <c r="AI178" s="885">
        <f>S178-'INTERNAL PRICELIST'!AA178</f>
        <v>11287.097722615028</v>
      </c>
      <c r="AJ178" s="885">
        <f>T178-'INTERNAL PRICELIST'!AB178</f>
        <v>14580.401969772782</v>
      </c>
      <c r="AK178" s="885">
        <f>U178-'INTERNAL PRICELIST'!AC178</f>
        <v>24865.490974001536</v>
      </c>
    </row>
    <row r="179" spans="1:37" s="822" customFormat="1" ht="12.75" hidden="1" customHeight="1">
      <c r="A179" s="876" t="str">
        <f t="shared" si="2"/>
        <v>11N</v>
      </c>
      <c r="B179" s="877" t="str">
        <f>'Corrected and Updated TSF 2'!FI179</f>
        <v>SOLD</v>
      </c>
      <c r="C179" s="1002" t="str">
        <f>'Corrected and Updated TSF 2'!E179</f>
        <v>11th Floor</v>
      </c>
      <c r="D179" s="1003" t="str">
        <f>'Corrected and Updated TSF 2'!M179</f>
        <v>Inner</v>
      </c>
      <c r="E179" s="1003" t="str">
        <f>'Corrected and Updated TSF 2'!G179</f>
        <v>11N</v>
      </c>
      <c r="F179" s="1004" t="str">
        <f>'Corrected and Updated TSF 2'!I179</f>
        <v>Studio</v>
      </c>
      <c r="G179" s="1005">
        <f>'Corrected and Updated TSF 2'!J179</f>
        <v>22</v>
      </c>
      <c r="H179" s="1005">
        <f>'Corrected and Updated TSF 2'!CH179</f>
        <v>3578598.9360851897</v>
      </c>
      <c r="I179" s="1005">
        <f>SUM('Corrected and Updated TSF 2'!CJ179:CK179)</f>
        <v>492057.35371171357</v>
      </c>
      <c r="J179" s="1005">
        <f>'Corrected and Updated TSF 2'!CL179</f>
        <v>4070656.2897969033</v>
      </c>
      <c r="K179" s="1006">
        <f>'Corrected and Updated TSF 2'!CM179</f>
        <v>0.125</v>
      </c>
      <c r="L179" s="1005">
        <f>'Corrected and Updated TSF 2'!CN179</f>
        <v>508832.03622461291</v>
      </c>
      <c r="M179" s="1005">
        <f>'Corrected and Updated TSF 2'!CO179</f>
        <v>30000</v>
      </c>
      <c r="N179" s="1005">
        <f>'Corrected and Updated TSF 2'!CP179</f>
        <v>478832.03622461291</v>
      </c>
      <c r="O179" s="1007">
        <f>'Corrected and Updated TSF 2'!CQ179</f>
        <v>15</v>
      </c>
      <c r="P179" s="1005">
        <f>'Corrected and Updated TSF 2'!CR179</f>
        <v>31922.135748307526</v>
      </c>
      <c r="Q179" s="1005">
        <f>'Corrected and Updated TSF 2'!CT179</f>
        <v>3561824.2535722903</v>
      </c>
      <c r="R179" s="1005">
        <f>'Corrected and Updated TSF 2'!CU179</f>
        <v>27614.785526560896</v>
      </c>
      <c r="S179" s="1005">
        <f>'Corrected and Updated TSF 2'!CV179</f>
        <v>32014.68334918618</v>
      </c>
      <c r="T179" s="882">
        <f>'Corrected and Updated TSF 2'!CW179</f>
        <v>41355.799732628948</v>
      </c>
      <c r="U179" s="882">
        <f>'Corrected and Updated TSF 2'!CX179</f>
        <v>70528.3892108172</v>
      </c>
      <c r="V179" s="1167">
        <f>'Corrected and Updated TSF 2'!CY179</f>
        <v>289338.30542695033</v>
      </c>
      <c r="W179" s="1167">
        <f>'Corrected and Updated TSF 2'!CZ179</f>
        <v>114489.75800963784</v>
      </c>
      <c r="X179" s="1233">
        <f>'Corrected and Updated TSF 2'!DA179</f>
        <v>82694.330669638817</v>
      </c>
      <c r="Y179" s="1233">
        <f>'Corrected and Updated TSF 2'!DB179</f>
        <v>62934.192689953175</v>
      </c>
      <c r="Z179" s="885">
        <f>H179-'Corrected and Updated TSF 2'!CH179</f>
        <v>0</v>
      </c>
      <c r="AA179" s="885">
        <f>I179-SUM('Corrected and Updated TSF 2'!CJ179:CK179)</f>
        <v>0</v>
      </c>
      <c r="AB179" s="885">
        <f>J179-'Corrected and Updated TSF 2'!CL179</f>
        <v>0</v>
      </c>
      <c r="AC179" s="886">
        <f>K179-'Corrected and Updated TSF 2'!CM179</f>
        <v>0</v>
      </c>
      <c r="AD179" s="885">
        <f>M179-'Corrected and Updated TSF 2'!CO179</f>
        <v>0</v>
      </c>
      <c r="AE179" s="887">
        <f>P179-'Corrected and Updated TSF 2'!CR179</f>
        <v>0</v>
      </c>
      <c r="AF179" s="885">
        <f>Q179-'Corrected and Updated TSF 2'!CT179</f>
        <v>0</v>
      </c>
      <c r="AG179" s="888"/>
      <c r="AH179" s="888"/>
      <c r="AI179" s="885">
        <f>S179-'INTERNAL PRICELIST'!AA179</f>
        <v>11287.097722615028</v>
      </c>
      <c r="AJ179" s="885">
        <f>T179-'INTERNAL PRICELIST'!AB179</f>
        <v>14580.401969772782</v>
      </c>
      <c r="AK179" s="885">
        <f>U179-'INTERNAL PRICELIST'!AC179</f>
        <v>24865.490974001536</v>
      </c>
    </row>
    <row r="180" spans="1:37" s="822" customFormat="1" ht="12.75" customHeight="1">
      <c r="A180" s="876" t="str">
        <f t="shared" si="2"/>
        <v>11O</v>
      </c>
      <c r="B180" s="877" t="str">
        <f>'Corrected and Updated TSF 2'!FI180</f>
        <v>UNSOLD</v>
      </c>
      <c r="C180" s="1002" t="str">
        <f>'Corrected and Updated TSF 2'!E180</f>
        <v>11th Floor</v>
      </c>
      <c r="D180" s="1003" t="str">
        <f>'Corrected and Updated TSF 2'!M180</f>
        <v>Inner</v>
      </c>
      <c r="E180" s="1003" t="str">
        <f>'Corrected and Updated TSF 2'!G180</f>
        <v>11O</v>
      </c>
      <c r="F180" s="1004" t="str">
        <f>'Corrected and Updated TSF 2'!I180</f>
        <v>Studio</v>
      </c>
      <c r="G180" s="1005">
        <f>'Corrected and Updated TSF 2'!J180</f>
        <v>22</v>
      </c>
      <c r="H180" s="1005">
        <f>'Corrected and Updated TSF 2'!CH180</f>
        <v>3693365.4218528224</v>
      </c>
      <c r="I180" s="1005">
        <f>SUM('Corrected and Updated TSF 2'!CJ180:CK180)</f>
        <v>507837.74550476309</v>
      </c>
      <c r="J180" s="1005">
        <f>'Corrected and Updated TSF 2'!CL180</f>
        <v>4201203.1673575854</v>
      </c>
      <c r="K180" s="1006">
        <f>'Corrected and Updated TSF 2'!CM180</f>
        <v>0.125</v>
      </c>
      <c r="L180" s="1005">
        <f>'Corrected and Updated TSF 2'!CN180</f>
        <v>525150.39591969817</v>
      </c>
      <c r="M180" s="1005">
        <f>'Corrected and Updated TSF 2'!CO180</f>
        <v>30000</v>
      </c>
      <c r="N180" s="1005">
        <f>'Corrected and Updated TSF 2'!CP180</f>
        <v>495150.39591969817</v>
      </c>
      <c r="O180" s="1007">
        <f>'Corrected and Updated TSF 2'!CQ180</f>
        <v>15</v>
      </c>
      <c r="P180" s="1005">
        <f>'Corrected and Updated TSF 2'!CR180</f>
        <v>33010.026394646542</v>
      </c>
      <c r="Q180" s="1005">
        <f>'Corrected and Updated TSF 2'!CT180</f>
        <v>3676052.7714378871</v>
      </c>
      <c r="R180" s="1005">
        <f>'Corrected and Updated TSF 2'!CU180</f>
        <v>28500.398009746081</v>
      </c>
      <c r="S180" s="1005">
        <f>'Corrected and Updated TSF 2'!CV180</f>
        <v>33041.401561137885</v>
      </c>
      <c r="T180" s="882">
        <f>'Corrected and Updated TSF 2'!CW180</f>
        <v>42682.089681906131</v>
      </c>
      <c r="U180" s="882">
        <f>'Corrected and Updated TSF 2'!CX180</f>
        <v>72790.250772043757</v>
      </c>
      <c r="V180" s="1167">
        <f>'Corrected and Updated TSF 2'!CY180</f>
        <v>298617.45101014862</v>
      </c>
      <c r="W180" s="1167">
        <f>'Corrected and Updated TSF 2'!CZ180</f>
        <v>118161.47071559612</v>
      </c>
      <c r="X180" s="1233">
        <f>'Corrected and Updated TSF 2'!DA180</f>
        <v>85346.356753970904</v>
      </c>
      <c r="Y180" s="1233">
        <f>'Corrected and Updated TSF 2'!DB180</f>
        <v>64952.506633104982</v>
      </c>
      <c r="Z180" s="885">
        <f>H180-'Corrected and Updated TSF 2'!CH180</f>
        <v>0</v>
      </c>
      <c r="AA180" s="885">
        <f>I180-SUM('Corrected and Updated TSF 2'!CJ180:CK180)</f>
        <v>0</v>
      </c>
      <c r="AB180" s="885">
        <f>J180-'Corrected and Updated TSF 2'!CL180</f>
        <v>0</v>
      </c>
      <c r="AC180" s="886">
        <f>K180-'Corrected and Updated TSF 2'!CM180</f>
        <v>0</v>
      </c>
      <c r="AD180" s="885">
        <f>M180-'Corrected and Updated TSF 2'!CO180</f>
        <v>0</v>
      </c>
      <c r="AE180" s="887">
        <f>P180-'Corrected and Updated TSF 2'!CR180</f>
        <v>0</v>
      </c>
      <c r="AF180" s="885">
        <f>Q180-'Corrected and Updated TSF 2'!CT180</f>
        <v>0</v>
      </c>
      <c r="AG180" s="888"/>
      <c r="AH180" s="888"/>
      <c r="AI180" s="885">
        <f>S180-'INTERNAL PRICELIST'!AA180</f>
        <v>12313.815934566734</v>
      </c>
      <c r="AJ180" s="885">
        <f>T180-'INTERNAL PRICELIST'!AB180</f>
        <v>15906.691919049965</v>
      </c>
      <c r="AK180" s="885">
        <f>U180-'INTERNAL PRICELIST'!AC180</f>
        <v>27127.352535228092</v>
      </c>
    </row>
    <row r="181" spans="1:37" s="822" customFormat="1" ht="12.75" hidden="1" customHeight="1">
      <c r="A181" s="876" t="str">
        <f t="shared" si="2"/>
        <v>11P</v>
      </c>
      <c r="B181" s="877" t="str">
        <f>'Corrected and Updated TSF 2'!FI181</f>
        <v>SOLD</v>
      </c>
      <c r="C181" s="878" t="str">
        <f>'Corrected and Updated TSF 2'!E181</f>
        <v>11th Floor</v>
      </c>
      <c r="D181" s="763" t="str">
        <f>'Corrected and Updated TSF 2'!M181</f>
        <v>Inner</v>
      </c>
      <c r="E181" s="763" t="str">
        <f>'Corrected and Updated TSF 2'!G181</f>
        <v>11P</v>
      </c>
      <c r="F181" s="747" t="str">
        <f>'Corrected and Updated TSF 2'!I181</f>
        <v>Studio</v>
      </c>
      <c r="G181" s="879">
        <f>'Corrected and Updated TSF 2'!J181</f>
        <v>22</v>
      </c>
      <c r="H181" s="879">
        <f>'Corrected and Updated TSF 2'!CH181</f>
        <v>3578598.9360851897</v>
      </c>
      <c r="I181" s="879">
        <f>SUM('Corrected and Updated TSF 2'!CJ181:CK181)</f>
        <v>492057.35371171357</v>
      </c>
      <c r="J181" s="879">
        <f>'Corrected and Updated TSF 2'!CL181</f>
        <v>4070656.2897969033</v>
      </c>
      <c r="K181" s="880">
        <f>'Corrected and Updated TSF 2'!CM181</f>
        <v>0.125</v>
      </c>
      <c r="L181" s="879">
        <f>'Corrected and Updated TSF 2'!CN181</f>
        <v>508832.03622461291</v>
      </c>
      <c r="M181" s="879">
        <f>'Corrected and Updated TSF 2'!CO181</f>
        <v>30000</v>
      </c>
      <c r="N181" s="879">
        <f>'Corrected and Updated TSF 2'!CP181</f>
        <v>478832.03622461291</v>
      </c>
      <c r="O181" s="881">
        <f>'Corrected and Updated TSF 2'!CQ181</f>
        <v>15</v>
      </c>
      <c r="P181" s="879">
        <f>'Corrected and Updated TSF 2'!CR181</f>
        <v>31922.135748307526</v>
      </c>
      <c r="Q181" s="879">
        <f>'Corrected and Updated TSF 2'!CT181</f>
        <v>3561824.2535722903</v>
      </c>
      <c r="R181" s="879">
        <f>'Corrected and Updated TSF 2'!CU181</f>
        <v>27614.785526560896</v>
      </c>
      <c r="S181" s="879">
        <f>'Corrected and Updated TSF 2'!CV181</f>
        <v>32014.68334918618</v>
      </c>
      <c r="T181" s="882">
        <f>'Corrected and Updated TSF 2'!CW181</f>
        <v>41355.799732628948</v>
      </c>
      <c r="U181" s="882">
        <f>'Corrected and Updated TSF 2'!CX181</f>
        <v>70528.3892108172</v>
      </c>
      <c r="V181" s="1167">
        <f>'Corrected and Updated TSF 2'!CY181</f>
        <v>289338.30542695033</v>
      </c>
      <c r="W181" s="1167">
        <f>'Corrected and Updated TSF 2'!CZ181</f>
        <v>114489.75800963784</v>
      </c>
      <c r="X181" s="1233">
        <f>'Corrected and Updated TSF 2'!DA181</f>
        <v>82694.330669638817</v>
      </c>
      <c r="Y181" s="1233">
        <f>'Corrected and Updated TSF 2'!DB181</f>
        <v>62934.192689953175</v>
      </c>
      <c r="Z181" s="885">
        <f>H181-'Corrected and Updated TSF 2'!CH181</f>
        <v>0</v>
      </c>
      <c r="AA181" s="885">
        <f>I181-SUM('Corrected and Updated TSF 2'!CJ181:CK181)</f>
        <v>0</v>
      </c>
      <c r="AB181" s="885">
        <f>J181-'Corrected and Updated TSF 2'!CL181</f>
        <v>0</v>
      </c>
      <c r="AC181" s="886">
        <f>K181-'Corrected and Updated TSF 2'!CM181</f>
        <v>0</v>
      </c>
      <c r="AD181" s="885">
        <f>M181-'Corrected and Updated TSF 2'!CO181</f>
        <v>0</v>
      </c>
      <c r="AE181" s="887">
        <f>P181-'Corrected and Updated TSF 2'!CR181</f>
        <v>0</v>
      </c>
      <c r="AF181" s="885">
        <f>Q181-'Corrected and Updated TSF 2'!CT181</f>
        <v>0</v>
      </c>
      <c r="AG181" s="888"/>
      <c r="AH181" s="888"/>
      <c r="AI181" s="888">
        <f>S181-'INTERNAL PRICELIST'!AA181</f>
        <v>11287.097722615028</v>
      </c>
      <c r="AJ181" s="888">
        <f>T181-'INTERNAL PRICELIST'!AB181</f>
        <v>14580.401969772782</v>
      </c>
      <c r="AK181" s="888">
        <f>U181-'INTERNAL PRICELIST'!AC181</f>
        <v>24865.490974001536</v>
      </c>
    </row>
    <row r="182" spans="1:37" s="822" customFormat="1" ht="12.75" customHeight="1">
      <c r="A182" s="876" t="str">
        <f t="shared" si="2"/>
        <v>11Q</v>
      </c>
      <c r="B182" s="877" t="str">
        <f>'Corrected and Updated TSF 2'!FI182</f>
        <v>UNSOLD</v>
      </c>
      <c r="C182" s="878" t="str">
        <f>'Corrected and Updated TSF 2'!E182</f>
        <v>11th Floor</v>
      </c>
      <c r="D182" s="763" t="str">
        <f>'Corrected and Updated TSF 2'!M182</f>
        <v>Inner</v>
      </c>
      <c r="E182" s="763" t="str">
        <f>'Corrected and Updated TSF 2'!G182</f>
        <v>11Q</v>
      </c>
      <c r="F182" s="747" t="str">
        <f>'Corrected and Updated TSF 2'!I182</f>
        <v>Studio</v>
      </c>
      <c r="G182" s="879">
        <f>'Corrected and Updated TSF 2'!J182</f>
        <v>22</v>
      </c>
      <c r="H182" s="879">
        <f>'Corrected and Updated TSF 2'!CH182</f>
        <v>3636585.3871016572</v>
      </c>
      <c r="I182" s="879">
        <f>SUM('Corrected and Updated TSF 2'!CJ182:CK182)</f>
        <v>500030.49072647787</v>
      </c>
      <c r="J182" s="879">
        <f>'Corrected and Updated TSF 2'!CL182</f>
        <v>4136615.8778281352</v>
      </c>
      <c r="K182" s="880">
        <f>'Corrected and Updated TSF 2'!CM182</f>
        <v>0.125</v>
      </c>
      <c r="L182" s="879">
        <f>'Corrected and Updated TSF 2'!CN182</f>
        <v>517076.98472851689</v>
      </c>
      <c r="M182" s="879">
        <f>'Corrected and Updated TSF 2'!CO182</f>
        <v>30000</v>
      </c>
      <c r="N182" s="879">
        <f>'Corrected and Updated TSF 2'!CP182</f>
        <v>487076.98472851689</v>
      </c>
      <c r="O182" s="881">
        <f>'Corrected and Updated TSF 2'!CQ182</f>
        <v>15</v>
      </c>
      <c r="P182" s="879">
        <f>'Corrected and Updated TSF 2'!CR182</f>
        <v>32471.798981901127</v>
      </c>
      <c r="Q182" s="879">
        <f>'Corrected and Updated TSF 2'!CT182</f>
        <v>3619538.8930996181</v>
      </c>
      <c r="R182" s="879">
        <f>'Corrected and Updated TSF 2'!CU182</f>
        <v>28062.246512512531</v>
      </c>
      <c r="S182" s="879">
        <f>'Corrected and Updated TSF 2'!CV182</f>
        <v>32533.438845678374</v>
      </c>
      <c r="T182" s="882">
        <f>'Corrected and Updated TSF 2'!CW182</f>
        <v>42025.915635045858</v>
      </c>
      <c r="U182" s="882">
        <f>'Corrected and Updated TSF 2'!CX182</f>
        <v>71671.208246782538</v>
      </c>
      <c r="V182" s="1167">
        <f>'Corrected and Updated TSF 2'!CY182</f>
        <v>294026.64904256142</v>
      </c>
      <c r="W182" s="1167">
        <f>'Corrected and Updated TSF 2'!CZ182</f>
        <v>116344.91274010217</v>
      </c>
      <c r="X182" s="1233">
        <f>'Corrected and Updated TSF 2'!DA182</f>
        <v>84034.282656535739</v>
      </c>
      <c r="Y182" s="1233">
        <f>'Corrected and Updated TSF 2'!DB182</f>
        <v>63953.957840185147</v>
      </c>
      <c r="Z182" s="885">
        <f>H182-'Corrected and Updated TSF 2'!CH182</f>
        <v>0</v>
      </c>
      <c r="AA182" s="885">
        <f>I182-SUM('Corrected and Updated TSF 2'!CJ182:CK182)</f>
        <v>0</v>
      </c>
      <c r="AB182" s="885">
        <f>J182-'Corrected and Updated TSF 2'!CL182</f>
        <v>0</v>
      </c>
      <c r="AC182" s="886">
        <f>K182-'Corrected and Updated TSF 2'!CM182</f>
        <v>0</v>
      </c>
      <c r="AD182" s="885">
        <f>M182-'Corrected and Updated TSF 2'!CO182</f>
        <v>0</v>
      </c>
      <c r="AE182" s="887">
        <f>P182-'Corrected and Updated TSF 2'!CR182</f>
        <v>0</v>
      </c>
      <c r="AF182" s="885">
        <f>Q182-'Corrected and Updated TSF 2'!CT182</f>
        <v>0</v>
      </c>
      <c r="AG182" s="888"/>
      <c r="AH182" s="888"/>
      <c r="AI182" s="888">
        <f>S182-'INTERNAL PRICELIST'!AA182</f>
        <v>11805.853219107223</v>
      </c>
      <c r="AJ182" s="888">
        <f>T182-'INTERNAL PRICELIST'!AB182</f>
        <v>15250.517872189692</v>
      </c>
      <c r="AK182" s="888">
        <f>U182-'INTERNAL PRICELIST'!AC182</f>
        <v>26008.310009966874</v>
      </c>
    </row>
    <row r="183" spans="1:37" s="822" customFormat="1" ht="12.75" hidden="1" customHeight="1">
      <c r="A183" s="876" t="str">
        <f t="shared" si="2"/>
        <v>11R</v>
      </c>
      <c r="B183" s="877" t="str">
        <f>'Corrected and Updated TSF 2'!FI183</f>
        <v>SOLD</v>
      </c>
      <c r="C183" s="1002" t="str">
        <f>'Corrected and Updated TSF 2'!E183</f>
        <v>11th Floor</v>
      </c>
      <c r="D183" s="1003" t="str">
        <f>'Corrected and Updated TSF 2'!M183</f>
        <v>Corner</v>
      </c>
      <c r="E183" s="1003" t="str">
        <f>'Corrected and Updated TSF 2'!G183</f>
        <v>11R</v>
      </c>
      <c r="F183" s="1004" t="str">
        <f>'Corrected and Updated TSF 2'!I183</f>
        <v>Studio</v>
      </c>
      <c r="G183" s="1005">
        <f>'Corrected and Updated TSF 2'!J183</f>
        <v>22</v>
      </c>
      <c r="H183" s="1005">
        <f>'Corrected and Updated TSF 2'!CH183</f>
        <v>3653488.9579395587</v>
      </c>
      <c r="I183" s="1005">
        <f>SUM('Corrected and Updated TSF 2'!CJ183:CK183)</f>
        <v>502354.7317166893</v>
      </c>
      <c r="J183" s="1005">
        <f>'Corrected and Updated TSF 2'!CL183</f>
        <v>4594262.3646089947</v>
      </c>
      <c r="K183" s="1006">
        <f>'Corrected and Updated TSF 2'!CM183</f>
        <v>0.125</v>
      </c>
      <c r="L183" s="1005">
        <f>'Corrected and Updated TSF 2'!CN183</f>
        <v>574282.79557612434</v>
      </c>
      <c r="M183" s="1005">
        <f>'Corrected and Updated TSF 2'!CO183</f>
        <v>30000</v>
      </c>
      <c r="N183" s="1005">
        <f>'Corrected and Updated TSF 2'!CP183</f>
        <v>544282.79557612434</v>
      </c>
      <c r="O183" s="1007">
        <f>'Corrected and Updated TSF 2'!CQ183</f>
        <v>15</v>
      </c>
      <c r="P183" s="1005">
        <f>'Corrected and Updated TSF 2'!CR183</f>
        <v>36285.519705074956</v>
      </c>
      <c r="Q183" s="1005">
        <f>'Corrected and Updated TSF 2'!CT183</f>
        <v>4019979.5690328702</v>
      </c>
      <c r="R183" s="1005">
        <f>'Corrected and Updated TSF 2'!CU183</f>
        <v>31166.858810808069</v>
      </c>
      <c r="S183" s="1005">
        <f>'Corrected and Updated TSF 2'!CV183</f>
        <v>36132.712848958996</v>
      </c>
      <c r="T183" s="882">
        <f>'Corrected and Updated TSF 2'!CW183</f>
        <v>46675.371425034631</v>
      </c>
      <c r="U183" s="882">
        <f>'Corrected and Updated TSF 2'!CX183</f>
        <v>79600.413574568622</v>
      </c>
      <c r="V183" s="1167">
        <f>'Corrected and Updated TSF 2'!CY183</f>
        <v>326555.71795502852</v>
      </c>
      <c r="W183" s="1167">
        <f>'Corrected and Updated TSF 2'!CZ183</f>
        <v>129216.50685057316</v>
      </c>
      <c r="X183" s="1233">
        <f>'Corrected and Updated TSF 2'!DA183</f>
        <v>93331.252779636707</v>
      </c>
      <c r="Y183" s="1233">
        <f>'Corrected and Updated TSF 2'!DB183</f>
        <v>71029.380114263637</v>
      </c>
      <c r="Z183" s="885">
        <f>H183-'Corrected and Updated TSF 2'!CH183</f>
        <v>0</v>
      </c>
      <c r="AA183" s="885">
        <f>I183-SUM('Corrected and Updated TSF 2'!CJ183:CK183)</f>
        <v>0</v>
      </c>
      <c r="AB183" s="885">
        <f>J183-'Corrected and Updated TSF 2'!CL183</f>
        <v>0</v>
      </c>
      <c r="AC183" s="886">
        <f>K183-'Corrected and Updated TSF 2'!CM183</f>
        <v>0</v>
      </c>
      <c r="AD183" s="885">
        <f>M183-'Corrected and Updated TSF 2'!CO183</f>
        <v>0</v>
      </c>
      <c r="AE183" s="887">
        <f>P183-'Corrected and Updated TSF 2'!CR183</f>
        <v>0</v>
      </c>
      <c r="AF183" s="885">
        <f>Q183-'Corrected and Updated TSF 2'!CT183</f>
        <v>0</v>
      </c>
      <c r="AG183" s="888"/>
      <c r="AH183" s="888"/>
      <c r="AI183" s="885">
        <f>S183-'INTERNAL PRICELIST'!AA183</f>
        <v>15387.73085063613</v>
      </c>
      <c r="AJ183" s="885">
        <f>T183-'INTERNAL PRICELIST'!AB183</f>
        <v>19877.501446568102</v>
      </c>
      <c r="AK183" s="885">
        <f>U183-'INTERNAL PRICELIST'!AC183</f>
        <v>33899.191108038045</v>
      </c>
    </row>
    <row r="184" spans="1:37" ht="12.75" customHeight="1">
      <c r="A184" s="876" t="str">
        <f t="shared" si="2"/>
        <v>12A</v>
      </c>
      <c r="B184" s="877" t="str">
        <f>'Corrected and Updated TSF 2'!FI184</f>
        <v>UNSOLD</v>
      </c>
      <c r="C184" s="1002" t="str">
        <f>'Corrected and Updated TSF 2'!E184</f>
        <v>12th Floor</v>
      </c>
      <c r="D184" s="1003" t="str">
        <f>'Corrected and Updated TSF 2'!M184</f>
        <v>End</v>
      </c>
      <c r="E184" s="1003" t="str">
        <f>'Corrected and Updated TSF 2'!G184</f>
        <v>12A</v>
      </c>
      <c r="F184" s="1004" t="str">
        <f>'Corrected and Updated TSF 2'!I184</f>
        <v>Studio</v>
      </c>
      <c r="G184" s="1005">
        <f>'Corrected and Updated TSF 2'!J184</f>
        <v>22</v>
      </c>
      <c r="H184" s="1005">
        <f>'Corrected and Updated TSF 2'!CH184</f>
        <v>3764503.0123647745</v>
      </c>
      <c r="I184" s="1005">
        <f>SUM('Corrected and Updated TSF 2'!CJ184:CK184)</f>
        <v>517619.16420015652</v>
      </c>
      <c r="J184" s="1005">
        <f>'Corrected and Updated TSF 2'!CL184</f>
        <v>4282122.1765649309</v>
      </c>
      <c r="K184" s="1006">
        <f>'Corrected and Updated TSF 2'!CM184</f>
        <v>0.125</v>
      </c>
      <c r="L184" s="1005">
        <f>'Corrected and Updated TSF 2'!CN184</f>
        <v>535265.27207061637</v>
      </c>
      <c r="M184" s="1005">
        <f>'Corrected and Updated TSF 2'!CO184</f>
        <v>30000</v>
      </c>
      <c r="N184" s="1005">
        <f>'Corrected and Updated TSF 2'!CP184</f>
        <v>505265.27207061637</v>
      </c>
      <c r="O184" s="1007">
        <f>'Corrected and Updated TSF 2'!CQ184</f>
        <v>16</v>
      </c>
      <c r="P184" s="1005">
        <f>'Corrected and Updated TSF 2'!CR184</f>
        <v>31579.079504413523</v>
      </c>
      <c r="Q184" s="1005">
        <f>'Corrected and Updated TSF 2'!CT184</f>
        <v>3746856.9044943145</v>
      </c>
      <c r="R184" s="1005">
        <f>'Corrected and Updated TSF 2'!CU184</f>
        <v>29049.341699706732</v>
      </c>
      <c r="S184" s="1005">
        <f>'Corrected and Updated TSF 2'!CV184</f>
        <v>33677.809125981017</v>
      </c>
      <c r="T184" s="882">
        <f>'Corrected and Updated TSF 2'!CW184</f>
        <v>43504.185703063617</v>
      </c>
      <c r="U184" s="882">
        <f>'Corrected and Updated TSF 2'!CX184</f>
        <v>74192.257468171403</v>
      </c>
      <c r="V184" s="1167">
        <f>'Corrected and Updated TSF 2'!CY184</f>
        <v>304369.09579027066</v>
      </c>
      <c r="W184" s="1167">
        <f>'Corrected and Updated TSF 2'!CZ184</f>
        <v>120437.36853722009</v>
      </c>
      <c r="X184" s="1233">
        <f>'Corrected and Updated TSF 2'!DA184</f>
        <v>86990.20551654615</v>
      </c>
      <c r="Y184" s="1233">
        <f>'Corrected and Updated TSF 2'!DB184</f>
        <v>66203.551220313122</v>
      </c>
      <c r="Z184" s="885">
        <f>H184-'Corrected and Updated TSF 2'!CH184</f>
        <v>0</v>
      </c>
      <c r="AA184" s="885">
        <f>I184-SUM('Corrected and Updated TSF 2'!CJ184:CK184)</f>
        <v>0</v>
      </c>
      <c r="AB184" s="885">
        <f>J184-'Corrected and Updated TSF 2'!CL184</f>
        <v>0</v>
      </c>
      <c r="AC184" s="886">
        <f>K184-'Corrected and Updated TSF 2'!CM184</f>
        <v>0</v>
      </c>
      <c r="AD184" s="885">
        <f>M184-'Corrected and Updated TSF 2'!CO184</f>
        <v>0</v>
      </c>
      <c r="AE184" s="887">
        <f>P184-'Corrected and Updated TSF 2'!CR184</f>
        <v>0</v>
      </c>
      <c r="AF184" s="885">
        <f>Q184-'Corrected and Updated TSF 2'!CT184</f>
        <v>0</v>
      </c>
    </row>
    <row r="185" spans="1:37" ht="12.75" customHeight="1">
      <c r="A185" s="876" t="str">
        <f t="shared" si="2"/>
        <v>12B</v>
      </c>
      <c r="B185" s="877" t="str">
        <f>'Corrected and Updated TSF 2'!FI185</f>
        <v>UNSOLD</v>
      </c>
      <c r="C185" s="1002" t="str">
        <f>'Corrected and Updated TSF 2'!E185</f>
        <v>12th Floor</v>
      </c>
      <c r="D185" s="1003" t="str">
        <f>'Corrected and Updated TSF 2'!M185</f>
        <v>Inner</v>
      </c>
      <c r="E185" s="1003" t="str">
        <f>'Corrected and Updated TSF 2'!G185</f>
        <v>12B</v>
      </c>
      <c r="F185" s="1004" t="str">
        <f>'Corrected and Updated TSF 2'!I185</f>
        <v>Studio</v>
      </c>
      <c r="G185" s="1005">
        <f>'Corrected and Updated TSF 2'!J185</f>
        <v>22</v>
      </c>
      <c r="H185" s="1005">
        <f>'Corrected and Updated TSF 2'!CH185</f>
        <v>3668883.4933484546</v>
      </c>
      <c r="I185" s="1005">
        <f>SUM('Corrected and Updated TSF 2'!CJ185:CK185)</f>
        <v>504471.48033541249</v>
      </c>
      <c r="J185" s="1005">
        <f>'Corrected and Updated TSF 2'!CL185</f>
        <v>4173354.9736838667</v>
      </c>
      <c r="K185" s="1006">
        <f>'Corrected and Updated TSF 2'!CM185</f>
        <v>0.125</v>
      </c>
      <c r="L185" s="1005">
        <f>'Corrected and Updated TSF 2'!CN185</f>
        <v>521669.37171048333</v>
      </c>
      <c r="M185" s="1005">
        <f>'Corrected and Updated TSF 2'!CO185</f>
        <v>30000</v>
      </c>
      <c r="N185" s="1005">
        <f>'Corrected and Updated TSF 2'!CP185</f>
        <v>491669.37171048333</v>
      </c>
      <c r="O185" s="1007">
        <f>'Corrected and Updated TSF 2'!CQ185</f>
        <v>16</v>
      </c>
      <c r="P185" s="1005">
        <f>'Corrected and Updated TSF 2'!CR185</f>
        <v>30729.335731905208</v>
      </c>
      <c r="Q185" s="1005">
        <f>'Corrected and Updated TSF 2'!CT185</f>
        <v>3651685.6019733832</v>
      </c>
      <c r="R185" s="1005">
        <f>'Corrected and Updated TSF 2'!CU185</f>
        <v>28311.479604247332</v>
      </c>
      <c r="S185" s="1005">
        <f>'Corrected and Updated TSF 2'!CV185</f>
        <v>32822.382553184398</v>
      </c>
      <c r="T185" s="882">
        <f>'Corrected and Updated TSF 2'!CW185</f>
        <v>42399.166182967521</v>
      </c>
      <c r="U185" s="882">
        <f>'Corrected and Updated TSF 2'!CX185</f>
        <v>72307.751611610773</v>
      </c>
      <c r="V185" s="1167">
        <f>'Corrected and Updated TSF 2'!CY185</f>
        <v>296638.02838315075</v>
      </c>
      <c r="W185" s="1167">
        <f>'Corrected and Updated TSF 2'!CZ185</f>
        <v>117378.22282441428</v>
      </c>
      <c r="X185" s="1233">
        <f>'Corrected and Updated TSF 2'!DA185</f>
        <v>84780.62789546256</v>
      </c>
      <c r="Y185" s="1233">
        <f>'Corrected and Updated TSF 2'!DB185</f>
        <v>64521.960926968641</v>
      </c>
      <c r="Z185" s="885">
        <f>H185-'Corrected and Updated TSF 2'!CH185</f>
        <v>0</v>
      </c>
      <c r="AA185" s="885">
        <f>I185-SUM('Corrected and Updated TSF 2'!CJ185:CK185)</f>
        <v>0</v>
      </c>
      <c r="AB185" s="885">
        <f>J185-'Corrected and Updated TSF 2'!CL185</f>
        <v>0</v>
      </c>
      <c r="AC185" s="886">
        <f>K185-'Corrected and Updated TSF 2'!CM185</f>
        <v>0</v>
      </c>
      <c r="AD185" s="885">
        <f>M185-'Corrected and Updated TSF 2'!CO185</f>
        <v>0</v>
      </c>
      <c r="AE185" s="887">
        <f>P185-'Corrected and Updated TSF 2'!CR185</f>
        <v>0</v>
      </c>
      <c r="AF185" s="885">
        <f>Q185-'Corrected and Updated TSF 2'!CT185</f>
        <v>0</v>
      </c>
    </row>
    <row r="186" spans="1:37" ht="12.75" customHeight="1">
      <c r="A186" s="876" t="str">
        <f t="shared" si="2"/>
        <v>12C</v>
      </c>
      <c r="B186" s="877" t="str">
        <f>'Corrected and Updated TSF 2'!FI186</f>
        <v>UNSOLD</v>
      </c>
      <c r="C186" s="1002" t="str">
        <f>'Corrected and Updated TSF 2'!E186</f>
        <v>12th Floor</v>
      </c>
      <c r="D186" s="1003" t="str">
        <f>'Corrected and Updated TSF 2'!M186</f>
        <v>End</v>
      </c>
      <c r="E186" s="1003" t="str">
        <f>'Corrected and Updated TSF 2'!G186</f>
        <v>12C</v>
      </c>
      <c r="F186" s="1004" t="str">
        <f>'Corrected and Updated TSF 2'!I186</f>
        <v>Studio</v>
      </c>
      <c r="G186" s="1005">
        <f>'Corrected and Updated TSF 2'!J186</f>
        <v>22</v>
      </c>
      <c r="H186" s="1005">
        <f>'Corrected and Updated TSF 2'!CH186</f>
        <v>3764503.0123647745</v>
      </c>
      <c r="I186" s="1005">
        <f>SUM('Corrected and Updated TSF 2'!CJ186:CK186)</f>
        <v>517619.16420015652</v>
      </c>
      <c r="J186" s="1005">
        <f>'Corrected and Updated TSF 2'!CL186</f>
        <v>4282122.1765649309</v>
      </c>
      <c r="K186" s="1006">
        <f>'Corrected and Updated TSF 2'!CM186</f>
        <v>0.125</v>
      </c>
      <c r="L186" s="1005">
        <f>'Corrected and Updated TSF 2'!CN186</f>
        <v>535265.27207061637</v>
      </c>
      <c r="M186" s="1005">
        <f>'Corrected and Updated TSF 2'!CO186</f>
        <v>30000</v>
      </c>
      <c r="N186" s="1005">
        <f>'Corrected and Updated TSF 2'!CP186</f>
        <v>505265.27207061637</v>
      </c>
      <c r="O186" s="1007">
        <f>'Corrected and Updated TSF 2'!CQ186</f>
        <v>16</v>
      </c>
      <c r="P186" s="1005">
        <f>'Corrected and Updated TSF 2'!CR186</f>
        <v>31579.079504413523</v>
      </c>
      <c r="Q186" s="1005">
        <f>'Corrected and Updated TSF 2'!CT186</f>
        <v>3746856.9044943145</v>
      </c>
      <c r="R186" s="1005">
        <f>'Corrected and Updated TSF 2'!CU186</f>
        <v>29049.341699706732</v>
      </c>
      <c r="S186" s="1005">
        <f>'Corrected and Updated TSF 2'!CV186</f>
        <v>33677.809125981017</v>
      </c>
      <c r="T186" s="882">
        <f>'Corrected and Updated TSF 2'!CW186</f>
        <v>43504.185703063617</v>
      </c>
      <c r="U186" s="882">
        <f>'Corrected and Updated TSF 2'!CX186</f>
        <v>74192.257468171403</v>
      </c>
      <c r="V186" s="1167">
        <f>'Corrected and Updated TSF 2'!CY186</f>
        <v>304369.09579027066</v>
      </c>
      <c r="W186" s="1167">
        <f>'Corrected and Updated TSF 2'!CZ186</f>
        <v>120437.36853722009</v>
      </c>
      <c r="X186" s="1233">
        <f>'Corrected and Updated TSF 2'!DA186</f>
        <v>86990.20551654615</v>
      </c>
      <c r="Y186" s="1233">
        <f>'Corrected and Updated TSF 2'!DB186</f>
        <v>66203.551220313122</v>
      </c>
      <c r="Z186" s="885">
        <f>H186-'Corrected and Updated TSF 2'!CH186</f>
        <v>0</v>
      </c>
      <c r="AA186" s="885">
        <f>I186-SUM('Corrected and Updated TSF 2'!CJ186:CK186)</f>
        <v>0</v>
      </c>
      <c r="AB186" s="885">
        <f>J186-'Corrected and Updated TSF 2'!CL186</f>
        <v>0</v>
      </c>
      <c r="AC186" s="886">
        <f>K186-'Corrected and Updated TSF 2'!CM186</f>
        <v>0</v>
      </c>
      <c r="AD186" s="885">
        <f>M186-'Corrected and Updated TSF 2'!CO186</f>
        <v>0</v>
      </c>
      <c r="AE186" s="887">
        <f>P186-'Corrected and Updated TSF 2'!CR186</f>
        <v>0</v>
      </c>
      <c r="AF186" s="885">
        <f>Q186-'Corrected and Updated TSF 2'!CT186</f>
        <v>0</v>
      </c>
    </row>
    <row r="187" spans="1:37" ht="12.75" hidden="1" customHeight="1">
      <c r="A187" s="876" t="str">
        <f t="shared" si="2"/>
        <v>12D</v>
      </c>
      <c r="B187" s="877" t="str">
        <f>'Corrected and Updated TSF 2'!FI187</f>
        <v>SOLD</v>
      </c>
      <c r="C187" s="1008" t="str">
        <f>'Corrected and Updated TSF 2'!E187</f>
        <v>12th Floor</v>
      </c>
      <c r="D187" s="1009" t="str">
        <f>'Corrected and Updated TSF 2'!M187</f>
        <v>End</v>
      </c>
      <c r="E187" s="1009" t="str">
        <f>'Corrected and Updated TSF 2'!G187</f>
        <v>12D</v>
      </c>
      <c r="F187" s="1004" t="str">
        <f>'Corrected and Updated TSF 2'!I187</f>
        <v>Studio</v>
      </c>
      <c r="G187" s="1010">
        <f>'Corrected and Updated TSF 2'!J187</f>
        <v>22</v>
      </c>
      <c r="H187" s="1010">
        <f>'Corrected and Updated TSF 2'!CH187</f>
        <v>3635787.6800467069</v>
      </c>
      <c r="I187" s="1010">
        <f>SUM('Corrected and Updated TSF 2'!CJ187:CK187)</f>
        <v>499920.80600642221</v>
      </c>
      <c r="J187" s="1010">
        <f>'Corrected and Updated TSF 2'!CL187</f>
        <v>4572003.007658734</v>
      </c>
      <c r="K187" s="1011">
        <f>'Corrected and Updated TSF 2'!CM187</f>
        <v>0.125</v>
      </c>
      <c r="L187" s="1010">
        <f>'Corrected and Updated TSF 2'!CN187</f>
        <v>571500.37595734175</v>
      </c>
      <c r="M187" s="1010">
        <f>'Corrected and Updated TSF 2'!CO187</f>
        <v>30000</v>
      </c>
      <c r="N187" s="1010">
        <f>'Corrected and Updated TSF 2'!CP187</f>
        <v>541500.37595734175</v>
      </c>
      <c r="O187" s="1012">
        <f>'Corrected and Updated TSF 2'!CQ187</f>
        <v>16</v>
      </c>
      <c r="P187" s="1010">
        <f>'Corrected and Updated TSF 2'!CR187</f>
        <v>33843.773497333859</v>
      </c>
      <c r="Q187" s="1010">
        <f>'Corrected and Updated TSF 2'!CT187</f>
        <v>4000502.6317013921</v>
      </c>
      <c r="R187" s="1010">
        <f>'Corrected and Updated TSF 2'!CU187</f>
        <v>31015.854322985961</v>
      </c>
      <c r="S187" s="1010">
        <f>'Corrected and Updated TSF 2'!CV187</f>
        <v>35957.648629927462</v>
      </c>
      <c r="T187" s="996">
        <f>'Corrected and Updated TSF 2'!CW187</f>
        <v>46449.227667695195</v>
      </c>
      <c r="U187" s="996">
        <f>'Corrected and Updated TSF 2'!CX187</f>
        <v>79214.746871510069</v>
      </c>
      <c r="V187" s="1167">
        <f>'Corrected and Updated TSF 2'!CY187</f>
        <v>324973.54442786897</v>
      </c>
      <c r="W187" s="1167">
        <f>'Corrected and Updated TSF 2'!CZ187</f>
        <v>128590.44849308587</v>
      </c>
      <c r="X187" s="1233">
        <f>'Corrected and Updated TSF 2'!DA187</f>
        <v>92879.059695010001</v>
      </c>
      <c r="Y187" s="1233">
        <f>'Corrected and Updated TSF 2'!DB187</f>
        <v>70685.240358968294</v>
      </c>
      <c r="Z187" s="885">
        <f>H187-'Corrected and Updated TSF 2'!CH187</f>
        <v>0</v>
      </c>
      <c r="AA187" s="885">
        <f>I187-SUM('Corrected and Updated TSF 2'!CJ187:CK187)</f>
        <v>0</v>
      </c>
      <c r="AB187" s="885">
        <f>J187-'Corrected and Updated TSF 2'!CL187</f>
        <v>0</v>
      </c>
      <c r="AC187" s="886">
        <f>K187-'Corrected and Updated TSF 2'!CM187</f>
        <v>0</v>
      </c>
      <c r="AD187" s="885">
        <f>M187-'Corrected and Updated TSF 2'!CO187</f>
        <v>0</v>
      </c>
      <c r="AE187" s="887">
        <f>P187-'Corrected and Updated TSF 2'!CR187</f>
        <v>0</v>
      </c>
      <c r="AF187" s="885">
        <f>Q187-'Corrected and Updated TSF 2'!CT187</f>
        <v>0</v>
      </c>
    </row>
    <row r="188" spans="1:37" ht="12.75" customHeight="1">
      <c r="A188" s="876" t="str">
        <f t="shared" si="2"/>
        <v>12E</v>
      </c>
      <c r="B188" s="877" t="str">
        <f>'Corrected and Updated TSF 2'!FI188</f>
        <v>UNSOLD</v>
      </c>
      <c r="C188" s="1002" t="str">
        <f>'Corrected and Updated TSF 2'!E188</f>
        <v>12th Floor</v>
      </c>
      <c r="D188" s="1003" t="str">
        <f>'Corrected and Updated TSF 2'!M188</f>
        <v>End</v>
      </c>
      <c r="E188" s="1003" t="str">
        <f>'Corrected and Updated TSF 2'!G188</f>
        <v>12E</v>
      </c>
      <c r="F188" s="1004" t="str">
        <f>'Corrected and Updated TSF 2'!I188</f>
        <v>Studio</v>
      </c>
      <c r="G188" s="1005">
        <f>'Corrected and Updated TSF 2'!J188</f>
        <v>22</v>
      </c>
      <c r="H188" s="1005">
        <f>'Corrected and Updated TSF 2'!CH188</f>
        <v>3764503.0123647745</v>
      </c>
      <c r="I188" s="1005">
        <f>SUM('Corrected and Updated TSF 2'!CJ188:CK188)</f>
        <v>517619.16420015652</v>
      </c>
      <c r="J188" s="1005">
        <f>'Corrected and Updated TSF 2'!CL188</f>
        <v>4282122.1765649309</v>
      </c>
      <c r="K188" s="1006">
        <f>'Corrected and Updated TSF 2'!CM188</f>
        <v>0.125</v>
      </c>
      <c r="L188" s="1005">
        <f>'Corrected and Updated TSF 2'!CN188</f>
        <v>535265.27207061637</v>
      </c>
      <c r="M188" s="1005">
        <f>'Corrected and Updated TSF 2'!CO188</f>
        <v>30000</v>
      </c>
      <c r="N188" s="1005">
        <f>'Corrected and Updated TSF 2'!CP188</f>
        <v>505265.27207061637</v>
      </c>
      <c r="O188" s="1007">
        <f>'Corrected and Updated TSF 2'!CQ188</f>
        <v>16</v>
      </c>
      <c r="P188" s="1005">
        <f>'Corrected and Updated TSF 2'!CR188</f>
        <v>31579.079504413523</v>
      </c>
      <c r="Q188" s="1005">
        <f>'Corrected and Updated TSF 2'!CT188</f>
        <v>3746856.9044943145</v>
      </c>
      <c r="R188" s="1005">
        <f>'Corrected and Updated TSF 2'!CU188</f>
        <v>29049.341699706732</v>
      </c>
      <c r="S188" s="1005">
        <f>'Corrected and Updated TSF 2'!CV188</f>
        <v>33677.809125981017</v>
      </c>
      <c r="T188" s="882">
        <f>'Corrected and Updated TSF 2'!CW188</f>
        <v>43504.185703063617</v>
      </c>
      <c r="U188" s="882">
        <f>'Corrected and Updated TSF 2'!CX188</f>
        <v>74192.257468171403</v>
      </c>
      <c r="V188" s="1167">
        <f>'Corrected and Updated TSF 2'!CY188</f>
        <v>304369.09579027066</v>
      </c>
      <c r="W188" s="1167">
        <f>'Corrected and Updated TSF 2'!CZ188</f>
        <v>120437.36853722009</v>
      </c>
      <c r="X188" s="1233">
        <f>'Corrected and Updated TSF 2'!DA188</f>
        <v>86990.20551654615</v>
      </c>
      <c r="Y188" s="1233">
        <f>'Corrected and Updated TSF 2'!DB188</f>
        <v>66203.551220313122</v>
      </c>
      <c r="Z188" s="885">
        <f>H188-'Corrected and Updated TSF 2'!CH188</f>
        <v>0</v>
      </c>
      <c r="AA188" s="885">
        <f>I188-SUM('Corrected and Updated TSF 2'!CJ188:CK188)</f>
        <v>0</v>
      </c>
      <c r="AB188" s="885">
        <f>J188-'Corrected and Updated TSF 2'!CL188</f>
        <v>0</v>
      </c>
      <c r="AC188" s="886">
        <f>K188-'Corrected and Updated TSF 2'!CM188</f>
        <v>0</v>
      </c>
      <c r="AD188" s="885">
        <f>M188-'Corrected and Updated TSF 2'!CO188</f>
        <v>0</v>
      </c>
      <c r="AE188" s="887">
        <f>P188-'Corrected and Updated TSF 2'!CR188</f>
        <v>0</v>
      </c>
      <c r="AF188" s="885">
        <f>Q188-'Corrected and Updated TSF 2'!CT188</f>
        <v>0</v>
      </c>
    </row>
    <row r="189" spans="1:37" ht="12.75" hidden="1" customHeight="1">
      <c r="A189" s="876" t="str">
        <f t="shared" si="2"/>
        <v>12F</v>
      </c>
      <c r="B189" s="877" t="str">
        <f>'Corrected and Updated TSF 2'!FI189</f>
        <v>SOLD</v>
      </c>
      <c r="C189" s="1002" t="str">
        <f>'Corrected and Updated TSF 2'!E189</f>
        <v>12th Floor</v>
      </c>
      <c r="D189" s="1003" t="str">
        <f>'Corrected and Updated TSF 2'!M189</f>
        <v>End</v>
      </c>
      <c r="E189" s="1003" t="str">
        <f>'Corrected and Updated TSF 2'!G189</f>
        <v>12F</v>
      </c>
      <c r="F189" s="1004" t="str">
        <f>'Corrected and Updated TSF 2'!I189</f>
        <v>Studio</v>
      </c>
      <c r="G189" s="1005">
        <f>'Corrected and Updated TSF 2'!J189</f>
        <v>22</v>
      </c>
      <c r="H189" s="1005">
        <f>'Corrected and Updated TSF 2'!CH189</f>
        <v>3635787.6800467069</v>
      </c>
      <c r="I189" s="1005">
        <f>SUM('Corrected and Updated TSF 2'!CJ189:CK189)</f>
        <v>499920.80600642221</v>
      </c>
      <c r="J189" s="1005">
        <f>'Corrected and Updated TSF 2'!CL189</f>
        <v>4572003.007658734</v>
      </c>
      <c r="K189" s="1006">
        <f>'Corrected and Updated TSF 2'!CM189</f>
        <v>0.125</v>
      </c>
      <c r="L189" s="1005">
        <f>'Corrected and Updated TSF 2'!CN189</f>
        <v>571500.37595734175</v>
      </c>
      <c r="M189" s="1005">
        <f>'Corrected and Updated TSF 2'!CO189</f>
        <v>30000</v>
      </c>
      <c r="N189" s="1005">
        <f>'Corrected and Updated TSF 2'!CP189</f>
        <v>541500.37595734175</v>
      </c>
      <c r="O189" s="1007">
        <f>'Corrected and Updated TSF 2'!CQ189</f>
        <v>16</v>
      </c>
      <c r="P189" s="1005">
        <f>'Corrected and Updated TSF 2'!CR189</f>
        <v>33843.773497333859</v>
      </c>
      <c r="Q189" s="1005">
        <f>'Corrected and Updated TSF 2'!CT189</f>
        <v>4000502.6317013921</v>
      </c>
      <c r="R189" s="1005">
        <f>'Corrected and Updated TSF 2'!CU189</f>
        <v>31015.854322985961</v>
      </c>
      <c r="S189" s="1005">
        <f>'Corrected and Updated TSF 2'!CV189</f>
        <v>35957.648629927462</v>
      </c>
      <c r="T189" s="882">
        <f>'Corrected and Updated TSF 2'!CW189</f>
        <v>46449.227667695195</v>
      </c>
      <c r="U189" s="882">
        <f>'Corrected and Updated TSF 2'!CX189</f>
        <v>79214.746871510069</v>
      </c>
      <c r="V189" s="1167">
        <f>'Corrected and Updated TSF 2'!CY189</f>
        <v>324973.54442786897</v>
      </c>
      <c r="W189" s="1167">
        <f>'Corrected and Updated TSF 2'!CZ189</f>
        <v>128590.44849308587</v>
      </c>
      <c r="X189" s="1233">
        <f>'Corrected and Updated TSF 2'!DA189</f>
        <v>92879.059695010001</v>
      </c>
      <c r="Y189" s="1233">
        <f>'Corrected and Updated TSF 2'!DB189</f>
        <v>70685.240358968294</v>
      </c>
      <c r="Z189" s="885">
        <f>H189-'Corrected and Updated TSF 2'!CH189</f>
        <v>0</v>
      </c>
      <c r="AA189" s="885">
        <f>I189-SUM('Corrected and Updated TSF 2'!CJ189:CK189)</f>
        <v>0</v>
      </c>
      <c r="AB189" s="885">
        <f>J189-'Corrected and Updated TSF 2'!CL189</f>
        <v>0</v>
      </c>
      <c r="AC189" s="886">
        <f>K189-'Corrected and Updated TSF 2'!CM189</f>
        <v>0</v>
      </c>
      <c r="AD189" s="885">
        <f>M189-'Corrected and Updated TSF 2'!CO189</f>
        <v>0</v>
      </c>
      <c r="AE189" s="887">
        <f>P189-'Corrected and Updated TSF 2'!CR189</f>
        <v>0</v>
      </c>
      <c r="AF189" s="885">
        <f>Q189-'Corrected and Updated TSF 2'!CT189</f>
        <v>0</v>
      </c>
    </row>
    <row r="190" spans="1:37" ht="12.75" hidden="1" customHeight="1">
      <c r="A190" s="876" t="str">
        <f t="shared" si="2"/>
        <v>12G</v>
      </c>
      <c r="B190" s="877" t="str">
        <f>'Corrected and Updated TSF 2'!FI190</f>
        <v>SOLD</v>
      </c>
      <c r="C190" s="1002" t="str">
        <f>'Corrected and Updated TSF 2'!E190</f>
        <v>12th Floor</v>
      </c>
      <c r="D190" s="1003" t="str">
        <f>'Corrected and Updated TSF 2'!M190</f>
        <v>Corner</v>
      </c>
      <c r="E190" s="1003" t="str">
        <f>'Corrected and Updated TSF 2'!G190</f>
        <v>12G</v>
      </c>
      <c r="F190" s="1004" t="str">
        <f>'Corrected and Updated TSF 2'!I190</f>
        <v>Studio</v>
      </c>
      <c r="G190" s="1005">
        <f>'Corrected and Updated TSF 2'!J190</f>
        <v>22</v>
      </c>
      <c r="H190" s="1005">
        <f>'Corrected and Updated TSF 2'!CH190</f>
        <v>3715790.5397097636</v>
      </c>
      <c r="I190" s="1005">
        <f>SUM('Corrected and Updated TSF 2'!CJ190:CK190)</f>
        <v>510921.19921009243</v>
      </c>
      <c r="J190" s="1005">
        <f>'Corrected and Updated TSF 2'!CL190</f>
        <v>4226711.738919856</v>
      </c>
      <c r="K190" s="1006">
        <f>'Corrected and Updated TSF 2'!CM190</f>
        <v>0.125</v>
      </c>
      <c r="L190" s="1005">
        <f>'Corrected and Updated TSF 2'!CN190</f>
        <v>528338.967364982</v>
      </c>
      <c r="M190" s="1005">
        <f>'Corrected and Updated TSF 2'!CO190</f>
        <v>30000</v>
      </c>
      <c r="N190" s="1005">
        <f>'Corrected and Updated TSF 2'!CP190</f>
        <v>498338.967364982</v>
      </c>
      <c r="O190" s="1007">
        <f>'Corrected and Updated TSF 2'!CQ190</f>
        <v>16</v>
      </c>
      <c r="P190" s="1005">
        <f>'Corrected and Updated TSF 2'!CR190</f>
        <v>31146.185460311375</v>
      </c>
      <c r="Q190" s="1005">
        <f>'Corrected and Updated TSF 2'!CT190</f>
        <v>3698372.7715548743</v>
      </c>
      <c r="R190" s="1005">
        <f>'Corrected and Updated TSF 2'!CU190</f>
        <v>28673.444733083212</v>
      </c>
      <c r="S190" s="1005">
        <f>'Corrected and Updated TSF 2'!CV190</f>
        <v>33242.020032243658</v>
      </c>
      <c r="T190" s="882">
        <f>'Corrected and Updated TSF 2'!CW190</f>
        <v>42941.243808880419</v>
      </c>
      <c r="U190" s="882">
        <f>'Corrected and Updated TSF 2'!CX190</f>
        <v>73232.21352578084</v>
      </c>
      <c r="V190" s="1167">
        <f>'Corrected and Updated TSF 2'!CY190</f>
        <v>300430.57556409069</v>
      </c>
      <c r="W190" s="1167">
        <f>'Corrected and Updated TSF 2'!CZ190</f>
        <v>118878.9152693542</v>
      </c>
      <c r="X190" s="1233">
        <f>'Corrected and Updated TSF 2'!DA190</f>
        <v>85864.556793843542</v>
      </c>
      <c r="Y190" s="1233">
        <f>'Corrected and Updated TSF 2'!DB190</f>
        <v>65346.880720145746</v>
      </c>
      <c r="Z190" s="885">
        <f>H190-'Corrected and Updated TSF 2'!CH190</f>
        <v>0</v>
      </c>
      <c r="AA190" s="885">
        <f>I190-SUM('Corrected and Updated TSF 2'!CJ190:CK190)</f>
        <v>0</v>
      </c>
      <c r="AB190" s="885">
        <f>J190-'Corrected and Updated TSF 2'!CL190</f>
        <v>0</v>
      </c>
      <c r="AC190" s="886">
        <f>K190-'Corrected and Updated TSF 2'!CM190</f>
        <v>0</v>
      </c>
      <c r="AD190" s="885">
        <f>M190-'Corrected and Updated TSF 2'!CO190</f>
        <v>0</v>
      </c>
      <c r="AE190" s="887">
        <f>P190-'Corrected and Updated TSF 2'!CR190</f>
        <v>0</v>
      </c>
      <c r="AF190" s="885">
        <f>Q190-'Corrected and Updated TSF 2'!CT190</f>
        <v>0</v>
      </c>
    </row>
    <row r="191" spans="1:37" ht="12.75" customHeight="1">
      <c r="A191" s="876" t="str">
        <f t="shared" si="2"/>
        <v>12H</v>
      </c>
      <c r="B191" s="877" t="str">
        <f>'Corrected and Updated TSF 2'!FI191</f>
        <v>UNSOLD</v>
      </c>
      <c r="C191" s="1002" t="str">
        <f>'Corrected and Updated TSF 2'!E191</f>
        <v>12th Floor</v>
      </c>
      <c r="D191" s="1003" t="str">
        <f>'Corrected and Updated TSF 2'!M191</f>
        <v>Corner</v>
      </c>
      <c r="E191" s="1003" t="str">
        <f>'Corrected and Updated TSF 2'!G191</f>
        <v>12H</v>
      </c>
      <c r="F191" s="1004" t="str">
        <f>'Corrected and Updated TSF 2'!I191</f>
        <v>Studio</v>
      </c>
      <c r="G191" s="1005">
        <f>'Corrected and Updated TSF 2'!J191</f>
        <v>22</v>
      </c>
      <c r="H191" s="1005">
        <f>'Corrected and Updated TSF 2'!CH191</f>
        <v>3786497.2823752374</v>
      </c>
      <c r="I191" s="1005">
        <f>SUM('Corrected and Updated TSF 2'!CJ191:CK191)</f>
        <v>520643.3763265952</v>
      </c>
      <c r="J191" s="1005">
        <f>'Corrected and Updated TSF 2'!CL191</f>
        <v>4307140.6587018324</v>
      </c>
      <c r="K191" s="1006">
        <f>'Corrected and Updated TSF 2'!CM191</f>
        <v>0.125</v>
      </c>
      <c r="L191" s="1005">
        <f>'Corrected and Updated TSF 2'!CN191</f>
        <v>538392.58233772905</v>
      </c>
      <c r="M191" s="1005">
        <f>'Corrected and Updated TSF 2'!CO191</f>
        <v>30000</v>
      </c>
      <c r="N191" s="1005">
        <f>'Corrected and Updated TSF 2'!CP191</f>
        <v>508392.58233772905</v>
      </c>
      <c r="O191" s="1007">
        <f>'Corrected and Updated TSF 2'!CQ191</f>
        <v>16</v>
      </c>
      <c r="P191" s="1005">
        <f>'Corrected and Updated TSF 2'!CR191</f>
        <v>31774.536396108066</v>
      </c>
      <c r="Q191" s="1005">
        <f>'Corrected and Updated TSF 2'!CT191</f>
        <v>3768748.0763641032</v>
      </c>
      <c r="R191" s="1005">
        <f>'Corrected and Updated TSF 2'!CU191</f>
        <v>29219.063722207706</v>
      </c>
      <c r="S191" s="1005">
        <f>'Corrected and Updated TSF 2'!CV191</f>
        <v>33874.573167567578</v>
      </c>
      <c r="T191" s="882">
        <f>'Corrected and Updated TSF 2'!CW191</f>
        <v>43758.36077047509</v>
      </c>
      <c r="U191" s="882">
        <f>'Corrected and Updated TSF 2'!CX191</f>
        <v>74625.728908646008</v>
      </c>
      <c r="V191" s="1167">
        <f>'Corrected and Updated TSF 2'!CY191</f>
        <v>306147.38526265614</v>
      </c>
      <c r="W191" s="1167">
        <f>'Corrected and Updated TSF 2'!CZ191</f>
        <v>121141.02901889765</v>
      </c>
      <c r="X191" s="1233">
        <f>'Corrected and Updated TSF 2'!DA191</f>
        <v>87498.44951638153</v>
      </c>
      <c r="Y191" s="1233">
        <f>'Corrected and Updated TSF 2'!DB191</f>
        <v>66590.348302533122</v>
      </c>
      <c r="Z191" s="885">
        <f>H191-'Corrected and Updated TSF 2'!CH191</f>
        <v>0</v>
      </c>
      <c r="AA191" s="885">
        <f>I191-SUM('Corrected and Updated TSF 2'!CJ191:CK191)</f>
        <v>0</v>
      </c>
      <c r="AB191" s="885">
        <f>J191-'Corrected and Updated TSF 2'!CL191</f>
        <v>0</v>
      </c>
      <c r="AC191" s="886">
        <f>K191-'Corrected and Updated TSF 2'!CM191</f>
        <v>0</v>
      </c>
      <c r="AD191" s="885">
        <f>M191-'Corrected and Updated TSF 2'!CO191</f>
        <v>0</v>
      </c>
      <c r="AE191" s="887">
        <f>P191-'Corrected and Updated TSF 2'!CR191</f>
        <v>0</v>
      </c>
      <c r="AF191" s="885">
        <f>Q191-'Corrected and Updated TSF 2'!CT191</f>
        <v>0</v>
      </c>
    </row>
    <row r="192" spans="1:37" ht="12.75" hidden="1" customHeight="1">
      <c r="A192" s="876" t="str">
        <f t="shared" si="2"/>
        <v>12I</v>
      </c>
      <c r="B192" s="877" t="str">
        <f>'Corrected and Updated TSF 2'!FI192</f>
        <v>SOLD</v>
      </c>
      <c r="C192" s="1002" t="str">
        <f>'Corrected and Updated TSF 2'!E192</f>
        <v>12th Floor</v>
      </c>
      <c r="D192" s="1003" t="str">
        <f>'Corrected and Updated TSF 2'!M192</f>
        <v>Inner</v>
      </c>
      <c r="E192" s="1003" t="str">
        <f>'Corrected and Updated TSF 2'!G192</f>
        <v>12I</v>
      </c>
      <c r="F192" s="1004" t="str">
        <f>'Corrected and Updated TSF 2'!I192</f>
        <v>Studio</v>
      </c>
      <c r="G192" s="1005">
        <f>'Corrected and Updated TSF 2'!J192</f>
        <v>22</v>
      </c>
      <c r="H192" s="1005">
        <f>'Corrected and Updated TSF 2'!CH192</f>
        <v>3605831.6713049598</v>
      </c>
      <c r="I192" s="1005">
        <f>SUM('Corrected and Updated TSF 2'!CJ192:CK192)</f>
        <v>495801.8548044319</v>
      </c>
      <c r="J192" s="1005">
        <f>'Corrected and Updated TSF 2'!CL192</f>
        <v>4534333.3266659863</v>
      </c>
      <c r="K192" s="1006">
        <f>'Corrected and Updated TSF 2'!CM192</f>
        <v>0.125</v>
      </c>
      <c r="L192" s="1005">
        <f>'Corrected and Updated TSF 2'!CN192</f>
        <v>566791.66583324829</v>
      </c>
      <c r="M192" s="1005">
        <f>'Corrected and Updated TSF 2'!CO192</f>
        <v>30000</v>
      </c>
      <c r="N192" s="1005">
        <f>'Corrected and Updated TSF 2'!CP192</f>
        <v>536791.66583324829</v>
      </c>
      <c r="O192" s="1007">
        <f>'Corrected and Updated TSF 2'!CQ192</f>
        <v>16</v>
      </c>
      <c r="P192" s="1005">
        <f>'Corrected and Updated TSF 2'!CR192</f>
        <v>33549.479114578018</v>
      </c>
      <c r="Q192" s="1005">
        <f>'Corrected and Updated TSF 2'!CT192</f>
        <v>3967541.660832738</v>
      </c>
      <c r="R192" s="1005">
        <f>'Corrected and Updated TSF 2'!CU192</f>
        <v>30760.308266671636</v>
      </c>
      <c r="S192" s="1005">
        <f>'Corrected and Updated TSF 2'!CV192</f>
        <v>35661.386105412559</v>
      </c>
      <c r="T192" s="882">
        <f>'Corrected and Updated TSF 2'!CW192</f>
        <v>46066.522847582317</v>
      </c>
      <c r="U192" s="882">
        <f>'Corrected and Updated TSF 2'!CX192</f>
        <v>78562.08014325719</v>
      </c>
      <c r="V192" s="1167">
        <f>'Corrected and Updated TSF 2'!CY192</f>
        <v>322296.01999729144</v>
      </c>
      <c r="W192" s="1167">
        <f>'Corrected and Updated TSF 2'!CZ192</f>
        <v>127530.96511887669</v>
      </c>
      <c r="X192" s="1233">
        <f>'Corrected and Updated TSF 2'!DA192</f>
        <v>92113.809859487912</v>
      </c>
      <c r="Y192" s="1233">
        <f>'Corrected and Updated TSF 2'!DB192</f>
        <v>70102.85000385312</v>
      </c>
      <c r="Z192" s="885">
        <f>H192-'Corrected and Updated TSF 2'!CH192</f>
        <v>0</v>
      </c>
      <c r="AA192" s="885">
        <f>I192-SUM('Corrected and Updated TSF 2'!CJ192:CK192)</f>
        <v>0</v>
      </c>
      <c r="AB192" s="885">
        <f>J192-'Corrected and Updated TSF 2'!CL192</f>
        <v>0</v>
      </c>
      <c r="AC192" s="886">
        <f>K192-'Corrected and Updated TSF 2'!CM192</f>
        <v>0</v>
      </c>
      <c r="AD192" s="885">
        <f>M192-'Corrected and Updated TSF 2'!CO192</f>
        <v>0</v>
      </c>
      <c r="AE192" s="887">
        <f>P192-'Corrected and Updated TSF 2'!CR192</f>
        <v>0</v>
      </c>
      <c r="AF192" s="885">
        <f>Q192-'Corrected and Updated TSF 2'!CT192</f>
        <v>0</v>
      </c>
    </row>
    <row r="193" spans="1:32" ht="12.75" customHeight="1">
      <c r="A193" s="876" t="str">
        <f t="shared" si="2"/>
        <v>12J</v>
      </c>
      <c r="B193" s="877" t="str">
        <f>'Corrected and Updated TSF 2'!FI193</f>
        <v>UNSOLD</v>
      </c>
      <c r="C193" s="1002" t="str">
        <f>'Corrected and Updated TSF 2'!E193</f>
        <v>12th Floor</v>
      </c>
      <c r="D193" s="1003" t="str">
        <f>'Corrected and Updated TSF 2'!M193</f>
        <v>Inner</v>
      </c>
      <c r="E193" s="1003" t="str">
        <f>'Corrected and Updated TSF 2'!G193</f>
        <v>12J</v>
      </c>
      <c r="F193" s="1004" t="str">
        <f>'Corrected and Updated TSF 2'!I193</f>
        <v>Studio</v>
      </c>
      <c r="G193" s="1005">
        <f>'Corrected and Updated TSF 2'!J193</f>
        <v>22</v>
      </c>
      <c r="H193" s="1005">
        <f>'Corrected and Updated TSF 2'!CH193</f>
        <v>3734547.0036230274</v>
      </c>
      <c r="I193" s="1005">
        <f>SUM('Corrected and Updated TSF 2'!CJ193:CK193)</f>
        <v>513500.21299816627</v>
      </c>
      <c r="J193" s="1005">
        <f>'Corrected and Updated TSF 2'!CL193</f>
        <v>4248047.2166211931</v>
      </c>
      <c r="K193" s="1006">
        <f>'Corrected and Updated TSF 2'!CM193</f>
        <v>0.125</v>
      </c>
      <c r="L193" s="1005">
        <f>'Corrected and Updated TSF 2'!CN193</f>
        <v>531005.90207764914</v>
      </c>
      <c r="M193" s="1005">
        <f>'Corrected and Updated TSF 2'!CO193</f>
        <v>30000</v>
      </c>
      <c r="N193" s="1005">
        <f>'Corrected and Updated TSF 2'!CP193</f>
        <v>501005.90207764914</v>
      </c>
      <c r="O193" s="1007">
        <f>'Corrected and Updated TSF 2'!CQ193</f>
        <v>16</v>
      </c>
      <c r="P193" s="1005">
        <f>'Corrected and Updated TSF 2'!CR193</f>
        <v>31312.868879853071</v>
      </c>
      <c r="Q193" s="1005">
        <f>'Corrected and Updated TSF 2'!CT193</f>
        <v>3717041.3145435438</v>
      </c>
      <c r="R193" s="1005">
        <f>'Corrected and Updated TSF 2'!CU193</f>
        <v>28818.181748169922</v>
      </c>
      <c r="S193" s="1005">
        <f>'Corrected and Updated TSF 2'!CV193</f>
        <v>33409.818174382061</v>
      </c>
      <c r="T193" s="882">
        <f>'Corrected and Updated TSF 2'!CW193</f>
        <v>43158.001422444613</v>
      </c>
      <c r="U193" s="882">
        <f>'Corrected and Updated TSF 2'!CX193</f>
        <v>73601.873051958537</v>
      </c>
      <c r="V193" s="1167">
        <f>'Corrected and Updated TSF 2'!CY193</f>
        <v>301947.08064929093</v>
      </c>
      <c r="W193" s="1167">
        <f>'Corrected and Updated TSF 2'!CZ193</f>
        <v>119478.98894424754</v>
      </c>
      <c r="X193" s="1233">
        <f>'Corrected and Updated TSF 2'!DA193</f>
        <v>86297.98151025876</v>
      </c>
      <c r="Y193" s="1233">
        <f>'Corrected and Updated TSF 2'!DB193</f>
        <v>65676.736883181104</v>
      </c>
      <c r="Z193" s="885">
        <f>H193-'Corrected and Updated TSF 2'!CH193</f>
        <v>0</v>
      </c>
      <c r="AA193" s="885">
        <f>I193-SUM('Corrected and Updated TSF 2'!CJ193:CK193)</f>
        <v>0</v>
      </c>
      <c r="AB193" s="885">
        <f>J193-'Corrected and Updated TSF 2'!CL193</f>
        <v>0</v>
      </c>
      <c r="AC193" s="886">
        <f>K193-'Corrected and Updated TSF 2'!CM193</f>
        <v>0</v>
      </c>
      <c r="AD193" s="885">
        <f>M193-'Corrected and Updated TSF 2'!CO193</f>
        <v>0</v>
      </c>
      <c r="AE193" s="887">
        <f>P193-'Corrected and Updated TSF 2'!CR193</f>
        <v>0</v>
      </c>
      <c r="AF193" s="885">
        <f>Q193-'Corrected and Updated TSF 2'!CT193</f>
        <v>0</v>
      </c>
    </row>
    <row r="194" spans="1:32" ht="12.75" hidden="1" customHeight="1">
      <c r="A194" s="876" t="str">
        <f t="shared" si="2"/>
        <v>12K</v>
      </c>
      <c r="B194" s="877" t="str">
        <f>'Corrected and Updated TSF 2'!FI194</f>
        <v>SOLD</v>
      </c>
      <c r="C194" s="1002" t="str">
        <f>'Corrected and Updated TSF 2'!E194</f>
        <v>12th Floor</v>
      </c>
      <c r="D194" s="1003" t="str">
        <f>'Corrected and Updated TSF 2'!M194</f>
        <v>Inner</v>
      </c>
      <c r="E194" s="1003" t="str">
        <f>'Corrected and Updated TSF 2'!G194</f>
        <v>12K</v>
      </c>
      <c r="F194" s="1004" t="str">
        <f>'Corrected and Updated TSF 2'!I194</f>
        <v>Studio</v>
      </c>
      <c r="G194" s="1005">
        <f>'Corrected and Updated TSF 2'!J194</f>
        <v>22</v>
      </c>
      <c r="H194" s="1005">
        <f>'Corrected and Updated TSF 2'!CH194</f>
        <v>3605831.6713049598</v>
      </c>
      <c r="I194" s="1005">
        <f>SUM('Corrected and Updated TSF 2'!CJ194:CK194)</f>
        <v>495801.8548044319</v>
      </c>
      <c r="J194" s="1005">
        <f>'Corrected and Updated TSF 2'!CL194</f>
        <v>4534333.3266659863</v>
      </c>
      <c r="K194" s="1006">
        <f>'Corrected and Updated TSF 2'!CM194</f>
        <v>0.125</v>
      </c>
      <c r="L194" s="1005">
        <f>'Corrected and Updated TSF 2'!CN194</f>
        <v>566791.66583324829</v>
      </c>
      <c r="M194" s="1005">
        <f>'Corrected and Updated TSF 2'!CO194</f>
        <v>30000</v>
      </c>
      <c r="N194" s="1005">
        <f>'Corrected and Updated TSF 2'!CP194</f>
        <v>536791.66583324829</v>
      </c>
      <c r="O194" s="1007">
        <f>'Corrected and Updated TSF 2'!CQ194</f>
        <v>16</v>
      </c>
      <c r="P194" s="1005">
        <f>'Corrected and Updated TSF 2'!CR194</f>
        <v>33549.479114578018</v>
      </c>
      <c r="Q194" s="1005">
        <f>'Corrected and Updated TSF 2'!CT194</f>
        <v>3967541.660832738</v>
      </c>
      <c r="R194" s="1005">
        <f>'Corrected and Updated TSF 2'!CU194</f>
        <v>30760.308266671636</v>
      </c>
      <c r="S194" s="1005">
        <f>'Corrected and Updated TSF 2'!CV194</f>
        <v>35661.386105412559</v>
      </c>
      <c r="T194" s="882">
        <f>'Corrected and Updated TSF 2'!CW194</f>
        <v>46066.522847582317</v>
      </c>
      <c r="U194" s="882">
        <f>'Corrected and Updated TSF 2'!CX194</f>
        <v>78562.08014325719</v>
      </c>
      <c r="V194" s="1167">
        <f>'Corrected and Updated TSF 2'!CY194</f>
        <v>322296.01999729144</v>
      </c>
      <c r="W194" s="1167">
        <f>'Corrected and Updated TSF 2'!CZ194</f>
        <v>127530.96511887669</v>
      </c>
      <c r="X194" s="1233">
        <f>'Corrected and Updated TSF 2'!DA194</f>
        <v>92113.809859487912</v>
      </c>
      <c r="Y194" s="1233">
        <f>'Corrected and Updated TSF 2'!DB194</f>
        <v>70102.85000385312</v>
      </c>
      <c r="Z194" s="885">
        <f>H194-'Corrected and Updated TSF 2'!CH194</f>
        <v>0</v>
      </c>
      <c r="AA194" s="885">
        <f>I194-SUM('Corrected and Updated TSF 2'!CJ194:CK194)</f>
        <v>0</v>
      </c>
      <c r="AB194" s="885">
        <f>J194-'Corrected and Updated TSF 2'!CL194</f>
        <v>0</v>
      </c>
      <c r="AC194" s="886">
        <f>K194-'Corrected and Updated TSF 2'!CM194</f>
        <v>0</v>
      </c>
      <c r="AD194" s="885">
        <f>M194-'Corrected and Updated TSF 2'!CO194</f>
        <v>0</v>
      </c>
      <c r="AE194" s="887">
        <f>P194-'Corrected and Updated TSF 2'!CR194</f>
        <v>0</v>
      </c>
      <c r="AF194" s="885">
        <f>Q194-'Corrected and Updated TSF 2'!CT194</f>
        <v>0</v>
      </c>
    </row>
    <row r="195" spans="1:32" hidden="1">
      <c r="A195" s="876" t="str">
        <f t="shared" si="2"/>
        <v>12L</v>
      </c>
      <c r="B195" s="877" t="str">
        <f>'Corrected and Updated TSF 2'!FI195</f>
        <v>SOLD</v>
      </c>
      <c r="C195" s="1002" t="str">
        <f>'Corrected and Updated TSF 2'!E195</f>
        <v>12th Floor</v>
      </c>
      <c r="D195" s="1003" t="str">
        <f>'Corrected and Updated TSF 2'!M195</f>
        <v>Inner</v>
      </c>
      <c r="E195" s="1003" t="str">
        <f>'Corrected and Updated TSF 2'!G195</f>
        <v>12L</v>
      </c>
      <c r="F195" s="1004" t="str">
        <f>'Corrected and Updated TSF 2'!I195</f>
        <v>Studio</v>
      </c>
      <c r="G195" s="1005">
        <f>'Corrected and Updated TSF 2'!J195</f>
        <v>22</v>
      </c>
      <c r="H195" s="1005">
        <f>'Corrected and Updated TSF 2'!CH195</f>
        <v>3605831.6713049598</v>
      </c>
      <c r="I195" s="1005">
        <f>SUM('Corrected and Updated TSF 2'!CJ195:CK195)</f>
        <v>495801.8548044319</v>
      </c>
      <c r="J195" s="1005">
        <f>'Corrected and Updated TSF 2'!CL195</f>
        <v>4534333.3266659863</v>
      </c>
      <c r="K195" s="1006">
        <f>'Corrected and Updated TSF 2'!CM195</f>
        <v>0.125</v>
      </c>
      <c r="L195" s="1005">
        <f>'Corrected and Updated TSF 2'!CN195</f>
        <v>566791.66583324829</v>
      </c>
      <c r="M195" s="1005">
        <f>'Corrected and Updated TSF 2'!CO195</f>
        <v>30000</v>
      </c>
      <c r="N195" s="1005">
        <f>'Corrected and Updated TSF 2'!CP195</f>
        <v>536791.66583324829</v>
      </c>
      <c r="O195" s="1007">
        <f>'Corrected and Updated TSF 2'!CQ195</f>
        <v>16</v>
      </c>
      <c r="P195" s="1005">
        <f>'Corrected and Updated TSF 2'!CR195</f>
        <v>33549.479114578018</v>
      </c>
      <c r="Q195" s="1005">
        <f>'Corrected and Updated TSF 2'!CT195</f>
        <v>3967541.660832738</v>
      </c>
      <c r="R195" s="1005">
        <f>'Corrected and Updated TSF 2'!CU195</f>
        <v>30760.308266671636</v>
      </c>
      <c r="S195" s="1005">
        <f>'Corrected and Updated TSF 2'!CV195</f>
        <v>35661.386105412559</v>
      </c>
      <c r="T195" s="882">
        <f>'Corrected and Updated TSF 2'!CW195</f>
        <v>46066.522847582317</v>
      </c>
      <c r="U195" s="882">
        <f>'Corrected and Updated TSF 2'!CX195</f>
        <v>78562.08014325719</v>
      </c>
      <c r="V195" s="1167">
        <f>'Corrected and Updated TSF 2'!CY195</f>
        <v>322296.01999729144</v>
      </c>
      <c r="W195" s="1167">
        <f>'Corrected and Updated TSF 2'!CZ195</f>
        <v>127530.96511887669</v>
      </c>
      <c r="X195" s="1233">
        <f>'Corrected and Updated TSF 2'!DA195</f>
        <v>92113.809859487912</v>
      </c>
      <c r="Y195" s="1233">
        <f>'Corrected and Updated TSF 2'!DB195</f>
        <v>70102.85000385312</v>
      </c>
      <c r="Z195" s="885">
        <f>H195-'Corrected and Updated TSF 2'!CH195</f>
        <v>0</v>
      </c>
      <c r="AA195" s="885">
        <f>I195-SUM('Corrected and Updated TSF 2'!CJ195:CK195)</f>
        <v>0</v>
      </c>
      <c r="AB195" s="885">
        <f>J195-'Corrected and Updated TSF 2'!CL195</f>
        <v>0</v>
      </c>
      <c r="AC195" s="886">
        <f>K195-'Corrected and Updated TSF 2'!CM195</f>
        <v>0</v>
      </c>
      <c r="AD195" s="885">
        <f>M195-'Corrected and Updated TSF 2'!CO195</f>
        <v>0</v>
      </c>
      <c r="AE195" s="887">
        <f>P195-'Corrected and Updated TSF 2'!CR195</f>
        <v>0</v>
      </c>
      <c r="AF195" s="885">
        <f>Q195-'Corrected and Updated TSF 2'!CT195</f>
        <v>0</v>
      </c>
    </row>
    <row r="196" spans="1:32">
      <c r="A196" s="876" t="str">
        <f t="shared" si="2"/>
        <v>12M</v>
      </c>
      <c r="B196" s="877" t="str">
        <f>'Corrected and Updated TSF 2'!FI196</f>
        <v>UNSOLD</v>
      </c>
      <c r="C196" s="1002" t="str">
        <f>'Corrected and Updated TSF 2'!E196</f>
        <v>12th Floor</v>
      </c>
      <c r="D196" s="1003" t="str">
        <f>'Corrected and Updated TSF 2'!M196</f>
        <v>Inner</v>
      </c>
      <c r="E196" s="1003" t="str">
        <f>'Corrected and Updated TSF 2'!G196</f>
        <v>12M</v>
      </c>
      <c r="F196" s="1004" t="str">
        <f>'Corrected and Updated TSF 2'!I196</f>
        <v>Studio</v>
      </c>
      <c r="G196" s="1005">
        <f>'Corrected and Updated TSF 2'!J196</f>
        <v>22</v>
      </c>
      <c r="H196" s="1005">
        <f>'Corrected and Updated TSF 2'!CH196</f>
        <v>3719128.3225720236</v>
      </c>
      <c r="I196" s="1005">
        <f>SUM('Corrected and Updated TSF 2'!CJ196:CK196)</f>
        <v>511380.14435365319</v>
      </c>
      <c r="J196" s="1005">
        <f>'Corrected and Updated TSF 2'!CL196</f>
        <v>4230508.4669256769</v>
      </c>
      <c r="K196" s="1006">
        <f>'Corrected and Updated TSF 2'!CM196</f>
        <v>0.125</v>
      </c>
      <c r="L196" s="1005">
        <f>'Corrected and Updated TSF 2'!CN196</f>
        <v>528813.55836570961</v>
      </c>
      <c r="M196" s="1005">
        <f>'Corrected and Updated TSF 2'!CO196</f>
        <v>30000</v>
      </c>
      <c r="N196" s="1005">
        <f>'Corrected and Updated TSF 2'!CP196</f>
        <v>498813.55836570961</v>
      </c>
      <c r="O196" s="1007">
        <f>'Corrected and Updated TSF 2'!CQ196</f>
        <v>16</v>
      </c>
      <c r="P196" s="1005">
        <f>'Corrected and Updated TSF 2'!CR196</f>
        <v>31175.847397856851</v>
      </c>
      <c r="Q196" s="1005">
        <f>'Corrected and Updated TSF 2'!CT196</f>
        <v>3701694.9085599673</v>
      </c>
      <c r="R196" s="1005">
        <f>'Corrected and Updated TSF 2'!CU196</f>
        <v>28699.201225923498</v>
      </c>
      <c r="S196" s="1005">
        <f>'Corrected and Updated TSF 2'!CV196</f>
        <v>33271.880338841882</v>
      </c>
      <c r="T196" s="882">
        <f>'Corrected and Updated TSF 2'!CW196</f>
        <v>42979.816636422147</v>
      </c>
      <c r="U196" s="882">
        <f>'Corrected and Updated TSF 2'!CX196</f>
        <v>73297.995820196942</v>
      </c>
      <c r="V196" s="1167">
        <f>'Corrected and Updated TSF 2'!CY196</f>
        <v>300700.44331247435</v>
      </c>
      <c r="W196" s="1167">
        <f>'Corrected and Updated TSF 2'!CZ196</f>
        <v>118985.70062278834</v>
      </c>
      <c r="X196" s="1233">
        <f>'Corrected and Updated TSF 2'!DA196</f>
        <v>85941.686342207278</v>
      </c>
      <c r="Y196" s="1233">
        <f>'Corrected and Updated TSF 2'!DB196</f>
        <v>65405.579857311553</v>
      </c>
      <c r="Z196" s="885">
        <f>H196-'Corrected and Updated TSF 2'!CH196</f>
        <v>0</v>
      </c>
      <c r="AA196" s="885">
        <f>I196-SUM('Corrected and Updated TSF 2'!CJ196:CK196)</f>
        <v>0</v>
      </c>
      <c r="AB196" s="885">
        <f>J196-'Corrected and Updated TSF 2'!CL196</f>
        <v>0</v>
      </c>
      <c r="AC196" s="886">
        <f>K196-'Corrected and Updated TSF 2'!CM196</f>
        <v>0</v>
      </c>
      <c r="AD196" s="885">
        <f>M196-'Corrected and Updated TSF 2'!CO196</f>
        <v>0</v>
      </c>
      <c r="AE196" s="887">
        <f>P196-'Corrected and Updated TSF 2'!CR196</f>
        <v>0</v>
      </c>
      <c r="AF196" s="885">
        <f>Q196-'Corrected and Updated TSF 2'!CT196</f>
        <v>0</v>
      </c>
    </row>
    <row r="197" spans="1:32" ht="12.75" hidden="1" customHeight="1">
      <c r="A197" s="876" t="str">
        <f t="shared" si="2"/>
        <v>12N</v>
      </c>
      <c r="B197" s="877" t="str">
        <f>'Corrected and Updated TSF 2'!FI197</f>
        <v>SOLD</v>
      </c>
      <c r="C197" s="1002" t="str">
        <f>'Corrected and Updated TSF 2'!E197</f>
        <v>12th Floor</v>
      </c>
      <c r="D197" s="1003" t="str">
        <f>'Corrected and Updated TSF 2'!M197</f>
        <v>Inner</v>
      </c>
      <c r="E197" s="1003" t="str">
        <f>'Corrected and Updated TSF 2'!G197</f>
        <v>12N</v>
      </c>
      <c r="F197" s="1004" t="str">
        <f>'Corrected and Updated TSF 2'!I197</f>
        <v>Studio</v>
      </c>
      <c r="G197" s="1005">
        <f>'Corrected and Updated TSF 2'!J197</f>
        <v>22</v>
      </c>
      <c r="H197" s="1005">
        <f>'Corrected and Updated TSF 2'!CH197</f>
        <v>3605831.6713049598</v>
      </c>
      <c r="I197" s="1005">
        <f>SUM('Corrected and Updated TSF 2'!CJ197:CK197)</f>
        <v>495801.8548044319</v>
      </c>
      <c r="J197" s="1005">
        <f>'Corrected and Updated TSF 2'!CL197</f>
        <v>4534333.3266659863</v>
      </c>
      <c r="K197" s="1006">
        <f>'Corrected and Updated TSF 2'!CM197</f>
        <v>0.125</v>
      </c>
      <c r="L197" s="1005">
        <f>'Corrected and Updated TSF 2'!CN197</f>
        <v>566791.66583324829</v>
      </c>
      <c r="M197" s="1005">
        <f>'Corrected and Updated TSF 2'!CO197</f>
        <v>30000</v>
      </c>
      <c r="N197" s="1005">
        <f>'Corrected and Updated TSF 2'!CP197</f>
        <v>536791.66583324829</v>
      </c>
      <c r="O197" s="1007">
        <f>'Corrected and Updated TSF 2'!CQ197</f>
        <v>16</v>
      </c>
      <c r="P197" s="1005">
        <f>'Corrected and Updated TSF 2'!CR197</f>
        <v>33549.479114578018</v>
      </c>
      <c r="Q197" s="1005">
        <f>'Corrected and Updated TSF 2'!CT197</f>
        <v>3967541.660832738</v>
      </c>
      <c r="R197" s="1005">
        <f>'Corrected and Updated TSF 2'!CU197</f>
        <v>30760.308266671636</v>
      </c>
      <c r="S197" s="1005">
        <f>'Corrected and Updated TSF 2'!CV197</f>
        <v>35661.386105412559</v>
      </c>
      <c r="T197" s="882">
        <f>'Corrected and Updated TSF 2'!CW197</f>
        <v>46066.522847582317</v>
      </c>
      <c r="U197" s="882">
        <f>'Corrected and Updated TSF 2'!CX197</f>
        <v>78562.08014325719</v>
      </c>
      <c r="V197" s="1167">
        <f>'Corrected and Updated TSF 2'!CY197</f>
        <v>322296.01999729144</v>
      </c>
      <c r="W197" s="1167">
        <f>'Corrected and Updated TSF 2'!CZ197</f>
        <v>127530.96511887669</v>
      </c>
      <c r="X197" s="1233">
        <f>'Corrected and Updated TSF 2'!DA197</f>
        <v>92113.809859487912</v>
      </c>
      <c r="Y197" s="1233">
        <f>'Corrected and Updated TSF 2'!DB197</f>
        <v>70102.85000385312</v>
      </c>
      <c r="Z197" s="885">
        <f>H197-'Corrected and Updated TSF 2'!CH197</f>
        <v>0</v>
      </c>
      <c r="AA197" s="885">
        <f>I197-SUM('Corrected and Updated TSF 2'!CJ197:CK197)</f>
        <v>0</v>
      </c>
      <c r="AB197" s="885">
        <f>J197-'Corrected and Updated TSF 2'!CL197</f>
        <v>0</v>
      </c>
      <c r="AC197" s="886">
        <f>K197-'Corrected and Updated TSF 2'!CM197</f>
        <v>0</v>
      </c>
      <c r="AD197" s="885">
        <f>M197-'Corrected and Updated TSF 2'!CO197</f>
        <v>0</v>
      </c>
      <c r="AE197" s="887">
        <f>P197-'Corrected and Updated TSF 2'!CR197</f>
        <v>0</v>
      </c>
      <c r="AF197" s="885">
        <f>Q197-'Corrected and Updated TSF 2'!CT197</f>
        <v>0</v>
      </c>
    </row>
    <row r="198" spans="1:32" ht="12.75" hidden="1" customHeight="1">
      <c r="A198" s="876" t="str">
        <f t="shared" si="2"/>
        <v>12O</v>
      </c>
      <c r="B198" s="877" t="str">
        <f>'Corrected and Updated TSF 2'!FI198</f>
        <v>SOLD</v>
      </c>
      <c r="C198" s="1002" t="str">
        <f>'Corrected and Updated TSF 2'!E198</f>
        <v>12th Floor</v>
      </c>
      <c r="D198" s="1003" t="str">
        <f>'Corrected and Updated TSF 2'!M198</f>
        <v>Inner</v>
      </c>
      <c r="E198" s="1003" t="str">
        <f>'Corrected and Updated TSF 2'!G198</f>
        <v>12O</v>
      </c>
      <c r="F198" s="1004" t="str">
        <f>'Corrected and Updated TSF 2'!I198</f>
        <v>Studio</v>
      </c>
      <c r="G198" s="1005">
        <f>'Corrected and Updated TSF 2'!J198</f>
        <v>22</v>
      </c>
      <c r="H198" s="1005">
        <f>'Corrected and Updated TSF 2'!CH198</f>
        <v>3605831.6713049598</v>
      </c>
      <c r="I198" s="1005">
        <f>SUM('Corrected and Updated TSF 2'!CJ198:CK198)</f>
        <v>495801.8548044319</v>
      </c>
      <c r="J198" s="1005">
        <f>'Corrected and Updated TSF 2'!CL198</f>
        <v>4534333.3266659863</v>
      </c>
      <c r="K198" s="1006">
        <f>'Corrected and Updated TSF 2'!CM198</f>
        <v>0.125</v>
      </c>
      <c r="L198" s="1005">
        <f>'Corrected and Updated TSF 2'!CN198</f>
        <v>566791.66583324829</v>
      </c>
      <c r="M198" s="1005">
        <f>'Corrected and Updated TSF 2'!CO198</f>
        <v>30000</v>
      </c>
      <c r="N198" s="1005">
        <f>'Corrected and Updated TSF 2'!CP198</f>
        <v>536791.66583324829</v>
      </c>
      <c r="O198" s="1007">
        <f>'Corrected and Updated TSF 2'!CQ198</f>
        <v>16</v>
      </c>
      <c r="P198" s="1005">
        <f>'Corrected and Updated TSF 2'!CR198</f>
        <v>33549.479114578018</v>
      </c>
      <c r="Q198" s="1005">
        <f>'Corrected and Updated TSF 2'!CT198</f>
        <v>3967541.660832738</v>
      </c>
      <c r="R198" s="1005">
        <f>'Corrected and Updated TSF 2'!CU198</f>
        <v>30760.308266671636</v>
      </c>
      <c r="S198" s="1005">
        <f>'Corrected and Updated TSF 2'!CV198</f>
        <v>35661.386105412559</v>
      </c>
      <c r="T198" s="882">
        <f>'Corrected and Updated TSF 2'!CW198</f>
        <v>46066.522847582317</v>
      </c>
      <c r="U198" s="882">
        <f>'Corrected and Updated TSF 2'!CX198</f>
        <v>78562.08014325719</v>
      </c>
      <c r="V198" s="1167">
        <f>'Corrected and Updated TSF 2'!CY198</f>
        <v>322296.01999729144</v>
      </c>
      <c r="W198" s="1167">
        <f>'Corrected and Updated TSF 2'!CZ198</f>
        <v>127530.96511887669</v>
      </c>
      <c r="X198" s="1233">
        <f>'Corrected and Updated TSF 2'!DA198</f>
        <v>92113.809859487912</v>
      </c>
      <c r="Y198" s="1233">
        <f>'Corrected and Updated TSF 2'!DB198</f>
        <v>70102.85000385312</v>
      </c>
      <c r="Z198" s="885">
        <f>H198-'Corrected and Updated TSF 2'!CH198</f>
        <v>0</v>
      </c>
      <c r="AA198" s="885">
        <f>I198-SUM('Corrected and Updated TSF 2'!CJ198:CK198)</f>
        <v>0</v>
      </c>
      <c r="AB198" s="885">
        <f>J198-'Corrected and Updated TSF 2'!CL198</f>
        <v>0</v>
      </c>
      <c r="AC198" s="886">
        <f>K198-'Corrected and Updated TSF 2'!CM198</f>
        <v>0</v>
      </c>
      <c r="AD198" s="885">
        <f>M198-'Corrected and Updated TSF 2'!CO198</f>
        <v>0</v>
      </c>
      <c r="AE198" s="887">
        <f>P198-'Corrected and Updated TSF 2'!CR198</f>
        <v>0</v>
      </c>
      <c r="AF198" s="885">
        <f>Q198-'Corrected and Updated TSF 2'!CT198</f>
        <v>0</v>
      </c>
    </row>
    <row r="199" spans="1:32" ht="12.75" hidden="1" customHeight="1">
      <c r="A199" s="876" t="str">
        <f t="shared" si="2"/>
        <v>12P</v>
      </c>
      <c r="B199" s="877" t="str">
        <f>'Corrected and Updated TSF 2'!FI199</f>
        <v>SOLD</v>
      </c>
      <c r="C199" s="1002" t="str">
        <f>'Corrected and Updated TSF 2'!E199</f>
        <v>12th Floor</v>
      </c>
      <c r="D199" s="1003" t="str">
        <f>'Corrected and Updated TSF 2'!M199</f>
        <v>Inner</v>
      </c>
      <c r="E199" s="1003" t="str">
        <f>'Corrected and Updated TSF 2'!G199</f>
        <v>12P</v>
      </c>
      <c r="F199" s="1004" t="str">
        <f>'Corrected and Updated TSF 2'!I199</f>
        <v>Studio</v>
      </c>
      <c r="G199" s="1005">
        <f>'Corrected and Updated TSF 2'!J199</f>
        <v>22</v>
      </c>
      <c r="H199" s="1005">
        <f>'Corrected and Updated TSF 2'!CH199</f>
        <v>3605831.6713049598</v>
      </c>
      <c r="I199" s="1005">
        <f>SUM('Corrected and Updated TSF 2'!CJ199:CK199)</f>
        <v>495801.8548044319</v>
      </c>
      <c r="J199" s="1005">
        <f>'Corrected and Updated TSF 2'!CL199</f>
        <v>4534333.3266659863</v>
      </c>
      <c r="K199" s="1006">
        <f>'Corrected and Updated TSF 2'!CM199</f>
        <v>0.125</v>
      </c>
      <c r="L199" s="1005">
        <f>'Corrected and Updated TSF 2'!CN199</f>
        <v>566791.66583324829</v>
      </c>
      <c r="M199" s="1005">
        <f>'Corrected and Updated TSF 2'!CO199</f>
        <v>30000</v>
      </c>
      <c r="N199" s="1005">
        <f>'Corrected and Updated TSF 2'!CP199</f>
        <v>536791.66583324829</v>
      </c>
      <c r="O199" s="1007">
        <f>'Corrected and Updated TSF 2'!CQ199</f>
        <v>16</v>
      </c>
      <c r="P199" s="1005">
        <f>'Corrected and Updated TSF 2'!CR199</f>
        <v>33549.479114578018</v>
      </c>
      <c r="Q199" s="1005">
        <f>'Corrected and Updated TSF 2'!CT199</f>
        <v>3967541.660832738</v>
      </c>
      <c r="R199" s="1005">
        <f>'Corrected and Updated TSF 2'!CU199</f>
        <v>30760.308266671636</v>
      </c>
      <c r="S199" s="1005">
        <f>'Corrected and Updated TSF 2'!CV199</f>
        <v>35661.386105412559</v>
      </c>
      <c r="T199" s="882">
        <f>'Corrected and Updated TSF 2'!CW199</f>
        <v>46066.522847582317</v>
      </c>
      <c r="U199" s="882">
        <f>'Corrected and Updated TSF 2'!CX199</f>
        <v>78562.08014325719</v>
      </c>
      <c r="V199" s="1167">
        <f>'Corrected and Updated TSF 2'!CY199</f>
        <v>322296.01999729144</v>
      </c>
      <c r="W199" s="1167">
        <f>'Corrected and Updated TSF 2'!CZ199</f>
        <v>127530.96511887669</v>
      </c>
      <c r="X199" s="1233">
        <f>'Corrected and Updated TSF 2'!DA199</f>
        <v>92113.809859487912</v>
      </c>
      <c r="Y199" s="1233">
        <f>'Corrected and Updated TSF 2'!DB199</f>
        <v>70102.85000385312</v>
      </c>
      <c r="Z199" s="885">
        <f>H199-'Corrected and Updated TSF 2'!CH199</f>
        <v>0</v>
      </c>
      <c r="AA199" s="885">
        <f>I199-SUM('Corrected and Updated TSF 2'!CJ199:CK199)</f>
        <v>0</v>
      </c>
      <c r="AB199" s="885">
        <f>J199-'Corrected and Updated TSF 2'!CL199</f>
        <v>0</v>
      </c>
      <c r="AC199" s="886">
        <f>K199-'Corrected and Updated TSF 2'!CM199</f>
        <v>0</v>
      </c>
      <c r="AD199" s="885">
        <f>M199-'Corrected and Updated TSF 2'!CO199</f>
        <v>0</v>
      </c>
      <c r="AE199" s="887">
        <f>P199-'Corrected and Updated TSF 2'!CR199</f>
        <v>0</v>
      </c>
      <c r="AF199" s="885">
        <f>Q199-'Corrected and Updated TSF 2'!CT199</f>
        <v>0</v>
      </c>
    </row>
    <row r="200" spans="1:32" ht="12.75" hidden="1" customHeight="1">
      <c r="A200" s="876" t="str">
        <f t="shared" ref="A200:A219" si="3">E200</f>
        <v>12Q</v>
      </c>
      <c r="B200" s="877" t="str">
        <f>'Corrected and Updated TSF 2'!FI200</f>
        <v>SOLD</v>
      </c>
      <c r="C200" s="1002" t="str">
        <f>'Corrected and Updated TSF 2'!E200</f>
        <v>12th Floor</v>
      </c>
      <c r="D200" s="1003" t="str">
        <f>'Corrected and Updated TSF 2'!M200</f>
        <v>Inner</v>
      </c>
      <c r="E200" s="1003" t="str">
        <f>'Corrected and Updated TSF 2'!G200</f>
        <v>12Q</v>
      </c>
      <c r="F200" s="1004" t="str">
        <f>'Corrected and Updated TSF 2'!I200</f>
        <v>Studio</v>
      </c>
      <c r="G200" s="1005">
        <f>'Corrected and Updated TSF 2'!J200</f>
        <v>22</v>
      </c>
      <c r="H200" s="1005">
        <f>'Corrected and Updated TSF 2'!CH200</f>
        <v>3605831.6713049598</v>
      </c>
      <c r="I200" s="1005">
        <f>SUM('Corrected and Updated TSF 2'!CJ200:CK200)</f>
        <v>495801.8548044319</v>
      </c>
      <c r="J200" s="1005">
        <f>'Corrected and Updated TSF 2'!CL200</f>
        <v>4534333.3266659863</v>
      </c>
      <c r="K200" s="1006">
        <f>'Corrected and Updated TSF 2'!CM200</f>
        <v>0.125</v>
      </c>
      <c r="L200" s="1005">
        <f>'Corrected and Updated TSF 2'!CN200</f>
        <v>566791.66583324829</v>
      </c>
      <c r="M200" s="1005">
        <f>'Corrected and Updated TSF 2'!CO200</f>
        <v>30000</v>
      </c>
      <c r="N200" s="1005">
        <f>'Corrected and Updated TSF 2'!CP200</f>
        <v>536791.66583324829</v>
      </c>
      <c r="O200" s="1007">
        <f>'Corrected and Updated TSF 2'!CQ200</f>
        <v>16</v>
      </c>
      <c r="P200" s="1005">
        <f>'Corrected and Updated TSF 2'!CR200</f>
        <v>33549.479114578018</v>
      </c>
      <c r="Q200" s="1005">
        <f>'Corrected and Updated TSF 2'!CT200</f>
        <v>3967541.660832738</v>
      </c>
      <c r="R200" s="1005">
        <f>'Corrected and Updated TSF 2'!CU200</f>
        <v>30760.308266671636</v>
      </c>
      <c r="S200" s="1005">
        <f>'Corrected and Updated TSF 2'!CV200</f>
        <v>35661.386105412559</v>
      </c>
      <c r="T200" s="882">
        <f>'Corrected and Updated TSF 2'!CW200</f>
        <v>46066.522847582317</v>
      </c>
      <c r="U200" s="882">
        <f>'Corrected and Updated TSF 2'!CX200</f>
        <v>78562.08014325719</v>
      </c>
      <c r="V200" s="1167">
        <f>'Corrected and Updated TSF 2'!CY200</f>
        <v>322296.01999729144</v>
      </c>
      <c r="W200" s="1167">
        <f>'Corrected and Updated TSF 2'!CZ200</f>
        <v>127530.96511887669</v>
      </c>
      <c r="X200" s="1233">
        <f>'Corrected and Updated TSF 2'!DA200</f>
        <v>92113.809859487912</v>
      </c>
      <c r="Y200" s="1233">
        <f>'Corrected and Updated TSF 2'!DB200</f>
        <v>70102.85000385312</v>
      </c>
      <c r="Z200" s="885">
        <f>H200-'Corrected and Updated TSF 2'!CH200</f>
        <v>0</v>
      </c>
      <c r="AA200" s="885">
        <f>I200-SUM('Corrected and Updated TSF 2'!CJ200:CK200)</f>
        <v>0</v>
      </c>
      <c r="AB200" s="885">
        <f>J200-'Corrected and Updated TSF 2'!CL200</f>
        <v>0</v>
      </c>
      <c r="AC200" s="886">
        <f>K200-'Corrected and Updated TSF 2'!CM200</f>
        <v>0</v>
      </c>
      <c r="AD200" s="885">
        <f>M200-'Corrected and Updated TSF 2'!CO200</f>
        <v>0</v>
      </c>
      <c r="AE200" s="887">
        <f>P200-'Corrected and Updated TSF 2'!CR200</f>
        <v>0</v>
      </c>
      <c r="AF200" s="885">
        <f>Q200-'Corrected and Updated TSF 2'!CT200</f>
        <v>0</v>
      </c>
    </row>
    <row r="201" spans="1:32" ht="12.75" hidden="1" customHeight="1">
      <c r="A201" s="876" t="str">
        <f t="shared" si="3"/>
        <v>12R</v>
      </c>
      <c r="B201" s="877" t="str">
        <f>'Corrected and Updated TSF 2'!FI201</f>
        <v>SOLD</v>
      </c>
      <c r="C201" s="1002" t="str">
        <f>'Corrected and Updated TSF 2'!E201</f>
        <v>12th Floor</v>
      </c>
      <c r="D201" s="1003" t="str">
        <f>'Corrected and Updated TSF 2'!M201</f>
        <v>Corner</v>
      </c>
      <c r="E201" s="1003" t="str">
        <f>'Corrected and Updated TSF 2'!G201</f>
        <v>12R</v>
      </c>
      <c r="F201" s="1004" t="str">
        <f>'Corrected and Updated TSF 2'!I201</f>
        <v>Studio</v>
      </c>
      <c r="G201" s="1005">
        <f>'Corrected and Updated TSF 2'!J201</f>
        <v>22</v>
      </c>
      <c r="H201" s="1005">
        <f>'Corrected and Updated TSF 2'!CH201</f>
        <v>3701841.6931593288</v>
      </c>
      <c r="I201" s="1005">
        <f>SUM('Corrected and Updated TSF 2'!CJ201:CK201)</f>
        <v>509003.23280940769</v>
      </c>
      <c r="J201" s="1005">
        <f>'Corrected and Updated TSF 2'!CL201</f>
        <v>4210844.9259687364</v>
      </c>
      <c r="K201" s="1006">
        <f>'Corrected and Updated TSF 2'!CM201</f>
        <v>0.125</v>
      </c>
      <c r="L201" s="1005">
        <f>'Corrected and Updated TSF 2'!CN201</f>
        <v>526355.61574609205</v>
      </c>
      <c r="M201" s="1005">
        <f>'Corrected and Updated TSF 2'!CO201</f>
        <v>30000</v>
      </c>
      <c r="N201" s="1005">
        <f>'Corrected and Updated TSF 2'!CP201</f>
        <v>496355.61574609205</v>
      </c>
      <c r="O201" s="1007">
        <f>'Corrected and Updated TSF 2'!CQ201</f>
        <v>16</v>
      </c>
      <c r="P201" s="1005">
        <f>'Corrected and Updated TSF 2'!CR201</f>
        <v>31022.225984130753</v>
      </c>
      <c r="Q201" s="1005">
        <f>'Corrected and Updated TSF 2'!CT201</f>
        <v>3684489.3102226444</v>
      </c>
      <c r="R201" s="1005">
        <f>'Corrected and Updated TSF 2'!CU201</f>
        <v>28565.806405147374</v>
      </c>
      <c r="S201" s="1005">
        <f>'Corrected and Updated TSF 2'!CV201</f>
        <v>33117.231556816711</v>
      </c>
      <c r="T201" s="882">
        <f>'Corrected and Updated TSF 2'!CW201</f>
        <v>42780.045050722838</v>
      </c>
      <c r="U201" s="882">
        <f>'Corrected and Updated TSF 2'!CX201</f>
        <v>72957.304351514089</v>
      </c>
      <c r="V201" s="1167">
        <f>'Corrected and Updated TSF 2'!CY201</f>
        <v>299302.77787129354</v>
      </c>
      <c r="W201" s="1167">
        <f>'Corrected and Updated TSF 2'!CZ201</f>
        <v>118432.65121613233</v>
      </c>
      <c r="X201" s="1233">
        <f>'Corrected and Updated TSF 2'!DA201</f>
        <v>85542.226588726015</v>
      </c>
      <c r="Y201" s="1233">
        <f>'Corrected and Updated TSF 2'!DB201</f>
        <v>65101.57259473508</v>
      </c>
      <c r="Z201" s="885">
        <f>H201-'Corrected and Updated TSF 2'!CH201</f>
        <v>0</v>
      </c>
      <c r="AA201" s="885">
        <f>I201-SUM('Corrected and Updated TSF 2'!CJ201:CK201)</f>
        <v>0</v>
      </c>
      <c r="AB201" s="885">
        <f>J201-'Corrected and Updated TSF 2'!CL201</f>
        <v>0</v>
      </c>
      <c r="AC201" s="886">
        <f>K201-'Corrected and Updated TSF 2'!CM201</f>
        <v>0</v>
      </c>
      <c r="AD201" s="885">
        <f>M201-'Corrected and Updated TSF 2'!CO201</f>
        <v>0</v>
      </c>
      <c r="AE201" s="887">
        <f>P201-'Corrected and Updated TSF 2'!CR201</f>
        <v>0</v>
      </c>
      <c r="AF201" s="885">
        <f>Q201-'Corrected and Updated TSF 2'!CT201</f>
        <v>0</v>
      </c>
    </row>
    <row r="202" spans="1:32" hidden="1">
      <c r="A202" s="876" t="str">
        <f t="shared" si="3"/>
        <v>14A</v>
      </c>
      <c r="B202" s="877" t="str">
        <f>'Corrected and Updated TSF 2'!FI202</f>
        <v>SOLD</v>
      </c>
      <c r="C202" s="878" t="str">
        <f>'Corrected and Updated TSF 2'!E202</f>
        <v>14th Floor</v>
      </c>
      <c r="D202" s="763" t="str">
        <f>'Corrected and Updated TSF 2'!M202</f>
        <v>End</v>
      </c>
      <c r="E202" s="763" t="str">
        <f>'Corrected and Updated TSF 2'!G202</f>
        <v>14A</v>
      </c>
      <c r="F202" s="747" t="str">
        <f>'Corrected and Updated TSF 2'!I202</f>
        <v>Studio</v>
      </c>
      <c r="G202" s="879">
        <f>'Corrected and Updated TSF 2'!J202</f>
        <v>22</v>
      </c>
      <c r="H202" s="879">
        <f>'Corrected and Updated TSF 2'!CH202</f>
        <v>3684140.415266478</v>
      </c>
      <c r="I202" s="879">
        <f>SUM('Corrected and Updated TSF 2'!CJ202:CK202)</f>
        <v>506569.30709914071</v>
      </c>
      <c r="J202" s="879">
        <f>'Corrected and Updated TSF 2'!CL202</f>
        <v>4190709.7223656187</v>
      </c>
      <c r="K202" s="880">
        <f>'Corrected and Updated TSF 2'!CM202</f>
        <v>0.125</v>
      </c>
      <c r="L202" s="879">
        <f>'Corrected and Updated TSF 2'!CN202</f>
        <v>523838.71529570234</v>
      </c>
      <c r="M202" s="879">
        <f>'Corrected and Updated TSF 2'!CO202</f>
        <v>30000</v>
      </c>
      <c r="N202" s="879">
        <f>'Corrected and Updated TSF 2'!CP202</f>
        <v>493838.71529570234</v>
      </c>
      <c r="O202" s="881">
        <f>'Corrected and Updated TSF 2'!CQ202</f>
        <v>17</v>
      </c>
      <c r="P202" s="879">
        <f>'Corrected and Updated TSF 2'!CR202</f>
        <v>29049.336193864845</v>
      </c>
      <c r="Q202" s="879">
        <f>'Corrected and Updated TSF 2'!CT202</f>
        <v>3666871.0070699165</v>
      </c>
      <c r="R202" s="879">
        <f>'Corrected and Updated TSF 2'!CU202</f>
        <v>28429.21188833017</v>
      </c>
      <c r="S202" s="879">
        <f>'Corrected and Updated TSF 2'!CV202</f>
        <v>32958.873267235511</v>
      </c>
      <c r="T202" s="882">
        <f>'Corrected and Updated TSF 2'!CW202</f>
        <v>42575.481612175252</v>
      </c>
      <c r="U202" s="882">
        <f>'Corrected and Updated TSF 2'!CX202</f>
        <v>72608.440832842854</v>
      </c>
      <c r="V202" s="1167">
        <f>'Corrected and Updated TSF 2'!CY202</f>
        <v>297871.58710616914</v>
      </c>
      <c r="W202" s="1167">
        <f>'Corrected and Updated TSF 2'!CZ202</f>
        <v>117866.33600210311</v>
      </c>
      <c r="X202" s="1233">
        <f>'Corrected and Updated TSF 2'!DA202</f>
        <v>85133.185130465281</v>
      </c>
      <c r="Y202" s="1233">
        <f>'Corrected and Updated TSF 2'!DB202</f>
        <v>64790.273213702523</v>
      </c>
      <c r="Z202" s="885">
        <f>H202-'Corrected and Updated TSF 2'!CH202</f>
        <v>0</v>
      </c>
      <c r="AA202" s="885">
        <f>I202-SUM('Corrected and Updated TSF 2'!CJ202:CK202)</f>
        <v>0</v>
      </c>
      <c r="AB202" s="885">
        <f>J202-'Corrected and Updated TSF 2'!CL202</f>
        <v>0</v>
      </c>
      <c r="AC202" s="886">
        <f>K202-'Corrected and Updated TSF 2'!CM202</f>
        <v>0</v>
      </c>
      <c r="AD202" s="885">
        <f>M202-'Corrected and Updated TSF 2'!CO202</f>
        <v>0</v>
      </c>
      <c r="AE202" s="887">
        <f>P202-'Corrected and Updated TSF 2'!CR202</f>
        <v>0</v>
      </c>
      <c r="AF202" s="885">
        <f>Q202-'Corrected and Updated TSF 2'!CT202</f>
        <v>0</v>
      </c>
    </row>
    <row r="203" spans="1:32" ht="12.75" hidden="1" customHeight="1">
      <c r="A203" s="876" t="str">
        <f t="shared" si="3"/>
        <v>14B</v>
      </c>
      <c r="B203" s="877" t="str">
        <f>'Corrected and Updated TSF 2'!FI203</f>
        <v>SOLD</v>
      </c>
      <c r="C203" s="1002" t="str">
        <f>'Corrected and Updated TSF 2'!E203</f>
        <v>14th Floor</v>
      </c>
      <c r="D203" s="1003" t="str">
        <f>'Corrected and Updated TSF 2'!M203</f>
        <v>Inner</v>
      </c>
      <c r="E203" s="1003" t="str">
        <f>'Corrected and Updated TSF 2'!G203</f>
        <v>14B</v>
      </c>
      <c r="F203" s="1004" t="str">
        <f>'Corrected and Updated TSF 2'!I203</f>
        <v>Studio</v>
      </c>
      <c r="G203" s="1005">
        <f>'Corrected and Updated TSF 2'!J203</f>
        <v>22</v>
      </c>
      <c r="H203" s="1005">
        <f>'Corrected and Updated TSF 2'!CH203</f>
        <v>3633064.4065247304</v>
      </c>
      <c r="I203" s="1005">
        <f>SUM('Corrected and Updated TSF 2'!CJ203:CK203)</f>
        <v>499546.35589715047</v>
      </c>
      <c r="J203" s="1005">
        <f>'Corrected and Updated TSF 2'!CL203</f>
        <v>4568578.4912048485</v>
      </c>
      <c r="K203" s="1006">
        <f>'Corrected and Updated TSF 2'!CM203</f>
        <v>0.125</v>
      </c>
      <c r="L203" s="1005">
        <f>'Corrected and Updated TSF 2'!CN203</f>
        <v>571072.31140060606</v>
      </c>
      <c r="M203" s="1005">
        <f>'Corrected and Updated TSF 2'!CO203</f>
        <v>30000</v>
      </c>
      <c r="N203" s="1005">
        <f>'Corrected and Updated TSF 2'!CP203</f>
        <v>541072.31140060606</v>
      </c>
      <c r="O203" s="1007">
        <f>'Corrected and Updated TSF 2'!CQ203</f>
        <v>17</v>
      </c>
      <c r="P203" s="1005">
        <f>'Corrected and Updated TSF 2'!CR203</f>
        <v>31827.783023565062</v>
      </c>
      <c r="Q203" s="1005">
        <f>'Corrected and Updated TSF 2'!CT203</f>
        <v>3997506.1798042422</v>
      </c>
      <c r="R203" s="1005">
        <f>'Corrected and Updated TSF 2'!CU203</f>
        <v>30992.622863321027</v>
      </c>
      <c r="S203" s="1005">
        <f>'Corrected and Updated TSF 2'!CV203</f>
        <v>35930.715673153383</v>
      </c>
      <c r="T203" s="882">
        <f>'Corrected and Updated TSF 2'!CW203</f>
        <v>46414.436320412213</v>
      </c>
      <c r="U203" s="882">
        <f>'Corrected and Updated TSF 2'!CX203</f>
        <v>79155.413532578008</v>
      </c>
      <c r="V203" s="1167">
        <f>'Corrected and Updated TSF 2'!CY203</f>
        <v>324730.13311599835</v>
      </c>
      <c r="W203" s="1167">
        <f>'Corrected and Updated TSF 2'!CZ203</f>
        <v>128494.13182270326</v>
      </c>
      <c r="X203" s="1233">
        <f>'Corrected and Updated TSF 2'!DA203</f>
        <v>92809.491528144383</v>
      </c>
      <c r="Y203" s="1233">
        <f>'Corrected and Updated TSF 2'!DB203</f>
        <v>70632.295781230569</v>
      </c>
      <c r="Z203" s="885">
        <f>H203-'Corrected and Updated TSF 2'!CH203</f>
        <v>0</v>
      </c>
      <c r="AA203" s="885">
        <f>I203-SUM('Corrected and Updated TSF 2'!CJ203:CK203)</f>
        <v>0</v>
      </c>
      <c r="AB203" s="885">
        <f>J203-'Corrected and Updated TSF 2'!CL203</f>
        <v>0</v>
      </c>
      <c r="AC203" s="886">
        <f>K203-'Corrected and Updated TSF 2'!CM203</f>
        <v>0</v>
      </c>
      <c r="AD203" s="885">
        <f>M203-'Corrected and Updated TSF 2'!CO203</f>
        <v>0</v>
      </c>
      <c r="AE203" s="887">
        <f>P203-'Corrected and Updated TSF 2'!CR203</f>
        <v>0</v>
      </c>
      <c r="AF203" s="885">
        <f>Q203-'Corrected and Updated TSF 2'!CT203</f>
        <v>0</v>
      </c>
    </row>
    <row r="204" spans="1:32" ht="12.75" hidden="1" customHeight="1">
      <c r="A204" s="876" t="str">
        <f t="shared" si="3"/>
        <v>14C</v>
      </c>
      <c r="B204" s="877" t="str">
        <f>'Corrected and Updated TSF 2'!FI204</f>
        <v>SOLD</v>
      </c>
      <c r="C204" s="1002" t="str">
        <f>'Corrected and Updated TSF 2'!E204</f>
        <v>14th Floor</v>
      </c>
      <c r="D204" s="1003" t="str">
        <f>'Corrected and Updated TSF 2'!M204</f>
        <v>End</v>
      </c>
      <c r="E204" s="1003" t="str">
        <f>'Corrected and Updated TSF 2'!G204</f>
        <v>14C</v>
      </c>
      <c r="F204" s="1004" t="str">
        <f>'Corrected and Updated TSF 2'!I204</f>
        <v>Studio</v>
      </c>
      <c r="G204" s="1005">
        <f>'Corrected and Updated TSF 2'!J204</f>
        <v>22</v>
      </c>
      <c r="H204" s="1005">
        <f>'Corrected and Updated TSF 2'!CH204</f>
        <v>3684140.415266478</v>
      </c>
      <c r="I204" s="1005">
        <f>SUM('Corrected and Updated TSF 2'!CJ204:CK204)</f>
        <v>506569.30709914071</v>
      </c>
      <c r="J204" s="1005">
        <f>'Corrected and Updated TSF 2'!CL204</f>
        <v>4190709.7223656187</v>
      </c>
      <c r="K204" s="1006">
        <f>'Corrected and Updated TSF 2'!CM204</f>
        <v>0.125</v>
      </c>
      <c r="L204" s="1005">
        <f>'Corrected and Updated TSF 2'!CN204</f>
        <v>523838.71529570234</v>
      </c>
      <c r="M204" s="1005">
        <f>'Corrected and Updated TSF 2'!CO204</f>
        <v>30000</v>
      </c>
      <c r="N204" s="1005">
        <f>'Corrected and Updated TSF 2'!CP204</f>
        <v>493838.71529570234</v>
      </c>
      <c r="O204" s="1007">
        <f>'Corrected and Updated TSF 2'!CQ204</f>
        <v>17</v>
      </c>
      <c r="P204" s="1005">
        <f>'Corrected and Updated TSF 2'!CR204</f>
        <v>29049.336193864845</v>
      </c>
      <c r="Q204" s="1005">
        <f>'Corrected and Updated TSF 2'!CT204</f>
        <v>3666871.0070699165</v>
      </c>
      <c r="R204" s="1005">
        <f>'Corrected and Updated TSF 2'!CU204</f>
        <v>28429.21188833017</v>
      </c>
      <c r="S204" s="1005">
        <f>'Corrected and Updated TSF 2'!CV204</f>
        <v>32958.873267235511</v>
      </c>
      <c r="T204" s="882">
        <f>'Corrected and Updated TSF 2'!CW204</f>
        <v>42575.481612175252</v>
      </c>
      <c r="U204" s="882">
        <f>'Corrected and Updated TSF 2'!CX204</f>
        <v>72608.440832842854</v>
      </c>
      <c r="V204" s="1167">
        <f>'Corrected and Updated TSF 2'!CY204</f>
        <v>297871.58710616914</v>
      </c>
      <c r="W204" s="1167">
        <f>'Corrected and Updated TSF 2'!CZ204</f>
        <v>117866.33600210311</v>
      </c>
      <c r="X204" s="1233">
        <f>'Corrected and Updated TSF 2'!DA204</f>
        <v>85133.185130465281</v>
      </c>
      <c r="Y204" s="1233">
        <f>'Corrected and Updated TSF 2'!DB204</f>
        <v>64790.273213702523</v>
      </c>
      <c r="Z204" s="885">
        <f>H204-'Corrected and Updated TSF 2'!CH204</f>
        <v>0</v>
      </c>
      <c r="AA204" s="885">
        <f>I204-SUM('Corrected and Updated TSF 2'!CJ204:CK204)</f>
        <v>0</v>
      </c>
      <c r="AB204" s="885">
        <f>J204-'Corrected and Updated TSF 2'!CL204</f>
        <v>0</v>
      </c>
      <c r="AC204" s="886">
        <f>K204-'Corrected and Updated TSF 2'!CM204</f>
        <v>0</v>
      </c>
      <c r="AD204" s="885">
        <f>M204-'Corrected and Updated TSF 2'!CO204</f>
        <v>0</v>
      </c>
      <c r="AE204" s="887">
        <f>P204-'Corrected and Updated TSF 2'!CR204</f>
        <v>0</v>
      </c>
      <c r="AF204" s="885">
        <f>Q204-'Corrected and Updated TSF 2'!CT204</f>
        <v>0</v>
      </c>
    </row>
    <row r="205" spans="1:32" ht="12.75" hidden="1" customHeight="1">
      <c r="A205" s="876" t="str">
        <f t="shared" si="3"/>
        <v>14D</v>
      </c>
      <c r="B205" s="877" t="str">
        <f>'Corrected and Updated TSF 2'!FI205</f>
        <v>SOLD</v>
      </c>
      <c r="C205" s="1002" t="str">
        <f>'Corrected and Updated TSF 2'!E205</f>
        <v>14th Floor</v>
      </c>
      <c r="D205" s="1003" t="str">
        <f>'Corrected and Updated TSF 2'!M205</f>
        <v>End</v>
      </c>
      <c r="E205" s="1003" t="str">
        <f>'Corrected and Updated TSF 2'!G205</f>
        <v>14D</v>
      </c>
      <c r="F205" s="1004" t="str">
        <f>'Corrected and Updated TSF 2'!I205</f>
        <v>Studio</v>
      </c>
      <c r="G205" s="1005">
        <f>'Corrected and Updated TSF 2'!J205</f>
        <v>22</v>
      </c>
      <c r="H205" s="1005">
        <f>'Corrected and Updated TSF 2'!CH205</f>
        <v>3684140.415266478</v>
      </c>
      <c r="I205" s="1005">
        <f>SUM('Corrected and Updated TSF 2'!CJ205:CK205)</f>
        <v>506569.30709914071</v>
      </c>
      <c r="J205" s="1005">
        <f>'Corrected and Updated TSF 2'!CL205</f>
        <v>4190709.7223656187</v>
      </c>
      <c r="K205" s="1006">
        <f>'Corrected and Updated TSF 2'!CM205</f>
        <v>0.125</v>
      </c>
      <c r="L205" s="1005">
        <f>'Corrected and Updated TSF 2'!CN205</f>
        <v>523838.71529570234</v>
      </c>
      <c r="M205" s="1005">
        <f>'Corrected and Updated TSF 2'!CO205</f>
        <v>30000</v>
      </c>
      <c r="N205" s="1005">
        <f>'Corrected and Updated TSF 2'!CP205</f>
        <v>493838.71529570234</v>
      </c>
      <c r="O205" s="1007">
        <f>'Corrected and Updated TSF 2'!CQ205</f>
        <v>17</v>
      </c>
      <c r="P205" s="1005">
        <f>'Corrected and Updated TSF 2'!CR205</f>
        <v>29049.336193864845</v>
      </c>
      <c r="Q205" s="1005">
        <f>'Corrected and Updated TSF 2'!CT205</f>
        <v>3666871.0070699165</v>
      </c>
      <c r="R205" s="1005">
        <f>'Corrected and Updated TSF 2'!CU205</f>
        <v>28429.21188833017</v>
      </c>
      <c r="S205" s="1005">
        <f>'Corrected and Updated TSF 2'!CV205</f>
        <v>32958.873267235511</v>
      </c>
      <c r="T205" s="882">
        <f>'Corrected and Updated TSF 2'!CW205</f>
        <v>42575.481612175252</v>
      </c>
      <c r="U205" s="882">
        <f>'Corrected and Updated TSF 2'!CX205</f>
        <v>72608.440832842854</v>
      </c>
      <c r="V205" s="1167">
        <f>'Corrected and Updated TSF 2'!CY205</f>
        <v>297871.58710616914</v>
      </c>
      <c r="W205" s="1167">
        <f>'Corrected and Updated TSF 2'!CZ205</f>
        <v>117866.33600210311</v>
      </c>
      <c r="X205" s="1233">
        <f>'Corrected and Updated TSF 2'!DA205</f>
        <v>85133.185130465281</v>
      </c>
      <c r="Y205" s="1233">
        <f>'Corrected and Updated TSF 2'!DB205</f>
        <v>64790.273213702523</v>
      </c>
      <c r="Z205" s="885">
        <f>H205-'Corrected and Updated TSF 2'!CH205</f>
        <v>0</v>
      </c>
      <c r="AA205" s="885">
        <f>I205-SUM('Corrected and Updated TSF 2'!CJ205:CK205)</f>
        <v>0</v>
      </c>
      <c r="AB205" s="885">
        <f>J205-'Corrected and Updated TSF 2'!CL205</f>
        <v>0</v>
      </c>
      <c r="AC205" s="886">
        <f>K205-'Corrected and Updated TSF 2'!CM205</f>
        <v>0</v>
      </c>
      <c r="AD205" s="885">
        <f>M205-'Corrected and Updated TSF 2'!CO205</f>
        <v>0</v>
      </c>
      <c r="AE205" s="887">
        <f>P205-'Corrected and Updated TSF 2'!CR205</f>
        <v>0</v>
      </c>
      <c r="AF205" s="885">
        <f>Q205-'Corrected and Updated TSF 2'!CT205</f>
        <v>0</v>
      </c>
    </row>
    <row r="206" spans="1:32" ht="12.75" customHeight="1">
      <c r="A206" s="876" t="str">
        <f t="shared" si="3"/>
        <v>14E</v>
      </c>
      <c r="B206" s="877" t="str">
        <f>'Corrected and Updated TSF 2'!FI206</f>
        <v>UNSOLD</v>
      </c>
      <c r="C206" s="1002" t="str">
        <f>'Corrected and Updated TSF 2'!E206</f>
        <v>14th Floor</v>
      </c>
      <c r="D206" s="1003" t="str">
        <f>'Corrected and Updated TSF 2'!M206</f>
        <v>End</v>
      </c>
      <c r="E206" s="1003" t="str">
        <f>'Corrected and Updated TSF 2'!G206</f>
        <v>14E</v>
      </c>
      <c r="F206" s="1004" t="str">
        <f>'Corrected and Updated TSF 2'!I206</f>
        <v>Studio</v>
      </c>
      <c r="G206" s="1005">
        <f>'Corrected and Updated TSF 2'!J206</f>
        <v>22</v>
      </c>
      <c r="H206" s="1005">
        <f>'Corrected and Updated TSF 2'!CH206</f>
        <v>3791735.7475845455</v>
      </c>
      <c r="I206" s="1005">
        <f>SUM('Corrected and Updated TSF 2'!CJ206:CK206)</f>
        <v>521363.66529287503</v>
      </c>
      <c r="J206" s="1005">
        <f>'Corrected and Updated TSF 2'!CL206</f>
        <v>4313099.4128774209</v>
      </c>
      <c r="K206" s="1006">
        <f>'Corrected and Updated TSF 2'!CM206</f>
        <v>0.125</v>
      </c>
      <c r="L206" s="1005">
        <f>'Corrected and Updated TSF 2'!CN206</f>
        <v>539137.42660967761</v>
      </c>
      <c r="M206" s="1005">
        <f>'Corrected and Updated TSF 2'!CO206</f>
        <v>30000</v>
      </c>
      <c r="N206" s="1005">
        <f>'Corrected and Updated TSF 2'!CP206</f>
        <v>509137.42660967761</v>
      </c>
      <c r="O206" s="1007">
        <f>'Corrected and Updated TSF 2'!CQ206</f>
        <v>17</v>
      </c>
      <c r="P206" s="1005">
        <f>'Corrected and Updated TSF 2'!CR206</f>
        <v>29949.260388804567</v>
      </c>
      <c r="Q206" s="1005">
        <f>'Corrected and Updated TSF 2'!CT206</f>
        <v>3773961.9862677432</v>
      </c>
      <c r="R206" s="1005">
        <f>'Corrected and Updated TSF 2'!CU206</f>
        <v>29259.48711019475</v>
      </c>
      <c r="S206" s="1005">
        <f>'Corrected and Updated TSF 2'!CV206</f>
        <v>33921.437263798267</v>
      </c>
      <c r="T206" s="882">
        <f>'Corrected and Updated TSF 2'!CW206</f>
        <v>43818.898685444547</v>
      </c>
      <c r="U206" s="882">
        <f>'Corrected and Updated TSF 2'!CX206</f>
        <v>74728.970573819475</v>
      </c>
      <c r="V206" s="1167">
        <f>'Corrected and Updated TSF 2'!CY206</f>
        <v>306570.92773661588</v>
      </c>
      <c r="W206" s="1167">
        <f>'Corrected and Updated TSF 2'!CZ206</f>
        <v>121308.62271264968</v>
      </c>
      <c r="X206" s="1233">
        <f>'Corrected and Updated TSF 2'!DA206</f>
        <v>87619.500067716523</v>
      </c>
      <c r="Y206" s="1233">
        <f>'Corrected and Updated TSF 2'!DB206</f>
        <v>66682.4733449786</v>
      </c>
      <c r="Z206" s="885">
        <f>H206-'Corrected and Updated TSF 2'!CH206</f>
        <v>0</v>
      </c>
      <c r="AA206" s="885">
        <f>I206-SUM('Corrected and Updated TSF 2'!CJ206:CK206)</f>
        <v>0</v>
      </c>
      <c r="AB206" s="885">
        <f>J206-'Corrected and Updated TSF 2'!CL206</f>
        <v>0</v>
      </c>
      <c r="AC206" s="886">
        <f>K206-'Corrected and Updated TSF 2'!CM206</f>
        <v>0</v>
      </c>
      <c r="AD206" s="885">
        <f>M206-'Corrected and Updated TSF 2'!CO206</f>
        <v>0</v>
      </c>
      <c r="AE206" s="887">
        <f>P206-'Corrected and Updated TSF 2'!CR206</f>
        <v>0</v>
      </c>
      <c r="AF206" s="885">
        <f>Q206-'Corrected and Updated TSF 2'!CT206</f>
        <v>0</v>
      </c>
    </row>
    <row r="207" spans="1:32" ht="12.75" customHeight="1">
      <c r="A207" s="876" t="str">
        <f t="shared" si="3"/>
        <v>14F</v>
      </c>
      <c r="B207" s="877" t="str">
        <f>'Corrected and Updated TSF 2'!FI207</f>
        <v>UNSOLD</v>
      </c>
      <c r="C207" s="1002" t="str">
        <f>'Corrected and Updated TSF 2'!E207</f>
        <v>14th Floor</v>
      </c>
      <c r="D207" s="1003" t="str">
        <f>'Corrected and Updated TSF 2'!M207</f>
        <v>End</v>
      </c>
      <c r="E207" s="1003" t="str">
        <f>'Corrected and Updated TSF 2'!G207</f>
        <v>14F</v>
      </c>
      <c r="F207" s="1004" t="str">
        <f>'Corrected and Updated TSF 2'!I207</f>
        <v>Studio</v>
      </c>
      <c r="G207" s="1005">
        <f>'Corrected and Updated TSF 2'!J207</f>
        <v>22</v>
      </c>
      <c r="H207" s="1005">
        <f>'Corrected and Updated TSF 2'!CH207</f>
        <v>3791735.7475845455</v>
      </c>
      <c r="I207" s="1005">
        <f>SUM('Corrected and Updated TSF 2'!CJ207:CK207)</f>
        <v>521363.66529287503</v>
      </c>
      <c r="J207" s="1005">
        <f>'Corrected and Updated TSF 2'!CL207</f>
        <v>4313099.4128774209</v>
      </c>
      <c r="K207" s="1006">
        <f>'Corrected and Updated TSF 2'!CM207</f>
        <v>0.125</v>
      </c>
      <c r="L207" s="1005">
        <f>'Corrected and Updated TSF 2'!CN207</f>
        <v>539137.42660967761</v>
      </c>
      <c r="M207" s="1005">
        <f>'Corrected and Updated TSF 2'!CO207</f>
        <v>30000</v>
      </c>
      <c r="N207" s="1005">
        <f>'Corrected and Updated TSF 2'!CP207</f>
        <v>509137.42660967761</v>
      </c>
      <c r="O207" s="1007">
        <f>'Corrected and Updated TSF 2'!CQ207</f>
        <v>17</v>
      </c>
      <c r="P207" s="1005">
        <f>'Corrected and Updated TSF 2'!CR207</f>
        <v>29949.260388804567</v>
      </c>
      <c r="Q207" s="1005">
        <f>'Corrected and Updated TSF 2'!CT207</f>
        <v>3773961.9862677432</v>
      </c>
      <c r="R207" s="1005">
        <f>'Corrected and Updated TSF 2'!CU207</f>
        <v>29259.48711019475</v>
      </c>
      <c r="S207" s="1005">
        <f>'Corrected and Updated TSF 2'!CV207</f>
        <v>33921.437263798267</v>
      </c>
      <c r="T207" s="882">
        <f>'Corrected and Updated TSF 2'!CW207</f>
        <v>43818.898685444547</v>
      </c>
      <c r="U207" s="882">
        <f>'Corrected and Updated TSF 2'!CX207</f>
        <v>74728.970573819475</v>
      </c>
      <c r="V207" s="1167">
        <f>'Corrected and Updated TSF 2'!CY207</f>
        <v>306570.92773661588</v>
      </c>
      <c r="W207" s="1167">
        <f>'Corrected and Updated TSF 2'!CZ207</f>
        <v>121308.62271264968</v>
      </c>
      <c r="X207" s="1233">
        <f>'Corrected and Updated TSF 2'!DA207</f>
        <v>87619.500067716523</v>
      </c>
      <c r="Y207" s="1233">
        <f>'Corrected and Updated TSF 2'!DB207</f>
        <v>66682.4733449786</v>
      </c>
      <c r="Z207" s="885">
        <f>H207-'Corrected and Updated TSF 2'!CH207</f>
        <v>0</v>
      </c>
      <c r="AA207" s="885">
        <f>I207-SUM('Corrected and Updated TSF 2'!CJ207:CK207)</f>
        <v>0</v>
      </c>
      <c r="AB207" s="885">
        <f>J207-'Corrected and Updated TSF 2'!CL207</f>
        <v>0</v>
      </c>
      <c r="AC207" s="886">
        <f>K207-'Corrected and Updated TSF 2'!CM207</f>
        <v>0</v>
      </c>
      <c r="AD207" s="885">
        <f>M207-'Corrected and Updated TSF 2'!CO207</f>
        <v>0</v>
      </c>
      <c r="AE207" s="887">
        <f>P207-'Corrected and Updated TSF 2'!CR207</f>
        <v>0</v>
      </c>
      <c r="AF207" s="885">
        <f>Q207-'Corrected and Updated TSF 2'!CT207</f>
        <v>0</v>
      </c>
    </row>
    <row r="208" spans="1:32" hidden="1">
      <c r="A208" s="876" t="str">
        <f t="shared" si="3"/>
        <v>14G</v>
      </c>
      <c r="B208" s="877" t="str">
        <f>'Corrected and Updated TSF 2'!FI208</f>
        <v>SOLD</v>
      </c>
      <c r="C208" s="1002" t="str">
        <f>'Corrected and Updated TSF 2'!E208</f>
        <v>14th Floor</v>
      </c>
      <c r="D208" s="1003" t="str">
        <f>'Corrected and Updated TSF 2'!M208</f>
        <v>Corner</v>
      </c>
      <c r="E208" s="1003" t="str">
        <f>'Corrected and Updated TSF 2'!G208</f>
        <v>14G</v>
      </c>
      <c r="F208" s="1004" t="str">
        <f>'Corrected and Updated TSF 2'!I208</f>
        <v>Studio</v>
      </c>
      <c r="G208" s="1005">
        <f>'Corrected and Updated TSF 2'!J208</f>
        <v>22</v>
      </c>
      <c r="H208" s="1005">
        <f>'Corrected and Updated TSF 2'!CH208</f>
        <v>3729074.4283790998</v>
      </c>
      <c r="I208" s="1005">
        <f>SUM('Corrected and Updated TSF 2'!CJ208:CK208)</f>
        <v>512747.7339021262</v>
      </c>
      <c r="J208" s="1005">
        <f>'Corrected and Updated TSF 2'!CL208</f>
        <v>4241822.1622812264</v>
      </c>
      <c r="K208" s="1006">
        <f>'Corrected and Updated TSF 2'!CM208</f>
        <v>0.125</v>
      </c>
      <c r="L208" s="1005">
        <f>'Corrected and Updated TSF 2'!CN208</f>
        <v>530227.7702851533</v>
      </c>
      <c r="M208" s="1005">
        <f>'Corrected and Updated TSF 2'!CO208</f>
        <v>30000</v>
      </c>
      <c r="N208" s="1005">
        <f>'Corrected and Updated TSF 2'!CP208</f>
        <v>500227.7702851533</v>
      </c>
      <c r="O208" s="1007">
        <f>'Corrected and Updated TSF 2'!CQ208</f>
        <v>17</v>
      </c>
      <c r="P208" s="1005">
        <f>'Corrected and Updated TSF 2'!CR208</f>
        <v>29425.162957950193</v>
      </c>
      <c r="Q208" s="1005">
        <f>'Corrected and Updated TSF 2'!CT208</f>
        <v>3711594.3919960731</v>
      </c>
      <c r="R208" s="1005">
        <f>'Corrected and Updated TSF 2'!CU208</f>
        <v>28775.951815635395</v>
      </c>
      <c r="S208" s="1005">
        <f>'Corrected and Updated TSF 2'!CV208</f>
        <v>33360.859694633953</v>
      </c>
      <c r="T208" s="882">
        <f>'Corrected and Updated TSF 2'!CW208</f>
        <v>43094.758033103768</v>
      </c>
      <c r="U208" s="882">
        <f>'Corrected and Updated TSF 2'!CX208</f>
        <v>73494.017457162176</v>
      </c>
      <c r="V208" s="1167">
        <f>'Corrected and Updated TSF 2'!CY208</f>
        <v>301504.60981763876</v>
      </c>
      <c r="W208" s="1167">
        <f>'Corrected and Updated TSF 2'!CZ208</f>
        <v>119303.90539156194</v>
      </c>
      <c r="X208" s="1233">
        <f>'Corrected and Updated TSF 2'!DA208</f>
        <v>86171.521139896387</v>
      </c>
      <c r="Y208" s="1233">
        <f>'Corrected and Updated TSF 2'!DB208</f>
        <v>65580.494719400565</v>
      </c>
      <c r="Z208" s="885">
        <f>H208-'Corrected and Updated TSF 2'!CH208</f>
        <v>0</v>
      </c>
      <c r="AA208" s="885">
        <f>I208-SUM('Corrected and Updated TSF 2'!CJ208:CK208)</f>
        <v>0</v>
      </c>
      <c r="AB208" s="885">
        <f>J208-'Corrected and Updated TSF 2'!CL208</f>
        <v>0</v>
      </c>
      <c r="AC208" s="886">
        <f>K208-'Corrected and Updated TSF 2'!CM208</f>
        <v>0</v>
      </c>
      <c r="AD208" s="885">
        <f>M208-'Corrected and Updated TSF 2'!CO208</f>
        <v>0</v>
      </c>
      <c r="AE208" s="887">
        <f>P208-'Corrected and Updated TSF 2'!CR208</f>
        <v>0</v>
      </c>
      <c r="AF208" s="885">
        <f>Q208-'Corrected and Updated TSF 2'!CT208</f>
        <v>0</v>
      </c>
    </row>
    <row r="209" spans="1:37" ht="12.75" hidden="1" customHeight="1">
      <c r="A209" s="876" t="str">
        <f t="shared" si="3"/>
        <v>14H</v>
      </c>
      <c r="B209" s="877" t="str">
        <f>'Corrected and Updated TSF 2'!FI209</f>
        <v>SOLD</v>
      </c>
      <c r="C209" s="1002" t="str">
        <f>'Corrected and Updated TSF 2'!E209</f>
        <v>14th Floor</v>
      </c>
      <c r="D209" s="1003" t="str">
        <f>'Corrected and Updated TSF 2'!M209</f>
        <v>Corner</v>
      </c>
      <c r="E209" s="1003" t="str">
        <f>'Corrected and Updated TSF 2'!G209</f>
        <v>14H</v>
      </c>
      <c r="F209" s="1004" t="str">
        <f>'Corrected and Updated TSF 2'!I209</f>
        <v>Studio</v>
      </c>
      <c r="G209" s="1005">
        <f>'Corrected and Updated TSF 2'!J209</f>
        <v>22</v>
      </c>
      <c r="H209" s="1005">
        <f>'Corrected and Updated TSF 2'!CH209</f>
        <v>3729074.4283790998</v>
      </c>
      <c r="I209" s="1005">
        <f>SUM('Corrected and Updated TSF 2'!CJ209:CK209)</f>
        <v>512747.7339021262</v>
      </c>
      <c r="J209" s="1005">
        <f>'Corrected and Updated TSF 2'!CL209</f>
        <v>4241822.1622812264</v>
      </c>
      <c r="K209" s="1006">
        <f>'Corrected and Updated TSF 2'!CM209</f>
        <v>0.125</v>
      </c>
      <c r="L209" s="1005">
        <f>'Corrected and Updated TSF 2'!CN209</f>
        <v>530227.7702851533</v>
      </c>
      <c r="M209" s="1005">
        <f>'Corrected and Updated TSF 2'!CO209</f>
        <v>30000</v>
      </c>
      <c r="N209" s="1005">
        <f>'Corrected and Updated TSF 2'!CP209</f>
        <v>500227.7702851533</v>
      </c>
      <c r="O209" s="1007">
        <f>'Corrected and Updated TSF 2'!CQ209</f>
        <v>17</v>
      </c>
      <c r="P209" s="1005">
        <f>'Corrected and Updated TSF 2'!CR209</f>
        <v>29425.162957950193</v>
      </c>
      <c r="Q209" s="1005">
        <f>'Corrected and Updated TSF 2'!CT209</f>
        <v>3711594.3919960731</v>
      </c>
      <c r="R209" s="1005">
        <f>'Corrected and Updated TSF 2'!CU209</f>
        <v>28775.951815635395</v>
      </c>
      <c r="S209" s="1005">
        <f>'Corrected and Updated TSF 2'!CV209</f>
        <v>33360.859694633953</v>
      </c>
      <c r="T209" s="882">
        <f>'Corrected and Updated TSF 2'!CW209</f>
        <v>43094.758033103768</v>
      </c>
      <c r="U209" s="882">
        <f>'Corrected and Updated TSF 2'!CX209</f>
        <v>73494.017457162176</v>
      </c>
      <c r="V209" s="1167">
        <f>'Corrected and Updated TSF 2'!CY209</f>
        <v>301504.60981763876</v>
      </c>
      <c r="W209" s="1167">
        <f>'Corrected and Updated TSF 2'!CZ209</f>
        <v>119303.90539156194</v>
      </c>
      <c r="X209" s="1233">
        <f>'Corrected and Updated TSF 2'!DA209</f>
        <v>86171.521139896387</v>
      </c>
      <c r="Y209" s="1233">
        <f>'Corrected and Updated TSF 2'!DB209</f>
        <v>65580.494719400565</v>
      </c>
      <c r="Z209" s="885">
        <f>H209-'Corrected and Updated TSF 2'!CH209</f>
        <v>0</v>
      </c>
      <c r="AA209" s="885">
        <f>I209-SUM('Corrected and Updated TSF 2'!CJ209:CK209)</f>
        <v>0</v>
      </c>
      <c r="AB209" s="885">
        <f>J209-'Corrected and Updated TSF 2'!CL209</f>
        <v>0</v>
      </c>
      <c r="AC209" s="886">
        <f>K209-'Corrected and Updated TSF 2'!CM209</f>
        <v>0</v>
      </c>
      <c r="AD209" s="885">
        <f>M209-'Corrected and Updated TSF 2'!CO209</f>
        <v>0</v>
      </c>
      <c r="AE209" s="887">
        <f>P209-'Corrected and Updated TSF 2'!CR209</f>
        <v>0</v>
      </c>
      <c r="AF209" s="885">
        <f>Q209-'Corrected and Updated TSF 2'!CT209</f>
        <v>0</v>
      </c>
    </row>
    <row r="210" spans="1:37" ht="12.75" customHeight="1">
      <c r="A210" s="876" t="str">
        <f t="shared" si="3"/>
        <v>14I</v>
      </c>
      <c r="B210" s="877" t="str">
        <f>'Corrected and Updated TSF 2'!FI210</f>
        <v>UNSOLD</v>
      </c>
      <c r="C210" s="1002" t="str">
        <f>'Corrected and Updated TSF 2'!E210</f>
        <v>14th Floor</v>
      </c>
      <c r="D210" s="1003" t="str">
        <f>'Corrected and Updated TSF 2'!M210</f>
        <v>Inner</v>
      </c>
      <c r="E210" s="1003" t="str">
        <f>'Corrected and Updated TSF 2'!G210</f>
        <v>14I</v>
      </c>
      <c r="F210" s="1004" t="str">
        <f>'Corrected and Updated TSF 2'!I210</f>
        <v>Studio</v>
      </c>
      <c r="G210" s="1005">
        <f>'Corrected and Updated TSF 2'!J210</f>
        <v>22</v>
      </c>
      <c r="H210" s="1005">
        <f>'Corrected and Updated TSF 2'!CH210</f>
        <v>3794150.1959912349</v>
      </c>
      <c r="I210" s="1005">
        <f>SUM('Corrected and Updated TSF 2'!CJ210:CK210)</f>
        <v>521695.65194879484</v>
      </c>
      <c r="J210" s="1005">
        <f>'Corrected and Updated TSF 2'!CL210</f>
        <v>4315845.8479400296</v>
      </c>
      <c r="K210" s="1006">
        <f>'Corrected and Updated TSF 2'!CM210</f>
        <v>0.125</v>
      </c>
      <c r="L210" s="1005">
        <f>'Corrected and Updated TSF 2'!CN210</f>
        <v>539480.7309925037</v>
      </c>
      <c r="M210" s="1005">
        <f>'Corrected and Updated TSF 2'!CO210</f>
        <v>30000</v>
      </c>
      <c r="N210" s="1005">
        <f>'Corrected and Updated TSF 2'!CP210</f>
        <v>509480.7309925037</v>
      </c>
      <c r="O210" s="1007">
        <f>'Corrected and Updated TSF 2'!CQ210</f>
        <v>17</v>
      </c>
      <c r="P210" s="1005">
        <f>'Corrected and Updated TSF 2'!CR210</f>
        <v>29969.454764264923</v>
      </c>
      <c r="Q210" s="1005">
        <f>'Corrected and Updated TSF 2'!CT210</f>
        <v>3776365.1169475261</v>
      </c>
      <c r="R210" s="1005">
        <f>'Corrected and Updated TSF 2'!CU210</f>
        <v>29278.118556776637</v>
      </c>
      <c r="S210" s="1005">
        <f>'Corrected and Updated TSF 2'!CV210</f>
        <v>33943.037281733683</v>
      </c>
      <c r="T210" s="882">
        <f>'Corrected and Updated TSF 2'!CW210</f>
        <v>43846.801070303867</v>
      </c>
      <c r="U210" s="882">
        <f>'Corrected and Updated TSF 2'!CX210</f>
        <v>74776.555441528253</v>
      </c>
      <c r="V210" s="1167">
        <f>'Corrected and Updated TSF 2'!CY210</f>
        <v>306766.14168011985</v>
      </c>
      <c r="W210" s="1167">
        <f>'Corrected and Updated TSF 2'!CZ210</f>
        <v>121385.86791915249</v>
      </c>
      <c r="X210" s="1233">
        <f>'Corrected and Updated TSF 2'!DA210</f>
        <v>87675.293186334602</v>
      </c>
      <c r="Y210" s="1233">
        <f>'Corrected and Updated TSF 2'!DB210</f>
        <v>66724.934476829483</v>
      </c>
      <c r="Z210" s="885">
        <f>H210-'Corrected and Updated TSF 2'!CH210</f>
        <v>0</v>
      </c>
      <c r="AA210" s="885">
        <f>I210-SUM('Corrected and Updated TSF 2'!CJ210:CK210)</f>
        <v>0</v>
      </c>
      <c r="AB210" s="885">
        <f>J210-'Corrected and Updated TSF 2'!CL210</f>
        <v>0</v>
      </c>
      <c r="AC210" s="886">
        <f>K210-'Corrected and Updated TSF 2'!CM210</f>
        <v>0</v>
      </c>
      <c r="AD210" s="885">
        <f>M210-'Corrected and Updated TSF 2'!CO210</f>
        <v>0</v>
      </c>
      <c r="AE210" s="887">
        <f>P210-'Corrected and Updated TSF 2'!CR210</f>
        <v>0</v>
      </c>
      <c r="AF210" s="885">
        <f>Q210-'Corrected and Updated TSF 2'!CT210</f>
        <v>0</v>
      </c>
    </row>
    <row r="211" spans="1:37" ht="12.75" hidden="1" customHeight="1">
      <c r="A211" s="876" t="str">
        <f t="shared" si="3"/>
        <v>14J</v>
      </c>
      <c r="B211" s="877" t="str">
        <f>'Corrected and Updated TSF 2'!FI211</f>
        <v>SOLD</v>
      </c>
      <c r="C211" s="878" t="str">
        <f>'Corrected and Updated TSF 2'!E211</f>
        <v>14th Floor</v>
      </c>
      <c r="D211" s="763" t="str">
        <f>'Corrected and Updated TSF 2'!M211</f>
        <v>Inner</v>
      </c>
      <c r="E211" s="763" t="str">
        <f>'Corrected and Updated TSF 2'!G211</f>
        <v>14J</v>
      </c>
      <c r="F211" s="747" t="str">
        <f>'Corrected and Updated TSF 2'!I211</f>
        <v>Studio</v>
      </c>
      <c r="G211" s="879">
        <f>'Corrected and Updated TSF 2'!J211</f>
        <v>22</v>
      </c>
      <c r="H211" s="879">
        <f>'Corrected and Updated TSF 2'!CH211</f>
        <v>3633064.4065247304</v>
      </c>
      <c r="I211" s="879">
        <f>SUM('Corrected and Updated TSF 2'!CJ211:CK211)</f>
        <v>499546.35589715047</v>
      </c>
      <c r="J211" s="879">
        <f>'Corrected and Updated TSF 2'!CL211</f>
        <v>4568578.4912048485</v>
      </c>
      <c r="K211" s="880">
        <f>'Corrected and Updated TSF 2'!CM211</f>
        <v>0.125</v>
      </c>
      <c r="L211" s="879">
        <f>'Corrected and Updated TSF 2'!CN211</f>
        <v>571072.31140060606</v>
      </c>
      <c r="M211" s="879">
        <f>'Corrected and Updated TSF 2'!CO211</f>
        <v>30000</v>
      </c>
      <c r="N211" s="879">
        <f>'Corrected and Updated TSF 2'!CP211</f>
        <v>541072.31140060606</v>
      </c>
      <c r="O211" s="881">
        <f>'Corrected and Updated TSF 2'!CQ211</f>
        <v>17</v>
      </c>
      <c r="P211" s="879">
        <f>'Corrected and Updated TSF 2'!CR211</f>
        <v>31827.783023565062</v>
      </c>
      <c r="Q211" s="879">
        <f>'Corrected and Updated TSF 2'!CT211</f>
        <v>3997506.1798042422</v>
      </c>
      <c r="R211" s="879">
        <f>'Corrected and Updated TSF 2'!CU211</f>
        <v>30992.622863321027</v>
      </c>
      <c r="S211" s="879">
        <f>'Corrected and Updated TSF 2'!CV211</f>
        <v>35930.715673153383</v>
      </c>
      <c r="T211" s="882">
        <f>'Corrected and Updated TSF 2'!CW211</f>
        <v>46414.436320412213</v>
      </c>
      <c r="U211" s="882">
        <f>'Corrected and Updated TSF 2'!CX211</f>
        <v>79155.413532578008</v>
      </c>
      <c r="V211" s="1167">
        <f>'Corrected and Updated TSF 2'!CY211</f>
        <v>324730.13311599835</v>
      </c>
      <c r="W211" s="1167">
        <f>'Corrected and Updated TSF 2'!CZ211</f>
        <v>128494.13182270326</v>
      </c>
      <c r="X211" s="1233">
        <f>'Corrected and Updated TSF 2'!DA211</f>
        <v>92809.491528144383</v>
      </c>
      <c r="Y211" s="1233">
        <f>'Corrected and Updated TSF 2'!DB211</f>
        <v>70632.295781230569</v>
      </c>
      <c r="Z211" s="885">
        <f>H211-'Corrected and Updated TSF 2'!CH211</f>
        <v>0</v>
      </c>
      <c r="AA211" s="885">
        <f>I211-SUM('Corrected and Updated TSF 2'!CJ211:CK211)</f>
        <v>0</v>
      </c>
      <c r="AB211" s="885">
        <f>J211-'Corrected and Updated TSF 2'!CL211</f>
        <v>0</v>
      </c>
      <c r="AC211" s="886">
        <f>K211-'Corrected and Updated TSF 2'!CM211</f>
        <v>0</v>
      </c>
      <c r="AD211" s="885">
        <f>M211-'Corrected and Updated TSF 2'!CO211</f>
        <v>0</v>
      </c>
      <c r="AE211" s="887">
        <f>P211-'Corrected and Updated TSF 2'!CR211</f>
        <v>0</v>
      </c>
      <c r="AF211" s="885">
        <f>Q211-'Corrected and Updated TSF 2'!CT211</f>
        <v>0</v>
      </c>
    </row>
    <row r="212" spans="1:37" ht="12.75" hidden="1" customHeight="1">
      <c r="A212" s="876" t="str">
        <f t="shared" si="3"/>
        <v>14K</v>
      </c>
      <c r="B212" s="877" t="str">
        <f>'Corrected and Updated TSF 2'!FI212</f>
        <v>SOLD</v>
      </c>
      <c r="C212" s="1002" t="str">
        <f>'Corrected and Updated TSF 2'!E212</f>
        <v>14th Floor</v>
      </c>
      <c r="D212" s="1003" t="str">
        <f>'Corrected and Updated TSF 2'!M212</f>
        <v>Inner</v>
      </c>
      <c r="E212" s="1003" t="str">
        <f>'Corrected and Updated TSF 2'!G212</f>
        <v>14K</v>
      </c>
      <c r="F212" s="1004" t="str">
        <f>'Corrected and Updated TSF 2'!I212</f>
        <v>Studio</v>
      </c>
      <c r="G212" s="1005">
        <f>'Corrected and Updated TSF 2'!J212</f>
        <v>22</v>
      </c>
      <c r="H212" s="1005">
        <f>'Corrected and Updated TSF 2'!CH212</f>
        <v>3633064.4065247304</v>
      </c>
      <c r="I212" s="1005">
        <f>SUM('Corrected and Updated TSF 2'!CJ212:CK212)</f>
        <v>499546.35589715047</v>
      </c>
      <c r="J212" s="1005">
        <f>'Corrected and Updated TSF 2'!CL212</f>
        <v>4568578.4912048485</v>
      </c>
      <c r="K212" s="1006">
        <f>'Corrected and Updated TSF 2'!CM212</f>
        <v>0.125</v>
      </c>
      <c r="L212" s="1005">
        <f>'Corrected and Updated TSF 2'!CN212</f>
        <v>571072.31140060606</v>
      </c>
      <c r="M212" s="1005">
        <f>'Corrected and Updated TSF 2'!CO212</f>
        <v>30000</v>
      </c>
      <c r="N212" s="1005">
        <f>'Corrected and Updated TSF 2'!CP212</f>
        <v>541072.31140060606</v>
      </c>
      <c r="O212" s="1007">
        <f>'Corrected and Updated TSF 2'!CQ212</f>
        <v>17</v>
      </c>
      <c r="P212" s="1005">
        <f>'Corrected and Updated TSF 2'!CR212</f>
        <v>31827.783023565062</v>
      </c>
      <c r="Q212" s="1005">
        <f>'Corrected and Updated TSF 2'!CT212</f>
        <v>3997506.1798042422</v>
      </c>
      <c r="R212" s="1005">
        <f>'Corrected and Updated TSF 2'!CU212</f>
        <v>30992.622863321027</v>
      </c>
      <c r="S212" s="1005">
        <f>'Corrected and Updated TSF 2'!CV212</f>
        <v>35930.715673153383</v>
      </c>
      <c r="T212" s="882">
        <f>'Corrected and Updated TSF 2'!CW212</f>
        <v>46414.436320412213</v>
      </c>
      <c r="U212" s="882">
        <f>'Corrected and Updated TSF 2'!CX212</f>
        <v>79155.413532578008</v>
      </c>
      <c r="V212" s="1167">
        <f>'Corrected and Updated TSF 2'!CY212</f>
        <v>324730.13311599835</v>
      </c>
      <c r="W212" s="1167">
        <f>'Corrected and Updated TSF 2'!CZ212</f>
        <v>128494.13182270326</v>
      </c>
      <c r="X212" s="1233">
        <f>'Corrected and Updated TSF 2'!DA212</f>
        <v>92809.491528144383</v>
      </c>
      <c r="Y212" s="1233">
        <f>'Corrected and Updated TSF 2'!DB212</f>
        <v>70632.295781230569</v>
      </c>
      <c r="Z212" s="885">
        <f>H212-'Corrected and Updated TSF 2'!CH212</f>
        <v>0</v>
      </c>
      <c r="AA212" s="885">
        <f>I212-SUM('Corrected and Updated TSF 2'!CJ212:CK212)</f>
        <v>0</v>
      </c>
      <c r="AB212" s="885">
        <f>J212-'Corrected and Updated TSF 2'!CL212</f>
        <v>0</v>
      </c>
      <c r="AC212" s="886">
        <f>K212-'Corrected and Updated TSF 2'!CM212</f>
        <v>0</v>
      </c>
      <c r="AD212" s="885">
        <f>M212-'Corrected and Updated TSF 2'!CO212</f>
        <v>0</v>
      </c>
      <c r="AE212" s="887">
        <f>P212-'Corrected and Updated TSF 2'!CR212</f>
        <v>0</v>
      </c>
      <c r="AF212" s="885">
        <f>Q212-'Corrected and Updated TSF 2'!CT212</f>
        <v>0</v>
      </c>
    </row>
    <row r="213" spans="1:37" ht="12.75" hidden="1" customHeight="1">
      <c r="A213" s="876" t="str">
        <f t="shared" si="3"/>
        <v>14L</v>
      </c>
      <c r="B213" s="877" t="str">
        <f>'Corrected and Updated TSF 2'!FI213</f>
        <v>SOLD</v>
      </c>
      <c r="C213" s="1002" t="str">
        <f>'Corrected and Updated TSF 2'!E213</f>
        <v>14th Floor</v>
      </c>
      <c r="D213" s="1003" t="str">
        <f>'Corrected and Updated TSF 2'!M213</f>
        <v>Inner</v>
      </c>
      <c r="E213" s="1003" t="str">
        <f>'Corrected and Updated TSF 2'!G213</f>
        <v>14L</v>
      </c>
      <c r="F213" s="1004" t="str">
        <f>'Corrected and Updated TSF 2'!I213</f>
        <v>Studio</v>
      </c>
      <c r="G213" s="1005">
        <f>'Corrected and Updated TSF 2'!J213</f>
        <v>22</v>
      </c>
      <c r="H213" s="1005">
        <f>'Corrected and Updated TSF 2'!CH213</f>
        <v>3633064.4065247304</v>
      </c>
      <c r="I213" s="1005">
        <f>SUM('Corrected and Updated TSF 2'!CJ213:CK213)</f>
        <v>499546.35589715047</v>
      </c>
      <c r="J213" s="1005">
        <f>'Corrected and Updated TSF 2'!CL213</f>
        <v>4568578.4912048485</v>
      </c>
      <c r="K213" s="1006">
        <f>'Corrected and Updated TSF 2'!CM213</f>
        <v>0.125</v>
      </c>
      <c r="L213" s="1005">
        <f>'Corrected and Updated TSF 2'!CN213</f>
        <v>571072.31140060606</v>
      </c>
      <c r="M213" s="1005">
        <f>'Corrected and Updated TSF 2'!CO213</f>
        <v>30000</v>
      </c>
      <c r="N213" s="1005">
        <f>'Corrected and Updated TSF 2'!CP213</f>
        <v>541072.31140060606</v>
      </c>
      <c r="O213" s="1007">
        <f>'Corrected and Updated TSF 2'!CQ213</f>
        <v>17</v>
      </c>
      <c r="P213" s="1005">
        <f>'Corrected and Updated TSF 2'!CR213</f>
        <v>31827.783023565062</v>
      </c>
      <c r="Q213" s="1005">
        <f>'Corrected and Updated TSF 2'!CT213</f>
        <v>3997506.1798042422</v>
      </c>
      <c r="R213" s="1005">
        <f>'Corrected and Updated TSF 2'!CU213</f>
        <v>30992.622863321027</v>
      </c>
      <c r="S213" s="1005">
        <f>'Corrected and Updated TSF 2'!CV213</f>
        <v>35930.715673153383</v>
      </c>
      <c r="T213" s="882">
        <f>'Corrected and Updated TSF 2'!CW213</f>
        <v>46414.436320412213</v>
      </c>
      <c r="U213" s="882">
        <f>'Corrected and Updated TSF 2'!CX213</f>
        <v>79155.413532578008</v>
      </c>
      <c r="V213" s="1167">
        <f>'Corrected and Updated TSF 2'!CY213</f>
        <v>324730.13311599835</v>
      </c>
      <c r="W213" s="1167">
        <f>'Corrected and Updated TSF 2'!CZ213</f>
        <v>128494.13182270326</v>
      </c>
      <c r="X213" s="1233">
        <f>'Corrected and Updated TSF 2'!DA213</f>
        <v>92809.491528144383</v>
      </c>
      <c r="Y213" s="1233">
        <f>'Corrected and Updated TSF 2'!DB213</f>
        <v>70632.295781230569</v>
      </c>
      <c r="Z213" s="885">
        <f>H213-'Corrected and Updated TSF 2'!CH213</f>
        <v>0</v>
      </c>
      <c r="AA213" s="885">
        <f>I213-SUM('Corrected and Updated TSF 2'!CJ213:CK213)</f>
        <v>0</v>
      </c>
      <c r="AB213" s="885">
        <f>J213-'Corrected and Updated TSF 2'!CL213</f>
        <v>0</v>
      </c>
      <c r="AC213" s="886">
        <f>K213-'Corrected and Updated TSF 2'!CM213</f>
        <v>0</v>
      </c>
      <c r="AD213" s="885">
        <f>M213-'Corrected and Updated TSF 2'!CO213</f>
        <v>0</v>
      </c>
      <c r="AE213" s="887">
        <f>P213-'Corrected and Updated TSF 2'!CR213</f>
        <v>0</v>
      </c>
      <c r="AF213" s="885">
        <f>Q213-'Corrected and Updated TSF 2'!CT213</f>
        <v>0</v>
      </c>
    </row>
    <row r="214" spans="1:37" hidden="1">
      <c r="A214" s="876" t="str">
        <f t="shared" si="3"/>
        <v>14M</v>
      </c>
      <c r="B214" s="877" t="str">
        <f>'Corrected and Updated TSF 2'!FI214</f>
        <v>SOLD</v>
      </c>
      <c r="C214" s="1002" t="str">
        <f>'Corrected and Updated TSF 2'!E214</f>
        <v>14th Floor</v>
      </c>
      <c r="D214" s="1003" t="str">
        <f>'Corrected and Updated TSF 2'!M214</f>
        <v>Inner</v>
      </c>
      <c r="E214" s="1003" t="str">
        <f>'Corrected and Updated TSF 2'!G214</f>
        <v>14M</v>
      </c>
      <c r="F214" s="1004" t="str">
        <f>'Corrected and Updated TSF 2'!I214</f>
        <v>Studio</v>
      </c>
      <c r="G214" s="1005">
        <f>'Corrected and Updated TSF 2'!J214</f>
        <v>22</v>
      </c>
      <c r="H214" s="1005">
        <f>'Corrected and Updated TSF 2'!CH214</f>
        <v>3633064.4065247304</v>
      </c>
      <c r="I214" s="1005">
        <f>SUM('Corrected and Updated TSF 2'!CJ214:CK214)</f>
        <v>499546.35589715047</v>
      </c>
      <c r="J214" s="1005">
        <f>'Corrected and Updated TSF 2'!CL214</f>
        <v>4568578.4912048485</v>
      </c>
      <c r="K214" s="1006">
        <f>'Corrected and Updated TSF 2'!CM214</f>
        <v>0.125</v>
      </c>
      <c r="L214" s="1005">
        <f>'Corrected and Updated TSF 2'!CN214</f>
        <v>571072.31140060606</v>
      </c>
      <c r="M214" s="1005">
        <f>'Corrected and Updated TSF 2'!CO214</f>
        <v>30000</v>
      </c>
      <c r="N214" s="1005">
        <f>'Corrected and Updated TSF 2'!CP214</f>
        <v>541072.31140060606</v>
      </c>
      <c r="O214" s="1007">
        <f>'Corrected and Updated TSF 2'!CQ214</f>
        <v>17</v>
      </c>
      <c r="P214" s="1005">
        <f>'Corrected and Updated TSF 2'!CR214</f>
        <v>31827.783023565062</v>
      </c>
      <c r="Q214" s="1005">
        <f>'Corrected and Updated TSF 2'!CT214</f>
        <v>3997506.1798042422</v>
      </c>
      <c r="R214" s="1005">
        <f>'Corrected and Updated TSF 2'!CU214</f>
        <v>30992.622863321027</v>
      </c>
      <c r="S214" s="1005">
        <f>'Corrected and Updated TSF 2'!CV214</f>
        <v>35930.715673153383</v>
      </c>
      <c r="T214" s="882">
        <f>'Corrected and Updated TSF 2'!CW214</f>
        <v>46414.436320412213</v>
      </c>
      <c r="U214" s="882">
        <f>'Corrected and Updated TSF 2'!CX214</f>
        <v>79155.413532578008</v>
      </c>
      <c r="V214" s="1167">
        <f>'Corrected and Updated TSF 2'!CY214</f>
        <v>324730.13311599835</v>
      </c>
      <c r="W214" s="1167">
        <f>'Corrected and Updated TSF 2'!CZ214</f>
        <v>128494.13182270326</v>
      </c>
      <c r="X214" s="1233">
        <f>'Corrected and Updated TSF 2'!DA214</f>
        <v>92809.491528144383</v>
      </c>
      <c r="Y214" s="1233">
        <f>'Corrected and Updated TSF 2'!DB214</f>
        <v>70632.295781230569</v>
      </c>
      <c r="Z214" s="885">
        <f>H214-'Corrected and Updated TSF 2'!CH214</f>
        <v>0</v>
      </c>
      <c r="AA214" s="885">
        <f>I214-SUM('Corrected and Updated TSF 2'!CJ214:CK214)</f>
        <v>0</v>
      </c>
      <c r="AB214" s="885">
        <f>J214-'Corrected and Updated TSF 2'!CL214</f>
        <v>0</v>
      </c>
      <c r="AC214" s="886">
        <f>K214-'Corrected and Updated TSF 2'!CM214</f>
        <v>0</v>
      </c>
      <c r="AD214" s="885">
        <f>M214-'Corrected and Updated TSF 2'!CO214</f>
        <v>0</v>
      </c>
      <c r="AE214" s="887">
        <f>P214-'Corrected and Updated TSF 2'!CR214</f>
        <v>0</v>
      </c>
      <c r="AF214" s="885">
        <f>Q214-'Corrected and Updated TSF 2'!CT214</f>
        <v>0</v>
      </c>
    </row>
    <row r="215" spans="1:37" ht="12.75" hidden="1" customHeight="1">
      <c r="A215" s="876" t="str">
        <f t="shared" si="3"/>
        <v>14N</v>
      </c>
      <c r="B215" s="877" t="str">
        <f>'Corrected and Updated TSF 2'!FI215</f>
        <v>SOLD</v>
      </c>
      <c r="C215" s="1002" t="str">
        <f>'Corrected and Updated TSF 2'!E215</f>
        <v>14th Floor</v>
      </c>
      <c r="D215" s="1003" t="str">
        <f>'Corrected and Updated TSF 2'!M215</f>
        <v>Inner</v>
      </c>
      <c r="E215" s="1003" t="str">
        <f>'Corrected and Updated TSF 2'!G215</f>
        <v>14N</v>
      </c>
      <c r="F215" s="1004" t="str">
        <f>'Corrected and Updated TSF 2'!I215</f>
        <v>Studio</v>
      </c>
      <c r="G215" s="1005">
        <f>'Corrected and Updated TSF 2'!J215</f>
        <v>22</v>
      </c>
      <c r="H215" s="1005">
        <f>'Corrected and Updated TSF 2'!CH215</f>
        <v>3633064.4065247304</v>
      </c>
      <c r="I215" s="1005">
        <f>SUM('Corrected and Updated TSF 2'!CJ215:CK215)</f>
        <v>499546.35589715047</v>
      </c>
      <c r="J215" s="1005">
        <f>'Corrected and Updated TSF 2'!CL215</f>
        <v>4568578.4912048485</v>
      </c>
      <c r="K215" s="1006">
        <f>'Corrected and Updated TSF 2'!CM215</f>
        <v>0.125</v>
      </c>
      <c r="L215" s="1005">
        <f>'Corrected and Updated TSF 2'!CN215</f>
        <v>571072.31140060606</v>
      </c>
      <c r="M215" s="1005">
        <f>'Corrected and Updated TSF 2'!CO215</f>
        <v>30000</v>
      </c>
      <c r="N215" s="1005">
        <f>'Corrected and Updated TSF 2'!CP215</f>
        <v>541072.31140060606</v>
      </c>
      <c r="O215" s="1007">
        <f>'Corrected and Updated TSF 2'!CQ215</f>
        <v>17</v>
      </c>
      <c r="P215" s="1005">
        <f>'Corrected and Updated TSF 2'!CR215</f>
        <v>31827.783023565062</v>
      </c>
      <c r="Q215" s="1005">
        <f>'Corrected and Updated TSF 2'!CT215</f>
        <v>3997506.1798042422</v>
      </c>
      <c r="R215" s="1005">
        <f>'Corrected and Updated TSF 2'!CU215</f>
        <v>30992.622863321027</v>
      </c>
      <c r="S215" s="1005">
        <f>'Corrected and Updated TSF 2'!CV215</f>
        <v>35930.715673153383</v>
      </c>
      <c r="T215" s="882">
        <f>'Corrected and Updated TSF 2'!CW215</f>
        <v>46414.436320412213</v>
      </c>
      <c r="U215" s="882">
        <f>'Corrected and Updated TSF 2'!CX215</f>
        <v>79155.413532578008</v>
      </c>
      <c r="V215" s="1167">
        <f>'Corrected and Updated TSF 2'!CY215</f>
        <v>324730.13311599835</v>
      </c>
      <c r="W215" s="1167">
        <f>'Corrected and Updated TSF 2'!CZ215</f>
        <v>128494.13182270326</v>
      </c>
      <c r="X215" s="1233">
        <f>'Corrected and Updated TSF 2'!DA215</f>
        <v>92809.491528144383</v>
      </c>
      <c r="Y215" s="1233">
        <f>'Corrected and Updated TSF 2'!DB215</f>
        <v>70632.295781230569</v>
      </c>
      <c r="Z215" s="885">
        <f>H215-'Corrected and Updated TSF 2'!CH215</f>
        <v>0</v>
      </c>
      <c r="AA215" s="885">
        <f>I215-SUM('Corrected and Updated TSF 2'!CJ215:CK215)</f>
        <v>0</v>
      </c>
      <c r="AB215" s="885">
        <f>J215-'Corrected and Updated TSF 2'!CL215</f>
        <v>0</v>
      </c>
      <c r="AC215" s="886">
        <f>K215-'Corrected and Updated TSF 2'!CM215</f>
        <v>0</v>
      </c>
      <c r="AD215" s="885">
        <f>M215-'Corrected and Updated TSF 2'!CO215</f>
        <v>0</v>
      </c>
      <c r="AE215" s="887">
        <f>P215-'Corrected and Updated TSF 2'!CR215</f>
        <v>0</v>
      </c>
      <c r="AF215" s="885">
        <f>Q215-'Corrected and Updated TSF 2'!CT215</f>
        <v>0</v>
      </c>
    </row>
    <row r="216" spans="1:37" ht="12.75" hidden="1" customHeight="1">
      <c r="A216" s="876" t="str">
        <f t="shared" si="3"/>
        <v>14O</v>
      </c>
      <c r="B216" s="877" t="str">
        <f>'Corrected and Updated TSF 2'!FI216</f>
        <v>SOLD</v>
      </c>
      <c r="C216" s="1002" t="str">
        <f>'Corrected and Updated TSF 2'!E216</f>
        <v>14th Floor</v>
      </c>
      <c r="D216" s="1003" t="str">
        <f>'Corrected and Updated TSF 2'!M216</f>
        <v>Inner</v>
      </c>
      <c r="E216" s="1003" t="str">
        <f>'Corrected and Updated TSF 2'!G216</f>
        <v>14O</v>
      </c>
      <c r="F216" s="1004" t="str">
        <f>'Corrected and Updated TSF 2'!I216</f>
        <v>Studio</v>
      </c>
      <c r="G216" s="1005">
        <f>'Corrected and Updated TSF 2'!J216</f>
        <v>22</v>
      </c>
      <c r="H216" s="1005">
        <f>'Corrected and Updated TSF 2'!CH216</f>
        <v>3633064.4065247304</v>
      </c>
      <c r="I216" s="1005">
        <f>SUM('Corrected and Updated TSF 2'!CJ216:CK216)</f>
        <v>499546.35589715047</v>
      </c>
      <c r="J216" s="1005">
        <f>'Corrected and Updated TSF 2'!CL216</f>
        <v>4568578.4912048485</v>
      </c>
      <c r="K216" s="1006">
        <f>'Corrected and Updated TSF 2'!CM216</f>
        <v>0.125</v>
      </c>
      <c r="L216" s="1005">
        <f>'Corrected and Updated TSF 2'!CN216</f>
        <v>571072.31140060606</v>
      </c>
      <c r="M216" s="1005">
        <f>'Corrected and Updated TSF 2'!CO216</f>
        <v>30000</v>
      </c>
      <c r="N216" s="1005">
        <f>'Corrected and Updated TSF 2'!CP216</f>
        <v>541072.31140060606</v>
      </c>
      <c r="O216" s="1007">
        <f>'Corrected and Updated TSF 2'!CQ216</f>
        <v>17</v>
      </c>
      <c r="P216" s="1005">
        <f>'Corrected and Updated TSF 2'!CR216</f>
        <v>31827.783023565062</v>
      </c>
      <c r="Q216" s="1005">
        <f>'Corrected and Updated TSF 2'!CT216</f>
        <v>3997506.1798042422</v>
      </c>
      <c r="R216" s="1005">
        <f>'Corrected and Updated TSF 2'!CU216</f>
        <v>30992.622863321027</v>
      </c>
      <c r="S216" s="1005">
        <f>'Corrected and Updated TSF 2'!CV216</f>
        <v>35930.715673153383</v>
      </c>
      <c r="T216" s="882">
        <f>'Corrected and Updated TSF 2'!CW216</f>
        <v>46414.436320412213</v>
      </c>
      <c r="U216" s="882">
        <f>'Corrected and Updated TSF 2'!CX216</f>
        <v>79155.413532578008</v>
      </c>
      <c r="V216" s="1167">
        <f>'Corrected and Updated TSF 2'!CY216</f>
        <v>324730.13311599835</v>
      </c>
      <c r="W216" s="1167">
        <f>'Corrected and Updated TSF 2'!CZ216</f>
        <v>128494.13182270326</v>
      </c>
      <c r="X216" s="1233">
        <f>'Corrected and Updated TSF 2'!DA216</f>
        <v>92809.491528144383</v>
      </c>
      <c r="Y216" s="1233">
        <f>'Corrected and Updated TSF 2'!DB216</f>
        <v>70632.295781230569</v>
      </c>
      <c r="Z216" s="885">
        <f>H216-'Corrected and Updated TSF 2'!CH216</f>
        <v>0</v>
      </c>
      <c r="AA216" s="885">
        <f>I216-SUM('Corrected and Updated TSF 2'!CJ216:CK216)</f>
        <v>0</v>
      </c>
      <c r="AB216" s="885">
        <f>J216-'Corrected and Updated TSF 2'!CL216</f>
        <v>0</v>
      </c>
      <c r="AC216" s="886">
        <f>K216-'Corrected and Updated TSF 2'!CM216</f>
        <v>0</v>
      </c>
      <c r="AD216" s="885">
        <f>M216-'Corrected and Updated TSF 2'!CO216</f>
        <v>0</v>
      </c>
      <c r="AE216" s="887">
        <f>P216-'Corrected and Updated TSF 2'!CR216</f>
        <v>0</v>
      </c>
      <c r="AF216" s="885">
        <f>Q216-'Corrected and Updated TSF 2'!CT216</f>
        <v>0</v>
      </c>
    </row>
    <row r="217" spans="1:37" hidden="1">
      <c r="A217" s="876" t="str">
        <f t="shared" si="3"/>
        <v>14P</v>
      </c>
      <c r="B217" s="877" t="str">
        <f>'Corrected and Updated TSF 2'!FI217</f>
        <v>SOLD</v>
      </c>
      <c r="C217" s="1002" t="str">
        <f>'Corrected and Updated TSF 2'!E217</f>
        <v>14th Floor</v>
      </c>
      <c r="D217" s="1003" t="str">
        <f>'Corrected and Updated TSF 2'!M217</f>
        <v>Inner</v>
      </c>
      <c r="E217" s="1003" t="str">
        <f>'Corrected and Updated TSF 2'!G217</f>
        <v>14P</v>
      </c>
      <c r="F217" s="1004" t="str">
        <f>'Corrected and Updated TSF 2'!I217</f>
        <v>Studio</v>
      </c>
      <c r="G217" s="1005">
        <f>'Corrected and Updated TSF 2'!J217</f>
        <v>22</v>
      </c>
      <c r="H217" s="1005">
        <f>'Corrected and Updated TSF 2'!CH217</f>
        <v>3633064.4065247304</v>
      </c>
      <c r="I217" s="1005">
        <f>SUM('Corrected and Updated TSF 2'!CJ217:CK217)</f>
        <v>499546.35589715047</v>
      </c>
      <c r="J217" s="1005">
        <f>'Corrected and Updated TSF 2'!CL217</f>
        <v>4568578.4912048485</v>
      </c>
      <c r="K217" s="1006">
        <f>'Corrected and Updated TSF 2'!CM217</f>
        <v>0.125</v>
      </c>
      <c r="L217" s="1005">
        <f>'Corrected and Updated TSF 2'!CN217</f>
        <v>571072.31140060606</v>
      </c>
      <c r="M217" s="1005">
        <f>'Corrected and Updated TSF 2'!CO217</f>
        <v>30000</v>
      </c>
      <c r="N217" s="1005">
        <f>'Corrected and Updated TSF 2'!CP217</f>
        <v>541072.31140060606</v>
      </c>
      <c r="O217" s="1007">
        <f>'Corrected and Updated TSF 2'!CQ217</f>
        <v>17</v>
      </c>
      <c r="P217" s="1005">
        <f>'Corrected and Updated TSF 2'!CR217</f>
        <v>31827.783023565062</v>
      </c>
      <c r="Q217" s="1005">
        <f>'Corrected and Updated TSF 2'!CT217</f>
        <v>3997506.1798042422</v>
      </c>
      <c r="R217" s="1005">
        <f>'Corrected and Updated TSF 2'!CU217</f>
        <v>30992.622863321027</v>
      </c>
      <c r="S217" s="1005">
        <f>'Corrected and Updated TSF 2'!CV217</f>
        <v>35930.715673153383</v>
      </c>
      <c r="T217" s="882">
        <f>'Corrected and Updated TSF 2'!CW217</f>
        <v>46414.436320412213</v>
      </c>
      <c r="U217" s="882">
        <f>'Corrected and Updated TSF 2'!CX217</f>
        <v>79155.413532578008</v>
      </c>
      <c r="V217" s="1167">
        <f>'Corrected and Updated TSF 2'!CY217</f>
        <v>324730.13311599835</v>
      </c>
      <c r="W217" s="1167">
        <f>'Corrected and Updated TSF 2'!CZ217</f>
        <v>128494.13182270326</v>
      </c>
      <c r="X217" s="1233">
        <f>'Corrected and Updated TSF 2'!DA217</f>
        <v>92809.491528144383</v>
      </c>
      <c r="Y217" s="1233">
        <f>'Corrected and Updated TSF 2'!DB217</f>
        <v>70632.295781230569</v>
      </c>
      <c r="Z217" s="885">
        <f>H217-'Corrected and Updated TSF 2'!CH217</f>
        <v>0</v>
      </c>
      <c r="AA217" s="885">
        <f>I217-SUM('Corrected and Updated TSF 2'!CJ217:CK217)</f>
        <v>0</v>
      </c>
      <c r="AB217" s="885">
        <f>J217-'Corrected and Updated TSF 2'!CL217</f>
        <v>0</v>
      </c>
      <c r="AC217" s="886">
        <f>K217-'Corrected and Updated TSF 2'!CM217</f>
        <v>0</v>
      </c>
      <c r="AD217" s="885">
        <f>M217-'Corrected and Updated TSF 2'!CO217</f>
        <v>0</v>
      </c>
      <c r="AE217" s="887">
        <f>P217-'Corrected and Updated TSF 2'!CR217</f>
        <v>0</v>
      </c>
      <c r="AF217" s="885">
        <f>Q217-'Corrected and Updated TSF 2'!CT217</f>
        <v>0</v>
      </c>
    </row>
    <row r="218" spans="1:37" ht="12.75" customHeight="1">
      <c r="A218" s="876" t="str">
        <f t="shared" si="3"/>
        <v>14Q</v>
      </c>
      <c r="B218" s="877" t="str">
        <f>'Corrected and Updated TSF 2'!FI218</f>
        <v>UNSOLD</v>
      </c>
      <c r="C218" s="1002" t="str">
        <f>'Corrected and Updated TSF 2'!E218</f>
        <v>14th Floor</v>
      </c>
      <c r="D218" s="1003" t="str">
        <f>'Corrected and Updated TSF 2'!M218</f>
        <v>Inner</v>
      </c>
      <c r="E218" s="1003" t="str">
        <f>'Corrected and Updated TSF 2'!G218</f>
        <v>14Q</v>
      </c>
      <c r="F218" s="1004" t="str">
        <f>'Corrected and Updated TSF 2'!I218</f>
        <v>Studio</v>
      </c>
      <c r="G218" s="1005">
        <f>'Corrected and Updated TSF 2'!J218</f>
        <v>22</v>
      </c>
      <c r="H218" s="1005">
        <f>'Corrected and Updated TSF 2'!CH218</f>
        <v>3696116.2285682252</v>
      </c>
      <c r="I218" s="1005">
        <f>SUM('Corrected and Updated TSF 2'!CJ218:CK218)</f>
        <v>508215.981428131</v>
      </c>
      <c r="J218" s="1005">
        <f>'Corrected and Updated TSF 2'!CL218</f>
        <v>4204332.2099963566</v>
      </c>
      <c r="K218" s="1006">
        <f>'Corrected and Updated TSF 2'!CM218</f>
        <v>0.125</v>
      </c>
      <c r="L218" s="1005">
        <f>'Corrected and Updated TSF 2'!CN218</f>
        <v>525541.52624954458</v>
      </c>
      <c r="M218" s="1005">
        <f>'Corrected and Updated TSF 2'!CO218</f>
        <v>30000</v>
      </c>
      <c r="N218" s="1005">
        <f>'Corrected and Updated TSF 2'!CP218</f>
        <v>495541.52624954458</v>
      </c>
      <c r="O218" s="1007">
        <f>'Corrected and Updated TSF 2'!CQ218</f>
        <v>17</v>
      </c>
      <c r="P218" s="1005">
        <f>'Corrected and Updated TSF 2'!CR218</f>
        <v>29149.501544090857</v>
      </c>
      <c r="Q218" s="1005">
        <f>'Corrected and Updated TSF 2'!CT218</f>
        <v>3678790.6837468119</v>
      </c>
      <c r="R218" s="1005">
        <f>'Corrected and Updated TSF 2'!CU218</f>
        <v>28521.625014735353</v>
      </c>
      <c r="S218" s="1005">
        <f>'Corrected and Updated TSF 2'!CV218</f>
        <v>33066.010691001648</v>
      </c>
      <c r="T218" s="882">
        <f>'Corrected and Updated TSF 2'!CW218</f>
        <v>42713.879165348451</v>
      </c>
      <c r="U218" s="882">
        <f>'Corrected and Updated TSF 2'!CX218</f>
        <v>72844.464717258845</v>
      </c>
      <c r="V218" s="1167">
        <f>'Corrected and Updated TSF 2'!CY218</f>
        <v>298839.86032949598</v>
      </c>
      <c r="W218" s="1167">
        <f>'Corrected and Updated TSF 2'!CZ218</f>
        <v>118249.47699984387</v>
      </c>
      <c r="X218" s="1233">
        <f>'Corrected and Updated TSF 2'!DA218</f>
        <v>85409.922446632932</v>
      </c>
      <c r="Y218" s="1233">
        <f>'Corrected and Updated TSF 2'!DB218</f>
        <v>65000.883051634126</v>
      </c>
      <c r="Z218" s="885">
        <f>H218-'Corrected and Updated TSF 2'!CH218</f>
        <v>0</v>
      </c>
      <c r="AA218" s="885">
        <f>I218-SUM('Corrected and Updated TSF 2'!CJ218:CK218)</f>
        <v>0</v>
      </c>
      <c r="AB218" s="885">
        <f>J218-'Corrected and Updated TSF 2'!CL218</f>
        <v>0</v>
      </c>
      <c r="AC218" s="886">
        <f>K218-'Corrected and Updated TSF 2'!CM218</f>
        <v>0</v>
      </c>
      <c r="AD218" s="885">
        <f>M218-'Corrected and Updated TSF 2'!CO218</f>
        <v>0</v>
      </c>
      <c r="AE218" s="887">
        <f>P218-'Corrected and Updated TSF 2'!CR218</f>
        <v>0</v>
      </c>
      <c r="AF218" s="885">
        <f>Q218-'Corrected and Updated TSF 2'!CT218</f>
        <v>0</v>
      </c>
    </row>
    <row r="219" spans="1:37" ht="12.75" hidden="1" customHeight="1">
      <c r="A219" s="876" t="str">
        <f t="shared" si="3"/>
        <v>14R</v>
      </c>
      <c r="B219" s="877" t="str">
        <f>'Corrected and Updated TSF 2'!FI219</f>
        <v>SOLD</v>
      </c>
      <c r="C219" s="1002" t="str">
        <f>'Corrected and Updated TSF 2'!E219</f>
        <v>14th Floor</v>
      </c>
      <c r="D219" s="1003" t="str">
        <f>'Corrected and Updated TSF 2'!M219</f>
        <v>Corner</v>
      </c>
      <c r="E219" s="1003" t="str">
        <f>'Corrected and Updated TSF 2'!G219</f>
        <v>14R</v>
      </c>
      <c r="F219" s="1004" t="str">
        <f>'Corrected and Updated TSF 2'!I219</f>
        <v>Studio</v>
      </c>
      <c r="G219" s="1005">
        <f>'Corrected and Updated TSF 2'!J219</f>
        <v>22</v>
      </c>
      <c r="H219" s="1005">
        <f>'Corrected and Updated TSF 2'!CH219</f>
        <v>3729074.4283790998</v>
      </c>
      <c r="I219" s="1005">
        <f>SUM('Corrected and Updated TSF 2'!CJ219:CK219)</f>
        <v>512747.7339021262</v>
      </c>
      <c r="J219" s="1005">
        <f>'Corrected and Updated TSF 2'!CL219</f>
        <v>4241822.1622812264</v>
      </c>
      <c r="K219" s="1006">
        <f>'Corrected and Updated TSF 2'!CM219</f>
        <v>0.125</v>
      </c>
      <c r="L219" s="1005">
        <f>'Corrected and Updated TSF 2'!CN219</f>
        <v>530227.7702851533</v>
      </c>
      <c r="M219" s="1005">
        <f>'Corrected and Updated TSF 2'!CO219</f>
        <v>30000</v>
      </c>
      <c r="N219" s="1005">
        <f>'Corrected and Updated TSF 2'!CP219</f>
        <v>500227.7702851533</v>
      </c>
      <c r="O219" s="1007">
        <f>'Corrected and Updated TSF 2'!CQ219</f>
        <v>17</v>
      </c>
      <c r="P219" s="1005">
        <f>'Corrected and Updated TSF 2'!CR219</f>
        <v>29425.162957950193</v>
      </c>
      <c r="Q219" s="1005">
        <f>'Corrected and Updated TSF 2'!CT219</f>
        <v>3711594.3919960731</v>
      </c>
      <c r="R219" s="1005">
        <f>'Corrected and Updated TSF 2'!CU219</f>
        <v>28775.951815635395</v>
      </c>
      <c r="S219" s="1005">
        <f>'Corrected and Updated TSF 2'!CV219</f>
        <v>33360.859694633953</v>
      </c>
      <c r="T219" s="882">
        <f>'Corrected and Updated TSF 2'!CW219</f>
        <v>43094.758033103768</v>
      </c>
      <c r="U219" s="882">
        <f>'Corrected and Updated TSF 2'!CX219</f>
        <v>73494.017457162176</v>
      </c>
      <c r="V219" s="1167">
        <f>'Corrected and Updated TSF 2'!CY219</f>
        <v>301504.60981763876</v>
      </c>
      <c r="W219" s="1167">
        <f>'Corrected and Updated TSF 2'!CZ219</f>
        <v>119303.90539156194</v>
      </c>
      <c r="X219" s="1233">
        <f>'Corrected and Updated TSF 2'!DA219</f>
        <v>86171.521139896387</v>
      </c>
      <c r="Y219" s="1233">
        <f>'Corrected and Updated TSF 2'!DB219</f>
        <v>65580.494719400565</v>
      </c>
      <c r="Z219" s="885">
        <f>H219-'Corrected and Updated TSF 2'!CH219</f>
        <v>0</v>
      </c>
      <c r="AA219" s="885">
        <f>I219-SUM('Corrected and Updated TSF 2'!CJ219:CK219)</f>
        <v>0</v>
      </c>
      <c r="AB219" s="885">
        <f>J219-'Corrected and Updated TSF 2'!CL219</f>
        <v>0</v>
      </c>
      <c r="AC219" s="886">
        <f>K219-'Corrected and Updated TSF 2'!CM219</f>
        <v>0</v>
      </c>
      <c r="AD219" s="885">
        <f>M219-'Corrected and Updated TSF 2'!CO219</f>
        <v>0</v>
      </c>
      <c r="AE219" s="887">
        <f>P219-'Corrected and Updated TSF 2'!CR219</f>
        <v>0</v>
      </c>
      <c r="AF219" s="885">
        <f>Q219-'Corrected and Updated TSF 2'!CT219</f>
        <v>0</v>
      </c>
    </row>
    <row r="220" spans="1:37" ht="12.75" customHeight="1">
      <c r="A220" s="868"/>
      <c r="B220" s="868"/>
      <c r="F220" s="866"/>
    </row>
    <row r="221" spans="1:37">
      <c r="A221" s="868"/>
      <c r="B221" s="868"/>
      <c r="F221" s="866"/>
    </row>
    <row r="222" spans="1:37" ht="12.75" customHeight="1">
      <c r="A222" s="868"/>
      <c r="B222" s="868"/>
      <c r="F222" s="866"/>
    </row>
    <row r="223" spans="1:37" s="822" customFormat="1" ht="12.75" customHeight="1">
      <c r="A223" s="821"/>
      <c r="B223" s="821"/>
      <c r="C223" s="821"/>
      <c r="K223" s="864"/>
      <c r="O223" s="821"/>
      <c r="AI223" s="869"/>
      <c r="AJ223" s="869"/>
      <c r="AK223" s="869"/>
    </row>
    <row r="224" spans="1:37" s="869" customFormat="1">
      <c r="A224" s="874">
        <v>1</v>
      </c>
      <c r="B224" s="874">
        <f>A224+1</f>
        <v>2</v>
      </c>
      <c r="C224" s="874">
        <f t="shared" ref="C224:U224" si="4">B224+1</f>
        <v>3</v>
      </c>
      <c r="D224" s="874">
        <f t="shared" si="4"/>
        <v>4</v>
      </c>
      <c r="E224" s="874">
        <f t="shared" si="4"/>
        <v>5</v>
      </c>
      <c r="F224" s="874">
        <f t="shared" si="4"/>
        <v>6</v>
      </c>
      <c r="G224" s="874">
        <f t="shared" si="4"/>
        <v>7</v>
      </c>
      <c r="H224" s="874">
        <f t="shared" si="4"/>
        <v>8</v>
      </c>
      <c r="I224" s="874">
        <f t="shared" si="4"/>
        <v>9</v>
      </c>
      <c r="J224" s="874">
        <f t="shared" si="4"/>
        <v>10</v>
      </c>
      <c r="K224" s="874">
        <f t="shared" si="4"/>
        <v>11</v>
      </c>
      <c r="L224" s="874">
        <f t="shared" si="4"/>
        <v>12</v>
      </c>
      <c r="M224" s="874">
        <f t="shared" si="4"/>
        <v>13</v>
      </c>
      <c r="N224" s="874">
        <f t="shared" si="4"/>
        <v>14</v>
      </c>
      <c r="O224" s="874">
        <f t="shared" si="4"/>
        <v>15</v>
      </c>
      <c r="P224" s="874">
        <f t="shared" si="4"/>
        <v>16</v>
      </c>
      <c r="Q224" s="874">
        <f t="shared" si="4"/>
        <v>17</v>
      </c>
      <c r="R224" s="874">
        <f t="shared" si="4"/>
        <v>18</v>
      </c>
      <c r="S224" s="874">
        <f t="shared" si="4"/>
        <v>19</v>
      </c>
      <c r="T224" s="874">
        <f t="shared" si="4"/>
        <v>20</v>
      </c>
      <c r="U224" s="874">
        <f t="shared" si="4"/>
        <v>21</v>
      </c>
    </row>
    <row r="225" spans="1:37" s="822" customFormat="1" ht="12.75" customHeight="1">
      <c r="A225" s="821"/>
      <c r="B225" s="821"/>
      <c r="C225" s="821"/>
      <c r="K225" s="864"/>
      <c r="O225" s="821"/>
      <c r="AI225" s="869"/>
      <c r="AJ225" s="869"/>
      <c r="AK225" s="869"/>
    </row>
    <row r="226" spans="1:37" s="822" customFormat="1" ht="12.75" customHeight="1">
      <c r="A226" s="821"/>
      <c r="B226" s="821"/>
      <c r="C226" s="821"/>
      <c r="K226" s="864"/>
      <c r="O226" s="821"/>
      <c r="AI226" s="869"/>
      <c r="AJ226" s="869"/>
      <c r="AK226" s="869"/>
    </row>
    <row r="227" spans="1:37" s="822" customFormat="1" ht="12.75" customHeight="1">
      <c r="A227" s="821"/>
      <c r="B227" s="821"/>
      <c r="C227" s="821"/>
      <c r="K227" s="864"/>
      <c r="O227" s="821"/>
      <c r="AI227" s="869"/>
      <c r="AJ227" s="869"/>
      <c r="AK227" s="869"/>
    </row>
    <row r="228" spans="1:37" s="822" customFormat="1" ht="12.75" customHeight="1">
      <c r="A228" s="821"/>
      <c r="B228" s="821"/>
      <c r="C228" s="821"/>
      <c r="K228" s="864"/>
      <c r="O228" s="821"/>
      <c r="AI228" s="869"/>
      <c r="AJ228" s="869"/>
      <c r="AK228" s="869"/>
    </row>
    <row r="229" spans="1:37" s="822" customFormat="1" ht="12.75" customHeight="1">
      <c r="A229" s="821"/>
      <c r="B229" s="821"/>
      <c r="C229" s="821"/>
      <c r="K229" s="864"/>
      <c r="O229" s="821"/>
      <c r="AI229" s="869"/>
      <c r="AJ229" s="869"/>
      <c r="AK229" s="869"/>
    </row>
    <row r="230" spans="1:37">
      <c r="A230" s="868"/>
      <c r="B230" s="868"/>
      <c r="F230" s="866"/>
    </row>
    <row r="231" spans="1:37" ht="12.75" customHeight="1">
      <c r="A231" s="868"/>
      <c r="B231" s="868"/>
      <c r="F231" s="866"/>
    </row>
    <row r="232" spans="1:37" ht="12.75" customHeight="1">
      <c r="A232" s="868"/>
      <c r="B232" s="868"/>
      <c r="F232" s="866"/>
    </row>
    <row r="233" spans="1:37">
      <c r="A233" s="868"/>
      <c r="B233" s="868"/>
      <c r="F233" s="866"/>
    </row>
    <row r="234" spans="1:37" ht="12.75" customHeight="1">
      <c r="A234" s="868"/>
      <c r="B234" s="868"/>
      <c r="F234" s="866"/>
    </row>
    <row r="235" spans="1:37" ht="12.75" customHeight="1">
      <c r="A235" s="868"/>
      <c r="B235" s="868"/>
      <c r="F235" s="866"/>
    </row>
    <row r="236" spans="1:37" ht="12.75" customHeight="1">
      <c r="A236" s="868"/>
      <c r="B236" s="868"/>
      <c r="F236" s="866"/>
    </row>
    <row r="237" spans="1:37">
      <c r="A237" s="868"/>
      <c r="B237" s="868"/>
      <c r="F237" s="866"/>
    </row>
    <row r="238" spans="1:37" ht="12.75" customHeight="1">
      <c r="A238" s="868"/>
      <c r="B238" s="868"/>
      <c r="F238" s="866"/>
    </row>
    <row r="239" spans="1:37">
      <c r="A239" s="868"/>
      <c r="B239" s="868"/>
      <c r="F239" s="866"/>
    </row>
    <row r="240" spans="1:37" ht="12.75" customHeight="1">
      <c r="A240" s="868"/>
      <c r="B240" s="868"/>
      <c r="F240" s="866"/>
    </row>
    <row r="241" spans="1:6" ht="12.75" customHeight="1">
      <c r="A241" s="868"/>
      <c r="B241" s="868"/>
      <c r="F241" s="866"/>
    </row>
    <row r="242" spans="1:6" ht="12.75" customHeight="1">
      <c r="A242" s="868"/>
      <c r="B242" s="868"/>
      <c r="F242" s="866"/>
    </row>
    <row r="243" spans="1:6" ht="12.75" customHeight="1">
      <c r="A243" s="868"/>
      <c r="B243" s="868"/>
      <c r="F243" s="866"/>
    </row>
    <row r="244" spans="1:6" ht="12.75" customHeight="1">
      <c r="A244" s="868"/>
      <c r="B244" s="868"/>
      <c r="F244" s="866"/>
    </row>
    <row r="245" spans="1:6" ht="12.75" customHeight="1">
      <c r="A245" s="868"/>
      <c r="B245" s="868"/>
      <c r="F245" s="866"/>
    </row>
    <row r="246" spans="1:6" ht="12.75" customHeight="1">
      <c r="A246" s="868"/>
      <c r="B246" s="868"/>
      <c r="F246" s="866"/>
    </row>
    <row r="247" spans="1:6" ht="12.75" customHeight="1">
      <c r="A247" s="868"/>
      <c r="B247" s="868"/>
      <c r="F247" s="866"/>
    </row>
    <row r="248" spans="1:6" ht="12.75" customHeight="1">
      <c r="A248" s="868"/>
      <c r="B248" s="868"/>
      <c r="F248" s="866"/>
    </row>
    <row r="249" spans="1:6" ht="12.75" customHeight="1">
      <c r="A249" s="868"/>
      <c r="B249" s="868"/>
      <c r="F249" s="866"/>
    </row>
    <row r="250" spans="1:6" ht="12.75" customHeight="1">
      <c r="A250" s="868"/>
      <c r="B250" s="868"/>
      <c r="F250" s="866"/>
    </row>
    <row r="251" spans="1:6">
      <c r="A251" s="868"/>
      <c r="B251" s="868"/>
      <c r="F251" s="866"/>
    </row>
    <row r="252" spans="1:6" ht="12.75" customHeight="1">
      <c r="A252" s="868"/>
      <c r="B252" s="868"/>
      <c r="F252" s="866"/>
    </row>
    <row r="253" spans="1:6" ht="12.75" customHeight="1">
      <c r="A253" s="868"/>
      <c r="B253" s="868"/>
      <c r="F253" s="866"/>
    </row>
    <row r="254" spans="1:6" ht="12.75" customHeight="1">
      <c r="A254" s="868"/>
      <c r="B254" s="868"/>
      <c r="F254" s="866"/>
    </row>
    <row r="255" spans="1:6" ht="12.75" customHeight="1">
      <c r="A255" s="868"/>
      <c r="B255" s="868"/>
      <c r="F255" s="866"/>
    </row>
    <row r="256" spans="1:6" ht="12.75" customHeight="1">
      <c r="A256" s="868"/>
      <c r="B256" s="868"/>
      <c r="F256" s="866"/>
    </row>
    <row r="257" spans="1:6" ht="12.75" customHeight="1">
      <c r="A257" s="868"/>
      <c r="B257" s="868"/>
      <c r="F257" s="866"/>
    </row>
    <row r="258" spans="1:6" ht="12.75" customHeight="1">
      <c r="A258" s="868"/>
      <c r="B258" s="868"/>
      <c r="F258" s="866"/>
    </row>
    <row r="259" spans="1:6" ht="12.75" customHeight="1">
      <c r="A259" s="868"/>
      <c r="B259" s="868"/>
      <c r="F259" s="866"/>
    </row>
    <row r="260" spans="1:6" ht="12.75" customHeight="1">
      <c r="A260" s="868"/>
      <c r="B260" s="868"/>
      <c r="F260" s="866"/>
    </row>
    <row r="261" spans="1:6" ht="12.75" customHeight="1">
      <c r="A261" s="868"/>
      <c r="B261" s="868"/>
      <c r="F261" s="866"/>
    </row>
    <row r="262" spans="1:6" ht="12.75" customHeight="1">
      <c r="A262" s="868"/>
      <c r="B262" s="868"/>
      <c r="F262" s="866"/>
    </row>
    <row r="263" spans="1:6" ht="12.75" customHeight="1">
      <c r="A263" s="868"/>
      <c r="B263" s="868"/>
      <c r="F263" s="866"/>
    </row>
    <row r="264" spans="1:6">
      <c r="A264" s="868"/>
      <c r="B264" s="868"/>
      <c r="F264" s="866"/>
    </row>
    <row r="265" spans="1:6" ht="12.75" customHeight="1">
      <c r="A265" s="868"/>
      <c r="B265" s="868"/>
      <c r="F265" s="866"/>
    </row>
    <row r="266" spans="1:6">
      <c r="A266" s="868"/>
      <c r="B266" s="868"/>
      <c r="F266" s="866"/>
    </row>
    <row r="267" spans="1:6">
      <c r="A267" s="868"/>
      <c r="B267" s="868"/>
      <c r="F267" s="866"/>
    </row>
    <row r="268" spans="1:6" ht="12.75" customHeight="1">
      <c r="A268" s="868"/>
      <c r="B268" s="868"/>
      <c r="F268" s="866"/>
    </row>
    <row r="269" spans="1:6" ht="12.75" customHeight="1">
      <c r="A269" s="868"/>
      <c r="B269" s="868"/>
      <c r="F269" s="866"/>
    </row>
    <row r="270" spans="1:6" ht="12.75" customHeight="1">
      <c r="A270" s="868"/>
      <c r="B270" s="868"/>
      <c r="F270" s="866"/>
    </row>
    <row r="271" spans="1:6" ht="12.75" customHeight="1">
      <c r="A271" s="868"/>
      <c r="B271" s="868"/>
      <c r="F271" s="866"/>
    </row>
    <row r="272" spans="1:6" ht="12.75" customHeight="1">
      <c r="A272" s="868"/>
      <c r="B272" s="868"/>
      <c r="F272" s="866"/>
    </row>
    <row r="273" spans="1:6" ht="12.75" customHeight="1">
      <c r="A273" s="868"/>
      <c r="B273" s="868"/>
      <c r="F273" s="866"/>
    </row>
    <row r="274" spans="1:6" ht="12.75" customHeight="1">
      <c r="A274" s="868"/>
      <c r="B274" s="868"/>
      <c r="F274" s="866"/>
    </row>
    <row r="275" spans="1:6">
      <c r="A275" s="868"/>
      <c r="B275" s="868"/>
      <c r="F275" s="866"/>
    </row>
    <row r="276" spans="1:6" ht="12.75" customHeight="1">
      <c r="A276" s="868"/>
      <c r="B276" s="868"/>
      <c r="F276" s="866"/>
    </row>
    <row r="277" spans="1:6" ht="12.75" customHeight="1">
      <c r="A277" s="868"/>
      <c r="B277" s="868"/>
      <c r="F277" s="866"/>
    </row>
    <row r="278" spans="1:6" ht="12.75" customHeight="1">
      <c r="A278" s="868"/>
      <c r="B278" s="868"/>
      <c r="F278" s="866"/>
    </row>
    <row r="279" spans="1:6" ht="12.75" customHeight="1">
      <c r="A279" s="868"/>
      <c r="B279" s="868"/>
      <c r="F279" s="866"/>
    </row>
    <row r="280" spans="1:6" ht="12.75" customHeight="1">
      <c r="A280" s="868"/>
      <c r="B280" s="868"/>
      <c r="F280" s="866"/>
    </row>
    <row r="281" spans="1:6" ht="12.75" customHeight="1">
      <c r="A281" s="868"/>
      <c r="B281" s="868"/>
      <c r="F281" s="866"/>
    </row>
    <row r="282" spans="1:6" ht="12.75" customHeight="1">
      <c r="A282" s="868"/>
      <c r="B282" s="868"/>
      <c r="F282" s="866"/>
    </row>
    <row r="283" spans="1:6" ht="12.75" customHeight="1">
      <c r="A283" s="868"/>
      <c r="B283" s="868"/>
      <c r="F283" s="866"/>
    </row>
    <row r="284" spans="1:6" ht="12.75" customHeight="1">
      <c r="A284" s="868"/>
      <c r="B284" s="868"/>
      <c r="F284" s="866"/>
    </row>
    <row r="285" spans="1:6" ht="12.75" customHeight="1">
      <c r="A285" s="868"/>
      <c r="B285" s="868"/>
      <c r="F285" s="866"/>
    </row>
    <row r="286" spans="1:6" ht="12.75" customHeight="1">
      <c r="A286" s="868"/>
      <c r="B286" s="868"/>
      <c r="F286" s="866"/>
    </row>
    <row r="287" spans="1:6" ht="12.75" customHeight="1">
      <c r="A287" s="868"/>
      <c r="B287" s="868"/>
      <c r="F287" s="866"/>
    </row>
    <row r="288" spans="1:6" ht="12.75" customHeight="1">
      <c r="A288" s="868"/>
      <c r="B288" s="868"/>
      <c r="F288" s="866"/>
    </row>
    <row r="289" spans="1:6" ht="12.75" customHeight="1">
      <c r="A289" s="868"/>
      <c r="B289" s="868"/>
      <c r="F289" s="866"/>
    </row>
    <row r="290" spans="1:6" ht="12.75" customHeight="1">
      <c r="A290" s="868"/>
      <c r="B290" s="868"/>
      <c r="F290" s="866"/>
    </row>
    <row r="291" spans="1:6">
      <c r="A291" s="868"/>
      <c r="B291" s="868"/>
      <c r="F291" s="866"/>
    </row>
    <row r="292" spans="1:6" ht="12.75" customHeight="1">
      <c r="A292" s="868"/>
      <c r="B292" s="868"/>
      <c r="F292" s="866"/>
    </row>
    <row r="294" spans="1:6" ht="12.75" customHeight="1"/>
    <row r="295" spans="1:6" ht="12.75" customHeight="1"/>
    <row r="297" spans="1:6" ht="12.75" customHeight="1"/>
    <row r="299" spans="1:6" ht="12.75" customHeight="1"/>
    <row r="300" spans="1:6" ht="12.75" customHeight="1"/>
    <row r="301" spans="1:6" ht="12.75" customHeight="1"/>
    <row r="303" spans="1:6" ht="12.75" customHeight="1"/>
    <row r="304" spans="1:6" ht="12.75" customHeight="1"/>
  </sheetData>
  <sheetProtection password="CC2E" sheet="1" objects="1" scenarios="1"/>
  <autoFilter ref="A6:AS219" xr:uid="{62F081F8-2FA9-472F-B2BF-A71047CE3F90}">
    <filterColumn colId="1">
      <filters>
        <filter val="UNSOLD"/>
      </filters>
    </filterColumn>
  </autoFilter>
  <mergeCells count="2">
    <mergeCell ref="A5:B5"/>
    <mergeCell ref="V5:Y5"/>
  </mergeCells>
  <pageMargins left="0.35433070866141736" right="0.15748031496062992" top="0.74803149606299213" bottom="0.74803149606299213" header="0.31496062992125984" footer="0.31496062992125984"/>
  <pageSetup paperSize="5" scale="57" fitToHeight="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A1:AH62"/>
  <sheetViews>
    <sheetView showGridLines="0" showZeros="0" topLeftCell="D34" zoomScale="60" zoomScaleNormal="60" workbookViewId="0">
      <selection activeCell="K40" sqref="K40:O40"/>
    </sheetView>
  </sheetViews>
  <sheetFormatPr defaultColWidth="8.140625" defaultRowHeight="0" customHeight="1" zeroHeight="1"/>
  <cols>
    <col min="1" max="3" width="0" style="6" hidden="1" customWidth="1"/>
    <col min="4" max="6" width="8.140625" style="6"/>
    <col min="7" max="7" width="15.140625" style="6" customWidth="1"/>
    <col min="8" max="8" width="8.140625" style="6"/>
    <col min="9" max="12" width="13.42578125" style="6" customWidth="1"/>
    <col min="13" max="13" width="5.140625" style="6" customWidth="1"/>
    <col min="14" max="14" width="5.42578125" style="6" customWidth="1"/>
    <col min="15" max="18" width="8.140625" style="6"/>
    <col min="19" max="19" width="17.42578125" style="6" customWidth="1"/>
    <col min="20" max="20" width="29.85546875" style="6" customWidth="1"/>
    <col min="21" max="21" width="31.85546875" style="6" customWidth="1"/>
    <col min="22" max="23" width="16.85546875" style="6" customWidth="1"/>
    <col min="24" max="24" width="2.5703125" style="6" customWidth="1"/>
    <col min="25" max="25" width="6.42578125" style="6" customWidth="1"/>
    <col min="26" max="26" width="8.140625" style="6"/>
    <col min="27" max="28" width="20.85546875" style="6" hidden="1" customWidth="1"/>
    <col min="29" max="31" width="0" style="6" hidden="1" customWidth="1"/>
    <col min="32" max="16384" width="8.140625" style="6"/>
  </cols>
  <sheetData>
    <row r="1" spans="1:28" ht="17.25" hidden="1" customHeight="1"/>
    <row r="2" spans="1:28" ht="21" hidden="1" customHeight="1"/>
    <row r="3" spans="1:28" ht="18.75" hidden="1" customHeight="1"/>
    <row r="4" spans="1:28" ht="41.25" hidden="1" customHeight="1">
      <c r="A4" s="1"/>
    </row>
    <row r="5" spans="1:28" ht="20.25" hidden="1" customHeight="1">
      <c r="A5" s="1"/>
    </row>
    <row r="6" spans="1:28" ht="17.45" hidden="1">
      <c r="A6" s="1"/>
    </row>
    <row r="7" spans="1:28" ht="17.45" hidden="1">
      <c r="A7" s="1"/>
    </row>
    <row r="8" spans="1:28" ht="17.45" hidden="1">
      <c r="A8" s="1"/>
    </row>
    <row r="9" spans="1:28" ht="31.5" hidden="1" customHeight="1">
      <c r="A9" s="1"/>
    </row>
    <row r="10" spans="1:28" ht="13.5" customHeight="1">
      <c r="A10" s="1"/>
    </row>
    <row r="11" spans="1:28" ht="19.5" customHeight="1">
      <c r="A11" s="1"/>
      <c r="D11" s="1402" t="s">
        <v>740</v>
      </c>
      <c r="E11" s="1402"/>
      <c r="F11" s="1402"/>
      <c r="G11" s="1402"/>
      <c r="H11" s="1409" t="s">
        <v>741</v>
      </c>
      <c r="I11" s="1403" t="s">
        <v>51</v>
      </c>
      <c r="J11" s="1404"/>
      <c r="K11" s="1404"/>
      <c r="L11" s="1405"/>
      <c r="M11" s="7"/>
      <c r="AA11" s="6" t="s">
        <v>742</v>
      </c>
      <c r="AB11" s="541" t="s">
        <v>743</v>
      </c>
    </row>
    <row r="12" spans="1:28" ht="17.25" customHeight="1">
      <c r="A12" s="1"/>
      <c r="D12" s="1402"/>
      <c r="E12" s="1402"/>
      <c r="F12" s="1402"/>
      <c r="G12" s="1402"/>
      <c r="H12" s="1409"/>
      <c r="I12" s="1406"/>
      <c r="J12" s="1407"/>
      <c r="K12" s="1407"/>
      <c r="L12" s="1408"/>
      <c r="M12" s="7"/>
      <c r="AA12" s="6" t="s">
        <v>744</v>
      </c>
      <c r="AB12" s="542" t="s">
        <v>745</v>
      </c>
    </row>
    <row r="13" spans="1:28" ht="16.5" customHeight="1">
      <c r="A13" s="1"/>
      <c r="D13" s="23"/>
      <c r="E13" s="23"/>
      <c r="F13" s="14"/>
      <c r="G13" s="14"/>
      <c r="H13" s="23"/>
      <c r="I13" s="14"/>
      <c r="J13" s="14"/>
      <c r="K13" s="23"/>
      <c r="L13" s="14"/>
      <c r="M13" s="7"/>
      <c r="AA13" s="6" t="s">
        <v>746</v>
      </c>
      <c r="AB13" s="542" t="s">
        <v>747</v>
      </c>
    </row>
    <row r="14" spans="1:28" ht="36.75" customHeight="1">
      <c r="A14" s="1"/>
      <c r="D14" s="1362" t="s">
        <v>748</v>
      </c>
      <c r="E14" s="1362"/>
      <c r="F14" s="1362"/>
      <c r="G14" s="1362"/>
      <c r="H14" s="23" t="s">
        <v>741</v>
      </c>
      <c r="I14" s="1861" t="s">
        <v>5</v>
      </c>
      <c r="J14" s="1861"/>
      <c r="K14" s="1861"/>
      <c r="L14" s="1861"/>
      <c r="M14" s="7"/>
      <c r="AB14" s="482"/>
    </row>
    <row r="15" spans="1:28" ht="16.5" customHeight="1" thickBot="1">
      <c r="A15" s="1"/>
      <c r="D15" s="23"/>
      <c r="E15" s="23"/>
      <c r="F15" s="14"/>
      <c r="G15" s="14"/>
      <c r="H15" s="23"/>
      <c r="I15" s="14"/>
      <c r="J15" s="14"/>
      <c r="K15" s="23"/>
      <c r="L15" s="14"/>
      <c r="M15" s="7"/>
      <c r="AB15" s="482"/>
    </row>
    <row r="16" spans="1:28" ht="39" customHeight="1">
      <c r="A16" s="1"/>
      <c r="D16" s="1362" t="s">
        <v>749</v>
      </c>
      <c r="E16" s="1362"/>
      <c r="F16" s="1362"/>
      <c r="G16" s="1362"/>
      <c r="H16" s="23" t="s">
        <v>741</v>
      </c>
      <c r="I16" s="1861" t="str">
        <f>VLOOKUP(I18,'Pricelist Link'!A6:AA304,3,FALSE)</f>
        <v>2nd Floor</v>
      </c>
      <c r="J16" s="1861"/>
      <c r="K16" s="1861"/>
      <c r="L16" s="1861"/>
      <c r="M16" s="7"/>
      <c r="O16" s="1399" t="s">
        <v>750</v>
      </c>
      <c r="P16" s="1400"/>
      <c r="Q16" s="1400"/>
      <c r="R16" s="1400"/>
      <c r="S16" s="1400"/>
      <c r="T16" s="1400"/>
      <c r="U16" s="1400"/>
      <c r="V16" s="1400"/>
      <c r="W16" s="1401"/>
    </row>
    <row r="17" spans="1:28" ht="16.5" customHeight="1">
      <c r="A17" s="1"/>
      <c r="D17" s="23"/>
      <c r="E17" s="23"/>
      <c r="F17" s="14"/>
      <c r="G17" s="14"/>
      <c r="H17" s="23"/>
      <c r="I17" s="486" t="str">
        <f>VLOOKUP(I18,'Pricelist Link'!A6:AA304,2,FALSE)</f>
        <v>UNSOLD</v>
      </c>
      <c r="J17" s="14"/>
      <c r="K17" s="23"/>
      <c r="L17" s="14"/>
      <c r="M17" s="7"/>
      <c r="O17" s="1395" t="s">
        <v>751</v>
      </c>
      <c r="P17" s="1396"/>
      <c r="Q17" s="1396"/>
      <c r="R17" s="1396"/>
      <c r="S17" s="1396"/>
      <c r="T17" s="1396"/>
      <c r="U17" s="1396"/>
      <c r="V17" s="1396"/>
      <c r="W17" s="1397"/>
    </row>
    <row r="18" spans="1:28" ht="39" customHeight="1">
      <c r="A18" s="1"/>
      <c r="D18" s="1362" t="s">
        <v>752</v>
      </c>
      <c r="E18" s="1362"/>
      <c r="F18" s="1362"/>
      <c r="G18" s="1362"/>
      <c r="H18" s="23" t="s">
        <v>741</v>
      </c>
      <c r="I18" s="1862" t="s">
        <v>165</v>
      </c>
      <c r="J18" s="1862"/>
      <c r="K18" s="1862"/>
      <c r="L18" s="1862"/>
      <c r="M18" s="7"/>
      <c r="O18" s="1398" t="s">
        <v>753</v>
      </c>
      <c r="P18" s="1391"/>
      <c r="Q18" s="1391"/>
      <c r="R18" s="1391"/>
      <c r="S18" s="1391" t="s">
        <v>754</v>
      </c>
      <c r="T18" s="1391"/>
      <c r="U18" s="1391"/>
      <c r="V18" s="1391" t="s">
        <v>755</v>
      </c>
      <c r="W18" s="1392"/>
    </row>
    <row r="19" spans="1:28" ht="24" customHeight="1">
      <c r="D19" s="22"/>
      <c r="E19" s="22"/>
      <c r="F19" s="22"/>
      <c r="G19" s="22"/>
      <c r="H19" s="7"/>
      <c r="I19" s="7"/>
      <c r="J19" s="7"/>
      <c r="K19" s="7"/>
      <c r="L19" s="7"/>
      <c r="M19" s="7"/>
      <c r="O19" s="1389"/>
      <c r="P19" s="1383"/>
      <c r="Q19" s="1383"/>
      <c r="R19" s="1383"/>
      <c r="S19" s="1387"/>
      <c r="T19" s="1387"/>
      <c r="U19" s="1387"/>
      <c r="V19" s="1393"/>
      <c r="W19" s="1394"/>
    </row>
    <row r="20" spans="1:28" ht="39" customHeight="1">
      <c r="D20" s="1402" t="s">
        <v>756</v>
      </c>
      <c r="E20" s="1402"/>
      <c r="F20" s="1402"/>
      <c r="G20" s="1402"/>
      <c r="H20" s="14" t="s">
        <v>741</v>
      </c>
      <c r="I20" s="1863">
        <v>45901</v>
      </c>
      <c r="J20" s="1864"/>
      <c r="K20" s="1864"/>
      <c r="L20" s="1865"/>
      <c r="M20" s="9"/>
      <c r="O20" s="1389"/>
      <c r="P20" s="1383"/>
      <c r="Q20" s="1383"/>
      <c r="R20" s="1383"/>
      <c r="S20" s="1387"/>
      <c r="T20" s="1387"/>
      <c r="U20" s="1387"/>
      <c r="V20" s="1393"/>
      <c r="W20" s="1394"/>
      <c r="X20" s="282"/>
    </row>
    <row r="21" spans="1:28" ht="24" customHeight="1">
      <c r="D21" s="14"/>
      <c r="E21" s="14"/>
      <c r="F21" s="14"/>
      <c r="G21" s="14"/>
      <c r="H21" s="8"/>
      <c r="I21" s="10"/>
      <c r="J21" s="10"/>
      <c r="K21" s="10"/>
      <c r="L21" s="10"/>
      <c r="M21" s="9"/>
      <c r="O21" s="1389"/>
      <c r="P21" s="1383"/>
      <c r="Q21" s="1383"/>
      <c r="R21" s="1383"/>
      <c r="S21" s="1387"/>
      <c r="T21" s="1387"/>
      <c r="U21" s="1387"/>
      <c r="V21" s="1393"/>
      <c r="W21" s="1394"/>
      <c r="Z21" s="6" t="s">
        <v>757</v>
      </c>
    </row>
    <row r="22" spans="1:28" ht="39" customHeight="1">
      <c r="D22" s="1402" t="s">
        <v>758</v>
      </c>
      <c r="E22" s="1402"/>
      <c r="F22" s="1402"/>
      <c r="G22" s="1402"/>
      <c r="H22" s="14"/>
      <c r="I22" s="1866">
        <f>VLOOKUP(I18,'Pricelist Link'!A6:AA304,13,FALSE)</f>
        <v>30000</v>
      </c>
      <c r="J22" s="1867"/>
      <c r="K22" s="1867"/>
      <c r="L22" s="1868"/>
      <c r="M22" s="9"/>
      <c r="O22" s="1389"/>
      <c r="P22" s="1383"/>
      <c r="Q22" s="1383"/>
      <c r="R22" s="1383"/>
      <c r="S22" s="1387"/>
      <c r="T22" s="1387"/>
      <c r="U22" s="1387"/>
      <c r="V22" s="1393"/>
      <c r="W22" s="1394"/>
    </row>
    <row r="23" spans="1:28" ht="24" customHeight="1">
      <c r="D23" s="14"/>
      <c r="E23" s="14"/>
      <c r="F23" s="14"/>
      <c r="G23" s="14"/>
      <c r="H23" s="8"/>
      <c r="I23" s="10"/>
      <c r="J23" s="10"/>
      <c r="K23" s="11"/>
      <c r="L23" s="11"/>
      <c r="M23" s="9"/>
      <c r="O23" s="1395" t="s">
        <v>759</v>
      </c>
      <c r="P23" s="1396"/>
      <c r="Q23" s="1396"/>
      <c r="R23" s="1396"/>
      <c r="S23" s="1396"/>
      <c r="T23" s="1396"/>
      <c r="U23" s="1396"/>
      <c r="V23" s="1396"/>
      <c r="W23" s="1397"/>
      <c r="AB23" s="6" t="s">
        <v>757</v>
      </c>
    </row>
    <row r="24" spans="1:28" ht="39" customHeight="1">
      <c r="D24" s="1362" t="s">
        <v>760</v>
      </c>
      <c r="E24" s="1362"/>
      <c r="F24" s="1362"/>
      <c r="G24" s="1362"/>
      <c r="H24" s="14" t="s">
        <v>741</v>
      </c>
      <c r="I24" s="1869">
        <f>VLOOKUP(I18,'Pricelist Link'!A6:AA304,11,FALSE)</f>
        <v>0.125</v>
      </c>
      <c r="J24" s="1870"/>
      <c r="K24" s="1870"/>
      <c r="L24" s="1871"/>
      <c r="M24" s="9"/>
      <c r="O24" s="1398" t="s">
        <v>753</v>
      </c>
      <c r="P24" s="1391"/>
      <c r="Q24" s="1391"/>
      <c r="R24" s="1391"/>
      <c r="S24" s="1391" t="s">
        <v>754</v>
      </c>
      <c r="T24" s="1391"/>
      <c r="U24" s="1391"/>
      <c r="V24" s="1391" t="s">
        <v>755</v>
      </c>
      <c r="W24" s="1392"/>
      <c r="X24" s="282"/>
    </row>
    <row r="25" spans="1:28" ht="24" customHeight="1">
      <c r="D25" s="14"/>
      <c r="E25" s="14"/>
      <c r="F25" s="14"/>
      <c r="G25" s="14"/>
      <c r="H25" s="8"/>
      <c r="I25" s="10"/>
      <c r="J25" s="10"/>
      <c r="K25" s="11"/>
      <c r="L25" s="11"/>
      <c r="M25" s="9"/>
      <c r="O25" s="1389"/>
      <c r="P25" s="1383"/>
      <c r="Q25" s="1383"/>
      <c r="R25" s="1383"/>
      <c r="S25" s="1387"/>
      <c r="T25" s="1387"/>
      <c r="U25" s="1387"/>
      <c r="V25" s="1393"/>
      <c r="W25" s="1394"/>
    </row>
    <row r="26" spans="1:28" ht="39" customHeight="1">
      <c r="D26" s="1402" t="s">
        <v>761</v>
      </c>
      <c r="E26" s="1402"/>
      <c r="F26" s="1402"/>
      <c r="G26" s="1402"/>
      <c r="H26" s="14" t="s">
        <v>741</v>
      </c>
      <c r="I26" s="1872"/>
      <c r="J26" s="1873"/>
      <c r="K26" s="1873"/>
      <c r="L26" s="1874"/>
      <c r="M26" s="9"/>
      <c r="O26" s="1389"/>
      <c r="P26" s="1383"/>
      <c r="Q26" s="1383"/>
      <c r="R26" s="1383"/>
      <c r="S26" s="1387"/>
      <c r="T26" s="1387"/>
      <c r="U26" s="1387"/>
      <c r="V26" s="1393"/>
      <c r="W26" s="1394"/>
    </row>
    <row r="27" spans="1:28" ht="25.5" customHeight="1">
      <c r="D27" s="14"/>
      <c r="E27" s="14"/>
      <c r="F27" s="14"/>
      <c r="G27" s="14"/>
      <c r="H27" s="8"/>
      <c r="I27" s="10"/>
      <c r="J27" s="10"/>
      <c r="K27" s="11"/>
      <c r="L27" s="11"/>
      <c r="M27" s="9"/>
      <c r="O27" s="1389"/>
      <c r="P27" s="1383"/>
      <c r="Q27" s="1383"/>
      <c r="R27" s="1383"/>
      <c r="S27" s="1387"/>
      <c r="T27" s="1387"/>
      <c r="U27" s="1387"/>
      <c r="V27" s="1393"/>
      <c r="W27" s="1394"/>
    </row>
    <row r="28" spans="1:28" ht="39" customHeight="1">
      <c r="D28" s="1402" t="s">
        <v>762</v>
      </c>
      <c r="E28" s="1402"/>
      <c r="F28" s="1402"/>
      <c r="G28" s="1402"/>
      <c r="H28" s="14" t="s">
        <v>741</v>
      </c>
      <c r="I28" s="1872"/>
      <c r="J28" s="1873"/>
      <c r="K28" s="1873"/>
      <c r="L28" s="1874"/>
      <c r="M28" s="7"/>
      <c r="O28" s="1389"/>
      <c r="P28" s="1383"/>
      <c r="Q28" s="1383"/>
      <c r="R28" s="1383"/>
      <c r="S28" s="1387"/>
      <c r="T28" s="1387"/>
      <c r="U28" s="1387"/>
      <c r="V28" s="1393"/>
      <c r="W28" s="1394"/>
    </row>
    <row r="29" spans="1:28" ht="25.5" customHeight="1">
      <c r="D29" s="22"/>
      <c r="E29" s="22"/>
      <c r="F29" s="22"/>
      <c r="G29" s="22"/>
      <c r="H29" s="14"/>
      <c r="I29" s="7"/>
      <c r="J29" s="7"/>
      <c r="K29" s="7"/>
      <c r="L29" s="7"/>
      <c r="M29" s="8"/>
      <c r="O29" s="1395" t="s">
        <v>763</v>
      </c>
      <c r="P29" s="1396"/>
      <c r="Q29" s="1396"/>
      <c r="R29" s="1396"/>
      <c r="S29" s="1396"/>
      <c r="T29" s="1396"/>
      <c r="U29" s="1396"/>
      <c r="V29" s="1396"/>
      <c r="W29" s="1397"/>
    </row>
    <row r="30" spans="1:28" ht="27" customHeight="1">
      <c r="D30" s="1362" t="s">
        <v>764</v>
      </c>
      <c r="E30" s="1362"/>
      <c r="F30" s="1362"/>
      <c r="G30" s="1362"/>
      <c r="H30" s="14" t="s">
        <v>741</v>
      </c>
      <c r="I30" s="1377"/>
      <c r="J30" s="1378"/>
      <c r="K30" s="1378"/>
      <c r="L30" s="1379"/>
      <c r="M30" s="7"/>
      <c r="O30" s="1398" t="s">
        <v>753</v>
      </c>
      <c r="P30" s="1391"/>
      <c r="Q30" s="1391"/>
      <c r="R30" s="1391"/>
      <c r="S30" s="1391" t="s">
        <v>754</v>
      </c>
      <c r="T30" s="1391"/>
      <c r="U30" s="1391"/>
      <c r="V30" s="1391" t="s">
        <v>765</v>
      </c>
      <c r="W30" s="1392"/>
    </row>
    <row r="31" spans="1:28" ht="27" customHeight="1">
      <c r="D31" s="1362"/>
      <c r="E31" s="1362"/>
      <c r="F31" s="1362"/>
      <c r="G31" s="1362"/>
      <c r="H31" s="14"/>
      <c r="I31" s="1380"/>
      <c r="J31" s="1381"/>
      <c r="K31" s="1381"/>
      <c r="L31" s="1382"/>
      <c r="M31" s="7"/>
      <c r="O31" s="1389"/>
      <c r="P31" s="1383"/>
      <c r="Q31" s="1383"/>
      <c r="R31" s="1383"/>
      <c r="S31" s="1387"/>
      <c r="T31" s="1387"/>
      <c r="U31" s="1387"/>
      <c r="V31" s="1383"/>
      <c r="W31" s="1384"/>
    </row>
    <row r="32" spans="1:28" ht="18.75" customHeight="1">
      <c r="C32" s="12"/>
      <c r="H32"/>
      <c r="I32"/>
      <c r="J32"/>
      <c r="K32"/>
      <c r="L32"/>
      <c r="O32" s="1389"/>
      <c r="P32" s="1383"/>
      <c r="Q32" s="1383"/>
      <c r="R32" s="1383"/>
      <c r="S32" s="1387"/>
      <c r="T32" s="1387"/>
      <c r="U32" s="1387"/>
      <c r="V32" s="1383"/>
      <c r="W32" s="1384"/>
    </row>
    <row r="33" spans="4:34" ht="24.75" customHeight="1">
      <c r="H33"/>
      <c r="I33"/>
      <c r="J33"/>
      <c r="K33"/>
      <c r="L33"/>
      <c r="O33" s="1389"/>
      <c r="P33" s="1383"/>
      <c r="Q33" s="1383"/>
      <c r="R33" s="1383"/>
      <c r="S33" s="1387"/>
      <c r="T33" s="1387"/>
      <c r="U33" s="1387"/>
      <c r="V33" s="1383"/>
      <c r="W33" s="1384"/>
    </row>
    <row r="34" spans="4:34" ht="24.75" customHeight="1" thickBot="1">
      <c r="H34"/>
      <c r="I34"/>
      <c r="J34"/>
      <c r="K34"/>
      <c r="L34"/>
      <c r="O34" s="1390"/>
      <c r="P34" s="1385"/>
      <c r="Q34" s="1385"/>
      <c r="R34" s="1385"/>
      <c r="S34" s="1388"/>
      <c r="T34" s="1388"/>
      <c r="U34" s="1388"/>
      <c r="V34" s="1385"/>
      <c r="W34" s="1386"/>
    </row>
    <row r="35" spans="4:34" ht="24.75" customHeight="1">
      <c r="O35" s="498"/>
      <c r="P35" s="498"/>
      <c r="Q35" s="498"/>
      <c r="R35" s="498"/>
      <c r="S35" s="499"/>
      <c r="T35" s="499"/>
      <c r="U35" s="499"/>
      <c r="V35" s="498"/>
      <c r="W35" s="498"/>
    </row>
    <row r="36" spans="4:34" ht="39" customHeight="1">
      <c r="D36" s="1410" t="s">
        <v>766</v>
      </c>
      <c r="E36" s="1410"/>
      <c r="F36" s="1410"/>
      <c r="G36" s="1410"/>
      <c r="H36" s="1410"/>
      <c r="I36" s="1410"/>
      <c r="J36" s="1410"/>
      <c r="K36" s="1410"/>
      <c r="L36" s="1410"/>
      <c r="M36" s="1410"/>
      <c r="N36" s="1410"/>
      <c r="O36" s="1410"/>
      <c r="P36" s="1410"/>
      <c r="Q36" s="1410"/>
      <c r="R36" s="1410"/>
      <c r="S36" s="1410"/>
      <c r="T36" s="1410"/>
      <c r="U36" s="1410"/>
      <c r="V36" s="1410"/>
      <c r="W36" s="1410"/>
    </row>
    <row r="37" spans="4:34" ht="24.75" customHeight="1"/>
    <row r="38" spans="4:34" ht="33.75" customHeight="1">
      <c r="D38" s="1411" t="s">
        <v>767</v>
      </c>
      <c r="E38" s="1411"/>
      <c r="F38" s="1411" t="s">
        <v>768</v>
      </c>
      <c r="G38" s="1411"/>
      <c r="H38" s="22"/>
      <c r="I38" s="1372" t="s">
        <v>769</v>
      </c>
      <c r="J38" s="1372"/>
      <c r="K38" s="1363" t="s">
        <v>99</v>
      </c>
      <c r="L38" s="1364"/>
      <c r="M38" s="1364"/>
      <c r="N38" s="1364"/>
      <c r="O38" s="1365"/>
      <c r="P38" s="1363" t="s">
        <v>770</v>
      </c>
      <c r="Q38" s="1364"/>
      <c r="R38" s="1364"/>
      <c r="S38" s="1365"/>
      <c r="T38" s="1372" t="s">
        <v>771</v>
      </c>
      <c r="U38" s="1372"/>
      <c r="V38" s="22"/>
      <c r="W38" s="22"/>
    </row>
    <row r="39" spans="4:34" ht="33.75" customHeight="1">
      <c r="D39" s="1412" t="str">
        <f>'STANDARD COMP.'!E8</f>
        <v>2L</v>
      </c>
      <c r="E39" s="1412"/>
      <c r="F39" s="1413">
        <f>'STANDARD COMP.'!E28</f>
        <v>18</v>
      </c>
      <c r="G39" s="1412"/>
      <c r="H39" s="22"/>
      <c r="I39" s="1372" t="s">
        <v>772</v>
      </c>
      <c r="J39" s="1372"/>
      <c r="K39" s="1373"/>
      <c r="L39" s="1374"/>
      <c r="M39" s="1374"/>
      <c r="N39" s="1374"/>
      <c r="O39" s="1375"/>
      <c r="P39" s="1373"/>
      <c r="Q39" s="1374"/>
      <c r="R39" s="1374"/>
      <c r="S39" s="1375"/>
      <c r="T39" s="1376">
        <v>0.25</v>
      </c>
      <c r="U39" s="1376"/>
      <c r="V39" s="22"/>
      <c r="W39" s="22"/>
    </row>
    <row r="40" spans="4:34" ht="33.75" customHeight="1">
      <c r="D40" s="22"/>
      <c r="E40" s="22"/>
      <c r="F40" s="22"/>
      <c r="G40" s="22"/>
      <c r="H40" s="22"/>
      <c r="I40" s="1372" t="s">
        <v>773</v>
      </c>
      <c r="J40" s="1372"/>
      <c r="K40" s="1373"/>
      <c r="L40" s="1374"/>
      <c r="M40" s="1374"/>
      <c r="N40" s="1374"/>
      <c r="O40" s="1375"/>
      <c r="P40" s="1373"/>
      <c r="Q40" s="1374"/>
      <c r="R40" s="1374"/>
      <c r="S40" s="1375"/>
      <c r="T40" s="1376">
        <v>0.35</v>
      </c>
      <c r="U40" s="1376"/>
      <c r="V40" s="22"/>
      <c r="W40" s="22"/>
    </row>
    <row r="41" spans="4:34" ht="33.75" customHeight="1">
      <c r="D41" s="22"/>
      <c r="E41" s="22"/>
      <c r="F41" s="22"/>
      <c r="G41" s="22"/>
      <c r="H41" s="22"/>
      <c r="I41" s="1372" t="s">
        <v>774</v>
      </c>
      <c r="J41" s="1372"/>
      <c r="K41" s="1373"/>
      <c r="L41" s="1374"/>
      <c r="M41" s="1374"/>
      <c r="N41" s="1374"/>
      <c r="O41" s="1375"/>
      <c r="P41" s="1373"/>
      <c r="Q41" s="1374"/>
      <c r="R41" s="1374"/>
      <c r="S41" s="1375"/>
      <c r="T41" s="1376">
        <v>0.4</v>
      </c>
      <c r="U41" s="1376"/>
      <c r="V41" s="22"/>
      <c r="W41" s="22"/>
    </row>
    <row r="42" spans="4:34" ht="42" customHeight="1">
      <c r="I42" s="1369" t="s">
        <v>48</v>
      </c>
      <c r="J42" s="1369"/>
      <c r="K42" s="1369"/>
      <c r="L42" s="1369"/>
      <c r="M42" s="1369"/>
      <c r="N42" s="1369"/>
      <c r="O42" s="1369"/>
      <c r="P42" s="1370">
        <f>SUM(P39:S41)</f>
        <v>0</v>
      </c>
      <c r="Q42" s="1370"/>
      <c r="R42" s="1370"/>
      <c r="S42" s="1370"/>
      <c r="T42" s="1371">
        <f>SUM(T39:U41)</f>
        <v>1</v>
      </c>
      <c r="U42" s="1369"/>
    </row>
    <row r="43" spans="4:34" ht="42" customHeight="1">
      <c r="I43" s="539"/>
      <c r="J43" s="539"/>
      <c r="K43" s="539"/>
      <c r="L43" s="539"/>
      <c r="M43" s="539"/>
      <c r="N43" s="539"/>
      <c r="O43" s="539"/>
      <c r="P43" s="539"/>
      <c r="Q43" s="539"/>
      <c r="R43" s="539"/>
      <c r="S43" s="539"/>
      <c r="T43" s="540"/>
      <c r="U43" s="539"/>
    </row>
    <row r="44" spans="4:34" ht="42" customHeight="1">
      <c r="I44" s="1366" t="s">
        <v>775</v>
      </c>
      <c r="J44" s="1367"/>
      <c r="K44" s="1367"/>
      <c r="L44" s="1367"/>
      <c r="M44" s="1367"/>
      <c r="N44" s="1367"/>
      <c r="O44" s="1367"/>
      <c r="P44" s="1367"/>
      <c r="Q44" s="1367"/>
      <c r="R44" s="1367"/>
      <c r="S44" s="1367"/>
      <c r="T44" s="1367"/>
      <c r="U44" s="1368"/>
      <c r="V44"/>
      <c r="W44"/>
      <c r="X44"/>
      <c r="Y44"/>
      <c r="Z44"/>
      <c r="AA44"/>
      <c r="AB44"/>
      <c r="AC44" s="284"/>
      <c r="AD44"/>
      <c r="AE44"/>
      <c r="AF44"/>
      <c r="AG44"/>
      <c r="AH44"/>
    </row>
    <row r="45" spans="4:34" ht="42" customHeight="1">
      <c r="I45" s="1363" t="s">
        <v>776</v>
      </c>
      <c r="J45" s="1364"/>
      <c r="K45" s="1364"/>
      <c r="L45" s="1365"/>
      <c r="M45" s="1363" t="s">
        <v>777</v>
      </c>
      <c r="N45" s="1364"/>
      <c r="O45" s="1364"/>
      <c r="P45" s="1364"/>
      <c r="Q45" s="1364"/>
      <c r="R45" s="1364"/>
      <c r="S45" s="1365"/>
      <c r="T45" s="1363" t="s">
        <v>778</v>
      </c>
      <c r="U45" s="1365"/>
      <c r="V45"/>
      <c r="W45"/>
      <c r="X45"/>
      <c r="Y45"/>
      <c r="Z45"/>
      <c r="AA45"/>
      <c r="AB45"/>
      <c r="AC45" s="284"/>
    </row>
    <row r="46" spans="4:34" ht="42" customHeight="1">
      <c r="I46" s="1354" t="s">
        <v>779</v>
      </c>
      <c r="J46" s="1355"/>
      <c r="K46" s="1355"/>
      <c r="L46" s="1356"/>
      <c r="M46" s="1357"/>
      <c r="N46" s="1358"/>
      <c r="O46" s="1358"/>
      <c r="P46" s="1358"/>
      <c r="Q46" s="1358"/>
      <c r="R46" s="1358"/>
      <c r="S46" s="1359"/>
      <c r="T46" s="1357"/>
      <c r="U46" s="1359"/>
      <c r="V46"/>
      <c r="W46"/>
      <c r="X46"/>
      <c r="Y46"/>
      <c r="Z46"/>
      <c r="AA46"/>
      <c r="AB46"/>
      <c r="AC46" s="284"/>
    </row>
    <row r="47" spans="4:34" ht="42" customHeight="1">
      <c r="I47" s="1354" t="s">
        <v>780</v>
      </c>
      <c r="J47" s="1355"/>
      <c r="K47" s="1355"/>
      <c r="L47" s="1356"/>
      <c r="M47" s="1357"/>
      <c r="N47" s="1358"/>
      <c r="O47" s="1358"/>
      <c r="P47" s="1358"/>
      <c r="Q47" s="1358"/>
      <c r="R47" s="1358"/>
      <c r="S47" s="1359"/>
      <c r="T47" s="1357"/>
      <c r="U47" s="1359"/>
      <c r="V47"/>
      <c r="W47"/>
      <c r="X47"/>
      <c r="Y47"/>
      <c r="Z47"/>
      <c r="AA47"/>
      <c r="AB47"/>
      <c r="AC47" s="284"/>
    </row>
    <row r="48" spans="4:34" ht="42" customHeight="1">
      <c r="I48" s="1354" t="s">
        <v>781</v>
      </c>
      <c r="J48" s="1355"/>
      <c r="K48" s="1355"/>
      <c r="L48" s="1356"/>
      <c r="M48" s="1357"/>
      <c r="N48" s="1358"/>
      <c r="O48" s="1358"/>
      <c r="P48" s="1358"/>
      <c r="Q48" s="1358"/>
      <c r="R48" s="1358"/>
      <c r="S48" s="1359"/>
      <c r="T48" s="1357"/>
      <c r="U48" s="1359"/>
      <c r="V48"/>
      <c r="W48"/>
      <c r="X48"/>
      <c r="Y48"/>
      <c r="Z48"/>
      <c r="AA48"/>
      <c r="AB48"/>
      <c r="AC48" s="284"/>
    </row>
    <row r="49" spans="9:29" ht="42" customHeight="1">
      <c r="I49" s="1354" t="s">
        <v>782</v>
      </c>
      <c r="J49" s="1355"/>
      <c r="K49" s="1355"/>
      <c r="L49" s="1356"/>
      <c r="M49" s="1357"/>
      <c r="N49" s="1358"/>
      <c r="O49" s="1358"/>
      <c r="P49" s="1358"/>
      <c r="Q49" s="1358"/>
      <c r="R49" s="1358"/>
      <c r="S49" s="1359"/>
      <c r="T49" s="1357"/>
      <c r="U49" s="1359"/>
      <c r="V49"/>
      <c r="W49"/>
      <c r="X49"/>
      <c r="Y49"/>
      <c r="Z49"/>
      <c r="AA49"/>
      <c r="AB49"/>
      <c r="AC49" s="284"/>
    </row>
    <row r="50" spans="9:29" ht="17.45">
      <c r="I50"/>
      <c r="J50"/>
      <c r="K50"/>
      <c r="L50"/>
      <c r="M50"/>
      <c r="N50"/>
      <c r="O50"/>
      <c r="P50"/>
      <c r="Q50"/>
      <c r="R50"/>
      <c r="S50"/>
      <c r="T50"/>
      <c r="U50"/>
      <c r="V50"/>
      <c r="W50"/>
      <c r="X50"/>
      <c r="Y50"/>
      <c r="Z50"/>
      <c r="AA50"/>
      <c r="AB50"/>
      <c r="AC50" s="284"/>
    </row>
    <row r="51" spans="9:29" ht="18" hidden="1" customHeight="1">
      <c r="I51" s="1360"/>
      <c r="J51" s="1360"/>
      <c r="K51" s="1360"/>
      <c r="L51" s="1360"/>
      <c r="M51" s="1360"/>
      <c r="N51" s="1360"/>
      <c r="O51" s="1360"/>
      <c r="P51" s="1360"/>
      <c r="Q51" s="1361"/>
      <c r="R51" s="1361"/>
      <c r="S51" s="1361"/>
      <c r="T51" s="1361"/>
      <c r="U51" s="1361"/>
      <c r="V51" s="1361"/>
      <c r="W51" s="1361"/>
      <c r="X51" s="1361"/>
      <c r="Y51" s="1361"/>
      <c r="Z51" s="1361"/>
      <c r="AA51" s="1361"/>
      <c r="AB51" s="1361"/>
      <c r="AC51" s="1361"/>
    </row>
    <row r="52" spans="9:29" ht="18" hidden="1" customHeight="1"/>
    <row r="53" spans="9:29" ht="18" hidden="1" customHeight="1"/>
    <row r="54" spans="9:29" ht="18" hidden="1" customHeight="1"/>
    <row r="55" spans="9:29" ht="18" hidden="1" customHeight="1"/>
    <row r="56" spans="9:29" ht="18" hidden="1" customHeight="1"/>
    <row r="57" spans="9:29" ht="18" hidden="1" customHeight="1"/>
    <row r="58" spans="9:29" ht="18" hidden="1" customHeight="1"/>
    <row r="59" spans="9:29" ht="18" hidden="1" customHeight="1"/>
    <row r="60" spans="9:29" ht="18" hidden="1" customHeight="1"/>
    <row r="61" spans="9:29" ht="18" hidden="1" customHeight="1"/>
    <row r="62" spans="9:29" ht="18" hidden="1" customHeight="1"/>
  </sheetData>
  <sheetProtection password="CC2E" sheet="1" objects="1" scenarios="1"/>
  <mergeCells count="95">
    <mergeCell ref="T39:U39"/>
    <mergeCell ref="I40:J40"/>
    <mergeCell ref="K40:O40"/>
    <mergeCell ref="D39:E39"/>
    <mergeCell ref="F39:G39"/>
    <mergeCell ref="I39:J39"/>
    <mergeCell ref="K39:O39"/>
    <mergeCell ref="P39:S39"/>
    <mergeCell ref="P40:S40"/>
    <mergeCell ref="T40:U40"/>
    <mergeCell ref="D36:W36"/>
    <mergeCell ref="I38:J38"/>
    <mergeCell ref="K38:O38"/>
    <mergeCell ref="P38:S38"/>
    <mergeCell ref="T38:U38"/>
    <mergeCell ref="D38:E38"/>
    <mergeCell ref="F38:G38"/>
    <mergeCell ref="I11:L12"/>
    <mergeCell ref="I20:L20"/>
    <mergeCell ref="I26:L26"/>
    <mergeCell ref="D11:G12"/>
    <mergeCell ref="H11:H12"/>
    <mergeCell ref="D20:G20"/>
    <mergeCell ref="D16:G16"/>
    <mergeCell ref="D18:G18"/>
    <mergeCell ref="D26:G26"/>
    <mergeCell ref="D28:G28"/>
    <mergeCell ref="D22:G22"/>
    <mergeCell ref="I16:L16"/>
    <mergeCell ref="I18:L18"/>
    <mergeCell ref="I22:L22"/>
    <mergeCell ref="D24:G24"/>
    <mergeCell ref="I24:L24"/>
    <mergeCell ref="I28:L28"/>
    <mergeCell ref="O19:R20"/>
    <mergeCell ref="S19:U20"/>
    <mergeCell ref="V19:W20"/>
    <mergeCell ref="S24:U24"/>
    <mergeCell ref="O23:W23"/>
    <mergeCell ref="O21:R22"/>
    <mergeCell ref="S21:U22"/>
    <mergeCell ref="V21:W22"/>
    <mergeCell ref="S25:U26"/>
    <mergeCell ref="O25:R26"/>
    <mergeCell ref="V25:W26"/>
    <mergeCell ref="O24:R24"/>
    <mergeCell ref="V24:W24"/>
    <mergeCell ref="O17:W17"/>
    <mergeCell ref="O16:W16"/>
    <mergeCell ref="O18:R18"/>
    <mergeCell ref="S18:U18"/>
    <mergeCell ref="V18:W18"/>
    <mergeCell ref="V27:W28"/>
    <mergeCell ref="S27:U28"/>
    <mergeCell ref="O27:R28"/>
    <mergeCell ref="O29:W29"/>
    <mergeCell ref="O30:R30"/>
    <mergeCell ref="S30:U30"/>
    <mergeCell ref="I30:L31"/>
    <mergeCell ref="D30:G31"/>
    <mergeCell ref="V33:W34"/>
    <mergeCell ref="S33:U34"/>
    <mergeCell ref="O33:R34"/>
    <mergeCell ref="O31:R32"/>
    <mergeCell ref="S31:U32"/>
    <mergeCell ref="V31:W32"/>
    <mergeCell ref="V30:W30"/>
    <mergeCell ref="I48:L48"/>
    <mergeCell ref="M48:S48"/>
    <mergeCell ref="T48:U48"/>
    <mergeCell ref="D14:G14"/>
    <mergeCell ref="I14:L14"/>
    <mergeCell ref="I45:L45"/>
    <mergeCell ref="T45:U45"/>
    <mergeCell ref="M45:S45"/>
    <mergeCell ref="I44:U44"/>
    <mergeCell ref="I42:O42"/>
    <mergeCell ref="P42:S42"/>
    <mergeCell ref="T42:U42"/>
    <mergeCell ref="I41:J41"/>
    <mergeCell ref="K41:O41"/>
    <mergeCell ref="P41:S41"/>
    <mergeCell ref="T41:U41"/>
    <mergeCell ref="I51:P51"/>
    <mergeCell ref="Q51:W51"/>
    <mergeCell ref="X51:AC51"/>
    <mergeCell ref="I49:L49"/>
    <mergeCell ref="M49:S49"/>
    <mergeCell ref="T49:U49"/>
    <mergeCell ref="I46:L46"/>
    <mergeCell ref="M46:S46"/>
    <mergeCell ref="T46:U46"/>
    <mergeCell ref="I47:L47"/>
    <mergeCell ref="M47:S47"/>
    <mergeCell ref="T47:U47"/>
  </mergeCells>
  <phoneticPr fontId="28" type="noConversion"/>
  <dataValidations xWindow="339" yWindow="611" count="1">
    <dataValidation allowBlank="1" showInputMessage="1" showErrorMessage="1" prompt="i.e. 1st to 11th month" sqref="K39:O41" xr:uid="{00000000-0002-0000-0500-000000000000}"/>
  </dataValidation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rgb="FF92D050"/>
  </sheetPr>
  <dimension ref="A1:BA130"/>
  <sheetViews>
    <sheetView showGridLines="0" showZeros="0" view="pageBreakPreview" topLeftCell="A7" zoomScale="80" zoomScaleNormal="90" zoomScaleSheetLayoutView="80" zoomScalePageLayoutView="55" workbookViewId="0">
      <selection activeCell="E30" sqref="E30"/>
    </sheetView>
  </sheetViews>
  <sheetFormatPr defaultColWidth="9.140625" defaultRowHeight="13.5"/>
  <cols>
    <col min="1" max="1" width="1.140625" style="2" customWidth="1"/>
    <col min="2" max="2" width="12" style="2" customWidth="1"/>
    <col min="3" max="3" width="24.42578125" style="2" customWidth="1"/>
    <col min="4" max="4" width="21" style="85"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238"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493" hidden="1" customWidth="1"/>
    <col min="23" max="23" width="9.85546875" style="2" hidden="1" customWidth="1"/>
    <col min="24" max="25" width="9.140625" style="494"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90" customFormat="1" ht="12.6">
      <c r="B1" s="243" t="s">
        <v>783</v>
      </c>
      <c r="C1" s="478">
        <f>FORM!I20</f>
        <v>45901</v>
      </c>
      <c r="D1" s="242"/>
      <c r="F1" s="173" t="s">
        <v>784</v>
      </c>
      <c r="G1" s="1414" t="s">
        <v>785</v>
      </c>
      <c r="H1" s="1414"/>
      <c r="I1" s="1414"/>
      <c r="J1" s="92"/>
      <c r="K1" s="243" t="s">
        <v>783</v>
      </c>
      <c r="L1" s="478">
        <f>C1</f>
        <v>45901</v>
      </c>
      <c r="M1" s="612"/>
      <c r="O1" s="613"/>
      <c r="P1" s="173" t="s">
        <v>786</v>
      </c>
      <c r="Q1" s="257" t="s">
        <v>787</v>
      </c>
      <c r="V1" s="488"/>
    </row>
    <row r="2" spans="1:53" s="90" customFormat="1" ht="7.5" customHeight="1">
      <c r="C2" s="91"/>
      <c r="D2" s="91"/>
      <c r="K2" s="614"/>
      <c r="L2" s="614"/>
      <c r="M2" s="614"/>
      <c r="N2" s="614"/>
      <c r="O2" s="614"/>
      <c r="P2" s="614"/>
      <c r="Q2" s="614"/>
      <c r="V2" s="488"/>
    </row>
    <row r="3" spans="1:53" s="90" customFormat="1" ht="14.25" customHeight="1">
      <c r="B3" s="1415" t="str">
        <f>'Corrected and Updated TSF 2'!FC18</f>
        <v>Step-up</v>
      </c>
      <c r="C3" s="1415"/>
      <c r="D3" s="1415"/>
      <c r="E3" s="1415"/>
      <c r="F3" s="1415"/>
      <c r="G3" s="1415"/>
      <c r="H3" s="1415"/>
      <c r="I3" s="1415"/>
      <c r="J3" s="489"/>
      <c r="K3" s="1415" t="s">
        <v>788</v>
      </c>
      <c r="L3" s="1415"/>
      <c r="M3" s="1415"/>
      <c r="N3" s="1415"/>
      <c r="O3" s="1415"/>
      <c r="P3" s="1415"/>
      <c r="Q3" s="1415"/>
      <c r="V3" s="488"/>
    </row>
    <row r="4" spans="1:53" s="90" customFormat="1" ht="12.75" customHeight="1">
      <c r="B4" s="1415"/>
      <c r="C4" s="1415"/>
      <c r="D4" s="1415"/>
      <c r="E4" s="1415"/>
      <c r="F4" s="1415"/>
      <c r="G4" s="1415"/>
      <c r="H4" s="1415"/>
      <c r="I4" s="1415"/>
      <c r="J4" s="489"/>
      <c r="K4" s="1415"/>
      <c r="L4" s="1415"/>
      <c r="M4" s="1415"/>
      <c r="N4" s="1415"/>
      <c r="O4" s="1415"/>
      <c r="P4" s="1415"/>
      <c r="Q4" s="1415"/>
      <c r="V4" s="488"/>
    </row>
    <row r="5" spans="1:53" s="90" customFormat="1" ht="12.75" customHeight="1">
      <c r="B5" s="92"/>
      <c r="C5" s="92"/>
      <c r="D5" s="96"/>
      <c r="E5" s="92"/>
      <c r="F5" s="92"/>
      <c r="G5" s="92"/>
      <c r="H5" s="92"/>
      <c r="I5" s="92"/>
      <c r="J5" s="92"/>
      <c r="K5" s="408"/>
      <c r="L5" s="320"/>
      <c r="M5" s="578"/>
      <c r="N5" s="320"/>
      <c r="O5" s="320"/>
      <c r="P5" s="320"/>
      <c r="Q5" s="578"/>
      <c r="V5" s="488"/>
    </row>
    <row r="6" spans="1:53" s="111" customFormat="1" ht="12.6">
      <c r="A6" s="112"/>
      <c r="B6" s="365" t="s">
        <v>789</v>
      </c>
      <c r="C6" s="366"/>
      <c r="D6" s="197" t="s">
        <v>741</v>
      </c>
      <c r="E6" s="1416">
        <f>'STANDARD COMP.'!E6:I6</f>
        <v>0</v>
      </c>
      <c r="F6" s="1417"/>
      <c r="G6" s="1417"/>
      <c r="H6" s="1417"/>
      <c r="I6" s="1418"/>
      <c r="J6" s="203"/>
      <c r="K6" s="365" t="s">
        <v>789</v>
      </c>
      <c r="L6" s="370"/>
      <c r="M6" s="197" t="s">
        <v>741</v>
      </c>
      <c r="N6" s="1419">
        <f>E6</f>
        <v>0</v>
      </c>
      <c r="O6" s="1419"/>
      <c r="P6" s="1419"/>
      <c r="Q6" s="1419"/>
      <c r="V6" s="579"/>
      <c r="X6" s="90"/>
      <c r="Y6" s="90"/>
      <c r="AM6" s="357"/>
      <c r="AZ6" s="358"/>
      <c r="BA6" s="359"/>
    </row>
    <row r="7" spans="1:53" s="111" customFormat="1" ht="12.6">
      <c r="A7" s="112"/>
      <c r="B7" s="206" t="s">
        <v>740</v>
      </c>
      <c r="C7" s="367"/>
      <c r="D7" s="197" t="s">
        <v>741</v>
      </c>
      <c r="E7" s="1428" t="str">
        <f>'STANDARD COMP.'!E7:I7</f>
        <v>The Southprime Flats</v>
      </c>
      <c r="F7" s="1429"/>
      <c r="G7" s="369" t="str">
        <f>FORM!I14</f>
        <v>B2</v>
      </c>
      <c r="H7" s="369"/>
      <c r="I7" s="217"/>
      <c r="J7" s="203"/>
      <c r="K7" s="206" t="s">
        <v>740</v>
      </c>
      <c r="L7" s="215"/>
      <c r="M7" s="197" t="s">
        <v>741</v>
      </c>
      <c r="N7" s="1419" t="str">
        <f>E7</f>
        <v>The Southprime Flats</v>
      </c>
      <c r="O7" s="1419"/>
      <c r="P7" s="1419"/>
      <c r="Q7" s="1419"/>
      <c r="V7" s="579"/>
      <c r="X7" s="90"/>
      <c r="Y7" s="90"/>
      <c r="AM7" s="357"/>
      <c r="AZ7" s="358"/>
      <c r="BA7" s="359"/>
    </row>
    <row r="8" spans="1:53" s="111" customFormat="1" ht="12.6">
      <c r="A8" s="112"/>
      <c r="B8" s="206" t="s">
        <v>790</v>
      </c>
      <c r="C8" s="367"/>
      <c r="D8" s="197" t="s">
        <v>741</v>
      </c>
      <c r="E8" s="1416" t="str">
        <f>'STANDARD COMP.'!E8:I8</f>
        <v>2L</v>
      </c>
      <c r="F8" s="1417"/>
      <c r="G8" s="1417"/>
      <c r="H8" s="1417"/>
      <c r="I8" s="1418"/>
      <c r="J8" s="203"/>
      <c r="K8" s="206" t="s">
        <v>790</v>
      </c>
      <c r="L8" s="215"/>
      <c r="M8" s="197" t="s">
        <v>741</v>
      </c>
      <c r="N8" s="1419" t="str">
        <f>E8</f>
        <v>2L</v>
      </c>
      <c r="O8" s="1419"/>
      <c r="P8" s="1419"/>
      <c r="Q8" s="1419"/>
      <c r="V8" s="579"/>
      <c r="X8" s="90"/>
      <c r="Y8" s="90"/>
      <c r="AM8" s="357"/>
      <c r="AZ8" s="358"/>
      <c r="BA8" s="359"/>
    </row>
    <row r="9" spans="1:53" s="111" customFormat="1" ht="12.6" hidden="1">
      <c r="A9" s="112"/>
      <c r="B9" s="206" t="s">
        <v>791</v>
      </c>
      <c r="C9" s="367"/>
      <c r="D9" s="197" t="s">
        <v>741</v>
      </c>
      <c r="E9" s="1416" t="e">
        <f>'STANDARD COMP.'!E9:I9</f>
        <v>#REF!</v>
      </c>
      <c r="F9" s="1417"/>
      <c r="G9" s="1417"/>
      <c r="H9" s="1417"/>
      <c r="I9" s="1418"/>
      <c r="J9" s="203"/>
      <c r="K9" s="206" t="s">
        <v>791</v>
      </c>
      <c r="L9" s="215"/>
      <c r="M9" s="197" t="s">
        <v>741</v>
      </c>
      <c r="N9" s="1419" t="str">
        <f>[6]FORM!I14</f>
        <v>TOWER 1</v>
      </c>
      <c r="O9" s="1419"/>
      <c r="P9" s="1419"/>
      <c r="Q9" s="1419"/>
      <c r="V9" s="579"/>
      <c r="X9" s="90"/>
      <c r="Y9" s="90"/>
      <c r="AM9" s="357"/>
      <c r="AZ9" s="358"/>
      <c r="BA9" s="359"/>
    </row>
    <row r="10" spans="1:53" s="111" customFormat="1" ht="12.6">
      <c r="A10" s="112"/>
      <c r="B10" s="206" t="s">
        <v>792</v>
      </c>
      <c r="C10" s="367"/>
      <c r="D10" s="197" t="s">
        <v>741</v>
      </c>
      <c r="E10" s="1416" t="str">
        <f>'STANDARD COMP.'!E10:I10</f>
        <v>Studio</v>
      </c>
      <c r="F10" s="1417"/>
      <c r="G10" s="1417"/>
      <c r="H10" s="1417"/>
      <c r="I10" s="1418"/>
      <c r="J10" s="203"/>
      <c r="K10" s="206" t="s">
        <v>792</v>
      </c>
      <c r="L10" s="215"/>
      <c r="M10" s="197" t="s">
        <v>741</v>
      </c>
      <c r="N10" s="1419" t="str">
        <f>E10</f>
        <v>Studio</v>
      </c>
      <c r="O10" s="1419"/>
      <c r="P10" s="1419"/>
      <c r="Q10" s="1419"/>
      <c r="V10" s="579"/>
      <c r="X10" s="90"/>
      <c r="Y10" s="90"/>
      <c r="AM10" s="357"/>
      <c r="AZ10" s="358"/>
      <c r="BA10" s="359"/>
    </row>
    <row r="11" spans="1:53" s="111" customFormat="1" ht="12.6">
      <c r="A11" s="112"/>
      <c r="B11" s="206" t="s">
        <v>793</v>
      </c>
      <c r="C11" s="367"/>
      <c r="D11" s="197" t="s">
        <v>741</v>
      </c>
      <c r="E11" s="1420">
        <f>'STANDARD COMP.'!E11:F11</f>
        <v>22</v>
      </c>
      <c r="F11" s="1421"/>
      <c r="G11" s="1422" t="s">
        <v>794</v>
      </c>
      <c r="H11" s="1422"/>
      <c r="I11" s="1423"/>
      <c r="J11" s="203"/>
      <c r="K11" s="206" t="s">
        <v>793</v>
      </c>
      <c r="L11" s="215"/>
      <c r="M11" s="197" t="s">
        <v>741</v>
      </c>
      <c r="N11" s="1424">
        <f>E11</f>
        <v>22</v>
      </c>
      <c r="O11" s="1425"/>
      <c r="P11" s="1426" t="s">
        <v>794</v>
      </c>
      <c r="Q11" s="1427"/>
      <c r="V11" s="579"/>
      <c r="X11" s="90"/>
      <c r="Y11" s="90"/>
      <c r="AM11" s="357"/>
      <c r="AZ11" s="358"/>
      <c r="BA11" s="359"/>
    </row>
    <row r="12" spans="1:53" s="111" customFormat="1" ht="12.6">
      <c r="A12" s="112"/>
      <c r="B12" s="215" t="s">
        <v>795</v>
      </c>
      <c r="C12" s="367"/>
      <c r="D12" s="197" t="s">
        <v>741</v>
      </c>
      <c r="E12" s="1420">
        <f>'STANDARD COMP.'!E12:F12</f>
        <v>0</v>
      </c>
      <c r="F12" s="1421"/>
      <c r="G12" s="1422" t="s">
        <v>794</v>
      </c>
      <c r="H12" s="1422"/>
      <c r="I12" s="1423"/>
      <c r="J12" s="203"/>
      <c r="K12" s="215" t="s">
        <v>795</v>
      </c>
      <c r="L12" s="215"/>
      <c r="M12" s="197" t="s">
        <v>741</v>
      </c>
      <c r="N12" s="1430">
        <f>E12</f>
        <v>0</v>
      </c>
      <c r="O12" s="1431"/>
      <c r="P12" s="1426" t="s">
        <v>794</v>
      </c>
      <c r="Q12" s="1427"/>
      <c r="V12" s="579"/>
      <c r="X12" s="90"/>
      <c r="Y12" s="90"/>
      <c r="AM12" s="357"/>
      <c r="AZ12" s="358"/>
      <c r="BA12" s="359"/>
    </row>
    <row r="13" spans="1:53" s="111" customFormat="1" ht="12.6">
      <c r="A13" s="112"/>
      <c r="B13" s="384" t="s">
        <v>796</v>
      </c>
      <c r="C13" s="122"/>
      <c r="D13" s="197" t="s">
        <v>741</v>
      </c>
      <c r="E13" s="1420">
        <f>'STANDARD COMP.'!E13:F13</f>
        <v>22</v>
      </c>
      <c r="F13" s="1421"/>
      <c r="G13" s="1422" t="s">
        <v>794</v>
      </c>
      <c r="H13" s="1422"/>
      <c r="I13" s="1423"/>
      <c r="J13" s="203"/>
      <c r="K13" s="384" t="s">
        <v>796</v>
      </c>
      <c r="L13" s="160"/>
      <c r="M13" s="197" t="s">
        <v>741</v>
      </c>
      <c r="N13" s="1430">
        <f>E13</f>
        <v>22</v>
      </c>
      <c r="O13" s="1431"/>
      <c r="P13" s="1426" t="s">
        <v>794</v>
      </c>
      <c r="Q13" s="1427"/>
      <c r="V13" s="579"/>
      <c r="X13" s="90"/>
      <c r="Y13" s="90"/>
      <c r="AM13" s="357"/>
      <c r="AZ13" s="358"/>
      <c r="BA13" s="359"/>
    </row>
    <row r="14" spans="1:53" s="111" customFormat="1" ht="12.6">
      <c r="B14" s="112"/>
      <c r="C14" s="112"/>
      <c r="D14" s="197"/>
      <c r="E14" s="112"/>
      <c r="F14" s="112"/>
      <c r="G14" s="112"/>
      <c r="H14" s="112"/>
      <c r="I14" s="112"/>
      <c r="M14" s="279"/>
      <c r="V14" s="579"/>
      <c r="X14" s="90"/>
      <c r="Y14" s="90"/>
    </row>
    <row r="15" spans="1:53" s="111" customFormat="1" ht="12.6">
      <c r="B15" s="201" t="s">
        <v>797</v>
      </c>
      <c r="C15" s="366"/>
      <c r="D15" s="203" t="s">
        <v>741</v>
      </c>
      <c r="E15" s="580"/>
      <c r="F15" s="1432">
        <f>'STANDARD COMP.'!F15:I15</f>
        <v>3379693.0676632621</v>
      </c>
      <c r="G15" s="1432"/>
      <c r="H15" s="1432"/>
      <c r="I15" s="1433"/>
      <c r="J15" s="3"/>
      <c r="K15" s="1434" t="s">
        <v>798</v>
      </c>
      <c r="L15" s="1434"/>
      <c r="M15" s="1435" t="s">
        <v>709</v>
      </c>
      <c r="N15" s="1434" t="s">
        <v>712</v>
      </c>
      <c r="O15" s="1434"/>
      <c r="P15" s="1436" t="s">
        <v>458</v>
      </c>
      <c r="Q15" s="1437"/>
      <c r="V15" s="579"/>
      <c r="X15" s="90"/>
      <c r="Y15" s="90"/>
    </row>
    <row r="16" spans="1:53" s="3" customFormat="1" ht="12.6">
      <c r="B16" s="206" t="s">
        <v>799</v>
      </c>
      <c r="C16" s="215"/>
      <c r="D16" s="197" t="s">
        <v>741</v>
      </c>
      <c r="E16" s="581"/>
      <c r="F16" s="1432">
        <f>'STANDARD COMP.'!F16:I16</f>
        <v>0</v>
      </c>
      <c r="G16" s="1432"/>
      <c r="H16" s="1432"/>
      <c r="I16" s="1433"/>
      <c r="J16" s="111"/>
      <c r="K16" s="1434"/>
      <c r="L16" s="1434"/>
      <c r="M16" s="1435"/>
      <c r="N16" s="1434"/>
      <c r="O16" s="1434"/>
      <c r="P16" s="1438"/>
      <c r="Q16" s="1439"/>
      <c r="V16" s="582"/>
      <c r="W16" s="3">
        <f>SUM(F29:F31)</f>
        <v>0</v>
      </c>
      <c r="X16" s="583"/>
      <c r="Y16" s="583"/>
    </row>
    <row r="17" spans="1:31" s="111" customFormat="1" ht="12.6">
      <c r="B17" s="165" t="s">
        <v>800</v>
      </c>
      <c r="C17" s="122"/>
      <c r="D17" s="203" t="s">
        <v>741</v>
      </c>
      <c r="E17" s="584"/>
      <c r="F17" s="1440">
        <f>F15-F16</f>
        <v>3379693.0676632621</v>
      </c>
      <c r="G17" s="1432"/>
      <c r="H17" s="1432"/>
      <c r="I17" s="1433"/>
      <c r="J17" s="3"/>
      <c r="K17" s="1419" t="s">
        <v>758</v>
      </c>
      <c r="L17" s="1419"/>
      <c r="M17" s="378">
        <f>C1</f>
        <v>45901</v>
      </c>
      <c r="N17" s="1441">
        <f>F25</f>
        <v>30000</v>
      </c>
      <c r="O17" s="1441"/>
      <c r="P17" s="1442"/>
      <c r="Q17" s="1443"/>
      <c r="T17" s="1444" t="s">
        <v>801</v>
      </c>
      <c r="U17" s="1445"/>
      <c r="V17" s="585">
        <f>C1</f>
        <v>45901</v>
      </c>
      <c r="W17" s="579">
        <f>EDATE(V17,W16)</f>
        <v>45901</v>
      </c>
      <c r="X17" s="90"/>
      <c r="Y17" s="90"/>
    </row>
    <row r="18" spans="1:31" s="3" customFormat="1" ht="12.6">
      <c r="B18" s="212"/>
      <c r="C18" s="112"/>
      <c r="D18" s="197"/>
      <c r="E18" s="369"/>
      <c r="F18" s="586"/>
      <c r="G18" s="586"/>
      <c r="H18" s="586"/>
      <c r="I18" s="467"/>
      <c r="J18" s="111"/>
      <c r="K18" s="1419">
        <f t="shared" ref="K18:K58" si="0">IF(N18&gt;1,T18,0)</f>
        <v>0</v>
      </c>
      <c r="L18" s="1419"/>
      <c r="M18" s="496" t="str">
        <f t="shared" ref="M18:M58" si="1">IF(N18&gt;1,V18,"")</f>
        <v/>
      </c>
      <c r="N18" s="1446"/>
      <c r="O18" s="1446"/>
      <c r="P18" s="1442"/>
      <c r="Q18" s="1443"/>
      <c r="T18" s="1419" t="s">
        <v>802</v>
      </c>
      <c r="U18" s="1419"/>
      <c r="V18" s="587">
        <f>IF(DAY(V17)=31,X21,Z21)</f>
        <v>45935</v>
      </c>
      <c r="X18" s="1"/>
      <c r="Y18" s="1"/>
    </row>
    <row r="19" spans="1:31" s="111" customFormat="1" ht="12.95">
      <c r="B19" s="215" t="s">
        <v>803</v>
      </c>
      <c r="C19" s="215"/>
      <c r="D19" s="197" t="s">
        <v>741</v>
      </c>
      <c r="E19" s="216">
        <v>0.12</v>
      </c>
      <c r="F19" s="1453">
        <f>'STANDARD COMP.'!F19:I19</f>
        <v>0</v>
      </c>
      <c r="G19" s="1454"/>
      <c r="H19" s="1454"/>
      <c r="I19" s="1455"/>
      <c r="K19" s="1419">
        <f t="shared" si="0"/>
        <v>0</v>
      </c>
      <c r="L19" s="1419"/>
      <c r="M19" s="496" t="str">
        <f t="shared" si="1"/>
        <v/>
      </c>
      <c r="N19" s="1447"/>
      <c r="O19" s="1448"/>
      <c r="P19" s="1442"/>
      <c r="Q19" s="1443"/>
      <c r="T19" s="1442" t="s">
        <v>804</v>
      </c>
      <c r="U19" s="1443"/>
      <c r="V19" s="588">
        <f t="shared" ref="V19:V59" si="2">IF(AND(DAY(V18)&gt;=6,DAY(V18)&lt;=20),DATE(YEAR(V18),MONTH(V18)+1,DAY(20)),IF(AND(DAY(V18)&gt;=21,DAY(V18)&lt;=30),DATE(YEAR(V18),MONTH(V18)+1,IF(DAY(EOMONTH(V18,1))&lt;30,DAY(EOMONTH(V18,1)),DAY(30))),DATE(YEAR(V18),MONTH(V18)+1,DAY(5))))</f>
        <v>45966</v>
      </c>
      <c r="X19" s="1456" t="s">
        <v>805</v>
      </c>
      <c r="Y19" s="1456"/>
      <c r="AD19" s="1442"/>
      <c r="AE19" s="1443"/>
    </row>
    <row r="20" spans="1:31" s="111" customFormat="1" ht="12.6">
      <c r="B20" s="384" t="s">
        <v>806</v>
      </c>
      <c r="C20" s="160"/>
      <c r="D20" s="197" t="s">
        <v>741</v>
      </c>
      <c r="E20" s="589"/>
      <c r="F20" s="1451">
        <f>'STANDARD COMP.'!F20:I20</f>
        <v>464707.79680369853</v>
      </c>
      <c r="G20" s="1451"/>
      <c r="H20" s="1451"/>
      <c r="I20" s="1452"/>
      <c r="K20" s="1419">
        <f t="shared" si="0"/>
        <v>0</v>
      </c>
      <c r="L20" s="1419"/>
      <c r="M20" s="496" t="str">
        <f t="shared" si="1"/>
        <v/>
      </c>
      <c r="N20" s="1447"/>
      <c r="O20" s="1448"/>
      <c r="P20" s="1442"/>
      <c r="Q20" s="1443"/>
      <c r="T20" s="1419" t="s">
        <v>807</v>
      </c>
      <c r="U20" s="1419"/>
      <c r="V20" s="588">
        <f t="shared" si="2"/>
        <v>45996</v>
      </c>
      <c r="W20" s="590" t="s">
        <v>37</v>
      </c>
      <c r="X20" s="1449" t="b">
        <f>IF(DAY(V17)=31,DATE(YEAR(W17),MONTH(W17)+2,DAY(5)))</f>
        <v>0</v>
      </c>
      <c r="Y20" s="1450"/>
      <c r="Z20" s="591">
        <f>IF(AND(DAY(W17)&gt;=6,DAY(W17)&lt;=20),DATE(YEAR(W17),MONTH(W17)+1,DAY(20)),IF(AND(DAY(W17)&gt;=21,DAY(W17)&lt;=31),DATE(YEAR(W17),MONTH(W17)+1,IF(DAY(EOMONTH(W17,1))&lt;30,DAY(EOMONTH(W17,1)),DAY(30))),DATE(YEAR(W17),MONTH(W17)+1,DAY(5))))</f>
        <v>45935</v>
      </c>
      <c r="AD20" s="1442"/>
      <c r="AE20" s="1443"/>
    </row>
    <row r="21" spans="1:31" s="111" customFormat="1" ht="12.6">
      <c r="B21" s="212"/>
      <c r="C21" s="112"/>
      <c r="D21" s="197"/>
      <c r="E21" s="592"/>
      <c r="F21" s="593"/>
      <c r="G21" s="594"/>
      <c r="H21" s="594"/>
      <c r="I21" s="217"/>
      <c r="K21" s="1419">
        <f t="shared" si="0"/>
        <v>0</v>
      </c>
      <c r="L21" s="1419"/>
      <c r="M21" s="496" t="str">
        <f t="shared" si="1"/>
        <v/>
      </c>
      <c r="N21" s="1447"/>
      <c r="O21" s="1448"/>
      <c r="P21" s="1442"/>
      <c r="Q21" s="1443"/>
      <c r="T21" s="1419" t="s">
        <v>808</v>
      </c>
      <c r="U21" s="1419"/>
      <c r="V21" s="588">
        <f t="shared" si="2"/>
        <v>46027</v>
      </c>
      <c r="W21" s="590" t="s">
        <v>809</v>
      </c>
      <c r="X21" s="1449" t="b">
        <f>IF(DAY(V17)=31,DATE(YEAR(V17),MONTH(V17)+2,DAY(5)))</f>
        <v>0</v>
      </c>
      <c r="Y21" s="1450"/>
      <c r="Z21" s="591">
        <f>IF(AND(DAY(V17)&gt;=6,DAY(V17)&lt;=20),DATE(YEAR(V17),MONTH(V17)+1,DAY(20)),IF(AND(DAY(V17)&gt;=21,DAY(V17)&lt;=30),DATE(YEAR(V17),MONTH(V17)+1,IF(DAY(EOMONTH(V17,1))&lt;31,DAY(EOMONTH(V17,1)),DAY(30))),DATE(YEAR(V17),MONTH(V17)+1,DAY(5))))</f>
        <v>45935</v>
      </c>
      <c r="AD21" s="1442"/>
      <c r="AE21" s="1443"/>
    </row>
    <row r="22" spans="1:31" s="111" customFormat="1" ht="12.95">
      <c r="B22" s="165" t="s">
        <v>810</v>
      </c>
      <c r="C22" s="122"/>
      <c r="D22" s="203" t="s">
        <v>741</v>
      </c>
      <c r="E22" s="465"/>
      <c r="F22" s="1457">
        <f>SUM(F19:I20,F17)</f>
        <v>3844400.8644669605</v>
      </c>
      <c r="G22" s="1457"/>
      <c r="H22" s="1457"/>
      <c r="I22" s="1458"/>
      <c r="K22" s="1419">
        <f t="shared" si="0"/>
        <v>0</v>
      </c>
      <c r="L22" s="1419"/>
      <c r="M22" s="496" t="str">
        <f t="shared" si="1"/>
        <v/>
      </c>
      <c r="N22" s="1447"/>
      <c r="O22" s="1448"/>
      <c r="P22" s="1442"/>
      <c r="Q22" s="1443"/>
      <c r="T22" s="1419" t="s">
        <v>811</v>
      </c>
      <c r="U22" s="1419"/>
      <c r="V22" s="588">
        <f t="shared" si="2"/>
        <v>46058</v>
      </c>
      <c r="X22" s="1456"/>
      <c r="Y22" s="1456"/>
      <c r="AD22" s="1442"/>
      <c r="AE22" s="1443"/>
    </row>
    <row r="23" spans="1:31" s="111" customFormat="1" ht="12.95">
      <c r="A23" s="3"/>
      <c r="B23" s="212"/>
      <c r="C23" s="112"/>
      <c r="D23" s="197"/>
      <c r="E23" s="197"/>
      <c r="F23" s="214"/>
      <c r="G23" s="214"/>
      <c r="H23" s="214"/>
      <c r="I23" s="112"/>
      <c r="J23" s="3"/>
      <c r="K23" s="1419">
        <f t="shared" si="0"/>
        <v>0</v>
      </c>
      <c r="L23" s="1419"/>
      <c r="M23" s="496" t="str">
        <f t="shared" si="1"/>
        <v/>
      </c>
      <c r="N23" s="1447"/>
      <c r="O23" s="1448"/>
      <c r="P23" s="1442"/>
      <c r="Q23" s="1443"/>
      <c r="T23" s="1419" t="s">
        <v>812</v>
      </c>
      <c r="U23" s="1419"/>
      <c r="V23" s="588">
        <f t="shared" si="2"/>
        <v>46086</v>
      </c>
      <c r="X23" s="1456"/>
      <c r="Y23" s="1456"/>
      <c r="AD23" s="1442"/>
      <c r="AE23" s="1443"/>
    </row>
    <row r="24" spans="1:31" s="3" customFormat="1" ht="12.95">
      <c r="A24" s="111"/>
      <c r="B24" s="165" t="s">
        <v>813</v>
      </c>
      <c r="C24" s="366"/>
      <c r="D24" s="203" t="s">
        <v>741</v>
      </c>
      <c r="E24" s="462">
        <f>'STANDARD COMP.'!E24</f>
        <v>0.125</v>
      </c>
      <c r="F24" s="1440">
        <f>F22*E24</f>
        <v>480550.10805837007</v>
      </c>
      <c r="G24" s="1432"/>
      <c r="H24" s="1432"/>
      <c r="I24" s="1433"/>
      <c r="J24" s="111"/>
      <c r="K24" s="1419">
        <f t="shared" si="0"/>
        <v>0</v>
      </c>
      <c r="L24" s="1419"/>
      <c r="M24" s="496" t="str">
        <f t="shared" si="1"/>
        <v/>
      </c>
      <c r="N24" s="1447"/>
      <c r="O24" s="1448"/>
      <c r="P24" s="1442"/>
      <c r="Q24" s="1443"/>
      <c r="T24" s="1419" t="s">
        <v>814</v>
      </c>
      <c r="U24" s="1419"/>
      <c r="V24" s="588">
        <f t="shared" si="2"/>
        <v>46117</v>
      </c>
      <c r="X24" s="1456"/>
      <c r="Y24" s="1456"/>
      <c r="AD24" s="1442"/>
      <c r="AE24" s="1443"/>
    </row>
    <row r="25" spans="1:31" s="111" customFormat="1" ht="12.95">
      <c r="B25" s="206" t="s">
        <v>815</v>
      </c>
      <c r="C25" s="215"/>
      <c r="D25" s="197" t="s">
        <v>741</v>
      </c>
      <c r="E25" s="388"/>
      <c r="F25" s="1453">
        <f>'STANDARD COMP.'!F25</f>
        <v>30000</v>
      </c>
      <c r="G25" s="1454"/>
      <c r="H25" s="1454"/>
      <c r="I25" s="1455"/>
      <c r="K25" s="1419">
        <f t="shared" si="0"/>
        <v>0</v>
      </c>
      <c r="L25" s="1419"/>
      <c r="M25" s="496" t="str">
        <f t="shared" si="1"/>
        <v/>
      </c>
      <c r="N25" s="1447"/>
      <c r="O25" s="1448"/>
      <c r="P25" s="1442"/>
      <c r="Q25" s="1443"/>
      <c r="T25" s="1419" t="s">
        <v>816</v>
      </c>
      <c r="U25" s="1419"/>
      <c r="V25" s="588">
        <f t="shared" si="2"/>
        <v>46147</v>
      </c>
      <c r="X25" s="1456"/>
      <c r="Y25" s="1456"/>
      <c r="AD25" s="1442"/>
      <c r="AE25" s="1443"/>
    </row>
    <row r="26" spans="1:31" s="111" customFormat="1" ht="12.95">
      <c r="A26" s="3"/>
      <c r="B26" s="165" t="s">
        <v>817</v>
      </c>
      <c r="C26" s="122"/>
      <c r="D26" s="203" t="s">
        <v>741</v>
      </c>
      <c r="E26" s="385"/>
      <c r="F26" s="1440">
        <f>F24-F25</f>
        <v>450550.10805837007</v>
      </c>
      <c r="G26" s="1432"/>
      <c r="H26" s="1432"/>
      <c r="I26" s="1433"/>
      <c r="J26" s="3"/>
      <c r="K26" s="1419">
        <f t="shared" si="0"/>
        <v>0</v>
      </c>
      <c r="L26" s="1419"/>
      <c r="M26" s="496" t="str">
        <f t="shared" si="1"/>
        <v/>
      </c>
      <c r="N26" s="1446"/>
      <c r="O26" s="1446"/>
      <c r="P26" s="1442"/>
      <c r="Q26" s="1443"/>
      <c r="T26" s="1419" t="s">
        <v>818</v>
      </c>
      <c r="U26" s="1419"/>
      <c r="V26" s="588">
        <f t="shared" si="2"/>
        <v>46178</v>
      </c>
      <c r="X26" s="1456"/>
      <c r="Y26" s="1456"/>
      <c r="AD26" s="1442"/>
      <c r="AE26" s="1443"/>
    </row>
    <row r="27" spans="1:31" s="3" customFormat="1" ht="12.95">
      <c r="B27" s="212"/>
      <c r="C27" s="112"/>
      <c r="D27" s="197"/>
      <c r="E27" s="197"/>
      <c r="F27" s="214"/>
      <c r="G27" s="214"/>
      <c r="H27" s="214"/>
      <c r="I27" s="114"/>
      <c r="J27" s="595"/>
      <c r="K27" s="1419">
        <f t="shared" si="0"/>
        <v>0</v>
      </c>
      <c r="L27" s="1419"/>
      <c r="M27" s="496" t="str">
        <f t="shared" si="1"/>
        <v/>
      </c>
      <c r="N27" s="1446"/>
      <c r="O27" s="1446"/>
      <c r="P27" s="1442"/>
      <c r="Q27" s="1443"/>
      <c r="R27" s="3" t="s">
        <v>757</v>
      </c>
      <c r="T27" s="1419" t="s">
        <v>819</v>
      </c>
      <c r="U27" s="1419"/>
      <c r="V27" s="588">
        <f t="shared" si="2"/>
        <v>46208</v>
      </c>
      <c r="X27" s="1456"/>
      <c r="Y27" s="1456"/>
      <c r="AD27" s="1442"/>
      <c r="AE27" s="1443"/>
    </row>
    <row r="28" spans="1:31" s="3" customFormat="1" ht="12.95">
      <c r="B28" s="1461" t="s">
        <v>820</v>
      </c>
      <c r="C28" s="1461"/>
      <c r="D28" s="203"/>
      <c r="E28" s="596" t="s">
        <v>771</v>
      </c>
      <c r="F28" s="597" t="s">
        <v>770</v>
      </c>
      <c r="G28" s="1462" t="s">
        <v>821</v>
      </c>
      <c r="H28" s="1462"/>
      <c r="I28" s="1462"/>
      <c r="K28" s="1419">
        <f t="shared" si="0"/>
        <v>0</v>
      </c>
      <c r="L28" s="1419"/>
      <c r="M28" s="496" t="str">
        <f t="shared" si="1"/>
        <v/>
      </c>
      <c r="N28" s="1446"/>
      <c r="O28" s="1446"/>
      <c r="P28" s="1442"/>
      <c r="Q28" s="1443"/>
      <c r="T28" s="1419" t="s">
        <v>822</v>
      </c>
      <c r="U28" s="1419"/>
      <c r="V28" s="588">
        <f t="shared" si="2"/>
        <v>46239</v>
      </c>
      <c r="X28" s="1456"/>
      <c r="Y28" s="1456"/>
      <c r="AD28" s="1442"/>
      <c r="AE28" s="1443"/>
    </row>
    <row r="29" spans="1:31" s="3" customFormat="1" ht="12.95">
      <c r="A29" s="111"/>
      <c r="B29" s="1459">
        <f>FORM!K39</f>
        <v>0</v>
      </c>
      <c r="C29" s="1459"/>
      <c r="D29" s="203" t="s">
        <v>741</v>
      </c>
      <c r="E29" s="598">
        <f>FORM!T39</f>
        <v>0.25</v>
      </c>
      <c r="F29" s="599">
        <f>FORM!P39</f>
        <v>0</v>
      </c>
      <c r="G29" s="1460" t="e">
        <f>F26*E29/F29</f>
        <v>#DIV/0!</v>
      </c>
      <c r="H29" s="1460"/>
      <c r="I29" s="1460"/>
      <c r="J29" s="111"/>
      <c r="K29" s="1419">
        <f t="shared" si="0"/>
        <v>0</v>
      </c>
      <c r="L29" s="1419"/>
      <c r="M29" s="496" t="str">
        <f t="shared" si="1"/>
        <v/>
      </c>
      <c r="N29" s="1446"/>
      <c r="O29" s="1446"/>
      <c r="P29" s="1442"/>
      <c r="Q29" s="1443"/>
      <c r="T29" s="1419" t="s">
        <v>823</v>
      </c>
      <c r="U29" s="1419"/>
      <c r="V29" s="588">
        <f t="shared" si="2"/>
        <v>46270</v>
      </c>
      <c r="X29" s="1456"/>
      <c r="Y29" s="1456"/>
      <c r="AD29" s="1442"/>
      <c r="AE29" s="1443"/>
    </row>
    <row r="30" spans="1:31" s="111" customFormat="1" ht="12.95">
      <c r="A30" s="3"/>
      <c r="B30" s="1459">
        <f>FORM!K40</f>
        <v>0</v>
      </c>
      <c r="C30" s="1459"/>
      <c r="D30" s="203" t="s">
        <v>741</v>
      </c>
      <c r="E30" s="598">
        <f>FORM!T40</f>
        <v>0.35</v>
      </c>
      <c r="F30" s="599">
        <f>FORM!P40</f>
        <v>0</v>
      </c>
      <c r="G30" s="1460" t="e">
        <f>F26*E30/F30</f>
        <v>#DIV/0!</v>
      </c>
      <c r="H30" s="1460"/>
      <c r="I30" s="1460"/>
      <c r="J30" s="3"/>
      <c r="K30" s="1419">
        <f t="shared" si="0"/>
        <v>0</v>
      </c>
      <c r="L30" s="1419"/>
      <c r="M30" s="496" t="str">
        <f t="shared" si="1"/>
        <v/>
      </c>
      <c r="N30" s="1446"/>
      <c r="O30" s="1446"/>
      <c r="P30" s="1442"/>
      <c r="Q30" s="1443"/>
      <c r="R30" s="3"/>
      <c r="S30" s="3"/>
      <c r="T30" s="1419" t="s">
        <v>824</v>
      </c>
      <c r="U30" s="1419"/>
      <c r="V30" s="588">
        <f t="shared" si="2"/>
        <v>46300</v>
      </c>
      <c r="X30" s="1456"/>
      <c r="Y30" s="1456"/>
      <c r="AD30" s="1442"/>
      <c r="AE30" s="1443"/>
    </row>
    <row r="31" spans="1:31" s="3" customFormat="1" ht="12.95">
      <c r="A31" s="111"/>
      <c r="B31" s="1459">
        <f>FORM!K41</f>
        <v>0</v>
      </c>
      <c r="C31" s="1459"/>
      <c r="D31" s="203" t="s">
        <v>741</v>
      </c>
      <c r="E31" s="598">
        <f>FORM!T41</f>
        <v>0.4</v>
      </c>
      <c r="F31" s="599">
        <f>FORM!P41</f>
        <v>0</v>
      </c>
      <c r="G31" s="1460" t="e">
        <f>F26*E31/F31</f>
        <v>#DIV/0!</v>
      </c>
      <c r="H31" s="1460"/>
      <c r="I31" s="1460"/>
      <c r="J31" s="111"/>
      <c r="K31" s="1419">
        <f t="shared" si="0"/>
        <v>0</v>
      </c>
      <c r="L31" s="1419"/>
      <c r="M31" s="496" t="str">
        <f t="shared" si="1"/>
        <v/>
      </c>
      <c r="N31" s="1446"/>
      <c r="O31" s="1446"/>
      <c r="P31" s="1442"/>
      <c r="Q31" s="1443"/>
      <c r="T31" s="1419" t="s">
        <v>825</v>
      </c>
      <c r="U31" s="1419"/>
      <c r="V31" s="588">
        <f t="shared" si="2"/>
        <v>46331</v>
      </c>
      <c r="X31" s="1456"/>
      <c r="Y31" s="1456"/>
      <c r="AD31" s="1442"/>
      <c r="AE31" s="1443"/>
    </row>
    <row r="32" spans="1:31" s="111" customFormat="1" ht="12.95">
      <c r="A32" s="3"/>
      <c r="B32" s="309"/>
      <c r="C32" s="309"/>
      <c r="D32" s="197"/>
      <c r="E32" s="197"/>
      <c r="F32" s="600">
        <f>SUM(F29:F31)</f>
        <v>0</v>
      </c>
      <c r="G32" s="278"/>
      <c r="H32" s="278"/>
      <c r="I32" s="112"/>
      <c r="J32" s="3"/>
      <c r="K32" s="1419">
        <f t="shared" si="0"/>
        <v>0</v>
      </c>
      <c r="L32" s="1419"/>
      <c r="M32" s="496" t="str">
        <f t="shared" si="1"/>
        <v/>
      </c>
      <c r="N32" s="1446"/>
      <c r="O32" s="1446"/>
      <c r="P32" s="1442"/>
      <c r="Q32" s="1443"/>
      <c r="R32" s="3"/>
      <c r="S32" s="3"/>
      <c r="T32" s="1419" t="s">
        <v>826</v>
      </c>
      <c r="U32" s="1419"/>
      <c r="V32" s="588">
        <f t="shared" si="2"/>
        <v>46361</v>
      </c>
      <c r="X32" s="1456"/>
      <c r="Y32" s="1456"/>
      <c r="AD32" s="1442"/>
      <c r="AE32" s="1443"/>
    </row>
    <row r="33" spans="1:31" s="3" customFormat="1" ht="12.95">
      <c r="A33" s="111"/>
      <c r="B33" s="165" t="s">
        <v>827</v>
      </c>
      <c r="C33" s="122"/>
      <c r="D33" s="203" t="s">
        <v>741</v>
      </c>
      <c r="E33" s="462">
        <f>100%-E24</f>
        <v>0.875</v>
      </c>
      <c r="F33" s="1440">
        <f>F22*E33</f>
        <v>3363850.7564085904</v>
      </c>
      <c r="G33" s="1432"/>
      <c r="H33" s="1432"/>
      <c r="I33" s="1433"/>
      <c r="J33" s="111"/>
      <c r="K33" s="1419">
        <f t="shared" si="0"/>
        <v>0</v>
      </c>
      <c r="L33" s="1419"/>
      <c r="M33" s="496" t="str">
        <f t="shared" si="1"/>
        <v/>
      </c>
      <c r="N33" s="1446"/>
      <c r="O33" s="1446"/>
      <c r="P33" s="1442"/>
      <c r="Q33" s="1443"/>
      <c r="T33" s="1419" t="s">
        <v>828</v>
      </c>
      <c r="U33" s="1419"/>
      <c r="V33" s="588">
        <f t="shared" si="2"/>
        <v>46392</v>
      </c>
      <c r="X33" s="1456"/>
      <c r="Y33" s="1456"/>
      <c r="AD33" s="1442"/>
      <c r="AE33" s="1443"/>
    </row>
    <row r="34" spans="1:31" s="111" customFormat="1" ht="12.95">
      <c r="B34" s="212"/>
      <c r="C34" s="112"/>
      <c r="D34" s="197"/>
      <c r="E34" s="112"/>
      <c r="F34" s="112"/>
      <c r="G34" s="112"/>
      <c r="H34" s="112"/>
      <c r="I34" s="112"/>
      <c r="K34" s="1419">
        <f t="shared" si="0"/>
        <v>0</v>
      </c>
      <c r="L34" s="1419"/>
      <c r="M34" s="496" t="str">
        <f t="shared" si="1"/>
        <v/>
      </c>
      <c r="N34" s="1446"/>
      <c r="O34" s="1446"/>
      <c r="P34" s="1442"/>
      <c r="Q34" s="1443"/>
      <c r="T34" s="1419" t="s">
        <v>829</v>
      </c>
      <c r="U34" s="1419"/>
      <c r="V34" s="588">
        <f t="shared" si="2"/>
        <v>46423</v>
      </c>
      <c r="X34" s="1456"/>
      <c r="Y34" s="1456"/>
      <c r="AD34" s="1442"/>
      <c r="AE34" s="1443"/>
    </row>
    <row r="35" spans="1:31" s="111" customFormat="1" ht="12.95">
      <c r="A35" s="3"/>
      <c r="B35" s="122" t="s">
        <v>830</v>
      </c>
      <c r="C35" s="122"/>
      <c r="D35" s="309"/>
      <c r="E35" s="309"/>
      <c r="F35" s="309"/>
      <c r="G35" s="309"/>
      <c r="H35" s="309"/>
      <c r="I35" s="309"/>
      <c r="J35" s="3"/>
      <c r="K35" s="1419">
        <f t="shared" si="0"/>
        <v>0</v>
      </c>
      <c r="L35" s="1419"/>
      <c r="M35" s="496" t="str">
        <f t="shared" si="1"/>
        <v/>
      </c>
      <c r="N35" s="1446"/>
      <c r="O35" s="1446"/>
      <c r="P35" s="1442"/>
      <c r="Q35" s="1443"/>
      <c r="T35" s="1419" t="s">
        <v>831</v>
      </c>
      <c r="U35" s="1419"/>
      <c r="V35" s="588">
        <f t="shared" si="2"/>
        <v>46451</v>
      </c>
      <c r="X35" s="1456"/>
      <c r="Y35" s="1456"/>
      <c r="AD35" s="1442"/>
      <c r="AE35" s="1443"/>
    </row>
    <row r="36" spans="1:31" s="3" customFormat="1" ht="12.95">
      <c r="A36" s="111"/>
      <c r="B36" s="718"/>
      <c r="C36" s="718"/>
      <c r="D36" s="718"/>
      <c r="E36" s="718"/>
      <c r="F36" s="718"/>
      <c r="G36" s="718"/>
      <c r="H36" s="718"/>
      <c r="I36" s="718"/>
      <c r="J36" s="111"/>
      <c r="K36" s="1419">
        <f t="shared" si="0"/>
        <v>0</v>
      </c>
      <c r="L36" s="1419"/>
      <c r="M36" s="496" t="str">
        <f t="shared" si="1"/>
        <v/>
      </c>
      <c r="N36" s="1446"/>
      <c r="O36" s="1446"/>
      <c r="P36" s="1442"/>
      <c r="Q36" s="1443"/>
      <c r="T36" s="1419" t="s">
        <v>832</v>
      </c>
      <c r="U36" s="1419"/>
      <c r="V36" s="588">
        <f t="shared" si="2"/>
        <v>46482</v>
      </c>
      <c r="X36" s="1456"/>
      <c r="Y36" s="1456"/>
      <c r="AD36" s="1442"/>
      <c r="AE36" s="1443"/>
    </row>
    <row r="37" spans="1:31" s="111" customFormat="1" ht="12.95">
      <c r="B37" s="719" t="s">
        <v>833</v>
      </c>
      <c r="C37" s="719" t="s">
        <v>352</v>
      </c>
      <c r="D37" s="1467" t="s">
        <v>834</v>
      </c>
      <c r="E37" s="1467"/>
      <c r="F37" s="719" t="s">
        <v>835</v>
      </c>
      <c r="G37" s="1468" t="s">
        <v>836</v>
      </c>
      <c r="H37" s="1469"/>
      <c r="I37" s="1470"/>
      <c r="K37" s="1419">
        <f t="shared" si="0"/>
        <v>0</v>
      </c>
      <c r="L37" s="1419"/>
      <c r="M37" s="496" t="str">
        <f t="shared" si="1"/>
        <v/>
      </c>
      <c r="N37" s="1446"/>
      <c r="O37" s="1446"/>
      <c r="P37" s="1442"/>
      <c r="Q37" s="1443"/>
      <c r="T37" s="1419" t="s">
        <v>837</v>
      </c>
      <c r="U37" s="1419"/>
      <c r="V37" s="588">
        <f t="shared" si="2"/>
        <v>46512</v>
      </c>
      <c r="X37" s="1456"/>
      <c r="Y37" s="1456"/>
      <c r="AD37" s="1442"/>
      <c r="AE37" s="1443"/>
    </row>
    <row r="38" spans="1:31" s="111" customFormat="1" ht="12.95">
      <c r="B38" s="601">
        <v>5</v>
      </c>
      <c r="C38" s="602">
        <f>'STANDARD COMP.'!C35</f>
        <v>7.0000000000000007E-2</v>
      </c>
      <c r="D38" s="1463">
        <f>PMT(C38/12,B38*12,-1)</f>
        <v>1.9801198540349535E-2</v>
      </c>
      <c r="E38" s="1463"/>
      <c r="F38" s="603">
        <f>D38*F33</f>
        <v>66608.276687751451</v>
      </c>
      <c r="G38" s="1464">
        <f>F38/0.33</f>
        <v>201843.26269015591</v>
      </c>
      <c r="H38" s="1465"/>
      <c r="I38" s="1466"/>
      <c r="K38" s="1419">
        <f t="shared" si="0"/>
        <v>0</v>
      </c>
      <c r="L38" s="1419"/>
      <c r="M38" s="496" t="str">
        <f t="shared" si="1"/>
        <v/>
      </c>
      <c r="N38" s="1446"/>
      <c r="O38" s="1446"/>
      <c r="P38" s="1442"/>
      <c r="Q38" s="1443"/>
      <c r="T38" s="1419" t="s">
        <v>838</v>
      </c>
      <c r="U38" s="1419"/>
      <c r="V38" s="588">
        <f t="shared" si="2"/>
        <v>46543</v>
      </c>
      <c r="X38" s="1456"/>
      <c r="Y38" s="1456"/>
      <c r="AD38" s="1442"/>
      <c r="AE38" s="1443"/>
    </row>
    <row r="39" spans="1:31" s="111" customFormat="1" ht="12.95">
      <c r="B39" s="601">
        <v>10</v>
      </c>
      <c r="C39" s="602">
        <f>'STANDARD COMP.'!C36</f>
        <v>7.0000000000000007E-2</v>
      </c>
      <c r="D39" s="1463">
        <f>PMT(C39/12,B39*12,-1)</f>
        <v>1.1610847921862406E-2</v>
      </c>
      <c r="E39" s="1463"/>
      <c r="F39" s="603">
        <f>D39*F33</f>
        <v>39057.159564501962</v>
      </c>
      <c r="G39" s="1464">
        <f>F39/0.33</f>
        <v>118355.02898333927</v>
      </c>
      <c r="H39" s="1465"/>
      <c r="I39" s="1466"/>
      <c r="K39" s="1419">
        <f t="shared" si="0"/>
        <v>0</v>
      </c>
      <c r="L39" s="1419"/>
      <c r="M39" s="496" t="str">
        <f t="shared" si="1"/>
        <v/>
      </c>
      <c r="N39" s="1446"/>
      <c r="O39" s="1446"/>
      <c r="P39" s="1442"/>
      <c r="Q39" s="1443"/>
      <c r="T39" s="1419" t="s">
        <v>839</v>
      </c>
      <c r="U39" s="1419"/>
      <c r="V39" s="588">
        <f t="shared" si="2"/>
        <v>46573</v>
      </c>
      <c r="X39" s="1456"/>
      <c r="Y39" s="1456"/>
      <c r="AD39" s="1442"/>
      <c r="AE39" s="1443"/>
    </row>
    <row r="40" spans="1:31" s="111" customFormat="1" ht="12.95">
      <c r="B40" s="601">
        <v>15</v>
      </c>
      <c r="C40" s="602">
        <f>'STANDARD COMP.'!C37</f>
        <v>7.0000000000000007E-2</v>
      </c>
      <c r="D40" s="1463">
        <f>PMT(C40/12,B40*12,-1)</f>
        <v>8.988282708524269E-3</v>
      </c>
      <c r="E40" s="1463"/>
      <c r="F40" s="603">
        <f>D40*F33</f>
        <v>30235.241587883615</v>
      </c>
      <c r="G40" s="1464">
        <f>F40/0.33</f>
        <v>91621.944205707914</v>
      </c>
      <c r="H40" s="1465"/>
      <c r="I40" s="1466"/>
      <c r="K40" s="1419">
        <f t="shared" si="0"/>
        <v>0</v>
      </c>
      <c r="L40" s="1419"/>
      <c r="M40" s="496" t="str">
        <f t="shared" si="1"/>
        <v/>
      </c>
      <c r="N40" s="1446"/>
      <c r="O40" s="1446"/>
      <c r="P40" s="1442"/>
      <c r="Q40" s="1443"/>
      <c r="T40" s="1419" t="s">
        <v>840</v>
      </c>
      <c r="U40" s="1419"/>
      <c r="V40" s="588">
        <f t="shared" si="2"/>
        <v>46604</v>
      </c>
      <c r="X40" s="1456"/>
      <c r="Y40" s="1456"/>
      <c r="AD40" s="1442"/>
      <c r="AE40" s="1443"/>
    </row>
    <row r="41" spans="1:31" s="111" customFormat="1" ht="12.95">
      <c r="B41" s="601">
        <v>20</v>
      </c>
      <c r="C41" s="602">
        <f>'STANDARD COMP.'!C38</f>
        <v>7.0000000000000007E-2</v>
      </c>
      <c r="D41" s="1472">
        <f>PMT(C41/12,B41*12,-1)</f>
        <v>7.7529893561887461E-3</v>
      </c>
      <c r="E41" s="1472"/>
      <c r="F41" s="603">
        <f>D41*F33</f>
        <v>26079.899110243263</v>
      </c>
      <c r="G41" s="1464">
        <f>F41/0.33</f>
        <v>79029.997303767464</v>
      </c>
      <c r="H41" s="1465"/>
      <c r="I41" s="1466"/>
      <c r="K41" s="1419">
        <f t="shared" si="0"/>
        <v>0</v>
      </c>
      <c r="L41" s="1419"/>
      <c r="M41" s="496" t="str">
        <f t="shared" si="1"/>
        <v/>
      </c>
      <c r="N41" s="1446"/>
      <c r="O41" s="1446"/>
      <c r="P41" s="1442"/>
      <c r="Q41" s="1443"/>
      <c r="T41" s="1419" t="s">
        <v>841</v>
      </c>
      <c r="U41" s="1419"/>
      <c r="V41" s="588">
        <f t="shared" si="2"/>
        <v>46635</v>
      </c>
      <c r="X41" s="1456"/>
      <c r="Y41" s="1456"/>
      <c r="AD41" s="1442"/>
      <c r="AE41" s="1443"/>
    </row>
    <row r="42" spans="1:31" s="111" customFormat="1" ht="12.95">
      <c r="B42" s="476" t="str">
        <f>'STANDARD COMP.'!B39</f>
        <v>Fixed for three (3) years</v>
      </c>
      <c r="G42" s="604"/>
      <c r="K42" s="1419">
        <f t="shared" si="0"/>
        <v>0</v>
      </c>
      <c r="L42" s="1419"/>
      <c r="M42" s="496" t="str">
        <f t="shared" si="1"/>
        <v/>
      </c>
      <c r="N42" s="1471"/>
      <c r="O42" s="1471"/>
      <c r="P42" s="1442"/>
      <c r="Q42" s="1443"/>
      <c r="T42" s="1419" t="s">
        <v>842</v>
      </c>
      <c r="U42" s="1419"/>
      <c r="V42" s="588">
        <f t="shared" si="2"/>
        <v>46665</v>
      </c>
      <c r="X42" s="1456"/>
      <c r="Y42" s="1456"/>
      <c r="AD42" s="1442"/>
      <c r="AE42" s="1443"/>
    </row>
    <row r="43" spans="1:31" s="111" customFormat="1" ht="12.95">
      <c r="B43" s="476" t="str">
        <f>'STANDARD COMP.'!B40</f>
        <v>Sample Computation for Interest rate is at 7% fixed for three (3) years only</v>
      </c>
      <c r="C43" s="605"/>
      <c r="D43" s="170"/>
      <c r="K43" s="1419">
        <f t="shared" si="0"/>
        <v>0</v>
      </c>
      <c r="L43" s="1419"/>
      <c r="M43" s="496" t="str">
        <f t="shared" si="1"/>
        <v/>
      </c>
      <c r="N43" s="1471"/>
      <c r="O43" s="1471"/>
      <c r="P43" s="1442"/>
      <c r="Q43" s="1443"/>
      <c r="T43" s="1419" t="s">
        <v>843</v>
      </c>
      <c r="U43" s="1419"/>
      <c r="V43" s="588">
        <f t="shared" si="2"/>
        <v>46696</v>
      </c>
      <c r="X43" s="1456"/>
      <c r="Y43" s="1456"/>
      <c r="AD43" s="1442"/>
      <c r="AE43" s="1443"/>
    </row>
    <row r="44" spans="1:31" s="111" customFormat="1" ht="12.95">
      <c r="B44" s="606" t="s">
        <v>844</v>
      </c>
      <c r="D44" s="170"/>
      <c r="K44" s="1419">
        <f t="shared" si="0"/>
        <v>0</v>
      </c>
      <c r="L44" s="1419"/>
      <c r="M44" s="496" t="str">
        <f t="shared" si="1"/>
        <v/>
      </c>
      <c r="N44" s="1471"/>
      <c r="O44" s="1471"/>
      <c r="P44" s="1442"/>
      <c r="Q44" s="1443"/>
      <c r="T44" s="1419" t="s">
        <v>845</v>
      </c>
      <c r="U44" s="1419"/>
      <c r="V44" s="588">
        <f t="shared" si="2"/>
        <v>46726</v>
      </c>
      <c r="X44" s="1456"/>
      <c r="Y44" s="1456"/>
      <c r="AD44" s="1442"/>
      <c r="AE44" s="1443"/>
    </row>
    <row r="45" spans="1:31" s="111" customFormat="1" ht="12.95">
      <c r="B45" s="606" t="s">
        <v>846</v>
      </c>
      <c r="C45" s="605"/>
      <c r="D45" s="170"/>
      <c r="K45" s="1419">
        <f t="shared" si="0"/>
        <v>0</v>
      </c>
      <c r="L45" s="1419"/>
      <c r="M45" s="496" t="str">
        <f t="shared" si="1"/>
        <v/>
      </c>
      <c r="N45" s="1471"/>
      <c r="O45" s="1471"/>
      <c r="P45" s="1442"/>
      <c r="Q45" s="1443"/>
      <c r="T45" s="1419" t="s">
        <v>847</v>
      </c>
      <c r="U45" s="1419"/>
      <c r="V45" s="588">
        <f t="shared" si="2"/>
        <v>46757</v>
      </c>
      <c r="X45" s="1456"/>
      <c r="Y45" s="1456"/>
      <c r="AD45" s="1442"/>
      <c r="AE45" s="1443"/>
    </row>
    <row r="46" spans="1:31" s="111" customFormat="1" ht="12.95">
      <c r="B46" s="816"/>
      <c r="C46" s="815"/>
      <c r="D46" s="796"/>
      <c r="E46" s="24"/>
      <c r="F46" s="24"/>
      <c r="G46" s="24"/>
      <c r="H46" s="24"/>
      <c r="I46" s="24"/>
      <c r="K46" s="1419">
        <f t="shared" si="0"/>
        <v>0</v>
      </c>
      <c r="L46" s="1419"/>
      <c r="M46" s="496" t="str">
        <f t="shared" si="1"/>
        <v/>
      </c>
      <c r="N46" s="1471"/>
      <c r="O46" s="1471"/>
      <c r="P46" s="1442"/>
      <c r="Q46" s="1443"/>
      <c r="T46" s="1419" t="s">
        <v>848</v>
      </c>
      <c r="U46" s="1419"/>
      <c r="V46" s="588">
        <f t="shared" si="2"/>
        <v>46788</v>
      </c>
      <c r="X46" s="1456"/>
      <c r="Y46" s="1456"/>
      <c r="AD46" s="1442"/>
      <c r="AE46" s="1443"/>
    </row>
    <row r="47" spans="1:31" s="111" customFormat="1" ht="12.95">
      <c r="B47" s="122" t="s">
        <v>849</v>
      </c>
      <c r="C47" s="384"/>
      <c r="D47" s="395"/>
      <c r="E47" s="1234"/>
      <c r="F47" s="1062"/>
      <c r="G47" s="276"/>
      <c r="H47" s="276"/>
      <c r="I47" s="276"/>
      <c r="K47" s="1419">
        <f t="shared" si="0"/>
        <v>0</v>
      </c>
      <c r="L47" s="1419"/>
      <c r="M47" s="496" t="str">
        <f t="shared" si="1"/>
        <v/>
      </c>
      <c r="N47" s="1471"/>
      <c r="O47" s="1471"/>
      <c r="P47" s="1442"/>
      <c r="Q47" s="1443"/>
      <c r="T47" s="1419" t="s">
        <v>850</v>
      </c>
      <c r="U47" s="1419"/>
      <c r="V47" s="588">
        <f t="shared" si="2"/>
        <v>46817</v>
      </c>
      <c r="X47" s="1456"/>
      <c r="Y47" s="1456"/>
      <c r="AD47" s="1442"/>
      <c r="AE47" s="1443"/>
    </row>
    <row r="48" spans="1:31" s="111" customFormat="1" ht="12.95">
      <c r="B48" s="309"/>
      <c r="C48" s="395"/>
      <c r="D48" s="395"/>
      <c r="E48" s="1235"/>
      <c r="F48" s="1236"/>
      <c r="G48" s="1237"/>
      <c r="H48" s="1237"/>
      <c r="I48" s="1237"/>
      <c r="K48" s="1419">
        <f t="shared" si="0"/>
        <v>0</v>
      </c>
      <c r="L48" s="1419"/>
      <c r="M48" s="496" t="str">
        <f t="shared" si="1"/>
        <v/>
      </c>
      <c r="N48" s="1471"/>
      <c r="O48" s="1471"/>
      <c r="P48" s="1442"/>
      <c r="Q48" s="1443"/>
      <c r="T48" s="1419" t="s">
        <v>851</v>
      </c>
      <c r="U48" s="1419"/>
      <c r="V48" s="588">
        <f t="shared" si="2"/>
        <v>46848</v>
      </c>
      <c r="X48" s="1456"/>
      <c r="Y48" s="1456"/>
      <c r="AD48" s="1442"/>
      <c r="AE48" s="1443"/>
    </row>
    <row r="49" spans="2:25" s="111" customFormat="1" ht="12.95">
      <c r="B49" s="165" t="s">
        <v>852</v>
      </c>
      <c r="C49" s="165"/>
      <c r="D49" s="203" t="s">
        <v>741</v>
      </c>
      <c r="E49" s="387">
        <v>0.8</v>
      </c>
      <c r="F49" s="1474">
        <f>E49*F22</f>
        <v>3075520.6915735686</v>
      </c>
      <c r="G49" s="1475"/>
      <c r="H49" s="1475"/>
      <c r="I49" s="1476"/>
      <c r="K49" s="1419">
        <f t="shared" si="0"/>
        <v>0</v>
      </c>
      <c r="L49" s="1419"/>
      <c r="M49" s="496" t="str">
        <f t="shared" si="1"/>
        <v/>
      </c>
      <c r="N49" s="1471"/>
      <c r="O49" s="1471"/>
      <c r="P49" s="1442"/>
      <c r="Q49" s="1443"/>
      <c r="T49" s="1419" t="s">
        <v>853</v>
      </c>
      <c r="U49" s="1419"/>
      <c r="V49" s="588">
        <f t="shared" si="2"/>
        <v>46878</v>
      </c>
      <c r="X49" s="1473"/>
      <c r="Y49" s="1473"/>
    </row>
    <row r="50" spans="2:25" s="111" customFormat="1" ht="12.6">
      <c r="B50" s="112"/>
      <c r="C50" s="312"/>
      <c r="D50" s="312"/>
      <c r="E50" s="1238"/>
      <c r="F50" s="278"/>
      <c r="G50" s="278"/>
      <c r="H50" s="278"/>
      <c r="I50" s="278"/>
      <c r="K50" s="1419">
        <f t="shared" si="0"/>
        <v>0</v>
      </c>
      <c r="L50" s="1419"/>
      <c r="M50" s="496" t="str">
        <f t="shared" si="1"/>
        <v/>
      </c>
      <c r="N50" s="1471"/>
      <c r="O50" s="1471"/>
      <c r="P50" s="1442"/>
      <c r="Q50" s="1443"/>
      <c r="T50" s="1419" t="s">
        <v>854</v>
      </c>
      <c r="U50" s="1419"/>
      <c r="V50" s="588">
        <f t="shared" si="2"/>
        <v>46909</v>
      </c>
      <c r="X50" s="90"/>
      <c r="Y50" s="90"/>
    </row>
    <row r="51" spans="2:25" s="111" customFormat="1" ht="12.6">
      <c r="B51" s="345" t="s">
        <v>833</v>
      </c>
      <c r="C51" s="345" t="s">
        <v>352</v>
      </c>
      <c r="D51" s="345" t="s">
        <v>834</v>
      </c>
      <c r="E51" s="345" t="s">
        <v>835</v>
      </c>
      <c r="F51" s="1434" t="s">
        <v>855</v>
      </c>
      <c r="G51" s="1434"/>
      <c r="H51" s="1434"/>
      <c r="I51" s="1434"/>
      <c r="K51" s="1419">
        <f t="shared" si="0"/>
        <v>0</v>
      </c>
      <c r="L51" s="1419"/>
      <c r="M51" s="496" t="str">
        <f t="shared" si="1"/>
        <v/>
      </c>
      <c r="N51" s="1471"/>
      <c r="O51" s="1471"/>
      <c r="P51" s="1442"/>
      <c r="Q51" s="1443"/>
      <c r="T51" s="1419" t="s">
        <v>856</v>
      </c>
      <c r="U51" s="1419"/>
      <c r="V51" s="588">
        <f t="shared" si="2"/>
        <v>46939</v>
      </c>
      <c r="X51" s="90"/>
      <c r="Y51" s="90"/>
    </row>
    <row r="52" spans="2:25" s="111" customFormat="1" ht="12.6">
      <c r="B52" s="398">
        <v>1</v>
      </c>
      <c r="C52" s="1239">
        <v>0.12</v>
      </c>
      <c r="D52" s="399">
        <f>PMT(C52/12,B52*12,-1)</f>
        <v>8.88487886783417E-2</v>
      </c>
      <c r="E52" s="400">
        <f>$F$49*D52</f>
        <v>273256.28800148732</v>
      </c>
      <c r="F52" s="1441">
        <f>E52/0.33</f>
        <v>828049.35758026456</v>
      </c>
      <c r="G52" s="1441"/>
      <c r="H52" s="1441"/>
      <c r="I52" s="1441"/>
      <c r="K52" s="1419">
        <f t="shared" si="0"/>
        <v>0</v>
      </c>
      <c r="L52" s="1419"/>
      <c r="M52" s="496" t="str">
        <f t="shared" si="1"/>
        <v/>
      </c>
      <c r="N52" s="1471"/>
      <c r="O52" s="1471"/>
      <c r="P52" s="1442"/>
      <c r="Q52" s="1443"/>
      <c r="T52" s="1419" t="s">
        <v>857</v>
      </c>
      <c r="U52" s="1419"/>
      <c r="V52" s="588">
        <f t="shared" si="2"/>
        <v>46970</v>
      </c>
      <c r="X52" s="90"/>
      <c r="Y52" s="90"/>
    </row>
    <row r="53" spans="2:25" s="111" customFormat="1" ht="12.6">
      <c r="B53" s="398">
        <v>3</v>
      </c>
      <c r="C53" s="1239">
        <v>0.16</v>
      </c>
      <c r="D53" s="399">
        <f>PMT(C53/12,B53*12,-1)</f>
        <v>3.5157033036350094E-2</v>
      </c>
      <c r="E53" s="400">
        <f>$F$49*D53</f>
        <v>108126.18255763024</v>
      </c>
      <c r="F53" s="1441">
        <f>E53/0.33</f>
        <v>327655.09865948552</v>
      </c>
      <c r="G53" s="1441"/>
      <c r="H53" s="1441"/>
      <c r="I53" s="1441"/>
      <c r="K53" s="1419">
        <f t="shared" si="0"/>
        <v>0</v>
      </c>
      <c r="L53" s="1419"/>
      <c r="M53" s="496" t="str">
        <f t="shared" si="1"/>
        <v/>
      </c>
      <c r="N53" s="1471"/>
      <c r="O53" s="1471"/>
      <c r="P53" s="1442"/>
      <c r="Q53" s="1443"/>
      <c r="T53" s="1419" t="s">
        <v>858</v>
      </c>
      <c r="U53" s="1419"/>
      <c r="V53" s="588">
        <f t="shared" si="2"/>
        <v>47001</v>
      </c>
      <c r="X53" s="90"/>
      <c r="Y53" s="90"/>
    </row>
    <row r="54" spans="2:25" s="111" customFormat="1" ht="12.6">
      <c r="B54" s="398">
        <v>5</v>
      </c>
      <c r="C54" s="1239">
        <v>0.18</v>
      </c>
      <c r="D54" s="399">
        <f>PMT(C54/12,B54*12,-1)</f>
        <v>2.5393427427109084E-2</v>
      </c>
      <c r="E54" s="400">
        <f>$F$49*D54</f>
        <v>78098.011482045753</v>
      </c>
      <c r="F54" s="1441">
        <f>E54/0.33</f>
        <v>236660.64085468408</v>
      </c>
      <c r="G54" s="1441"/>
      <c r="H54" s="1441"/>
      <c r="I54" s="1441"/>
      <c r="K54" s="1419">
        <f t="shared" si="0"/>
        <v>0</v>
      </c>
      <c r="L54" s="1419"/>
      <c r="M54" s="496" t="str">
        <f t="shared" si="1"/>
        <v/>
      </c>
      <c r="N54" s="1471"/>
      <c r="O54" s="1471"/>
      <c r="P54" s="1442"/>
      <c r="Q54" s="1443"/>
      <c r="T54" s="1419" t="s">
        <v>859</v>
      </c>
      <c r="U54" s="1419"/>
      <c r="V54" s="588">
        <f t="shared" si="2"/>
        <v>47031</v>
      </c>
      <c r="X54" s="90"/>
      <c r="Y54" s="90"/>
    </row>
    <row r="55" spans="2:25" s="111" customFormat="1" ht="12.6">
      <c r="B55" s="398">
        <v>10</v>
      </c>
      <c r="C55" s="1239">
        <v>0.2</v>
      </c>
      <c r="D55" s="399">
        <f>PMT(C55/12,B55*12,-1)</f>
        <v>1.9325567219932577E-2</v>
      </c>
      <c r="E55" s="400">
        <f>$F$49*D55</f>
        <v>59436.18186129853</v>
      </c>
      <c r="F55" s="1441">
        <f>E55/0.33</f>
        <v>180109.64200393492</v>
      </c>
      <c r="G55" s="1441"/>
      <c r="H55" s="1441"/>
      <c r="I55" s="1441"/>
      <c r="K55" s="1419">
        <f t="shared" si="0"/>
        <v>0</v>
      </c>
      <c r="L55" s="1419"/>
      <c r="M55" s="496" t="str">
        <f t="shared" si="1"/>
        <v/>
      </c>
      <c r="N55" s="1477"/>
      <c r="O55" s="1478"/>
      <c r="P55" s="1442"/>
      <c r="Q55" s="1443"/>
      <c r="T55" s="1419" t="s">
        <v>860</v>
      </c>
      <c r="U55" s="1419"/>
      <c r="V55" s="588">
        <f t="shared" si="2"/>
        <v>47062</v>
      </c>
      <c r="X55" s="90"/>
      <c r="Y55" s="90"/>
    </row>
    <row r="56" spans="2:25" s="111" customFormat="1" ht="12.95" thickBot="1">
      <c r="B56" s="1240" t="s">
        <v>861</v>
      </c>
      <c r="C56" s="1241"/>
      <c r="D56" s="1241"/>
      <c r="E56" s="1241"/>
      <c r="F56" s="1241"/>
      <c r="G56" s="1241"/>
      <c r="H56" s="1241"/>
      <c r="I56" s="1241"/>
      <c r="K56" s="1419">
        <f t="shared" si="0"/>
        <v>0</v>
      </c>
      <c r="L56" s="1419"/>
      <c r="M56" s="496" t="str">
        <f t="shared" si="1"/>
        <v/>
      </c>
      <c r="N56" s="1477"/>
      <c r="O56" s="1478"/>
      <c r="P56" s="1442"/>
      <c r="Q56" s="1443"/>
      <c r="T56" s="1419" t="s">
        <v>862</v>
      </c>
      <c r="U56" s="1419"/>
      <c r="V56" s="588">
        <f t="shared" si="2"/>
        <v>47092</v>
      </c>
      <c r="X56" s="90"/>
      <c r="Y56" s="90"/>
    </row>
    <row r="57" spans="2:25" s="111" customFormat="1" ht="12.6">
      <c r="D57" s="170"/>
      <c r="J57" s="111" t="s">
        <v>757</v>
      </c>
      <c r="K57" s="1419">
        <f t="shared" si="0"/>
        <v>0</v>
      </c>
      <c r="L57" s="1419"/>
      <c r="M57" s="496" t="str">
        <f t="shared" si="1"/>
        <v/>
      </c>
      <c r="N57" s="1471"/>
      <c r="O57" s="1471"/>
      <c r="P57" s="1442"/>
      <c r="Q57" s="1443"/>
      <c r="T57" s="1419" t="s">
        <v>863</v>
      </c>
      <c r="U57" s="1419"/>
      <c r="V57" s="588">
        <f t="shared" si="2"/>
        <v>47123</v>
      </c>
      <c r="X57" s="90"/>
      <c r="Y57" s="90"/>
    </row>
    <row r="58" spans="2:25" s="111" customFormat="1" ht="12.6">
      <c r="B58" s="122" t="s">
        <v>864</v>
      </c>
      <c r="C58" s="252"/>
      <c r="D58" s="3"/>
      <c r="E58" s="3"/>
      <c r="F58" s="3"/>
      <c r="G58" s="3"/>
      <c r="H58" s="3"/>
      <c r="I58" s="3"/>
      <c r="K58" s="1419">
        <f t="shared" si="0"/>
        <v>0</v>
      </c>
      <c r="L58" s="1419"/>
      <c r="M58" s="496" t="str">
        <f t="shared" si="1"/>
        <v/>
      </c>
      <c r="N58" s="1471"/>
      <c r="O58" s="1471"/>
      <c r="P58" s="1442"/>
      <c r="Q58" s="1443"/>
      <c r="T58" s="1419" t="s">
        <v>865</v>
      </c>
      <c r="U58" s="1419"/>
      <c r="V58" s="588">
        <f t="shared" si="2"/>
        <v>47154</v>
      </c>
      <c r="X58" s="90"/>
      <c r="Y58" s="90"/>
    </row>
    <row r="59" spans="2:25" s="111" customFormat="1" ht="12.6">
      <c r="B59" s="3"/>
      <c r="C59" s="3"/>
      <c r="D59" s="3"/>
      <c r="E59" s="3"/>
      <c r="F59" s="3"/>
      <c r="G59" s="3"/>
      <c r="H59" s="3"/>
      <c r="I59" s="3"/>
      <c r="K59" s="1419" t="s">
        <v>866</v>
      </c>
      <c r="L59" s="1419"/>
      <c r="M59" s="496">
        <f>IF(DAY(M17)=31,X20,Z20)</f>
        <v>45935</v>
      </c>
      <c r="N59" s="1491">
        <f>F33</f>
        <v>3363850.7564085904</v>
      </c>
      <c r="O59" s="1491"/>
      <c r="P59" s="1442"/>
      <c r="Q59" s="1443"/>
      <c r="T59" s="1419" t="s">
        <v>867</v>
      </c>
      <c r="U59" s="1419"/>
      <c r="V59" s="588">
        <f t="shared" si="2"/>
        <v>47182</v>
      </c>
      <c r="X59" s="90"/>
      <c r="Y59" s="90"/>
    </row>
    <row r="60" spans="2:25" s="111" customFormat="1" ht="12.6">
      <c r="B60" s="1434" t="s">
        <v>753</v>
      </c>
      <c r="C60" s="1434"/>
      <c r="D60" s="1434" t="s">
        <v>754</v>
      </c>
      <c r="E60" s="1434"/>
      <c r="F60" s="1434"/>
      <c r="G60" s="1434" t="s">
        <v>868</v>
      </c>
      <c r="H60" s="1434"/>
      <c r="I60" s="1434"/>
      <c r="K60" s="607"/>
      <c r="M60" s="279"/>
      <c r="V60" s="608"/>
      <c r="X60" s="90"/>
      <c r="Y60" s="90"/>
    </row>
    <row r="61" spans="2:25" s="111" customFormat="1" ht="12.6">
      <c r="B61" s="1479">
        <f>FORM!O19</f>
        <v>0</v>
      </c>
      <c r="C61" s="1481"/>
      <c r="D61" s="1479">
        <f>FORM!S19</f>
        <v>0</v>
      </c>
      <c r="E61" s="1480"/>
      <c r="F61" s="1481"/>
      <c r="G61" s="1485">
        <f>FORM!V19</f>
        <v>0</v>
      </c>
      <c r="H61" s="1486"/>
      <c r="I61" s="1487"/>
      <c r="K61" s="607"/>
      <c r="M61" s="279"/>
      <c r="V61" s="579"/>
      <c r="X61" s="90"/>
      <c r="Y61" s="90"/>
    </row>
    <row r="62" spans="2:25" s="111" customFormat="1" ht="12.6">
      <c r="B62" s="1482"/>
      <c r="C62" s="1484"/>
      <c r="D62" s="1482"/>
      <c r="E62" s="1483"/>
      <c r="F62" s="1484"/>
      <c r="G62" s="1488"/>
      <c r="H62" s="1489"/>
      <c r="I62" s="1490"/>
      <c r="M62" s="279"/>
      <c r="V62" s="579"/>
      <c r="X62" s="90"/>
      <c r="Y62" s="90"/>
    </row>
    <row r="63" spans="2:25" s="111" customFormat="1" ht="12.6">
      <c r="B63" s="1479">
        <f>FORM!O21</f>
        <v>0</v>
      </c>
      <c r="C63" s="1481"/>
      <c r="D63" s="1479">
        <f>FORM!S21</f>
        <v>0</v>
      </c>
      <c r="E63" s="1480"/>
      <c r="F63" s="1481"/>
      <c r="G63" s="1485">
        <f>FORM!V21</f>
        <v>0</v>
      </c>
      <c r="H63" s="1486"/>
      <c r="I63" s="1487"/>
      <c r="K63" s="3" t="s">
        <v>869</v>
      </c>
      <c r="L63" s="3"/>
      <c r="M63" s="3"/>
      <c r="N63" s="3"/>
      <c r="P63" s="3" t="s">
        <v>870</v>
      </c>
      <c r="Q63" s="3"/>
      <c r="V63" s="579"/>
      <c r="X63" s="90"/>
      <c r="Y63" s="90"/>
    </row>
    <row r="64" spans="2:25" s="111" customFormat="1" ht="12.6">
      <c r="B64" s="1482"/>
      <c r="C64" s="1484"/>
      <c r="D64" s="1482"/>
      <c r="E64" s="1483"/>
      <c r="F64" s="1484"/>
      <c r="G64" s="1488"/>
      <c r="H64" s="1489"/>
      <c r="I64" s="1490"/>
      <c r="M64" s="170"/>
      <c r="V64" s="579"/>
      <c r="X64" s="90"/>
      <c r="Y64" s="90"/>
    </row>
    <row r="65" spans="1:25" s="111" customFormat="1" ht="12.6">
      <c r="B65" s="1479">
        <f>FORM!O25</f>
        <v>0</v>
      </c>
      <c r="C65" s="1481"/>
      <c r="D65" s="1479">
        <f>FORM!S25</f>
        <v>0</v>
      </c>
      <c r="E65" s="1480"/>
      <c r="F65" s="1481"/>
      <c r="G65" s="1485">
        <f>FORM!V25</f>
        <v>0</v>
      </c>
      <c r="H65" s="1486"/>
      <c r="I65" s="1487"/>
      <c r="M65" s="170"/>
      <c r="V65" s="579"/>
      <c r="X65" s="90"/>
      <c r="Y65" s="90"/>
    </row>
    <row r="66" spans="1:25" s="111" customFormat="1" ht="12.6">
      <c r="B66" s="1482"/>
      <c r="C66" s="1484"/>
      <c r="D66" s="1482"/>
      <c r="E66" s="1483"/>
      <c r="F66" s="1484"/>
      <c r="G66" s="1488"/>
      <c r="H66" s="1489"/>
      <c r="I66" s="1490"/>
      <c r="K66" s="1492">
        <f>B78</f>
        <v>0</v>
      </c>
      <c r="L66" s="1492"/>
      <c r="M66" s="1492"/>
      <c r="P66" s="1492">
        <f>F78</f>
        <v>0</v>
      </c>
      <c r="Q66" s="1492"/>
      <c r="V66" s="579"/>
      <c r="X66" s="90"/>
      <c r="Y66" s="90"/>
    </row>
    <row r="67" spans="1:25" s="111" customFormat="1" ht="12.6">
      <c r="B67" s="1479">
        <f>FORM!O27</f>
        <v>0</v>
      </c>
      <c r="C67" s="1481"/>
      <c r="D67" s="1479">
        <f>FORM!S27</f>
        <v>0</v>
      </c>
      <c r="E67" s="1480"/>
      <c r="F67" s="1481"/>
      <c r="G67" s="1485">
        <f>FORM!V27</f>
        <v>0</v>
      </c>
      <c r="H67" s="1486"/>
      <c r="I67" s="1487"/>
      <c r="K67" s="611" t="s">
        <v>871</v>
      </c>
      <c r="L67" s="611"/>
      <c r="M67" s="298"/>
      <c r="P67" s="611" t="s">
        <v>871</v>
      </c>
      <c r="Q67" s="611"/>
      <c r="V67" s="579"/>
      <c r="X67" s="90"/>
      <c r="Y67" s="90"/>
    </row>
    <row r="68" spans="1:25" s="111" customFormat="1" ht="12.6">
      <c r="B68" s="1482"/>
      <c r="C68" s="1484"/>
      <c r="D68" s="1482"/>
      <c r="E68" s="1483"/>
      <c r="F68" s="1484"/>
      <c r="G68" s="1488"/>
      <c r="H68" s="1489"/>
      <c r="I68" s="1490"/>
      <c r="V68" s="579"/>
      <c r="X68" s="90"/>
      <c r="Y68" s="90"/>
    </row>
    <row r="69" spans="1:25" s="111" customFormat="1" ht="12.6">
      <c r="B69" s="1479">
        <f>FORM!O31</f>
        <v>0</v>
      </c>
      <c r="C69" s="1481"/>
      <c r="D69" s="1479">
        <f>FORM!S31</f>
        <v>0</v>
      </c>
      <c r="E69" s="1480"/>
      <c r="F69" s="1481"/>
      <c r="G69" s="1485">
        <f>FORM!V31</f>
        <v>0</v>
      </c>
      <c r="H69" s="1486"/>
      <c r="I69" s="1487"/>
      <c r="V69" s="579"/>
      <c r="X69" s="90"/>
      <c r="Y69" s="90"/>
    </row>
    <row r="70" spans="1:25" s="111" customFormat="1" ht="12.6">
      <c r="B70" s="1482"/>
      <c r="C70" s="1484"/>
      <c r="D70" s="1482"/>
      <c r="E70" s="1483"/>
      <c r="F70" s="1484"/>
      <c r="G70" s="1488"/>
      <c r="H70" s="1489"/>
      <c r="I70" s="1490"/>
      <c r="M70" s="279"/>
      <c r="V70" s="579"/>
      <c r="X70" s="90"/>
      <c r="Y70" s="90"/>
    </row>
    <row r="71" spans="1:25">
      <c r="A71" s="111"/>
      <c r="B71" s="1479">
        <f>FORM!O33</f>
        <v>0</v>
      </c>
      <c r="C71" s="1481"/>
      <c r="D71" s="1479">
        <f>FORM!S33</f>
        <v>0</v>
      </c>
      <c r="E71" s="1480"/>
      <c r="F71" s="1481"/>
      <c r="G71" s="1485">
        <f>FORM!V33</f>
        <v>0</v>
      </c>
      <c r="H71" s="1486"/>
      <c r="I71" s="1487"/>
    </row>
    <row r="72" spans="1:25">
      <c r="A72" s="111"/>
      <c r="B72" s="1482"/>
      <c r="C72" s="1484"/>
      <c r="D72" s="1482"/>
      <c r="E72" s="1483"/>
      <c r="F72" s="1484"/>
      <c r="G72" s="1488"/>
      <c r="H72" s="1489"/>
      <c r="I72" s="1490"/>
    </row>
    <row r="73" spans="1:25">
      <c r="A73" s="111"/>
      <c r="B73" s="111"/>
      <c r="C73" s="111"/>
      <c r="D73" s="170"/>
      <c r="E73" s="111"/>
      <c r="F73" s="111"/>
      <c r="G73" s="111"/>
      <c r="H73" s="111"/>
      <c r="I73" s="111"/>
    </row>
    <row r="74" spans="1:25">
      <c r="A74" s="111"/>
      <c r="B74" s="403"/>
      <c r="C74" s="250" t="s">
        <v>872</v>
      </c>
      <c r="D74" s="1493"/>
      <c r="E74" s="1493"/>
      <c r="F74" s="1493"/>
      <c r="G74" s="111"/>
      <c r="H74" s="111"/>
      <c r="I74" s="111"/>
    </row>
    <row r="75" spans="1:25">
      <c r="A75" s="111"/>
      <c r="B75" s="609"/>
      <c r="C75" s="112"/>
      <c r="D75" s="112"/>
      <c r="E75" s="112"/>
      <c r="F75" s="114"/>
      <c r="G75" s="111"/>
      <c r="H75" s="111"/>
      <c r="I75" s="111"/>
    </row>
    <row r="76" spans="1:25">
      <c r="A76" s="111"/>
      <c r="B76" s="3" t="s">
        <v>869</v>
      </c>
      <c r="C76" s="3"/>
      <c r="D76" s="3"/>
      <c r="E76" s="3"/>
      <c r="F76" s="3" t="s">
        <v>870</v>
      </c>
      <c r="G76" s="3"/>
      <c r="H76" s="3"/>
      <c r="I76" s="111"/>
    </row>
    <row r="77" spans="1:25">
      <c r="A77" s="111"/>
      <c r="B77" s="111"/>
      <c r="C77" s="111"/>
      <c r="D77" s="170"/>
      <c r="E77" s="111"/>
      <c r="F77" s="111"/>
      <c r="G77" s="111"/>
      <c r="H77" s="111"/>
      <c r="I77" s="111"/>
    </row>
    <row r="78" spans="1:25">
      <c r="A78" s="111"/>
      <c r="B78" s="1492">
        <f>'STANDARD COMP.'!B80:D80</f>
        <v>0</v>
      </c>
      <c r="C78" s="1492"/>
      <c r="D78" s="610"/>
      <c r="E78" s="111"/>
      <c r="F78" s="1492">
        <f>'STANDARD COMP.'!F80:I80</f>
        <v>0</v>
      </c>
      <c r="G78" s="1492"/>
      <c r="H78" s="111"/>
      <c r="I78" s="111"/>
    </row>
    <row r="79" spans="1:25">
      <c r="A79" s="111"/>
      <c r="B79" s="611" t="s">
        <v>871</v>
      </c>
      <c r="C79" s="611"/>
      <c r="D79" s="170"/>
      <c r="E79" s="111"/>
      <c r="F79" s="611" t="s">
        <v>871</v>
      </c>
      <c r="G79" s="611"/>
      <c r="H79" s="111"/>
      <c r="I79" s="111"/>
    </row>
    <row r="80" spans="1:25">
      <c r="A80" s="111"/>
      <c r="B80" s="111"/>
      <c r="C80" s="111"/>
      <c r="D80" s="170"/>
      <c r="E80" s="111"/>
      <c r="F80" s="111"/>
      <c r="G80" s="111"/>
      <c r="H80" s="111"/>
      <c r="I80" s="111"/>
    </row>
    <row r="81" spans="1:9">
      <c r="A81" s="111"/>
      <c r="B81" s="111"/>
      <c r="C81" s="111"/>
      <c r="D81" s="170"/>
      <c r="E81" s="111"/>
      <c r="F81" s="111"/>
      <c r="G81" s="111"/>
      <c r="H81" s="111"/>
      <c r="I81" s="111"/>
    </row>
    <row r="82" spans="1:9">
      <c r="A82" s="111"/>
    </row>
    <row r="83" spans="1:9">
      <c r="A83" s="111"/>
    </row>
    <row r="84" spans="1:9">
      <c r="A84" s="111"/>
    </row>
    <row r="85" spans="1:9">
      <c r="A85" s="111"/>
    </row>
    <row r="86" spans="1:9">
      <c r="A86" s="111"/>
    </row>
    <row r="130" spans="1:1">
      <c r="A130" s="497">
        <f>F17*12%</f>
        <v>405563.16811959143</v>
      </c>
    </row>
  </sheetData>
  <sheetProtection password="CC2E" sheet="1" formatCells="0" formatColumns="0" formatRows="0"/>
  <mergeCells count="322">
    <mergeCell ref="B78:C78"/>
    <mergeCell ref="F78:G78"/>
    <mergeCell ref="T59:U59"/>
    <mergeCell ref="B71:C72"/>
    <mergeCell ref="D71:F72"/>
    <mergeCell ref="G71:I72"/>
    <mergeCell ref="D74:F74"/>
    <mergeCell ref="K66:M66"/>
    <mergeCell ref="P66:Q66"/>
    <mergeCell ref="B69:C70"/>
    <mergeCell ref="D69:F70"/>
    <mergeCell ref="G69:I70"/>
    <mergeCell ref="B67:C68"/>
    <mergeCell ref="D67:F68"/>
    <mergeCell ref="G67:I68"/>
    <mergeCell ref="B65:C66"/>
    <mergeCell ref="F54:I54"/>
    <mergeCell ref="F55:I55"/>
    <mergeCell ref="T58:U58"/>
    <mergeCell ref="K56:L56"/>
    <mergeCell ref="P57:Q57"/>
    <mergeCell ref="T57:U57"/>
    <mergeCell ref="K59:L59"/>
    <mergeCell ref="N59:O59"/>
    <mergeCell ref="P59:Q59"/>
    <mergeCell ref="K58:L58"/>
    <mergeCell ref="N58:O58"/>
    <mergeCell ref="P58:Q58"/>
    <mergeCell ref="N57:O57"/>
    <mergeCell ref="K49:L49"/>
    <mergeCell ref="N49:O49"/>
    <mergeCell ref="P49:Q49"/>
    <mergeCell ref="T49:U49"/>
    <mergeCell ref="D65:F66"/>
    <mergeCell ref="G65:I66"/>
    <mergeCell ref="B63:C64"/>
    <mergeCell ref="D63:F64"/>
    <mergeCell ref="G63:I64"/>
    <mergeCell ref="T53:U53"/>
    <mergeCell ref="K52:L52"/>
    <mergeCell ref="F52:I52"/>
    <mergeCell ref="F53:I53"/>
    <mergeCell ref="B61:C62"/>
    <mergeCell ref="D61:F62"/>
    <mergeCell ref="G61:I62"/>
    <mergeCell ref="K54:L54"/>
    <mergeCell ref="N54:O54"/>
    <mergeCell ref="P54:Q54"/>
    <mergeCell ref="T54:U54"/>
    <mergeCell ref="K55:L55"/>
    <mergeCell ref="N55:O55"/>
    <mergeCell ref="P55:Q55"/>
    <mergeCell ref="T55:U55"/>
    <mergeCell ref="X49:Y49"/>
    <mergeCell ref="B60:C60"/>
    <mergeCell ref="D60:F60"/>
    <mergeCell ref="G60:I60"/>
    <mergeCell ref="K50:L50"/>
    <mergeCell ref="N50:O50"/>
    <mergeCell ref="P50:Q50"/>
    <mergeCell ref="T50:U50"/>
    <mergeCell ref="K51:L51"/>
    <mergeCell ref="N51:O51"/>
    <mergeCell ref="P51:Q51"/>
    <mergeCell ref="T51:U51"/>
    <mergeCell ref="F49:I49"/>
    <mergeCell ref="F51:I51"/>
    <mergeCell ref="N52:O52"/>
    <mergeCell ref="P52:Q52"/>
    <mergeCell ref="T52:U52"/>
    <mergeCell ref="K53:L53"/>
    <mergeCell ref="N53:O53"/>
    <mergeCell ref="P53:Q53"/>
    <mergeCell ref="N56:O56"/>
    <mergeCell ref="P56:Q56"/>
    <mergeCell ref="T56:U56"/>
    <mergeCell ref="K57:L57"/>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K48:L48"/>
    <mergeCell ref="N48:O48"/>
    <mergeCell ref="P48:Q48"/>
    <mergeCell ref="T48:U48"/>
    <mergeCell ref="X48:Y48"/>
    <mergeCell ref="K45:L45"/>
    <mergeCell ref="N45:O45"/>
    <mergeCell ref="P45:Q45"/>
    <mergeCell ref="T45:U45"/>
    <mergeCell ref="X45:Y45"/>
    <mergeCell ref="AD45:AE45"/>
    <mergeCell ref="K44:L44"/>
    <mergeCell ref="N44:O44"/>
    <mergeCell ref="P44:Q44"/>
    <mergeCell ref="T44:U44"/>
    <mergeCell ref="X44:Y44"/>
    <mergeCell ref="AD44:AE44"/>
    <mergeCell ref="X42:Y42"/>
    <mergeCell ref="AD42:AE42"/>
    <mergeCell ref="K43:L43"/>
    <mergeCell ref="N43:O43"/>
    <mergeCell ref="P43:Q43"/>
    <mergeCell ref="T43:U43"/>
    <mergeCell ref="X43:Y43"/>
    <mergeCell ref="AD43:AE43"/>
    <mergeCell ref="D41:E41"/>
    <mergeCell ref="G41:I41"/>
    <mergeCell ref="K42:L42"/>
    <mergeCell ref="N42:O42"/>
    <mergeCell ref="P42:Q42"/>
    <mergeCell ref="T42:U42"/>
    <mergeCell ref="D40:E40"/>
    <mergeCell ref="G40:I40"/>
    <mergeCell ref="K41:L41"/>
    <mergeCell ref="N41:O41"/>
    <mergeCell ref="P41:Q41"/>
    <mergeCell ref="T41:U41"/>
    <mergeCell ref="X41:Y41"/>
    <mergeCell ref="AD41:AE41"/>
    <mergeCell ref="D39:E39"/>
    <mergeCell ref="G39:I39"/>
    <mergeCell ref="K40:L40"/>
    <mergeCell ref="N40:O40"/>
    <mergeCell ref="P40:Q40"/>
    <mergeCell ref="T40:U40"/>
    <mergeCell ref="X40:Y40"/>
    <mergeCell ref="AD40:AE40"/>
    <mergeCell ref="D38:E38"/>
    <mergeCell ref="G38:I38"/>
    <mergeCell ref="K39:L39"/>
    <mergeCell ref="N39:O39"/>
    <mergeCell ref="P39:Q39"/>
    <mergeCell ref="T39:U39"/>
    <mergeCell ref="X39:Y39"/>
    <mergeCell ref="AD39:AE39"/>
    <mergeCell ref="D37:E37"/>
    <mergeCell ref="G37:I37"/>
    <mergeCell ref="K38:L38"/>
    <mergeCell ref="N38:O38"/>
    <mergeCell ref="P38:Q38"/>
    <mergeCell ref="T38:U38"/>
    <mergeCell ref="K37:L37"/>
    <mergeCell ref="N37:O37"/>
    <mergeCell ref="P37:Q37"/>
    <mergeCell ref="T37:U37"/>
    <mergeCell ref="X37:Y37"/>
    <mergeCell ref="AD37:AE37"/>
    <mergeCell ref="X38:Y38"/>
    <mergeCell ref="AD38:AE38"/>
    <mergeCell ref="AD35:AE35"/>
    <mergeCell ref="K36:L36"/>
    <mergeCell ref="N36:O36"/>
    <mergeCell ref="P36:Q36"/>
    <mergeCell ref="T36:U36"/>
    <mergeCell ref="X36:Y36"/>
    <mergeCell ref="AD36:AE36"/>
    <mergeCell ref="K35:L35"/>
    <mergeCell ref="N35:O35"/>
    <mergeCell ref="P35:Q35"/>
    <mergeCell ref="T35:U35"/>
    <mergeCell ref="X35:Y35"/>
    <mergeCell ref="B31:C31"/>
    <mergeCell ref="G31:I31"/>
    <mergeCell ref="K33:L33"/>
    <mergeCell ref="N33:O33"/>
    <mergeCell ref="P33:Q33"/>
    <mergeCell ref="T33:U33"/>
    <mergeCell ref="X33:Y33"/>
    <mergeCell ref="AD33:AE33"/>
    <mergeCell ref="F33:I33"/>
    <mergeCell ref="K32:L32"/>
    <mergeCell ref="N32:O32"/>
    <mergeCell ref="P32:Q32"/>
    <mergeCell ref="T32:U32"/>
    <mergeCell ref="K31:L31"/>
    <mergeCell ref="N31:O31"/>
    <mergeCell ref="P31:Q31"/>
    <mergeCell ref="T31:U31"/>
    <mergeCell ref="X31:Y31"/>
    <mergeCell ref="AD31:AE31"/>
    <mergeCell ref="K34:L34"/>
    <mergeCell ref="N34:O34"/>
    <mergeCell ref="P34:Q34"/>
    <mergeCell ref="T34:U34"/>
    <mergeCell ref="X34:Y34"/>
    <mergeCell ref="AD34:AE34"/>
    <mergeCell ref="X32:Y32"/>
    <mergeCell ref="AD32:AE32"/>
    <mergeCell ref="B28:C28"/>
    <mergeCell ref="G28:I28"/>
    <mergeCell ref="K30:L30"/>
    <mergeCell ref="N30:O30"/>
    <mergeCell ref="P30:Q30"/>
    <mergeCell ref="T30:U30"/>
    <mergeCell ref="AD28:AE28"/>
    <mergeCell ref="K29:L29"/>
    <mergeCell ref="N29:O29"/>
    <mergeCell ref="P29:Q29"/>
    <mergeCell ref="T29:U29"/>
    <mergeCell ref="X29:Y29"/>
    <mergeCell ref="AD29:AE29"/>
    <mergeCell ref="B30:C30"/>
    <mergeCell ref="G30:I30"/>
    <mergeCell ref="K28:L28"/>
    <mergeCell ref="N28:O28"/>
    <mergeCell ref="P28:Q28"/>
    <mergeCell ref="T28:U28"/>
    <mergeCell ref="X28:Y28"/>
    <mergeCell ref="X30:Y30"/>
    <mergeCell ref="AD30:AE30"/>
    <mergeCell ref="B29:C29"/>
    <mergeCell ref="G29:I29"/>
    <mergeCell ref="AD26:AE26"/>
    <mergeCell ref="K27:L27"/>
    <mergeCell ref="N27:O27"/>
    <mergeCell ref="P27:Q27"/>
    <mergeCell ref="T27:U27"/>
    <mergeCell ref="X27:Y27"/>
    <mergeCell ref="AD27:AE27"/>
    <mergeCell ref="F25:I25"/>
    <mergeCell ref="K26:L26"/>
    <mergeCell ref="N26:O26"/>
    <mergeCell ref="P26:Q26"/>
    <mergeCell ref="T26:U26"/>
    <mergeCell ref="X26:Y26"/>
    <mergeCell ref="F26:I26"/>
    <mergeCell ref="AD24:AE24"/>
    <mergeCell ref="K25:L25"/>
    <mergeCell ref="N25:O25"/>
    <mergeCell ref="P25:Q25"/>
    <mergeCell ref="T25:U25"/>
    <mergeCell ref="X25:Y25"/>
    <mergeCell ref="AD25:AE25"/>
    <mergeCell ref="F24:I24"/>
    <mergeCell ref="K24:L24"/>
    <mergeCell ref="N24:O24"/>
    <mergeCell ref="P24:Q24"/>
    <mergeCell ref="T24:U24"/>
    <mergeCell ref="X24:Y24"/>
    <mergeCell ref="AD22:AE22"/>
    <mergeCell ref="K23:L23"/>
    <mergeCell ref="N23:O23"/>
    <mergeCell ref="P23:Q23"/>
    <mergeCell ref="T23:U23"/>
    <mergeCell ref="X23:Y23"/>
    <mergeCell ref="AD23:AE23"/>
    <mergeCell ref="F22:I22"/>
    <mergeCell ref="K22:L22"/>
    <mergeCell ref="N22:O22"/>
    <mergeCell ref="P22:Q22"/>
    <mergeCell ref="T22:U22"/>
    <mergeCell ref="X22:Y22"/>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17:I17"/>
    <mergeCell ref="K17:L17"/>
    <mergeCell ref="N17:O17"/>
    <mergeCell ref="P17:Q17"/>
    <mergeCell ref="T17:U17"/>
    <mergeCell ref="K18:L18"/>
    <mergeCell ref="N18:O18"/>
    <mergeCell ref="P18:Q18"/>
    <mergeCell ref="T18:U18"/>
    <mergeCell ref="E13:F13"/>
    <mergeCell ref="G13:I13"/>
    <mergeCell ref="N13:O13"/>
    <mergeCell ref="P13:Q13"/>
    <mergeCell ref="F15:I15"/>
    <mergeCell ref="K15:L16"/>
    <mergeCell ref="M15:M16"/>
    <mergeCell ref="N15:O16"/>
    <mergeCell ref="P15:Q16"/>
    <mergeCell ref="F16:I16"/>
    <mergeCell ref="E12:F12"/>
    <mergeCell ref="G12:I12"/>
    <mergeCell ref="N12:O12"/>
    <mergeCell ref="P12:Q12"/>
    <mergeCell ref="E8:I8"/>
    <mergeCell ref="N8:Q8"/>
    <mergeCell ref="E9:I9"/>
    <mergeCell ref="N9:Q9"/>
    <mergeCell ref="E10:I10"/>
    <mergeCell ref="N10:Q10"/>
    <mergeCell ref="G1:I1"/>
    <mergeCell ref="B3:I4"/>
    <mergeCell ref="K3:Q4"/>
    <mergeCell ref="E6:I6"/>
    <mergeCell ref="N6:Q6"/>
    <mergeCell ref="N7:Q7"/>
    <mergeCell ref="E11:F11"/>
    <mergeCell ref="G11:I11"/>
    <mergeCell ref="N11:O11"/>
    <mergeCell ref="P11:Q11"/>
    <mergeCell ref="E7:F7"/>
  </mergeCells>
  <pageMargins left="0.59055118110236227" right="0.59055118110236227" top="0.74375000000000002"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68"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dimension ref="A1:U123"/>
  <sheetViews>
    <sheetView showGridLines="0" showZeros="0" view="pageLayout" topLeftCell="A97" zoomScaleNormal="100" zoomScaleSheetLayoutView="85" workbookViewId="0">
      <selection activeCell="A103" sqref="A10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4.140625" style="2" customWidth="1"/>
    <col min="20" max="20" width="10.140625" style="2" customWidth="1"/>
    <col min="21" max="21" width="5.14062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514">
        <f>'Step-up with Lumpsum'!F15</f>
        <v>3379693.0676632621</v>
      </c>
      <c r="J27" s="1515"/>
      <c r="K27" s="1515"/>
      <c r="L27" s="1515"/>
      <c r="M27" s="1515"/>
      <c r="N27" s="1515"/>
      <c r="O27" s="1515"/>
      <c r="P27" s="1515"/>
      <c r="Q27" s="1515"/>
      <c r="R27" s="1515"/>
      <c r="S27" s="1515"/>
      <c r="T27" s="1515"/>
      <c r="U27" s="1516"/>
    </row>
    <row r="28" spans="1:21" ht="14.1">
      <c r="A28" s="41" t="s">
        <v>912</v>
      </c>
      <c r="B28" s="42"/>
      <c r="C28" s="44"/>
      <c r="D28" s="44"/>
      <c r="E28" s="44"/>
      <c r="F28" s="44"/>
      <c r="G28" s="44"/>
      <c r="H28" s="45"/>
      <c r="I28" s="1514">
        <f>'Step-up with Lumpsum'!F16</f>
        <v>0</v>
      </c>
      <c r="J28" s="1515"/>
      <c r="K28" s="1515"/>
      <c r="L28" s="1515"/>
      <c r="M28" s="1515"/>
      <c r="N28" s="1515"/>
      <c r="O28" s="1515"/>
      <c r="P28" s="1515"/>
      <c r="Q28" s="1515"/>
      <c r="R28" s="1515"/>
      <c r="S28" s="1515"/>
      <c r="T28" s="1515"/>
      <c r="U28" s="1516"/>
    </row>
    <row r="29" spans="1:21" ht="14.1">
      <c r="A29" s="51" t="s">
        <v>913</v>
      </c>
      <c r="B29" s="52"/>
      <c r="C29" s="53"/>
      <c r="D29" s="53"/>
      <c r="E29" s="53"/>
      <c r="F29" s="53"/>
      <c r="G29" s="53"/>
      <c r="H29" s="50"/>
      <c r="I29" s="1514">
        <f>'Step-up with Lumpsum'!F17</f>
        <v>3379693.0676632621</v>
      </c>
      <c r="J29" s="1515"/>
      <c r="K29" s="1515"/>
      <c r="L29" s="1515"/>
      <c r="M29" s="1515"/>
      <c r="N29" s="1515"/>
      <c r="O29" s="1515"/>
      <c r="P29" s="1515"/>
      <c r="Q29" s="1515"/>
      <c r="R29" s="1515"/>
      <c r="S29" s="1515"/>
      <c r="T29" s="1515"/>
      <c r="U29" s="1516"/>
    </row>
    <row r="30" spans="1:21" ht="14.1">
      <c r="A30" s="41" t="s">
        <v>914</v>
      </c>
      <c r="B30" s="42"/>
      <c r="C30" s="44"/>
      <c r="D30" s="44"/>
      <c r="E30" s="44"/>
      <c r="F30" s="44"/>
      <c r="G30" s="44"/>
      <c r="H30" s="45"/>
      <c r="I30" s="1514">
        <f>'Step-up with Lumpsum'!F20</f>
        <v>464707.79680369853</v>
      </c>
      <c r="J30" s="1515"/>
      <c r="K30" s="1515"/>
      <c r="L30" s="1515"/>
      <c r="M30" s="1515"/>
      <c r="N30" s="1515"/>
      <c r="O30" s="1515"/>
      <c r="P30" s="1515"/>
      <c r="Q30" s="1515"/>
      <c r="R30" s="1515"/>
      <c r="S30" s="1515"/>
      <c r="T30" s="1515"/>
      <c r="U30" s="1516"/>
    </row>
    <row r="31" spans="1:21" ht="14.1">
      <c r="A31" s="41" t="s">
        <v>915</v>
      </c>
      <c r="B31" s="42"/>
      <c r="C31" s="44"/>
      <c r="D31" s="44"/>
      <c r="E31" s="44"/>
      <c r="F31" s="44"/>
      <c r="G31" s="44"/>
      <c r="H31" s="45"/>
      <c r="I31" s="1514">
        <f>'Step-up with Lumpsum'!F19</f>
        <v>0</v>
      </c>
      <c r="J31" s="1515"/>
      <c r="K31" s="1515"/>
      <c r="L31" s="1515"/>
      <c r="M31" s="1515"/>
      <c r="N31" s="1515"/>
      <c r="O31" s="1515"/>
      <c r="P31" s="1515"/>
      <c r="Q31" s="1515"/>
      <c r="R31" s="1515"/>
      <c r="S31" s="1515"/>
      <c r="T31" s="1515"/>
      <c r="U31" s="1516"/>
    </row>
    <row r="32" spans="1:21" ht="14.1">
      <c r="A32" s="41" t="s">
        <v>77</v>
      </c>
      <c r="B32" s="42"/>
      <c r="C32" s="44"/>
      <c r="D32" s="44"/>
      <c r="E32" s="44"/>
      <c r="F32" s="44"/>
      <c r="G32" s="44"/>
      <c r="H32" s="45"/>
      <c r="I32" s="1514">
        <f>'Step-up with Lumpsum'!F22</f>
        <v>3844400.8644669605</v>
      </c>
      <c r="J32" s="1515"/>
      <c r="K32" s="1515"/>
      <c r="L32" s="1515"/>
      <c r="M32" s="1515"/>
      <c r="N32" s="1515"/>
      <c r="O32" s="1515"/>
      <c r="P32" s="1515"/>
      <c r="Q32" s="1515"/>
      <c r="R32" s="1515"/>
      <c r="S32" s="1515"/>
      <c r="T32" s="1515"/>
      <c r="U32" s="1516"/>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NVOomVQZD8w0vjcqLeKOUpO9YHTijxNtG0OrbxbfxbWEqQVno5xIdL7Ro0Cve7dWuNAqCKdT2Oa3l9/mpet5IA==" saltValue="mfIsxEBCZeSvM8gQBzCt+g==" spinCount="100000" sheet="1" objects="1" scenarios="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8671875"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860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8610"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6861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861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861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861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8615" r:id="rId10" name="Check Box 7">
              <controlPr defaultSize="0" autoFill="0" autoLine="0" autoPict="0">
                <anchor moveWithCells="1">
                  <from>
                    <xdr:col>17</xdr:col>
                    <xdr:colOff>990600</xdr:colOff>
                    <xdr:row>16</xdr:row>
                    <xdr:rowOff>12700</xdr:rowOff>
                  </from>
                  <to>
                    <xdr:col>18</xdr:col>
                    <xdr:colOff>215900</xdr:colOff>
                    <xdr:row>17</xdr:row>
                    <xdr:rowOff>25400</xdr:rowOff>
                  </to>
                </anchor>
              </controlPr>
            </control>
          </mc:Choice>
        </mc:AlternateContent>
        <mc:AlternateContent xmlns:mc="http://schemas.openxmlformats.org/markup-compatibility/2006">
          <mc:Choice Requires="x14">
            <control shapeId="6861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8617"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68618"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68619" r:id="rId14" name="Check Box 11">
              <controlPr defaultSize="0" autoFill="0" autoLine="0" autoPict="0">
                <anchor moveWithCells="1">
                  <from>
                    <xdr:col>17</xdr:col>
                    <xdr:colOff>990600</xdr:colOff>
                    <xdr:row>16</xdr:row>
                    <xdr:rowOff>203200</xdr:rowOff>
                  </from>
                  <to>
                    <xdr:col>18</xdr:col>
                    <xdr:colOff>215900</xdr:colOff>
                    <xdr:row>18</xdr:row>
                    <xdr:rowOff>0</xdr:rowOff>
                  </to>
                </anchor>
              </controlPr>
            </control>
          </mc:Choice>
        </mc:AlternateContent>
        <mc:AlternateContent xmlns:mc="http://schemas.openxmlformats.org/markup-compatibility/2006">
          <mc:Choice Requires="x14">
            <control shapeId="6862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862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862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862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862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862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862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862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tabColor rgb="FF92D050"/>
  </sheetPr>
  <dimension ref="A1:BA114"/>
  <sheetViews>
    <sheetView showGridLines="0" showZeros="0" view="pageBreakPreview" topLeftCell="A10" zoomScale="80" zoomScaleNormal="90" zoomScaleSheetLayoutView="80" zoomScalePageLayoutView="70" workbookViewId="0">
      <selection activeCell="F30" sqref="F30"/>
    </sheetView>
  </sheetViews>
  <sheetFormatPr defaultColWidth="9.140625" defaultRowHeight="13.5"/>
  <cols>
    <col min="1" max="1" width="1.140625" style="2" customWidth="1"/>
    <col min="2" max="2" width="12" style="2" customWidth="1"/>
    <col min="3" max="3" width="23.85546875" style="2" customWidth="1"/>
    <col min="4" max="4" width="21" style="85"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238"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493" hidden="1" customWidth="1"/>
    <col min="23" max="23" width="9.85546875" style="2" hidden="1" customWidth="1"/>
    <col min="24" max="25" width="9.140625" style="494"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90" customFormat="1" ht="12.6">
      <c r="B1" s="243" t="s">
        <v>783</v>
      </c>
      <c r="C1" s="478">
        <f>FORM!I20</f>
        <v>45901</v>
      </c>
      <c r="D1" s="242"/>
      <c r="F1" s="173" t="s">
        <v>784</v>
      </c>
      <c r="G1" s="1414" t="s">
        <v>785</v>
      </c>
      <c r="H1" s="1414"/>
      <c r="I1" s="1414"/>
      <c r="J1" s="92"/>
      <c r="K1" s="243" t="s">
        <v>783</v>
      </c>
      <c r="L1" s="478">
        <f>C1</f>
        <v>45901</v>
      </c>
      <c r="M1" s="612"/>
      <c r="O1" s="613"/>
      <c r="P1" s="173" t="s">
        <v>786</v>
      </c>
      <c r="Q1" s="257" t="s">
        <v>787</v>
      </c>
      <c r="V1" s="488"/>
    </row>
    <row r="2" spans="1:53" s="90" customFormat="1" ht="7.5" customHeight="1">
      <c r="C2" s="91"/>
      <c r="D2" s="91"/>
      <c r="K2" s="178"/>
      <c r="L2" s="178"/>
      <c r="M2" s="178"/>
      <c r="N2" s="178"/>
      <c r="O2" s="178"/>
      <c r="P2" s="178"/>
      <c r="Q2" s="178"/>
      <c r="V2" s="488"/>
    </row>
    <row r="3" spans="1:53" s="90" customFormat="1" ht="14.25" customHeight="1">
      <c r="B3" s="1415" t="str">
        <f>'Corrected and Updated TSF 2'!FC19</f>
        <v>12.5% Equity Step-up, 2.50% Lumpsum</v>
      </c>
      <c r="C3" s="1415"/>
      <c r="D3" s="1415"/>
      <c r="E3" s="1415"/>
      <c r="F3" s="1415"/>
      <c r="G3" s="1415"/>
      <c r="H3" s="1415"/>
      <c r="I3" s="1415"/>
      <c r="J3" s="489"/>
      <c r="K3" s="1415" t="s">
        <v>788</v>
      </c>
      <c r="L3" s="1415"/>
      <c r="M3" s="1415"/>
      <c r="N3" s="1415"/>
      <c r="O3" s="1415"/>
      <c r="P3" s="1415"/>
      <c r="Q3" s="1415"/>
      <c r="V3" s="488"/>
    </row>
    <row r="4" spans="1:53" s="90" customFormat="1" ht="12.75" customHeight="1">
      <c r="B4" s="1415"/>
      <c r="C4" s="1415"/>
      <c r="D4" s="1415"/>
      <c r="E4" s="1415"/>
      <c r="F4" s="1415"/>
      <c r="G4" s="1415"/>
      <c r="H4" s="1415"/>
      <c r="I4" s="1415"/>
      <c r="J4" s="489"/>
      <c r="K4" s="1415"/>
      <c r="L4" s="1415"/>
      <c r="M4" s="1415"/>
      <c r="N4" s="1415"/>
      <c r="O4" s="1415"/>
      <c r="P4" s="1415"/>
      <c r="Q4" s="1415"/>
      <c r="V4" s="488"/>
    </row>
    <row r="5" spans="1:53" s="90" customFormat="1" ht="12.75" customHeight="1">
      <c r="B5" s="308"/>
      <c r="C5" s="308"/>
      <c r="D5" s="344"/>
      <c r="E5" s="101"/>
      <c r="F5" s="101"/>
      <c r="G5" s="101"/>
      <c r="H5" s="101"/>
      <c r="I5" s="101"/>
      <c r="J5" s="308"/>
      <c r="K5" s="490"/>
      <c r="L5" s="491"/>
      <c r="M5" s="492"/>
      <c r="N5" s="491"/>
      <c r="O5" s="491"/>
      <c r="P5" s="491"/>
      <c r="Q5" s="492"/>
      <c r="V5" s="488"/>
    </row>
    <row r="6" spans="1:53" s="111" customFormat="1" ht="12.6">
      <c r="A6" s="112"/>
      <c r="B6" s="365" t="s">
        <v>789</v>
      </c>
      <c r="C6" s="366"/>
      <c r="D6" s="197" t="s">
        <v>741</v>
      </c>
      <c r="E6" s="1416">
        <f>'STANDARD COMP.'!E6:I6</f>
        <v>0</v>
      </c>
      <c r="F6" s="1417"/>
      <c r="G6" s="1417"/>
      <c r="H6" s="1417"/>
      <c r="I6" s="1418"/>
      <c r="J6" s="203"/>
      <c r="K6" s="365" t="s">
        <v>789</v>
      </c>
      <c r="L6" s="370"/>
      <c r="M6" s="197" t="s">
        <v>741</v>
      </c>
      <c r="N6" s="1419">
        <f>E6</f>
        <v>0</v>
      </c>
      <c r="O6" s="1419"/>
      <c r="P6" s="1419"/>
      <c r="Q6" s="1419"/>
      <c r="V6" s="579"/>
      <c r="X6" s="90"/>
      <c r="Y6" s="90"/>
      <c r="AM6" s="357"/>
      <c r="AZ6" s="358"/>
      <c r="BA6" s="359"/>
    </row>
    <row r="7" spans="1:53" s="111" customFormat="1" ht="12.6">
      <c r="A7" s="112"/>
      <c r="B7" s="206" t="s">
        <v>740</v>
      </c>
      <c r="C7" s="367"/>
      <c r="D7" s="197" t="s">
        <v>741</v>
      </c>
      <c r="E7" s="1428" t="str">
        <f>'STANDARD COMP.'!E7:I7</f>
        <v>The Southprime Flats</v>
      </c>
      <c r="F7" s="1429"/>
      <c r="G7" s="369" t="str">
        <f>FORM!I14</f>
        <v>B2</v>
      </c>
      <c r="H7" s="369"/>
      <c r="I7" s="217"/>
      <c r="J7" s="203"/>
      <c r="K7" s="206" t="s">
        <v>740</v>
      </c>
      <c r="L7" s="215"/>
      <c r="M7" s="197" t="s">
        <v>741</v>
      </c>
      <c r="N7" s="1419" t="str">
        <f>E7</f>
        <v>The Southprime Flats</v>
      </c>
      <c r="O7" s="1419"/>
      <c r="P7" s="1419"/>
      <c r="Q7" s="1419"/>
      <c r="V7" s="579"/>
      <c r="X7" s="90"/>
      <c r="Y7" s="90"/>
      <c r="AM7" s="357"/>
      <c r="AZ7" s="358"/>
      <c r="BA7" s="359"/>
    </row>
    <row r="8" spans="1:53" s="111" customFormat="1" ht="12.6">
      <c r="A8" s="112"/>
      <c r="B8" s="206" t="s">
        <v>790</v>
      </c>
      <c r="C8" s="367"/>
      <c r="D8" s="197" t="s">
        <v>741</v>
      </c>
      <c r="E8" s="1416" t="str">
        <f>'STANDARD COMP.'!E8:I8</f>
        <v>2L</v>
      </c>
      <c r="F8" s="1417"/>
      <c r="G8" s="1417"/>
      <c r="H8" s="1417"/>
      <c r="I8" s="1418"/>
      <c r="J8" s="203"/>
      <c r="K8" s="206" t="s">
        <v>790</v>
      </c>
      <c r="L8" s="215"/>
      <c r="M8" s="197" t="s">
        <v>741</v>
      </c>
      <c r="N8" s="1419" t="str">
        <f>E8</f>
        <v>2L</v>
      </c>
      <c r="O8" s="1419"/>
      <c r="P8" s="1419"/>
      <c r="Q8" s="1419"/>
      <c r="V8" s="579"/>
      <c r="X8" s="90"/>
      <c r="Y8" s="90"/>
      <c r="AM8" s="357"/>
      <c r="AZ8" s="358"/>
      <c r="BA8" s="359"/>
    </row>
    <row r="9" spans="1:53" s="111" customFormat="1" ht="12.6" hidden="1">
      <c r="A9" s="112"/>
      <c r="B9" s="206" t="s">
        <v>791</v>
      </c>
      <c r="C9" s="367"/>
      <c r="D9" s="197" t="s">
        <v>741</v>
      </c>
      <c r="E9" s="1416" t="e">
        <f>'STANDARD COMP.'!E9:I9</f>
        <v>#REF!</v>
      </c>
      <c r="F9" s="1417"/>
      <c r="G9" s="1417"/>
      <c r="H9" s="1417"/>
      <c r="I9" s="1418"/>
      <c r="J9" s="203"/>
      <c r="K9" s="206" t="s">
        <v>791</v>
      </c>
      <c r="L9" s="215"/>
      <c r="M9" s="197" t="s">
        <v>741</v>
      </c>
      <c r="N9" s="1419" t="str">
        <f>[6]FORM!I14</f>
        <v>TOWER 1</v>
      </c>
      <c r="O9" s="1419"/>
      <c r="P9" s="1419"/>
      <c r="Q9" s="1419"/>
      <c r="V9" s="579"/>
      <c r="X9" s="90"/>
      <c r="Y9" s="90"/>
      <c r="AM9" s="357"/>
      <c r="AZ9" s="358"/>
      <c r="BA9" s="359"/>
    </row>
    <row r="10" spans="1:53" s="111" customFormat="1" ht="12.6">
      <c r="A10" s="112"/>
      <c r="B10" s="206" t="s">
        <v>792</v>
      </c>
      <c r="C10" s="367"/>
      <c r="D10" s="197" t="s">
        <v>741</v>
      </c>
      <c r="E10" s="1416" t="str">
        <f>'STANDARD COMP.'!E10:I10</f>
        <v>Studio</v>
      </c>
      <c r="F10" s="1417"/>
      <c r="G10" s="1417"/>
      <c r="H10" s="1417"/>
      <c r="I10" s="1418"/>
      <c r="J10" s="203"/>
      <c r="K10" s="206" t="s">
        <v>792</v>
      </c>
      <c r="L10" s="215"/>
      <c r="M10" s="197" t="s">
        <v>741</v>
      </c>
      <c r="N10" s="1419" t="str">
        <f>E10</f>
        <v>Studio</v>
      </c>
      <c r="O10" s="1419"/>
      <c r="P10" s="1419"/>
      <c r="Q10" s="1419"/>
      <c r="V10" s="579"/>
      <c r="X10" s="90"/>
      <c r="Y10" s="90"/>
      <c r="AM10" s="357"/>
      <c r="AZ10" s="358"/>
      <c r="BA10" s="359"/>
    </row>
    <row r="11" spans="1:53" s="111" customFormat="1" ht="12.6">
      <c r="A11" s="112"/>
      <c r="B11" s="206" t="s">
        <v>793</v>
      </c>
      <c r="C11" s="367"/>
      <c r="D11" s="197" t="s">
        <v>741</v>
      </c>
      <c r="E11" s="1420">
        <f>'STANDARD COMP.'!E11:F11</f>
        <v>22</v>
      </c>
      <c r="F11" s="1421"/>
      <c r="G11" s="1422" t="s">
        <v>794</v>
      </c>
      <c r="H11" s="1422"/>
      <c r="I11" s="1423"/>
      <c r="J11" s="203"/>
      <c r="K11" s="206" t="s">
        <v>793</v>
      </c>
      <c r="L11" s="215"/>
      <c r="M11" s="197" t="s">
        <v>741</v>
      </c>
      <c r="N11" s="1424">
        <f>E11</f>
        <v>22</v>
      </c>
      <c r="O11" s="1425"/>
      <c r="P11" s="1426" t="s">
        <v>794</v>
      </c>
      <c r="Q11" s="1427"/>
      <c r="V11" s="579"/>
      <c r="X11" s="90"/>
      <c r="Y11" s="90"/>
      <c r="AM11" s="357"/>
      <c r="AZ11" s="358"/>
      <c r="BA11" s="359"/>
    </row>
    <row r="12" spans="1:53" s="111" customFormat="1" ht="12.6">
      <c r="A12" s="112"/>
      <c r="B12" s="215" t="s">
        <v>795</v>
      </c>
      <c r="C12" s="367"/>
      <c r="D12" s="197" t="s">
        <v>741</v>
      </c>
      <c r="E12" s="1420">
        <f>'STANDARD COMP.'!E12:F12</f>
        <v>0</v>
      </c>
      <c r="F12" s="1421"/>
      <c r="G12" s="1422" t="s">
        <v>794</v>
      </c>
      <c r="H12" s="1422"/>
      <c r="I12" s="1423"/>
      <c r="J12" s="203"/>
      <c r="K12" s="215" t="s">
        <v>795</v>
      </c>
      <c r="L12" s="215"/>
      <c r="M12" s="197" t="s">
        <v>741</v>
      </c>
      <c r="N12" s="1430">
        <f>E12</f>
        <v>0</v>
      </c>
      <c r="O12" s="1431"/>
      <c r="P12" s="1426" t="s">
        <v>794</v>
      </c>
      <c r="Q12" s="1427"/>
      <c r="V12" s="579"/>
      <c r="X12" s="90"/>
      <c r="Y12" s="90"/>
      <c r="AM12" s="357"/>
      <c r="AZ12" s="358"/>
      <c r="BA12" s="359"/>
    </row>
    <row r="13" spans="1:53" s="111" customFormat="1" ht="12.6">
      <c r="A13" s="112"/>
      <c r="B13" s="384" t="s">
        <v>796</v>
      </c>
      <c r="C13" s="122"/>
      <c r="D13" s="197" t="s">
        <v>741</v>
      </c>
      <c r="E13" s="1420">
        <f>'STANDARD COMP.'!E13:F13</f>
        <v>22</v>
      </c>
      <c r="F13" s="1421"/>
      <c r="G13" s="1422" t="s">
        <v>794</v>
      </c>
      <c r="H13" s="1422"/>
      <c r="I13" s="1423"/>
      <c r="J13" s="203"/>
      <c r="K13" s="384" t="s">
        <v>796</v>
      </c>
      <c r="L13" s="160"/>
      <c r="M13" s="197" t="s">
        <v>741</v>
      </c>
      <c r="N13" s="1430">
        <f>E13</f>
        <v>22</v>
      </c>
      <c r="O13" s="1431"/>
      <c r="P13" s="1426" t="s">
        <v>794</v>
      </c>
      <c r="Q13" s="1427"/>
      <c r="V13" s="579"/>
      <c r="X13" s="90"/>
      <c r="Y13" s="90"/>
      <c r="AM13" s="357"/>
      <c r="AZ13" s="358"/>
      <c r="BA13" s="359"/>
    </row>
    <row r="14" spans="1:53" s="111" customFormat="1" ht="12.6">
      <c r="B14" s="112"/>
      <c r="C14" s="112"/>
      <c r="D14" s="197"/>
      <c r="E14" s="112"/>
      <c r="F14" s="112"/>
      <c r="G14" s="112"/>
      <c r="H14" s="112"/>
      <c r="I14" s="112"/>
      <c r="M14" s="279"/>
      <c r="V14" s="579"/>
      <c r="X14" s="90"/>
      <c r="Y14" s="90"/>
    </row>
    <row r="15" spans="1:53" s="111" customFormat="1" ht="12.6">
      <c r="B15" s="201" t="s">
        <v>797</v>
      </c>
      <c r="C15" s="366"/>
      <c r="D15" s="203" t="s">
        <v>741</v>
      </c>
      <c r="E15" s="580"/>
      <c r="F15" s="1432">
        <f>'STANDARD COMP.'!F15:I15</f>
        <v>3379693.0676632621</v>
      </c>
      <c r="G15" s="1432"/>
      <c r="H15" s="1432"/>
      <c r="I15" s="1433"/>
      <c r="J15" s="3"/>
      <c r="K15" s="1434" t="s">
        <v>798</v>
      </c>
      <c r="L15" s="1434"/>
      <c r="M15" s="1435" t="s">
        <v>709</v>
      </c>
      <c r="N15" s="1434" t="s">
        <v>712</v>
      </c>
      <c r="O15" s="1434"/>
      <c r="P15" s="1436" t="s">
        <v>458</v>
      </c>
      <c r="Q15" s="1437"/>
      <c r="V15" s="579"/>
      <c r="X15" s="90"/>
      <c r="Y15" s="90"/>
    </row>
    <row r="16" spans="1:53" s="3" customFormat="1" ht="12.6">
      <c r="B16" s="206" t="s">
        <v>799</v>
      </c>
      <c r="C16" s="215"/>
      <c r="D16" s="197" t="s">
        <v>741</v>
      </c>
      <c r="E16" s="581"/>
      <c r="F16" s="1432">
        <f>'STANDARD COMP.'!F16:I16</f>
        <v>0</v>
      </c>
      <c r="G16" s="1432"/>
      <c r="H16" s="1432"/>
      <c r="I16" s="1433"/>
      <c r="J16" s="111"/>
      <c r="K16" s="1434"/>
      <c r="L16" s="1434"/>
      <c r="M16" s="1435"/>
      <c r="N16" s="1434"/>
      <c r="O16" s="1434"/>
      <c r="P16" s="1438"/>
      <c r="Q16" s="1439"/>
      <c r="V16" s="582"/>
      <c r="W16" s="3">
        <f>SUM(F30:F32)</f>
        <v>0</v>
      </c>
      <c r="X16" s="583"/>
      <c r="Y16" s="583"/>
    </row>
    <row r="17" spans="1:31" s="111" customFormat="1" ht="12.6">
      <c r="B17" s="165" t="s">
        <v>800</v>
      </c>
      <c r="C17" s="122"/>
      <c r="D17" s="203" t="s">
        <v>741</v>
      </c>
      <c r="E17" s="584"/>
      <c r="F17" s="1440">
        <f>F15-F16</f>
        <v>3379693.0676632621</v>
      </c>
      <c r="G17" s="1432"/>
      <c r="H17" s="1432"/>
      <c r="I17" s="1433"/>
      <c r="J17" s="3"/>
      <c r="K17" s="1419" t="s">
        <v>758</v>
      </c>
      <c r="L17" s="1419"/>
      <c r="M17" s="378">
        <f>C1</f>
        <v>45901</v>
      </c>
      <c r="N17" s="1441">
        <f>F25</f>
        <v>30000</v>
      </c>
      <c r="O17" s="1441"/>
      <c r="P17" s="1442"/>
      <c r="Q17" s="1443"/>
      <c r="T17" s="1444" t="s">
        <v>801</v>
      </c>
      <c r="U17" s="1445"/>
      <c r="V17" s="585">
        <f>C1</f>
        <v>45901</v>
      </c>
      <c r="W17" s="579">
        <f>EDATE(V17,W16)</f>
        <v>45901</v>
      </c>
      <c r="X17" s="90"/>
      <c r="Y17" s="90"/>
    </row>
    <row r="18" spans="1:31" s="3" customFormat="1" ht="12.6">
      <c r="B18" s="212"/>
      <c r="C18" s="112"/>
      <c r="D18" s="197"/>
      <c r="E18" s="369"/>
      <c r="F18" s="586"/>
      <c r="G18" s="586"/>
      <c r="H18" s="586"/>
      <c r="I18" s="467"/>
      <c r="J18" s="111"/>
      <c r="K18" s="1419">
        <f t="shared" ref="K18:K57" si="0">IF(N18&gt;1,T18,0)</f>
        <v>0</v>
      </c>
      <c r="L18" s="1419"/>
      <c r="M18" s="496" t="str">
        <f t="shared" ref="M18:M57" si="1">IF(N18&gt;1,V18,"")</f>
        <v/>
      </c>
      <c r="N18" s="1446"/>
      <c r="O18" s="1446"/>
      <c r="P18" s="1442"/>
      <c r="Q18" s="1443"/>
      <c r="T18" s="1419" t="s">
        <v>802</v>
      </c>
      <c r="U18" s="1419"/>
      <c r="V18" s="587">
        <f>IF(DAY(V17)=31,X21,Z21)</f>
        <v>45935</v>
      </c>
      <c r="X18" s="1"/>
      <c r="Y18" s="1"/>
    </row>
    <row r="19" spans="1:31" s="111" customFormat="1" ht="12.95">
      <c r="B19" s="215" t="s">
        <v>803</v>
      </c>
      <c r="C19" s="215"/>
      <c r="D19" s="197" t="s">
        <v>741</v>
      </c>
      <c r="E19" s="216">
        <v>0.12</v>
      </c>
      <c r="F19" s="1453">
        <f>'STANDARD COMP.'!F19:I19</f>
        <v>0</v>
      </c>
      <c r="G19" s="1454"/>
      <c r="H19" s="1454"/>
      <c r="I19" s="1455"/>
      <c r="K19" s="1419">
        <f t="shared" si="0"/>
        <v>0</v>
      </c>
      <c r="L19" s="1419"/>
      <c r="M19" s="496" t="str">
        <f t="shared" si="1"/>
        <v/>
      </c>
      <c r="N19" s="1446"/>
      <c r="O19" s="1446"/>
      <c r="P19" s="1442"/>
      <c r="Q19" s="1443"/>
      <c r="T19" s="1442" t="s">
        <v>804</v>
      </c>
      <c r="U19" s="1443"/>
      <c r="V19" s="588">
        <f t="shared" ref="V19:V59" si="2">IF(AND(DAY(V18)&gt;=6,DAY(V18)&lt;=20),DATE(YEAR(V18),MONTH(V18)+1,DAY(20)),IF(AND(DAY(V18)&gt;=21,DAY(V18)&lt;=30),DATE(YEAR(V18),MONTH(V18)+1,IF(DAY(EOMONTH(V18,1))&lt;30,DAY(EOMONTH(V18,1)),DAY(30))),DATE(YEAR(V18),MONTH(V18)+1,DAY(5))))</f>
        <v>45966</v>
      </c>
      <c r="X19" s="1456" t="s">
        <v>805</v>
      </c>
      <c r="Y19" s="1456"/>
      <c r="AD19" s="1442"/>
      <c r="AE19" s="1443"/>
    </row>
    <row r="20" spans="1:31" s="111" customFormat="1" ht="12.6">
      <c r="B20" s="384" t="s">
        <v>806</v>
      </c>
      <c r="C20" s="160"/>
      <c r="D20" s="197" t="s">
        <v>741</v>
      </c>
      <c r="E20" s="589"/>
      <c r="F20" s="1451">
        <f>'STANDARD COMP.'!F20:I20</f>
        <v>464707.79680369853</v>
      </c>
      <c r="G20" s="1451"/>
      <c r="H20" s="1451"/>
      <c r="I20" s="1452"/>
      <c r="K20" s="1419">
        <f t="shared" si="0"/>
        <v>0</v>
      </c>
      <c r="L20" s="1419"/>
      <c r="M20" s="496" t="str">
        <f t="shared" si="1"/>
        <v/>
      </c>
      <c r="N20" s="1446"/>
      <c r="O20" s="1446"/>
      <c r="P20" s="1442"/>
      <c r="Q20" s="1443"/>
      <c r="T20" s="1419" t="s">
        <v>807</v>
      </c>
      <c r="U20" s="1419"/>
      <c r="V20" s="588">
        <f t="shared" si="2"/>
        <v>45996</v>
      </c>
      <c r="W20" s="590" t="s">
        <v>37</v>
      </c>
      <c r="X20" s="1449" t="b">
        <f>IF(DAY(V17)=31,DATE(YEAR(W17),MONTH(W17)+2,DAY(5)))</f>
        <v>0</v>
      </c>
      <c r="Y20" s="1450"/>
      <c r="Z20" s="591">
        <f>IF(AND(DAY(W17)&gt;=6,DAY(W17)&lt;=20),DATE(YEAR(W17),MONTH(W17)+1,DAY(20)),IF(AND(DAY(W17)&gt;=21,DAY(W17)&lt;=31),DATE(YEAR(W17),MONTH(W17)+1,IF(DAY(EOMONTH(W17,1))&lt;30,DAY(EOMONTH(W17,1)),DAY(30))),DATE(YEAR(W17),MONTH(W17)+1,DAY(5))))</f>
        <v>45935</v>
      </c>
      <c r="AD20" s="1442"/>
      <c r="AE20" s="1443"/>
    </row>
    <row r="21" spans="1:31" s="111" customFormat="1" ht="12.6">
      <c r="B21" s="212"/>
      <c r="C21" s="112"/>
      <c r="D21" s="197"/>
      <c r="E21" s="592"/>
      <c r="F21" s="593"/>
      <c r="G21" s="594"/>
      <c r="H21" s="594"/>
      <c r="I21" s="217"/>
      <c r="K21" s="1419">
        <f t="shared" si="0"/>
        <v>0</v>
      </c>
      <c r="L21" s="1419"/>
      <c r="M21" s="496" t="str">
        <f t="shared" si="1"/>
        <v/>
      </c>
      <c r="N21" s="1446"/>
      <c r="O21" s="1446"/>
      <c r="P21" s="1442"/>
      <c r="Q21" s="1443"/>
      <c r="T21" s="1419" t="s">
        <v>808</v>
      </c>
      <c r="U21" s="1419"/>
      <c r="V21" s="588">
        <f t="shared" si="2"/>
        <v>46027</v>
      </c>
      <c r="W21" s="590" t="s">
        <v>809</v>
      </c>
      <c r="X21" s="1449" t="b">
        <f>IF(DAY(V17)=31,DATE(YEAR(V17),MONTH(V17)+2,DAY(5)))</f>
        <v>0</v>
      </c>
      <c r="Y21" s="1450"/>
      <c r="Z21" s="591">
        <f>IF(AND(DAY(V17)&gt;=6,DAY(V17)&lt;=20),DATE(YEAR(V17),MONTH(V17)+1,DAY(20)),IF(AND(DAY(V17)&gt;=21,DAY(V17)&lt;=30),DATE(YEAR(V17),MONTH(V17)+1,IF(DAY(EOMONTH(V17,1))&lt;31,DAY(EOMONTH(V17,1)),DAY(30))),DATE(YEAR(V17),MONTH(V17)+1,DAY(5))))</f>
        <v>45935</v>
      </c>
      <c r="AD21" s="1442"/>
      <c r="AE21" s="1443"/>
    </row>
    <row r="22" spans="1:31" s="111" customFormat="1" ht="12.95">
      <c r="B22" s="165" t="s">
        <v>810</v>
      </c>
      <c r="C22" s="122"/>
      <c r="D22" s="203" t="s">
        <v>741</v>
      </c>
      <c r="E22" s="465"/>
      <c r="F22" s="1457">
        <f>SUM(F19:I20,F17)</f>
        <v>3844400.8644669605</v>
      </c>
      <c r="G22" s="1457"/>
      <c r="H22" s="1457"/>
      <c r="I22" s="1458"/>
      <c r="K22" s="1419">
        <f t="shared" si="0"/>
        <v>0</v>
      </c>
      <c r="L22" s="1419"/>
      <c r="M22" s="496" t="str">
        <f t="shared" si="1"/>
        <v/>
      </c>
      <c r="N22" s="1446"/>
      <c r="O22" s="1446"/>
      <c r="P22" s="1442"/>
      <c r="Q22" s="1443"/>
      <c r="T22" s="1419" t="s">
        <v>811</v>
      </c>
      <c r="U22" s="1419"/>
      <c r="V22" s="588">
        <f t="shared" si="2"/>
        <v>46058</v>
      </c>
      <c r="X22" s="1456"/>
      <c r="Y22" s="1456"/>
      <c r="AD22" s="1442"/>
      <c r="AE22" s="1443"/>
    </row>
    <row r="23" spans="1:31" s="111" customFormat="1" ht="12.95">
      <c r="A23" s="3"/>
      <c r="B23" s="212"/>
      <c r="C23" s="112"/>
      <c r="D23" s="197"/>
      <c r="E23" s="197"/>
      <c r="F23" s="214"/>
      <c r="G23" s="214"/>
      <c r="H23" s="214"/>
      <c r="I23" s="112"/>
      <c r="J23" s="3"/>
      <c r="K23" s="1419">
        <f t="shared" si="0"/>
        <v>0</v>
      </c>
      <c r="L23" s="1419"/>
      <c r="M23" s="496" t="str">
        <f t="shared" si="1"/>
        <v/>
      </c>
      <c r="N23" s="1446"/>
      <c r="O23" s="1446"/>
      <c r="P23" s="1442"/>
      <c r="Q23" s="1443"/>
      <c r="T23" s="1419" t="s">
        <v>812</v>
      </c>
      <c r="U23" s="1419"/>
      <c r="V23" s="588">
        <f t="shared" si="2"/>
        <v>46086</v>
      </c>
      <c r="X23" s="1456"/>
      <c r="Y23" s="1456"/>
      <c r="AD23" s="1442"/>
      <c r="AE23" s="1443"/>
    </row>
    <row r="24" spans="1:31" s="3" customFormat="1" ht="12.95">
      <c r="A24" s="111"/>
      <c r="B24" s="165" t="s">
        <v>813</v>
      </c>
      <c r="C24" s="366"/>
      <c r="D24" s="203" t="s">
        <v>741</v>
      </c>
      <c r="E24" s="462">
        <f>'STANDARD COMP.'!E24</f>
        <v>0.125</v>
      </c>
      <c r="F24" s="1440">
        <f>F22*E24</f>
        <v>480550.10805837007</v>
      </c>
      <c r="G24" s="1432"/>
      <c r="H24" s="1432"/>
      <c r="I24" s="1433"/>
      <c r="J24" s="111"/>
      <c r="K24" s="1419">
        <f t="shared" si="0"/>
        <v>0</v>
      </c>
      <c r="L24" s="1419"/>
      <c r="M24" s="496" t="str">
        <f t="shared" si="1"/>
        <v/>
      </c>
      <c r="N24" s="1446"/>
      <c r="O24" s="1446"/>
      <c r="P24" s="1442"/>
      <c r="Q24" s="1443"/>
      <c r="T24" s="1419" t="s">
        <v>814</v>
      </c>
      <c r="U24" s="1419"/>
      <c r="V24" s="588">
        <f t="shared" si="2"/>
        <v>46117</v>
      </c>
      <c r="X24" s="1456"/>
      <c r="Y24" s="1456"/>
      <c r="AD24" s="1442"/>
      <c r="AE24" s="1443"/>
    </row>
    <row r="25" spans="1:31" s="111" customFormat="1" ht="12.95">
      <c r="B25" s="206" t="s">
        <v>815</v>
      </c>
      <c r="C25" s="215"/>
      <c r="D25" s="197" t="s">
        <v>741</v>
      </c>
      <c r="E25" s="388"/>
      <c r="F25" s="1453">
        <f>'STANDARD COMP.'!F25</f>
        <v>30000</v>
      </c>
      <c r="G25" s="1454"/>
      <c r="H25" s="1454"/>
      <c r="I25" s="1455"/>
      <c r="K25" s="1419">
        <f t="shared" si="0"/>
        <v>0</v>
      </c>
      <c r="L25" s="1419"/>
      <c r="M25" s="496" t="str">
        <f t="shared" si="1"/>
        <v/>
      </c>
      <c r="N25" s="1446"/>
      <c r="O25" s="1446"/>
      <c r="P25" s="1442"/>
      <c r="Q25" s="1443"/>
      <c r="T25" s="1419" t="s">
        <v>816</v>
      </c>
      <c r="U25" s="1419"/>
      <c r="V25" s="588">
        <f t="shared" si="2"/>
        <v>46147</v>
      </c>
      <c r="X25" s="1456"/>
      <c r="Y25" s="1456"/>
      <c r="AD25" s="1442"/>
      <c r="AE25" s="1443"/>
    </row>
    <row r="26" spans="1:31" s="111" customFormat="1" ht="12.95">
      <c r="A26" s="3"/>
      <c r="B26" s="206" t="s">
        <v>941</v>
      </c>
      <c r="C26" s="215"/>
      <c r="D26" s="197"/>
      <c r="E26" s="618">
        <v>2.5000000000000001E-2</v>
      </c>
      <c r="F26" s="615">
        <f>E26*F22</f>
        <v>96110.021611674019</v>
      </c>
      <c r="G26" s="616"/>
      <c r="H26" s="616"/>
      <c r="I26" s="617"/>
      <c r="J26" s="3"/>
      <c r="K26" s="1419">
        <f t="shared" si="0"/>
        <v>0</v>
      </c>
      <c r="L26" s="1419"/>
      <c r="M26" s="496" t="str">
        <f t="shared" si="1"/>
        <v/>
      </c>
      <c r="N26" s="1446"/>
      <c r="O26" s="1446"/>
      <c r="P26" s="1442"/>
      <c r="Q26" s="1443"/>
      <c r="T26" s="1419" t="s">
        <v>818</v>
      </c>
      <c r="U26" s="1419"/>
      <c r="V26" s="588">
        <f t="shared" si="2"/>
        <v>46178</v>
      </c>
      <c r="X26" s="1456"/>
      <c r="Y26" s="1456"/>
      <c r="AD26" s="1442"/>
      <c r="AE26" s="1443"/>
    </row>
    <row r="27" spans="1:31" s="3" customFormat="1" ht="12.95">
      <c r="B27" s="165" t="s">
        <v>817</v>
      </c>
      <c r="C27" s="122"/>
      <c r="D27" s="203" t="s">
        <v>741</v>
      </c>
      <c r="E27" s="385"/>
      <c r="F27" s="1440">
        <f>F24-F25-F26</f>
        <v>354440.08644669608</v>
      </c>
      <c r="G27" s="1432"/>
      <c r="H27" s="1432"/>
      <c r="I27" s="1433"/>
      <c r="J27" s="595"/>
      <c r="K27" s="1419">
        <f t="shared" si="0"/>
        <v>0</v>
      </c>
      <c r="L27" s="1419"/>
      <c r="M27" s="496" t="str">
        <f t="shared" si="1"/>
        <v/>
      </c>
      <c r="N27" s="1446"/>
      <c r="O27" s="1446"/>
      <c r="P27" s="1442"/>
      <c r="Q27" s="1443"/>
      <c r="R27" s="3" t="s">
        <v>757</v>
      </c>
      <c r="T27" s="1419" t="s">
        <v>819</v>
      </c>
      <c r="U27" s="1419"/>
      <c r="V27" s="588">
        <f t="shared" si="2"/>
        <v>46208</v>
      </c>
      <c r="X27" s="1456"/>
      <c r="Y27" s="1456"/>
      <c r="AD27" s="1442"/>
      <c r="AE27" s="1443"/>
    </row>
    <row r="28" spans="1:31" s="3" customFormat="1" ht="12.95">
      <c r="B28" s="212"/>
      <c r="C28" s="112"/>
      <c r="D28" s="197"/>
      <c r="E28" s="197"/>
      <c r="F28" s="214"/>
      <c r="G28" s="214"/>
      <c r="H28" s="214"/>
      <c r="I28" s="114"/>
      <c r="K28" s="1419">
        <f t="shared" si="0"/>
        <v>0</v>
      </c>
      <c r="L28" s="1419"/>
      <c r="M28" s="496" t="str">
        <f t="shared" si="1"/>
        <v/>
      </c>
      <c r="N28" s="1446"/>
      <c r="O28" s="1446"/>
      <c r="P28" s="1442"/>
      <c r="Q28" s="1443"/>
      <c r="T28" s="1419" t="s">
        <v>822</v>
      </c>
      <c r="U28" s="1419"/>
      <c r="V28" s="588">
        <f t="shared" si="2"/>
        <v>46239</v>
      </c>
      <c r="X28" s="1456"/>
      <c r="Y28" s="1456"/>
      <c r="AD28" s="1442"/>
      <c r="AE28" s="1443"/>
    </row>
    <row r="29" spans="1:31" s="3" customFormat="1" ht="12.95">
      <c r="A29" s="111"/>
      <c r="B29" s="1461" t="s">
        <v>820</v>
      </c>
      <c r="C29" s="1461"/>
      <c r="D29" s="203"/>
      <c r="E29" s="596" t="s">
        <v>771</v>
      </c>
      <c r="F29" s="597" t="s">
        <v>770</v>
      </c>
      <c r="G29" s="1462" t="s">
        <v>821</v>
      </c>
      <c r="H29" s="1462"/>
      <c r="I29" s="1462"/>
      <c r="J29" s="111"/>
      <c r="K29" s="1419">
        <f t="shared" si="0"/>
        <v>0</v>
      </c>
      <c r="L29" s="1419"/>
      <c r="M29" s="496" t="str">
        <f t="shared" si="1"/>
        <v/>
      </c>
      <c r="N29" s="1446"/>
      <c r="O29" s="1446"/>
      <c r="P29" s="1442"/>
      <c r="Q29" s="1443"/>
      <c r="T29" s="1419" t="s">
        <v>823</v>
      </c>
      <c r="U29" s="1419"/>
      <c r="V29" s="588">
        <f t="shared" si="2"/>
        <v>46270</v>
      </c>
      <c r="X29" s="1456"/>
      <c r="Y29" s="1456"/>
      <c r="AD29" s="1442"/>
      <c r="AE29" s="1443"/>
    </row>
    <row r="30" spans="1:31" s="111" customFormat="1" ht="12.95">
      <c r="A30" s="3"/>
      <c r="B30" s="1459">
        <f>FORM!K39</f>
        <v>0</v>
      </c>
      <c r="C30" s="1459"/>
      <c r="D30" s="203" t="s">
        <v>741</v>
      </c>
      <c r="E30" s="598">
        <f>FORM!T39</f>
        <v>0.25</v>
      </c>
      <c r="F30" s="599">
        <f>FORM!P39</f>
        <v>0</v>
      </c>
      <c r="G30" s="1460" t="e">
        <f>F27*E30/F30</f>
        <v>#DIV/0!</v>
      </c>
      <c r="H30" s="1460"/>
      <c r="I30" s="1460"/>
      <c r="J30" s="3"/>
      <c r="K30" s="1419">
        <f t="shared" si="0"/>
        <v>0</v>
      </c>
      <c r="L30" s="1419"/>
      <c r="M30" s="496" t="str">
        <f t="shared" si="1"/>
        <v/>
      </c>
      <c r="N30" s="1446"/>
      <c r="O30" s="1446"/>
      <c r="P30" s="1442"/>
      <c r="Q30" s="1443"/>
      <c r="R30" s="3"/>
      <c r="S30" s="3"/>
      <c r="T30" s="1419" t="s">
        <v>824</v>
      </c>
      <c r="U30" s="1419"/>
      <c r="V30" s="588">
        <f t="shared" si="2"/>
        <v>46300</v>
      </c>
      <c r="X30" s="1456"/>
      <c r="Y30" s="1456"/>
      <c r="AD30" s="1442"/>
      <c r="AE30" s="1443"/>
    </row>
    <row r="31" spans="1:31" s="3" customFormat="1" ht="12.95">
      <c r="A31" s="111"/>
      <c r="B31" s="1459">
        <f>FORM!K40</f>
        <v>0</v>
      </c>
      <c r="C31" s="1459"/>
      <c r="D31" s="203" t="s">
        <v>741</v>
      </c>
      <c r="E31" s="598">
        <f>FORM!T40</f>
        <v>0.35</v>
      </c>
      <c r="F31" s="599">
        <f>FORM!P40</f>
        <v>0</v>
      </c>
      <c r="G31" s="1460" t="e">
        <f>F27*E31/F31</f>
        <v>#DIV/0!</v>
      </c>
      <c r="H31" s="1460"/>
      <c r="I31" s="1460"/>
      <c r="J31" s="111"/>
      <c r="K31" s="1419">
        <f t="shared" si="0"/>
        <v>0</v>
      </c>
      <c r="L31" s="1419"/>
      <c r="M31" s="496" t="str">
        <f t="shared" si="1"/>
        <v/>
      </c>
      <c r="N31" s="1446"/>
      <c r="O31" s="1446"/>
      <c r="P31" s="1442"/>
      <c r="Q31" s="1443"/>
      <c r="T31" s="1419" t="s">
        <v>825</v>
      </c>
      <c r="U31" s="1419"/>
      <c r="V31" s="588">
        <f t="shared" si="2"/>
        <v>46331</v>
      </c>
      <c r="X31" s="1456"/>
      <c r="Y31" s="1456"/>
      <c r="AD31" s="1442"/>
      <c r="AE31" s="1443"/>
    </row>
    <row r="32" spans="1:31" s="111" customFormat="1" ht="12.95">
      <c r="A32" s="3"/>
      <c r="B32" s="1459">
        <f>FORM!K41</f>
        <v>0</v>
      </c>
      <c r="C32" s="1459"/>
      <c r="D32" s="203" t="s">
        <v>741</v>
      </c>
      <c r="E32" s="598">
        <f>FORM!T41</f>
        <v>0.4</v>
      </c>
      <c r="F32" s="599">
        <f>FORM!P41</f>
        <v>0</v>
      </c>
      <c r="G32" s="1460" t="e">
        <f>F27*E32/F32</f>
        <v>#DIV/0!</v>
      </c>
      <c r="H32" s="1460"/>
      <c r="I32" s="1460"/>
      <c r="J32" s="3"/>
      <c r="K32" s="1419">
        <f t="shared" si="0"/>
        <v>0</v>
      </c>
      <c r="L32" s="1419"/>
      <c r="M32" s="496" t="str">
        <f t="shared" si="1"/>
        <v/>
      </c>
      <c r="N32" s="1446"/>
      <c r="O32" s="1446"/>
      <c r="P32" s="1442"/>
      <c r="Q32" s="1443"/>
      <c r="R32" s="3"/>
      <c r="S32" s="3"/>
      <c r="T32" s="1419" t="s">
        <v>826</v>
      </c>
      <c r="U32" s="1419"/>
      <c r="V32" s="588">
        <f t="shared" si="2"/>
        <v>46361</v>
      </c>
      <c r="X32" s="1456"/>
      <c r="Y32" s="1456"/>
      <c r="AD32" s="1442"/>
      <c r="AE32" s="1443"/>
    </row>
    <row r="33" spans="1:31" s="3" customFormat="1" ht="12.95">
      <c r="A33" s="111"/>
      <c r="B33" s="309"/>
      <c r="C33" s="309"/>
      <c r="D33" s="197"/>
      <c r="E33" s="197"/>
      <c r="F33" s="600">
        <f>SUM(F30:F32)</f>
        <v>0</v>
      </c>
      <c r="G33" s="278"/>
      <c r="H33" s="278"/>
      <c r="I33" s="112"/>
      <c r="J33" s="111"/>
      <c r="K33" s="1419">
        <f t="shared" si="0"/>
        <v>0</v>
      </c>
      <c r="L33" s="1419"/>
      <c r="M33" s="496" t="str">
        <f t="shared" si="1"/>
        <v/>
      </c>
      <c r="N33" s="1446"/>
      <c r="O33" s="1446"/>
      <c r="P33" s="1442"/>
      <c r="Q33" s="1443"/>
      <c r="T33" s="1419" t="s">
        <v>828</v>
      </c>
      <c r="U33" s="1419"/>
      <c r="V33" s="588">
        <f t="shared" si="2"/>
        <v>46392</v>
      </c>
      <c r="X33" s="1456"/>
      <c r="Y33" s="1456"/>
      <c r="AD33" s="1442"/>
      <c r="AE33" s="1443"/>
    </row>
    <row r="34" spans="1:31" s="111" customFormat="1" ht="12.95">
      <c r="B34" s="165" t="s">
        <v>827</v>
      </c>
      <c r="C34" s="122"/>
      <c r="D34" s="203" t="s">
        <v>741</v>
      </c>
      <c r="E34" s="462">
        <f>100%-E24</f>
        <v>0.875</v>
      </c>
      <c r="F34" s="1440">
        <f>F22*E34</f>
        <v>3363850.7564085904</v>
      </c>
      <c r="G34" s="1432"/>
      <c r="H34" s="1432"/>
      <c r="I34" s="1433"/>
      <c r="K34" s="1419">
        <f t="shared" si="0"/>
        <v>0</v>
      </c>
      <c r="L34" s="1419"/>
      <c r="M34" s="496" t="str">
        <f t="shared" si="1"/>
        <v/>
      </c>
      <c r="N34" s="1446"/>
      <c r="O34" s="1446"/>
      <c r="P34" s="1442"/>
      <c r="Q34" s="1443"/>
      <c r="T34" s="1419" t="s">
        <v>829</v>
      </c>
      <c r="U34" s="1419"/>
      <c r="V34" s="588">
        <f t="shared" si="2"/>
        <v>46423</v>
      </c>
      <c r="X34" s="1456"/>
      <c r="Y34" s="1456"/>
      <c r="AD34" s="1442"/>
      <c r="AE34" s="1443"/>
    </row>
    <row r="35" spans="1:31" s="111" customFormat="1" ht="12.95">
      <c r="A35" s="3"/>
      <c r="B35" s="212"/>
      <c r="C35" s="112"/>
      <c r="D35" s="197"/>
      <c r="E35" s="112"/>
      <c r="F35" s="112"/>
      <c r="G35" s="112"/>
      <c r="H35" s="112"/>
      <c r="I35" s="112"/>
      <c r="J35" s="3"/>
      <c r="K35" s="1419">
        <f t="shared" si="0"/>
        <v>0</v>
      </c>
      <c r="L35" s="1419"/>
      <c r="M35" s="496" t="str">
        <f t="shared" si="1"/>
        <v/>
      </c>
      <c r="N35" s="1446"/>
      <c r="O35" s="1446"/>
      <c r="P35" s="1442"/>
      <c r="Q35" s="1443"/>
      <c r="T35" s="1419" t="s">
        <v>831</v>
      </c>
      <c r="U35" s="1419"/>
      <c r="V35" s="588">
        <f t="shared" si="2"/>
        <v>46451</v>
      </c>
      <c r="X35" s="1456"/>
      <c r="Y35" s="1456"/>
      <c r="AD35" s="1442"/>
      <c r="AE35" s="1443"/>
    </row>
    <row r="36" spans="1:31" s="3" customFormat="1" ht="12.95">
      <c r="A36" s="111"/>
      <c r="B36" s="122" t="s">
        <v>830</v>
      </c>
      <c r="C36" s="122"/>
      <c r="D36" s="309"/>
      <c r="E36" s="309"/>
      <c r="F36" s="309"/>
      <c r="G36" s="309"/>
      <c r="H36" s="309"/>
      <c r="I36" s="309"/>
      <c r="J36" s="111"/>
      <c r="K36" s="1419">
        <f t="shared" si="0"/>
        <v>0</v>
      </c>
      <c r="L36" s="1419"/>
      <c r="M36" s="496" t="str">
        <f t="shared" si="1"/>
        <v/>
      </c>
      <c r="N36" s="1446"/>
      <c r="O36" s="1446"/>
      <c r="P36" s="1442"/>
      <c r="Q36" s="1443"/>
      <c r="T36" s="1419" t="s">
        <v>832</v>
      </c>
      <c r="U36" s="1419"/>
      <c r="V36" s="588">
        <f t="shared" si="2"/>
        <v>46482</v>
      </c>
      <c r="X36" s="1456"/>
      <c r="Y36" s="1456"/>
      <c r="AD36" s="1442"/>
      <c r="AE36" s="1443"/>
    </row>
    <row r="37" spans="1:31" s="111" customFormat="1" ht="12.95">
      <c r="B37" s="309"/>
      <c r="C37" s="309"/>
      <c r="D37" s="309"/>
      <c r="E37" s="309"/>
      <c r="F37" s="309"/>
      <c r="G37" s="309"/>
      <c r="H37" s="309"/>
      <c r="I37" s="309"/>
      <c r="K37" s="1419">
        <f t="shared" si="0"/>
        <v>0</v>
      </c>
      <c r="L37" s="1419"/>
      <c r="M37" s="496" t="str">
        <f t="shared" si="1"/>
        <v/>
      </c>
      <c r="N37" s="1446"/>
      <c r="O37" s="1446"/>
      <c r="P37" s="1442"/>
      <c r="Q37" s="1443"/>
      <c r="T37" s="1419" t="s">
        <v>837</v>
      </c>
      <c r="U37" s="1419"/>
      <c r="V37" s="588">
        <f t="shared" si="2"/>
        <v>46512</v>
      </c>
      <c r="X37" s="1456"/>
      <c r="Y37" s="1456"/>
      <c r="AD37" s="1442"/>
      <c r="AE37" s="1443"/>
    </row>
    <row r="38" spans="1:31" s="111" customFormat="1" ht="12.95">
      <c r="B38" s="345" t="s">
        <v>833</v>
      </c>
      <c r="C38" s="345" t="s">
        <v>352</v>
      </c>
      <c r="D38" s="1434" t="s">
        <v>834</v>
      </c>
      <c r="E38" s="1434"/>
      <c r="F38" s="345" t="s">
        <v>835</v>
      </c>
      <c r="G38" s="1434" t="s">
        <v>836</v>
      </c>
      <c r="H38" s="1434"/>
      <c r="I38" s="1434"/>
      <c r="K38" s="1419">
        <f t="shared" si="0"/>
        <v>0</v>
      </c>
      <c r="L38" s="1419"/>
      <c r="M38" s="496" t="str">
        <f t="shared" si="1"/>
        <v/>
      </c>
      <c r="N38" s="1446"/>
      <c r="O38" s="1446"/>
      <c r="P38" s="1442"/>
      <c r="Q38" s="1443"/>
      <c r="T38" s="1419" t="s">
        <v>838</v>
      </c>
      <c r="U38" s="1419"/>
      <c r="V38" s="588">
        <f t="shared" si="2"/>
        <v>46543</v>
      </c>
      <c r="X38" s="1456"/>
      <c r="Y38" s="1456"/>
      <c r="AD38" s="1442"/>
      <c r="AE38" s="1443"/>
    </row>
    <row r="39" spans="1:31" s="111" customFormat="1" ht="12.95">
      <c r="B39" s="720">
        <v>5</v>
      </c>
      <c r="C39" s="699">
        <f>'STANDARD COMP.'!C35</f>
        <v>7.0000000000000007E-2</v>
      </c>
      <c r="D39" s="1543">
        <f>PMT(C39/12,B39*12,-1)</f>
        <v>1.9801198540349535E-2</v>
      </c>
      <c r="E39" s="1543"/>
      <c r="F39" s="721">
        <f>D39*F34</f>
        <v>66608.276687751451</v>
      </c>
      <c r="G39" s="1544">
        <f>F39/0.33</f>
        <v>201843.26269015591</v>
      </c>
      <c r="H39" s="1545"/>
      <c r="I39" s="1546"/>
      <c r="K39" s="1419">
        <f t="shared" si="0"/>
        <v>0</v>
      </c>
      <c r="L39" s="1419"/>
      <c r="M39" s="496" t="str">
        <f t="shared" si="1"/>
        <v/>
      </c>
      <c r="N39" s="1446"/>
      <c r="O39" s="1446"/>
      <c r="P39" s="1442"/>
      <c r="Q39" s="1443"/>
      <c r="T39" s="1419" t="s">
        <v>839</v>
      </c>
      <c r="U39" s="1419"/>
      <c r="V39" s="588">
        <f t="shared" si="2"/>
        <v>46573</v>
      </c>
      <c r="X39" s="1456"/>
      <c r="Y39" s="1456"/>
      <c r="AD39" s="1442"/>
      <c r="AE39" s="1443"/>
    </row>
    <row r="40" spans="1:31" s="111" customFormat="1" ht="12.95">
      <c r="B40" s="601">
        <v>10</v>
      </c>
      <c r="C40" s="699">
        <f>'STANDARD COMP.'!C36</f>
        <v>7.0000000000000007E-2</v>
      </c>
      <c r="D40" s="1463">
        <f>PMT(C40/12,B40*12,-1)</f>
        <v>1.1610847921862406E-2</v>
      </c>
      <c r="E40" s="1463"/>
      <c r="F40" s="603">
        <f>D40*F34</f>
        <v>39057.159564501962</v>
      </c>
      <c r="G40" s="1464">
        <f>F40/0.33</f>
        <v>118355.02898333927</v>
      </c>
      <c r="H40" s="1465"/>
      <c r="I40" s="1466"/>
      <c r="K40" s="1419">
        <f t="shared" si="0"/>
        <v>0</v>
      </c>
      <c r="L40" s="1419"/>
      <c r="M40" s="496" t="str">
        <f t="shared" si="1"/>
        <v/>
      </c>
      <c r="N40" s="1446"/>
      <c r="O40" s="1446"/>
      <c r="P40" s="1442"/>
      <c r="Q40" s="1443"/>
      <c r="T40" s="1419" t="s">
        <v>840</v>
      </c>
      <c r="U40" s="1419"/>
      <c r="V40" s="588">
        <f t="shared" si="2"/>
        <v>46604</v>
      </c>
      <c r="X40" s="1456"/>
      <c r="Y40" s="1456"/>
      <c r="AD40" s="1442"/>
      <c r="AE40" s="1443"/>
    </row>
    <row r="41" spans="1:31" s="111" customFormat="1" ht="12.95">
      <c r="B41" s="601">
        <v>15</v>
      </c>
      <c r="C41" s="699">
        <f>'STANDARD COMP.'!C37</f>
        <v>7.0000000000000007E-2</v>
      </c>
      <c r="D41" s="1463">
        <f>PMT(C41/12,B41*12,-1)</f>
        <v>8.988282708524269E-3</v>
      </c>
      <c r="E41" s="1463"/>
      <c r="F41" s="603">
        <f>D41*F34</f>
        <v>30235.241587883615</v>
      </c>
      <c r="G41" s="1464">
        <f>F41/0.33</f>
        <v>91621.944205707914</v>
      </c>
      <c r="H41" s="1465"/>
      <c r="I41" s="1466"/>
      <c r="K41" s="1419">
        <f t="shared" si="0"/>
        <v>0</v>
      </c>
      <c r="L41" s="1419"/>
      <c r="M41" s="496" t="str">
        <f t="shared" si="1"/>
        <v/>
      </c>
      <c r="N41" s="1471"/>
      <c r="O41" s="1471"/>
      <c r="P41" s="1442"/>
      <c r="Q41" s="1443"/>
      <c r="T41" s="1419" t="s">
        <v>841</v>
      </c>
      <c r="U41" s="1419"/>
      <c r="V41" s="588">
        <f t="shared" si="2"/>
        <v>46635</v>
      </c>
      <c r="X41" s="1456"/>
      <c r="Y41" s="1456"/>
      <c r="AD41" s="1442"/>
      <c r="AE41" s="1443"/>
    </row>
    <row r="42" spans="1:31" s="111" customFormat="1" ht="12.95">
      <c r="B42" s="601">
        <v>20</v>
      </c>
      <c r="C42" s="699">
        <f>'STANDARD COMP.'!C38</f>
        <v>7.0000000000000007E-2</v>
      </c>
      <c r="D42" s="1472">
        <f>PMT(C42/12,B42*12,-1)</f>
        <v>7.7529893561887461E-3</v>
      </c>
      <c r="E42" s="1472"/>
      <c r="F42" s="603">
        <f>D42*F34</f>
        <v>26079.899110243263</v>
      </c>
      <c r="G42" s="1464">
        <f>F42/0.33</f>
        <v>79029.997303767464</v>
      </c>
      <c r="H42" s="1465"/>
      <c r="I42" s="1466"/>
      <c r="K42" s="1419">
        <f t="shared" si="0"/>
        <v>0</v>
      </c>
      <c r="L42" s="1419"/>
      <c r="M42" s="496" t="str">
        <f t="shared" si="1"/>
        <v/>
      </c>
      <c r="N42" s="1471"/>
      <c r="O42" s="1471"/>
      <c r="P42" s="1442"/>
      <c r="Q42" s="1443"/>
      <c r="T42" s="1419" t="s">
        <v>842</v>
      </c>
      <c r="U42" s="1419"/>
      <c r="V42" s="588">
        <f t="shared" si="2"/>
        <v>46665</v>
      </c>
      <c r="X42" s="1456"/>
      <c r="Y42" s="1456"/>
      <c r="AD42" s="1442"/>
      <c r="AE42" s="1443"/>
    </row>
    <row r="43" spans="1:31" s="111" customFormat="1" ht="12.95">
      <c r="B43" s="476" t="str">
        <f>'STANDARD COMP.'!B39</f>
        <v>Fixed for three (3) years</v>
      </c>
      <c r="G43" s="604"/>
      <c r="K43" s="1419">
        <f t="shared" si="0"/>
        <v>0</v>
      </c>
      <c r="L43" s="1419"/>
      <c r="M43" s="496" t="str">
        <f t="shared" si="1"/>
        <v/>
      </c>
      <c r="N43" s="1471"/>
      <c r="O43" s="1471"/>
      <c r="P43" s="1442"/>
      <c r="Q43" s="1443"/>
      <c r="T43" s="1419" t="s">
        <v>843</v>
      </c>
      <c r="U43" s="1419"/>
      <c r="V43" s="588">
        <f t="shared" si="2"/>
        <v>46696</v>
      </c>
      <c r="X43" s="1456"/>
      <c r="Y43" s="1456"/>
      <c r="AD43" s="1442"/>
      <c r="AE43" s="1443"/>
    </row>
    <row r="44" spans="1:31" s="111" customFormat="1" ht="12.95">
      <c r="B44" s="476" t="str">
        <f>'STANDARD COMP.'!B40</f>
        <v>Sample Computation for Interest rate is at 7% fixed for three (3) years only</v>
      </c>
      <c r="C44" s="605"/>
      <c r="D44" s="170"/>
      <c r="K44" s="1419">
        <f t="shared" si="0"/>
        <v>0</v>
      </c>
      <c r="L44" s="1419"/>
      <c r="M44" s="496" t="str">
        <f t="shared" si="1"/>
        <v/>
      </c>
      <c r="N44" s="1471"/>
      <c r="O44" s="1471"/>
      <c r="P44" s="1442"/>
      <c r="Q44" s="1443"/>
      <c r="T44" s="1419" t="s">
        <v>845</v>
      </c>
      <c r="U44" s="1419"/>
      <c r="V44" s="588">
        <f t="shared" si="2"/>
        <v>46726</v>
      </c>
      <c r="X44" s="1456"/>
      <c r="Y44" s="1456"/>
      <c r="AD44" s="1442"/>
      <c r="AE44" s="1443"/>
    </row>
    <row r="45" spans="1:31" s="111" customFormat="1" ht="12.95">
      <c r="B45" s="606" t="s">
        <v>844</v>
      </c>
      <c r="D45" s="170"/>
      <c r="K45" s="1419">
        <f t="shared" si="0"/>
        <v>0</v>
      </c>
      <c r="L45" s="1419"/>
      <c r="M45" s="496" t="str">
        <f t="shared" si="1"/>
        <v/>
      </c>
      <c r="N45" s="1471"/>
      <c r="O45" s="1471"/>
      <c r="P45" s="1442"/>
      <c r="Q45" s="1443"/>
      <c r="T45" s="1419" t="s">
        <v>847</v>
      </c>
      <c r="U45" s="1419"/>
      <c r="V45" s="588">
        <f t="shared" si="2"/>
        <v>46757</v>
      </c>
      <c r="X45" s="1456"/>
      <c r="Y45" s="1456"/>
      <c r="AD45" s="1442"/>
      <c r="AE45" s="1443"/>
    </row>
    <row r="46" spans="1:31" s="111" customFormat="1" ht="12.95">
      <c r="B46" s="606" t="s">
        <v>846</v>
      </c>
      <c r="C46" s="605"/>
      <c r="D46" s="170"/>
      <c r="K46" s="1419">
        <f t="shared" si="0"/>
        <v>0</v>
      </c>
      <c r="L46" s="1419"/>
      <c r="M46" s="496" t="str">
        <f t="shared" si="1"/>
        <v/>
      </c>
      <c r="N46" s="1471"/>
      <c r="O46" s="1471"/>
      <c r="P46" s="1442"/>
      <c r="Q46" s="1443"/>
      <c r="T46" s="1419" t="s">
        <v>848</v>
      </c>
      <c r="U46" s="1419"/>
      <c r="V46" s="588">
        <f t="shared" si="2"/>
        <v>46788</v>
      </c>
      <c r="X46" s="1456"/>
      <c r="Y46" s="1456"/>
      <c r="AD46" s="1442"/>
      <c r="AE46" s="1443"/>
    </row>
    <row r="47" spans="1:31" s="111" customFormat="1" ht="12.95">
      <c r="B47" s="816"/>
      <c r="C47" s="815"/>
      <c r="D47" s="796"/>
      <c r="E47" s="24"/>
      <c r="F47" s="24"/>
      <c r="G47" s="24"/>
      <c r="H47" s="24"/>
      <c r="I47" s="24"/>
      <c r="K47" s="1419">
        <f t="shared" si="0"/>
        <v>0</v>
      </c>
      <c r="L47" s="1419"/>
      <c r="M47" s="496" t="str">
        <f t="shared" si="1"/>
        <v/>
      </c>
      <c r="N47" s="1471"/>
      <c r="O47" s="1471"/>
      <c r="P47" s="1442"/>
      <c r="Q47" s="1443"/>
      <c r="T47" s="1419" t="s">
        <v>850</v>
      </c>
      <c r="U47" s="1419"/>
      <c r="V47" s="588">
        <f t="shared" si="2"/>
        <v>46817</v>
      </c>
      <c r="X47" s="1456"/>
      <c r="Y47" s="1456"/>
      <c r="AD47" s="1442"/>
      <c r="AE47" s="1443"/>
    </row>
    <row r="48" spans="1:31" s="111" customFormat="1" ht="12.95">
      <c r="B48" s="122" t="s">
        <v>849</v>
      </c>
      <c r="C48" s="384"/>
      <c r="D48" s="395"/>
      <c r="E48" s="1234"/>
      <c r="F48" s="1062"/>
      <c r="G48" s="276"/>
      <c r="H48" s="276"/>
      <c r="I48" s="276"/>
      <c r="K48" s="1419">
        <f t="shared" si="0"/>
        <v>0</v>
      </c>
      <c r="L48" s="1419"/>
      <c r="M48" s="496" t="str">
        <f t="shared" si="1"/>
        <v/>
      </c>
      <c r="N48" s="1471"/>
      <c r="O48" s="1471"/>
      <c r="P48" s="1442"/>
      <c r="Q48" s="1443"/>
      <c r="T48" s="1419" t="s">
        <v>851</v>
      </c>
      <c r="U48" s="1419"/>
      <c r="V48" s="588">
        <f t="shared" si="2"/>
        <v>46848</v>
      </c>
      <c r="X48" s="1456"/>
      <c r="Y48" s="1456"/>
      <c r="AD48" s="1442"/>
      <c r="AE48" s="1443"/>
    </row>
    <row r="49" spans="2:25" s="111" customFormat="1" ht="12.95">
      <c r="B49" s="309"/>
      <c r="C49" s="395"/>
      <c r="D49" s="395"/>
      <c r="E49" s="1235"/>
      <c r="F49" s="1236"/>
      <c r="G49" s="1237"/>
      <c r="H49" s="1237"/>
      <c r="I49" s="1237"/>
      <c r="K49" s="1419">
        <f t="shared" si="0"/>
        <v>0</v>
      </c>
      <c r="L49" s="1419"/>
      <c r="M49" s="496" t="str">
        <f t="shared" si="1"/>
        <v/>
      </c>
      <c r="N49" s="1471"/>
      <c r="O49" s="1471"/>
      <c r="P49" s="1442"/>
      <c r="Q49" s="1443"/>
      <c r="T49" s="1419" t="s">
        <v>853</v>
      </c>
      <c r="U49" s="1419"/>
      <c r="V49" s="588">
        <f t="shared" si="2"/>
        <v>46878</v>
      </c>
      <c r="X49" s="1473"/>
      <c r="Y49" s="1473"/>
    </row>
    <row r="50" spans="2:25" s="111" customFormat="1" ht="12.6">
      <c r="B50" s="165" t="s">
        <v>852</v>
      </c>
      <c r="C50" s="165"/>
      <c r="D50" s="203" t="s">
        <v>741</v>
      </c>
      <c r="E50" s="387">
        <v>0.8</v>
      </c>
      <c r="F50" s="1474">
        <f>E50*F22</f>
        <v>3075520.6915735686</v>
      </c>
      <c r="G50" s="1475"/>
      <c r="H50" s="1475"/>
      <c r="I50" s="1476"/>
      <c r="K50" s="1419">
        <f t="shared" si="0"/>
        <v>0</v>
      </c>
      <c r="L50" s="1419"/>
      <c r="M50" s="496" t="str">
        <f t="shared" si="1"/>
        <v/>
      </c>
      <c r="N50" s="1471"/>
      <c r="O50" s="1471"/>
      <c r="P50" s="1442"/>
      <c r="Q50" s="1443"/>
      <c r="T50" s="1419" t="s">
        <v>854</v>
      </c>
      <c r="U50" s="1419"/>
      <c r="V50" s="588">
        <f t="shared" si="2"/>
        <v>46909</v>
      </c>
      <c r="X50" s="90"/>
      <c r="Y50" s="90"/>
    </row>
    <row r="51" spans="2:25" s="111" customFormat="1" ht="12.6">
      <c r="B51" s="112"/>
      <c r="C51" s="312"/>
      <c r="D51" s="312"/>
      <c r="E51" s="1238"/>
      <c r="F51" s="278"/>
      <c r="G51" s="278"/>
      <c r="H51" s="278"/>
      <c r="I51" s="278"/>
      <c r="K51" s="1419">
        <f t="shared" si="0"/>
        <v>0</v>
      </c>
      <c r="L51" s="1419"/>
      <c r="M51" s="496" t="str">
        <f t="shared" si="1"/>
        <v/>
      </c>
      <c r="N51" s="1471"/>
      <c r="O51" s="1471"/>
      <c r="P51" s="1442"/>
      <c r="Q51" s="1443"/>
      <c r="T51" s="1419" t="s">
        <v>856</v>
      </c>
      <c r="U51" s="1419"/>
      <c r="V51" s="588">
        <f t="shared" si="2"/>
        <v>46939</v>
      </c>
      <c r="X51" s="90"/>
      <c r="Y51" s="90"/>
    </row>
    <row r="52" spans="2:25" s="111" customFormat="1" ht="12.6">
      <c r="B52" s="345" t="s">
        <v>833</v>
      </c>
      <c r="C52" s="345" t="s">
        <v>352</v>
      </c>
      <c r="D52" s="345" t="s">
        <v>834</v>
      </c>
      <c r="E52" s="345" t="s">
        <v>835</v>
      </c>
      <c r="F52" s="1434" t="s">
        <v>855</v>
      </c>
      <c r="G52" s="1434"/>
      <c r="H52" s="1434"/>
      <c r="I52" s="1434"/>
      <c r="K52" s="1419">
        <f t="shared" si="0"/>
        <v>0</v>
      </c>
      <c r="L52" s="1419"/>
      <c r="M52" s="496" t="str">
        <f t="shared" si="1"/>
        <v/>
      </c>
      <c r="N52" s="1471"/>
      <c r="O52" s="1471"/>
      <c r="P52" s="1442"/>
      <c r="Q52" s="1443"/>
      <c r="T52" s="1419" t="s">
        <v>857</v>
      </c>
      <c r="U52" s="1419"/>
      <c r="V52" s="588">
        <f t="shared" si="2"/>
        <v>46970</v>
      </c>
      <c r="X52" s="90"/>
      <c r="Y52" s="90"/>
    </row>
    <row r="53" spans="2:25" s="111" customFormat="1" ht="12.6">
      <c r="B53" s="398">
        <v>1</v>
      </c>
      <c r="C53" s="1239">
        <v>0.12</v>
      </c>
      <c r="D53" s="399">
        <f>PMT(C53/12,B53*12,-1)</f>
        <v>8.88487886783417E-2</v>
      </c>
      <c r="E53" s="400">
        <f>$F$50*D53</f>
        <v>273256.28800148732</v>
      </c>
      <c r="F53" s="1441">
        <f>E53/0.33</f>
        <v>828049.35758026456</v>
      </c>
      <c r="G53" s="1441"/>
      <c r="H53" s="1441"/>
      <c r="I53" s="1441"/>
      <c r="K53" s="1419">
        <f t="shared" si="0"/>
        <v>0</v>
      </c>
      <c r="L53" s="1419"/>
      <c r="M53" s="496" t="str">
        <f t="shared" si="1"/>
        <v/>
      </c>
      <c r="N53" s="1471"/>
      <c r="O53" s="1471"/>
      <c r="P53" s="1442"/>
      <c r="Q53" s="1443"/>
      <c r="T53" s="1419" t="s">
        <v>858</v>
      </c>
      <c r="U53" s="1419"/>
      <c r="V53" s="588">
        <f t="shared" si="2"/>
        <v>47001</v>
      </c>
      <c r="X53" s="90"/>
      <c r="Y53" s="90"/>
    </row>
    <row r="54" spans="2:25" s="111" customFormat="1" ht="12.6">
      <c r="B54" s="398">
        <v>3</v>
      </c>
      <c r="C54" s="1239">
        <v>0.16</v>
      </c>
      <c r="D54" s="399">
        <f>PMT(C54/12,B54*12,-1)</f>
        <v>3.5157033036350094E-2</v>
      </c>
      <c r="E54" s="400">
        <f>$F$50*D54</f>
        <v>108126.18255763024</v>
      </c>
      <c r="F54" s="1441">
        <f>E54/0.33</f>
        <v>327655.09865948552</v>
      </c>
      <c r="G54" s="1441"/>
      <c r="H54" s="1441"/>
      <c r="I54" s="1441"/>
      <c r="K54" s="1419">
        <f t="shared" si="0"/>
        <v>0</v>
      </c>
      <c r="L54" s="1419"/>
      <c r="M54" s="496" t="str">
        <f t="shared" si="1"/>
        <v/>
      </c>
      <c r="N54" s="1471"/>
      <c r="O54" s="1471"/>
      <c r="P54" s="1442"/>
      <c r="Q54" s="1443"/>
      <c r="T54" s="1419" t="s">
        <v>859</v>
      </c>
      <c r="U54" s="1419"/>
      <c r="V54" s="588">
        <f t="shared" si="2"/>
        <v>47031</v>
      </c>
      <c r="X54" s="90"/>
      <c r="Y54" s="90"/>
    </row>
    <row r="55" spans="2:25" s="111" customFormat="1" ht="12.6">
      <c r="B55" s="398">
        <v>5</v>
      </c>
      <c r="C55" s="1239">
        <v>0.18</v>
      </c>
      <c r="D55" s="399">
        <f>PMT(C55/12,B55*12,-1)</f>
        <v>2.5393427427109084E-2</v>
      </c>
      <c r="E55" s="400">
        <f>$F$50*D55</f>
        <v>78098.011482045753</v>
      </c>
      <c r="F55" s="1441">
        <f>E55/0.33</f>
        <v>236660.64085468408</v>
      </c>
      <c r="G55" s="1441"/>
      <c r="H55" s="1441"/>
      <c r="I55" s="1441"/>
      <c r="K55" s="1419">
        <f t="shared" si="0"/>
        <v>0</v>
      </c>
      <c r="L55" s="1419"/>
      <c r="M55" s="496" t="str">
        <f t="shared" si="1"/>
        <v/>
      </c>
      <c r="N55" s="1477"/>
      <c r="O55" s="1478"/>
      <c r="P55" s="1442"/>
      <c r="Q55" s="1443"/>
      <c r="T55" s="1419" t="s">
        <v>860</v>
      </c>
      <c r="U55" s="1419"/>
      <c r="V55" s="588">
        <f t="shared" si="2"/>
        <v>47062</v>
      </c>
      <c r="X55" s="90"/>
      <c r="Y55" s="90"/>
    </row>
    <row r="56" spans="2:25" s="111" customFormat="1" ht="12.6">
      <c r="B56" s="398">
        <v>10</v>
      </c>
      <c r="C56" s="1239">
        <v>0.2</v>
      </c>
      <c r="D56" s="399">
        <f>PMT(C56/12,B56*12,-1)</f>
        <v>1.9325567219932577E-2</v>
      </c>
      <c r="E56" s="400">
        <f>$F$50*D56</f>
        <v>59436.18186129853</v>
      </c>
      <c r="F56" s="1441">
        <f>E56/0.33</f>
        <v>180109.64200393492</v>
      </c>
      <c r="G56" s="1441"/>
      <c r="H56" s="1441"/>
      <c r="I56" s="1441"/>
      <c r="K56" s="1419">
        <f t="shared" si="0"/>
        <v>0</v>
      </c>
      <c r="L56" s="1419"/>
      <c r="M56" s="496" t="str">
        <f t="shared" si="1"/>
        <v/>
      </c>
      <c r="N56" s="1477"/>
      <c r="O56" s="1478"/>
      <c r="P56" s="1442"/>
      <c r="Q56" s="1443"/>
      <c r="T56" s="1419" t="s">
        <v>862</v>
      </c>
      <c r="U56" s="1419"/>
      <c r="V56" s="588">
        <f t="shared" si="2"/>
        <v>47092</v>
      </c>
      <c r="X56" s="90"/>
      <c r="Y56" s="90"/>
    </row>
    <row r="57" spans="2:25" s="111" customFormat="1" ht="12.95" thickBot="1">
      <c r="B57" s="1240" t="s">
        <v>861</v>
      </c>
      <c r="C57" s="1241"/>
      <c r="D57" s="1241"/>
      <c r="E57" s="1241"/>
      <c r="F57" s="1241"/>
      <c r="G57" s="1241"/>
      <c r="H57" s="1241"/>
      <c r="I57" s="1241"/>
      <c r="J57" s="111" t="s">
        <v>757</v>
      </c>
      <c r="K57" s="1419">
        <f t="shared" si="0"/>
        <v>0</v>
      </c>
      <c r="L57" s="1419"/>
      <c r="M57" s="496" t="str">
        <f t="shared" si="1"/>
        <v/>
      </c>
      <c r="N57" s="1471"/>
      <c r="O57" s="1471"/>
      <c r="P57" s="1442"/>
      <c r="Q57" s="1443"/>
      <c r="T57" s="1419" t="s">
        <v>863</v>
      </c>
      <c r="U57" s="1419"/>
      <c r="V57" s="588">
        <f t="shared" si="2"/>
        <v>47123</v>
      </c>
      <c r="X57" s="90"/>
      <c r="Y57" s="90"/>
    </row>
    <row r="58" spans="2:25" s="111" customFormat="1" ht="12.6">
      <c r="D58" s="170"/>
      <c r="K58" s="1419" t="s">
        <v>942</v>
      </c>
      <c r="L58" s="1419"/>
      <c r="M58" s="496">
        <f>M59</f>
        <v>45935</v>
      </c>
      <c r="N58" s="1471">
        <f>F26</f>
        <v>96110.021611674019</v>
      </c>
      <c r="O58" s="1471"/>
      <c r="P58" s="1442"/>
      <c r="Q58" s="1443"/>
      <c r="T58" s="1419" t="s">
        <v>865</v>
      </c>
      <c r="U58" s="1419"/>
      <c r="V58" s="588">
        <f t="shared" si="2"/>
        <v>47154</v>
      </c>
      <c r="X58" s="90"/>
      <c r="Y58" s="90"/>
    </row>
    <row r="59" spans="2:25" s="111" customFormat="1" ht="12.6">
      <c r="B59" s="122" t="s">
        <v>864</v>
      </c>
      <c r="C59" s="252"/>
      <c r="D59" s="3"/>
      <c r="E59" s="3"/>
      <c r="F59" s="3"/>
      <c r="G59" s="3"/>
      <c r="H59" s="3"/>
      <c r="I59" s="3"/>
      <c r="K59" s="1419" t="s">
        <v>866</v>
      </c>
      <c r="L59" s="1419"/>
      <c r="M59" s="496">
        <f>IF(DAY(M17)=31,X20,Z20)</f>
        <v>45935</v>
      </c>
      <c r="N59" s="1491">
        <f>F34</f>
        <v>3363850.7564085904</v>
      </c>
      <c r="O59" s="1491"/>
      <c r="P59" s="1442"/>
      <c r="Q59" s="1443"/>
      <c r="T59" s="1419" t="s">
        <v>867</v>
      </c>
      <c r="U59" s="1419"/>
      <c r="V59" s="588">
        <f t="shared" si="2"/>
        <v>47182</v>
      </c>
      <c r="X59" s="90"/>
      <c r="Y59" s="90"/>
    </row>
    <row r="60" spans="2:25" s="111" customFormat="1" ht="12.6">
      <c r="B60" s="3"/>
      <c r="C60" s="3"/>
      <c r="D60" s="3"/>
      <c r="E60" s="3"/>
      <c r="F60" s="3"/>
      <c r="G60" s="3"/>
      <c r="H60" s="3"/>
      <c r="I60" s="3"/>
      <c r="K60" s="607"/>
      <c r="M60" s="279"/>
      <c r="V60" s="608"/>
      <c r="X60" s="90"/>
      <c r="Y60" s="90"/>
    </row>
    <row r="61" spans="2:25" s="111" customFormat="1" ht="12.6">
      <c r="B61" s="1434" t="s">
        <v>753</v>
      </c>
      <c r="C61" s="1434"/>
      <c r="D61" s="1434" t="s">
        <v>754</v>
      </c>
      <c r="E61" s="1434"/>
      <c r="F61" s="1434"/>
      <c r="G61" s="1434" t="s">
        <v>868</v>
      </c>
      <c r="H61" s="1434"/>
      <c r="I61" s="1434"/>
      <c r="K61" s="607"/>
      <c r="M61" s="279"/>
      <c r="V61" s="579"/>
      <c r="X61" s="90"/>
      <c r="Y61" s="90"/>
    </row>
    <row r="62" spans="2:25" s="111" customFormat="1" ht="12.6">
      <c r="B62" s="1479">
        <f>FORM!O19</f>
        <v>0</v>
      </c>
      <c r="C62" s="1481"/>
      <c r="D62" s="1479">
        <f>FORM!S19</f>
        <v>0</v>
      </c>
      <c r="E62" s="1480"/>
      <c r="F62" s="1481"/>
      <c r="G62" s="1485">
        <f>FORM!V19</f>
        <v>0</v>
      </c>
      <c r="H62" s="1486"/>
      <c r="I62" s="1487"/>
      <c r="M62" s="279"/>
      <c r="V62" s="579"/>
      <c r="X62" s="90"/>
      <c r="Y62" s="90"/>
    </row>
    <row r="63" spans="2:25" s="111" customFormat="1" ht="12.6">
      <c r="B63" s="1482"/>
      <c r="C63" s="1484"/>
      <c r="D63" s="1482"/>
      <c r="E63" s="1483"/>
      <c r="F63" s="1484"/>
      <c r="G63" s="1488"/>
      <c r="H63" s="1489"/>
      <c r="I63" s="1490"/>
      <c r="K63" s="3" t="s">
        <v>869</v>
      </c>
      <c r="L63" s="3"/>
      <c r="M63" s="3"/>
      <c r="N63" s="3"/>
      <c r="P63" s="3" t="s">
        <v>870</v>
      </c>
      <c r="Q63" s="3"/>
      <c r="V63" s="579"/>
      <c r="X63" s="90"/>
      <c r="Y63" s="90"/>
    </row>
    <row r="64" spans="2:25" s="111" customFormat="1" ht="12.6">
      <c r="B64" s="1479">
        <f>FORM!O21</f>
        <v>0</v>
      </c>
      <c r="C64" s="1481"/>
      <c r="D64" s="1479">
        <f>FORM!S21</f>
        <v>0</v>
      </c>
      <c r="E64" s="1480"/>
      <c r="F64" s="1481"/>
      <c r="G64" s="1485">
        <f>FORM!V21</f>
        <v>0</v>
      </c>
      <c r="H64" s="1486"/>
      <c r="I64" s="1487"/>
      <c r="M64" s="170"/>
      <c r="V64" s="579"/>
      <c r="X64" s="90"/>
      <c r="Y64" s="90"/>
    </row>
    <row r="65" spans="2:25" s="111" customFormat="1" ht="12.6">
      <c r="B65" s="1482"/>
      <c r="C65" s="1484"/>
      <c r="D65" s="1482"/>
      <c r="E65" s="1483"/>
      <c r="F65" s="1484"/>
      <c r="G65" s="1488"/>
      <c r="H65" s="1489"/>
      <c r="I65" s="1490"/>
      <c r="M65" s="170"/>
      <c r="V65" s="579"/>
      <c r="X65" s="90"/>
      <c r="Y65" s="90"/>
    </row>
    <row r="66" spans="2:25" s="111" customFormat="1" ht="12.6">
      <c r="B66" s="1479">
        <f>FORM!O25</f>
        <v>0</v>
      </c>
      <c r="C66" s="1481"/>
      <c r="D66" s="1479">
        <f>FORM!S25</f>
        <v>0</v>
      </c>
      <c r="E66" s="1480"/>
      <c r="F66" s="1481"/>
      <c r="G66" s="1485">
        <f>FORM!V25</f>
        <v>0</v>
      </c>
      <c r="H66" s="1486"/>
      <c r="I66" s="1487"/>
      <c r="K66" s="1492">
        <f>B79</f>
        <v>0</v>
      </c>
      <c r="L66" s="1492"/>
      <c r="M66" s="1492"/>
      <c r="P66" s="1492">
        <f>F79</f>
        <v>0</v>
      </c>
      <c r="Q66" s="1492"/>
      <c r="V66" s="579"/>
      <c r="X66" s="90"/>
      <c r="Y66" s="90"/>
    </row>
    <row r="67" spans="2:25" s="111" customFormat="1" ht="12.6">
      <c r="B67" s="1482"/>
      <c r="C67" s="1484"/>
      <c r="D67" s="1482"/>
      <c r="E67" s="1483"/>
      <c r="F67" s="1484"/>
      <c r="G67" s="1488"/>
      <c r="H67" s="1489"/>
      <c r="I67" s="1490"/>
      <c r="K67" s="611" t="s">
        <v>871</v>
      </c>
      <c r="L67" s="611"/>
      <c r="M67" s="298"/>
      <c r="P67" s="611" t="s">
        <v>871</v>
      </c>
      <c r="Q67" s="611"/>
      <c r="V67" s="579"/>
      <c r="X67" s="90"/>
      <c r="Y67" s="90"/>
    </row>
    <row r="68" spans="2:25" s="111" customFormat="1" ht="12.6">
      <c r="B68" s="1479">
        <f>FORM!O27</f>
        <v>0</v>
      </c>
      <c r="C68" s="1481"/>
      <c r="D68" s="1479">
        <f>FORM!S27</f>
        <v>0</v>
      </c>
      <c r="E68" s="1480"/>
      <c r="F68" s="1481"/>
      <c r="G68" s="1485">
        <f>FORM!V27</f>
        <v>0</v>
      </c>
      <c r="H68" s="1486"/>
      <c r="I68" s="1487"/>
      <c r="V68" s="579"/>
      <c r="X68" s="90"/>
      <c r="Y68" s="90"/>
    </row>
    <row r="69" spans="2:25" s="111" customFormat="1" ht="12.6">
      <c r="B69" s="1482"/>
      <c r="C69" s="1484"/>
      <c r="D69" s="1482"/>
      <c r="E69" s="1483"/>
      <c r="F69" s="1484"/>
      <c r="G69" s="1488"/>
      <c r="H69" s="1489"/>
      <c r="I69" s="1490"/>
      <c r="V69" s="579"/>
      <c r="X69" s="90"/>
      <c r="Y69" s="90"/>
    </row>
    <row r="70" spans="2:25" s="111" customFormat="1" ht="12.6">
      <c r="B70" s="1479">
        <f>FORM!O31</f>
        <v>0</v>
      </c>
      <c r="C70" s="1481"/>
      <c r="D70" s="1479">
        <f>FORM!S31</f>
        <v>0</v>
      </c>
      <c r="E70" s="1480"/>
      <c r="F70" s="1481"/>
      <c r="G70" s="1485">
        <f>FORM!V31</f>
        <v>0</v>
      </c>
      <c r="H70" s="1486"/>
      <c r="I70" s="1487"/>
      <c r="M70" s="279"/>
      <c r="V70" s="579"/>
      <c r="X70" s="90"/>
      <c r="Y70" s="90"/>
    </row>
    <row r="71" spans="2:25">
      <c r="B71" s="1482"/>
      <c r="C71" s="1484"/>
      <c r="D71" s="1482"/>
      <c r="E71" s="1483"/>
      <c r="F71" s="1484"/>
      <c r="G71" s="1488"/>
      <c r="H71" s="1489"/>
      <c r="I71" s="1490"/>
    </row>
    <row r="72" spans="2:25">
      <c r="B72" s="1479">
        <f>FORM!O33</f>
        <v>0</v>
      </c>
      <c r="C72" s="1481"/>
      <c r="D72" s="1479">
        <f>FORM!S33</f>
        <v>0</v>
      </c>
      <c r="E72" s="1480"/>
      <c r="F72" s="1481"/>
      <c r="G72" s="1485">
        <f>FORM!V33</f>
        <v>0</v>
      </c>
      <c r="H72" s="1486"/>
      <c r="I72" s="1487"/>
    </row>
    <row r="73" spans="2:25">
      <c r="B73" s="1482"/>
      <c r="C73" s="1484"/>
      <c r="D73" s="1482"/>
      <c r="E73" s="1483"/>
      <c r="F73" s="1484"/>
      <c r="G73" s="1488"/>
      <c r="H73" s="1489"/>
      <c r="I73" s="1490"/>
    </row>
    <row r="74" spans="2:25">
      <c r="B74" s="111"/>
      <c r="C74" s="111"/>
      <c r="D74" s="170"/>
      <c r="E74" s="111"/>
      <c r="F74" s="111"/>
      <c r="G74" s="111"/>
      <c r="H74" s="111"/>
      <c r="I74" s="111"/>
    </row>
    <row r="75" spans="2:25">
      <c r="B75" s="403"/>
      <c r="C75" s="250" t="s">
        <v>872</v>
      </c>
      <c r="D75" s="1493"/>
      <c r="E75" s="1493"/>
      <c r="F75" s="1493"/>
      <c r="G75" s="111"/>
      <c r="H75" s="111"/>
      <c r="I75" s="111"/>
    </row>
    <row r="76" spans="2:25">
      <c r="B76" s="609"/>
      <c r="C76" s="112"/>
      <c r="D76" s="112"/>
      <c r="E76" s="112"/>
      <c r="F76" s="114"/>
      <c r="G76" s="111"/>
      <c r="H76" s="111"/>
      <c r="I76" s="111"/>
    </row>
    <row r="77" spans="2:25">
      <c r="B77" s="3" t="s">
        <v>869</v>
      </c>
      <c r="C77" s="3"/>
      <c r="D77" s="3"/>
      <c r="E77" s="3"/>
      <c r="F77" s="3" t="s">
        <v>870</v>
      </c>
      <c r="G77" s="3"/>
      <c r="H77" s="3"/>
      <c r="I77" s="111"/>
    </row>
    <row r="78" spans="2:25">
      <c r="B78" s="111"/>
      <c r="C78" s="111"/>
      <c r="D78" s="170"/>
      <c r="E78" s="111"/>
      <c r="F78" s="111"/>
      <c r="G78" s="111"/>
      <c r="H78" s="111"/>
      <c r="I78" s="111"/>
    </row>
    <row r="79" spans="2:25">
      <c r="B79" s="1492">
        <f>'STANDARD COMP.'!B80:D80</f>
        <v>0</v>
      </c>
      <c r="C79" s="1492"/>
      <c r="D79" s="610"/>
      <c r="E79" s="111"/>
      <c r="F79" s="1492">
        <f>'STANDARD COMP.'!F80:I80</f>
        <v>0</v>
      </c>
      <c r="G79" s="1492"/>
      <c r="H79" s="111"/>
      <c r="I79" s="111"/>
    </row>
    <row r="80" spans="2:25">
      <c r="B80" s="611" t="s">
        <v>871</v>
      </c>
      <c r="C80" s="611"/>
      <c r="D80" s="170"/>
      <c r="E80" s="111"/>
      <c r="F80" s="611" t="s">
        <v>871</v>
      </c>
      <c r="G80" s="611"/>
      <c r="H80" s="111"/>
      <c r="I80" s="111"/>
    </row>
    <row r="81" spans="2:9">
      <c r="B81" s="111"/>
      <c r="C81" s="111"/>
      <c r="D81" s="170"/>
      <c r="E81" s="111"/>
      <c r="F81" s="111"/>
      <c r="G81" s="111"/>
      <c r="H81" s="111"/>
      <c r="I81" s="111"/>
    </row>
    <row r="114" spans="1:1">
      <c r="A114" s="497">
        <f>F17*12%</f>
        <v>405563.16811959143</v>
      </c>
    </row>
  </sheetData>
  <sheetProtection password="CC2E" sheet="1" formatCells="0" formatColumns="0" formatRows="0"/>
  <mergeCells count="322">
    <mergeCell ref="B79:C79"/>
    <mergeCell ref="F79:G79"/>
    <mergeCell ref="T58:U58"/>
    <mergeCell ref="K59:L59"/>
    <mergeCell ref="N59:O59"/>
    <mergeCell ref="P59:Q59"/>
    <mergeCell ref="T59:U59"/>
    <mergeCell ref="B72:C73"/>
    <mergeCell ref="D72:F73"/>
    <mergeCell ref="G72:I73"/>
    <mergeCell ref="B70:C71"/>
    <mergeCell ref="D70:F71"/>
    <mergeCell ref="G70:I71"/>
    <mergeCell ref="K58:L58"/>
    <mergeCell ref="N58:O58"/>
    <mergeCell ref="P58:Q58"/>
    <mergeCell ref="G64:I65"/>
    <mergeCell ref="B68:C69"/>
    <mergeCell ref="B66:C67"/>
    <mergeCell ref="K52:L52"/>
    <mergeCell ref="N52:O52"/>
    <mergeCell ref="P52:Q52"/>
    <mergeCell ref="T52:U52"/>
    <mergeCell ref="F56:I56"/>
    <mergeCell ref="D75:F75"/>
    <mergeCell ref="K66:M66"/>
    <mergeCell ref="P66:Q66"/>
    <mergeCell ref="K57:L57"/>
    <mergeCell ref="N57:O57"/>
    <mergeCell ref="P57:Q57"/>
    <mergeCell ref="T57:U57"/>
    <mergeCell ref="D68:F69"/>
    <mergeCell ref="G68:I69"/>
    <mergeCell ref="K56:L56"/>
    <mergeCell ref="N56:O56"/>
    <mergeCell ref="K53:L53"/>
    <mergeCell ref="N53:O53"/>
    <mergeCell ref="P53:Q53"/>
    <mergeCell ref="T53:U53"/>
    <mergeCell ref="D66:F67"/>
    <mergeCell ref="G66:I67"/>
    <mergeCell ref="K54:L54"/>
    <mergeCell ref="N54:O54"/>
    <mergeCell ref="P54:Q54"/>
    <mergeCell ref="P56:Q56"/>
    <mergeCell ref="T56:U56"/>
    <mergeCell ref="T54:U54"/>
    <mergeCell ref="K55:L55"/>
    <mergeCell ref="N55:O55"/>
    <mergeCell ref="P55:Q55"/>
    <mergeCell ref="T55:U55"/>
    <mergeCell ref="B64:C65"/>
    <mergeCell ref="D64:F65"/>
    <mergeCell ref="T49:U49"/>
    <mergeCell ref="X49:Y49"/>
    <mergeCell ref="B62:C63"/>
    <mergeCell ref="D62:F63"/>
    <mergeCell ref="G62:I63"/>
    <mergeCell ref="K50:L50"/>
    <mergeCell ref="N50:O50"/>
    <mergeCell ref="P50:Q50"/>
    <mergeCell ref="T50:U50"/>
    <mergeCell ref="K51:L51"/>
    <mergeCell ref="B61:C61"/>
    <mergeCell ref="D61:F61"/>
    <mergeCell ref="G61:I61"/>
    <mergeCell ref="K49:L49"/>
    <mergeCell ref="N49:O49"/>
    <mergeCell ref="P49:Q49"/>
    <mergeCell ref="N51:O51"/>
    <mergeCell ref="P51:Q51"/>
    <mergeCell ref="T51:U51"/>
    <mergeCell ref="F50:I50"/>
    <mergeCell ref="F52:I52"/>
    <mergeCell ref="F53:I53"/>
    <mergeCell ref="F54:I54"/>
    <mergeCell ref="F55:I55"/>
    <mergeCell ref="K48:L48"/>
    <mergeCell ref="N48:O48"/>
    <mergeCell ref="P48:Q48"/>
    <mergeCell ref="T48:U48"/>
    <mergeCell ref="X48:Y48"/>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K45:L45"/>
    <mergeCell ref="N45:O45"/>
    <mergeCell ref="P45:Q45"/>
    <mergeCell ref="T45:U45"/>
    <mergeCell ref="X45:Y45"/>
    <mergeCell ref="AD45:AE45"/>
    <mergeCell ref="K44:L44"/>
    <mergeCell ref="N44:O44"/>
    <mergeCell ref="P44:Q44"/>
    <mergeCell ref="T44:U44"/>
    <mergeCell ref="X44:Y44"/>
    <mergeCell ref="AD44:AE44"/>
    <mergeCell ref="K43:L43"/>
    <mergeCell ref="N43:O43"/>
    <mergeCell ref="P43:Q43"/>
    <mergeCell ref="T43:U43"/>
    <mergeCell ref="X43:Y43"/>
    <mergeCell ref="AD43:AE43"/>
    <mergeCell ref="K42:L42"/>
    <mergeCell ref="N42:O42"/>
    <mergeCell ref="P42:Q42"/>
    <mergeCell ref="T42:U42"/>
    <mergeCell ref="X42:Y42"/>
    <mergeCell ref="AD42:AE42"/>
    <mergeCell ref="D42:E42"/>
    <mergeCell ref="G42:I42"/>
    <mergeCell ref="K41:L41"/>
    <mergeCell ref="N41:O41"/>
    <mergeCell ref="P41:Q41"/>
    <mergeCell ref="T41:U41"/>
    <mergeCell ref="X41:Y41"/>
    <mergeCell ref="AD41:AE41"/>
    <mergeCell ref="D41:E41"/>
    <mergeCell ref="G41:I41"/>
    <mergeCell ref="K40:L40"/>
    <mergeCell ref="N40:O40"/>
    <mergeCell ref="P40:Q40"/>
    <mergeCell ref="T40:U40"/>
    <mergeCell ref="X40:Y40"/>
    <mergeCell ref="AD40:AE40"/>
    <mergeCell ref="D40:E40"/>
    <mergeCell ref="G40:I40"/>
    <mergeCell ref="X37:Y37"/>
    <mergeCell ref="AD37:AE37"/>
    <mergeCell ref="D39:E39"/>
    <mergeCell ref="G39:I39"/>
    <mergeCell ref="K38:L38"/>
    <mergeCell ref="N38:O38"/>
    <mergeCell ref="P38:Q38"/>
    <mergeCell ref="T38:U38"/>
    <mergeCell ref="X38:Y38"/>
    <mergeCell ref="AD38:AE38"/>
    <mergeCell ref="D38:E38"/>
    <mergeCell ref="G38:I38"/>
    <mergeCell ref="K37:L37"/>
    <mergeCell ref="N37:O37"/>
    <mergeCell ref="P37:Q37"/>
    <mergeCell ref="T37:U37"/>
    <mergeCell ref="X39:Y39"/>
    <mergeCell ref="AD39:AE39"/>
    <mergeCell ref="K39:L39"/>
    <mergeCell ref="N39:O39"/>
    <mergeCell ref="P39:Q39"/>
    <mergeCell ref="T39:U39"/>
    <mergeCell ref="K36:L36"/>
    <mergeCell ref="N36:O36"/>
    <mergeCell ref="P36:Q36"/>
    <mergeCell ref="T36:U36"/>
    <mergeCell ref="X36:Y36"/>
    <mergeCell ref="AD36:AE36"/>
    <mergeCell ref="AD34:AE34"/>
    <mergeCell ref="K35:L35"/>
    <mergeCell ref="N35:O35"/>
    <mergeCell ref="P35:Q35"/>
    <mergeCell ref="T35:U35"/>
    <mergeCell ref="X35:Y35"/>
    <mergeCell ref="AD35:AE35"/>
    <mergeCell ref="F34:I34"/>
    <mergeCell ref="K34:L34"/>
    <mergeCell ref="N34:O34"/>
    <mergeCell ref="P34:Q34"/>
    <mergeCell ref="T34:U34"/>
    <mergeCell ref="X34:Y34"/>
    <mergeCell ref="K33:L33"/>
    <mergeCell ref="N33:O33"/>
    <mergeCell ref="P33:Q33"/>
    <mergeCell ref="T33:U33"/>
    <mergeCell ref="X33:Y33"/>
    <mergeCell ref="AD33:AE33"/>
    <mergeCell ref="X31:Y31"/>
    <mergeCell ref="AD31:AE31"/>
    <mergeCell ref="B32:C32"/>
    <mergeCell ref="G32:I32"/>
    <mergeCell ref="K32:L32"/>
    <mergeCell ref="N32:O32"/>
    <mergeCell ref="P32:Q32"/>
    <mergeCell ref="T32:U32"/>
    <mergeCell ref="X32:Y32"/>
    <mergeCell ref="AD32:AE32"/>
    <mergeCell ref="B31:C31"/>
    <mergeCell ref="G31:I31"/>
    <mergeCell ref="K31:L31"/>
    <mergeCell ref="N31:O31"/>
    <mergeCell ref="P31:Q31"/>
    <mergeCell ref="T31:U31"/>
    <mergeCell ref="X29:Y29"/>
    <mergeCell ref="AD29:AE29"/>
    <mergeCell ref="B30:C30"/>
    <mergeCell ref="G30:I30"/>
    <mergeCell ref="K30:L30"/>
    <mergeCell ref="N30:O30"/>
    <mergeCell ref="P30:Q30"/>
    <mergeCell ref="T30:U30"/>
    <mergeCell ref="X30:Y30"/>
    <mergeCell ref="AD30:AE30"/>
    <mergeCell ref="B29:C29"/>
    <mergeCell ref="G29:I29"/>
    <mergeCell ref="K29:L29"/>
    <mergeCell ref="N29:O29"/>
    <mergeCell ref="P29:Q29"/>
    <mergeCell ref="T29:U29"/>
    <mergeCell ref="K28:L28"/>
    <mergeCell ref="N28:O28"/>
    <mergeCell ref="P28:Q28"/>
    <mergeCell ref="T28:U28"/>
    <mergeCell ref="X28:Y28"/>
    <mergeCell ref="AD28:AE28"/>
    <mergeCell ref="AD26:AE26"/>
    <mergeCell ref="F27:I27"/>
    <mergeCell ref="K27:L27"/>
    <mergeCell ref="N27:O27"/>
    <mergeCell ref="P27:Q27"/>
    <mergeCell ref="T27:U27"/>
    <mergeCell ref="X27:Y27"/>
    <mergeCell ref="AD27:AE27"/>
    <mergeCell ref="F25:I25"/>
    <mergeCell ref="K26:L26"/>
    <mergeCell ref="N26:O26"/>
    <mergeCell ref="P26:Q26"/>
    <mergeCell ref="T26:U26"/>
    <mergeCell ref="X26:Y26"/>
    <mergeCell ref="AD24:AE24"/>
    <mergeCell ref="K25:L25"/>
    <mergeCell ref="N25:O25"/>
    <mergeCell ref="P25:Q25"/>
    <mergeCell ref="T25:U25"/>
    <mergeCell ref="X25:Y25"/>
    <mergeCell ref="AD25:AE25"/>
    <mergeCell ref="F24:I24"/>
    <mergeCell ref="K24:L24"/>
    <mergeCell ref="N24:O24"/>
    <mergeCell ref="P24:Q24"/>
    <mergeCell ref="T24:U24"/>
    <mergeCell ref="X24:Y24"/>
    <mergeCell ref="AD22:AE22"/>
    <mergeCell ref="K23:L23"/>
    <mergeCell ref="N23:O23"/>
    <mergeCell ref="P23:Q23"/>
    <mergeCell ref="T23:U23"/>
    <mergeCell ref="X23:Y23"/>
    <mergeCell ref="AD23:AE23"/>
    <mergeCell ref="F22:I22"/>
    <mergeCell ref="K22:L22"/>
    <mergeCell ref="N22:O22"/>
    <mergeCell ref="P22:Q22"/>
    <mergeCell ref="T22:U22"/>
    <mergeCell ref="X22:Y22"/>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17:I17"/>
    <mergeCell ref="K17:L17"/>
    <mergeCell ref="N17:O17"/>
    <mergeCell ref="P17:Q17"/>
    <mergeCell ref="T17:U17"/>
    <mergeCell ref="K18:L18"/>
    <mergeCell ref="N18:O18"/>
    <mergeCell ref="P18:Q18"/>
    <mergeCell ref="T18:U18"/>
    <mergeCell ref="E13:F13"/>
    <mergeCell ref="G13:I13"/>
    <mergeCell ref="N13:O13"/>
    <mergeCell ref="P13:Q13"/>
    <mergeCell ref="F15:I15"/>
    <mergeCell ref="K15:L16"/>
    <mergeCell ref="M15:M16"/>
    <mergeCell ref="N15:O16"/>
    <mergeCell ref="P15:Q16"/>
    <mergeCell ref="F16:I16"/>
    <mergeCell ref="E12:F12"/>
    <mergeCell ref="G12:I12"/>
    <mergeCell ref="N12:O12"/>
    <mergeCell ref="P12:Q12"/>
    <mergeCell ref="E8:I8"/>
    <mergeCell ref="N8:Q8"/>
    <mergeCell ref="E9:I9"/>
    <mergeCell ref="N9:Q9"/>
    <mergeCell ref="E10:I10"/>
    <mergeCell ref="N10:Q10"/>
    <mergeCell ref="G1:I1"/>
    <mergeCell ref="B3:I4"/>
    <mergeCell ref="K3:Q4"/>
    <mergeCell ref="E6:I6"/>
    <mergeCell ref="N6:Q6"/>
    <mergeCell ref="N7:Q7"/>
    <mergeCell ref="E11:F11"/>
    <mergeCell ref="G11:I11"/>
    <mergeCell ref="N11:O11"/>
    <mergeCell ref="P11:Q11"/>
    <mergeCell ref="E7:F7"/>
  </mergeCells>
  <pageMargins left="0.59055118110236227" right="0.59055118110236227" top="0.74375000000000002"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68" man="1"/>
  </col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92D050"/>
  </sheetPr>
  <dimension ref="A1:BA858"/>
  <sheetViews>
    <sheetView showGridLines="0" showZeros="0" view="pageBreakPreview" topLeftCell="A13" zoomScale="90" zoomScaleNormal="85" zoomScaleSheetLayoutView="90" workbookViewId="0">
      <selection activeCell="D35" sqref="D35"/>
    </sheetView>
  </sheetViews>
  <sheetFormatPr defaultColWidth="8.85546875" defaultRowHeight="15.75" customHeight="1"/>
  <cols>
    <col min="1" max="1" width="1" style="111" customWidth="1"/>
    <col min="2" max="2" width="12.5703125" style="111" customWidth="1"/>
    <col min="3" max="3" width="25" style="111" customWidth="1"/>
    <col min="4" max="4" width="17.85546875" style="111" customWidth="1"/>
    <col min="5" max="5" width="23.42578125" style="111" customWidth="1"/>
    <col min="6" max="6" width="15.140625" style="111" customWidth="1"/>
    <col min="7" max="7" width="8.140625" style="111" customWidth="1"/>
    <col min="8" max="8" width="4.42578125" style="111" customWidth="1"/>
    <col min="9" max="9" width="17.85546875" style="111" customWidth="1"/>
    <col min="10" max="10" width="2.140625" style="111" customWidth="1"/>
    <col min="11" max="11" width="9.140625" style="111" customWidth="1"/>
    <col min="12" max="12" width="20.140625" style="170" customWidth="1"/>
    <col min="13" max="13" width="18.140625" style="111" customWidth="1"/>
    <col min="14" max="14" width="21.85546875" style="111" customWidth="1"/>
    <col min="15" max="15" width="12.140625" style="111" customWidth="1"/>
    <col min="16" max="16" width="16.85546875" style="111" customWidth="1"/>
    <col min="17" max="17" width="21.42578125" style="111" customWidth="1"/>
    <col min="18" max="18" width="4.85546875" style="111" customWidth="1"/>
    <col min="19" max="19" width="8.85546875" style="111"/>
    <col min="20" max="20" width="19" style="356" customWidth="1"/>
    <col min="21" max="21" width="8.85546875" style="356" customWidth="1"/>
    <col min="22" max="22" width="8.85546875" style="111" customWidth="1"/>
    <col min="23" max="24" width="11.42578125" style="111" customWidth="1"/>
    <col min="25" max="26" width="8.85546875" style="111" customWidth="1"/>
    <col min="27" max="27" width="11.140625" style="111" customWidth="1"/>
    <col min="28" max="28" width="8.85546875" style="111"/>
    <col min="29" max="29" width="13.140625" style="111" customWidth="1"/>
    <col min="30" max="30" width="14.5703125" style="111" customWidth="1"/>
    <col min="31" max="31" width="8.85546875" style="111"/>
    <col min="32" max="32" width="9.140625" style="111" bestFit="1" customWidth="1"/>
    <col min="33" max="33" width="17.140625" style="111" customWidth="1"/>
    <col min="34" max="34" width="17.85546875" style="111" customWidth="1"/>
    <col min="35" max="35" width="9.85546875" style="111" customWidth="1"/>
    <col min="36" max="36" width="10.85546875" style="357" customWidth="1"/>
    <col min="37" max="37" width="13.42578125" style="111" customWidth="1"/>
    <col min="38" max="38" width="12.85546875" style="111" customWidth="1"/>
    <col min="39" max="41" width="13.140625" style="111" customWidth="1"/>
    <col min="42" max="42" width="11.140625" style="111" customWidth="1"/>
    <col min="43" max="43" width="14.85546875" style="111" customWidth="1"/>
    <col min="44" max="44" width="5.85546875" style="111" customWidth="1"/>
    <col min="45" max="45" width="11.85546875" style="111" customWidth="1"/>
    <col min="46" max="46" width="12.85546875" style="111" customWidth="1"/>
    <col min="47" max="47" width="11.85546875" style="111" customWidth="1"/>
    <col min="48" max="48" width="12.85546875" style="111" customWidth="1"/>
    <col min="49" max="49" width="12.85546875" style="358" customWidth="1"/>
    <col min="50" max="50" width="14.5703125" style="359" customWidth="1"/>
    <col min="51" max="55" width="12.85546875" style="111" customWidth="1"/>
    <col min="56" max="16384" width="8.85546875" style="111"/>
  </cols>
  <sheetData>
    <row r="1" spans="1:17" ht="4.5" customHeight="1">
      <c r="B1" s="350"/>
      <c r="C1" s="351" t="e">
        <f>(F15-(F16+#REF!))*12%</f>
        <v>#REF!</v>
      </c>
      <c r="D1" s="322" t="e">
        <f>FORM!#REF!</f>
        <v>#REF!</v>
      </c>
      <c r="E1" s="352"/>
      <c r="F1" s="3"/>
      <c r="G1" s="353"/>
      <c r="H1" s="353"/>
      <c r="J1" s="354">
        <v>0.01</v>
      </c>
      <c r="K1" s="352"/>
      <c r="L1" s="355"/>
      <c r="M1" s="355"/>
      <c r="N1" s="133"/>
    </row>
    <row r="2" spans="1:17" ht="12.6">
      <c r="B2" s="243" t="s">
        <v>783</v>
      </c>
      <c r="C2" s="478">
        <f>FORM!I20</f>
        <v>45901</v>
      </c>
      <c r="D2" s="242"/>
      <c r="F2" s="173" t="s">
        <v>943</v>
      </c>
      <c r="G2" s="1414" t="s">
        <v>785</v>
      </c>
      <c r="H2" s="1414"/>
      <c r="I2" s="1414"/>
      <c r="J2" s="203"/>
      <c r="K2" s="173" t="s">
        <v>783</v>
      </c>
      <c r="L2" s="478">
        <f>C2</f>
        <v>45901</v>
      </c>
      <c r="M2" s="112"/>
      <c r="O2" s="309"/>
      <c r="P2" s="243" t="s">
        <v>944</v>
      </c>
      <c r="Q2" s="360" t="s">
        <v>787</v>
      </c>
    </row>
    <row r="3" spans="1:17" ht="12.6">
      <c r="C3" s="3"/>
      <c r="D3" s="3"/>
      <c r="E3" s="203"/>
      <c r="F3" s="203"/>
      <c r="G3" s="203"/>
      <c r="H3" s="203"/>
      <c r="I3" s="203"/>
      <c r="J3" s="203"/>
      <c r="K3" s="361"/>
      <c r="L3" s="362"/>
      <c r="M3" s="363"/>
      <c r="N3" s="364"/>
      <c r="O3" s="364"/>
      <c r="P3" s="364"/>
      <c r="Q3" s="364"/>
    </row>
    <row r="4" spans="1:17" ht="18.75" customHeight="1">
      <c r="A4" s="112"/>
      <c r="B4" s="1597" t="str">
        <f>'Corrected and Updated TSF 2'!FC20</f>
        <v>12.5% Equity spread, 2.50% Lumpsum</v>
      </c>
      <c r="C4" s="1597"/>
      <c r="D4" s="1597"/>
      <c r="E4" s="1597"/>
      <c r="F4" s="1597"/>
      <c r="G4" s="1597"/>
      <c r="H4" s="1597"/>
      <c r="I4" s="1598"/>
      <c r="J4" s="203"/>
      <c r="K4" s="1599" t="s">
        <v>788</v>
      </c>
      <c r="L4" s="1599"/>
      <c r="M4" s="1599"/>
      <c r="N4" s="1599"/>
      <c r="O4" s="1599"/>
      <c r="P4" s="1599"/>
      <c r="Q4" s="1599"/>
    </row>
    <row r="5" spans="1:17" ht="12" customHeight="1">
      <c r="A5" s="112"/>
      <c r="B5" s="112"/>
      <c r="C5" s="114"/>
      <c r="D5" s="114"/>
      <c r="E5" s="112"/>
      <c r="F5" s="114"/>
      <c r="G5" s="114"/>
      <c r="H5" s="114"/>
      <c r="I5" s="310"/>
      <c r="J5" s="203"/>
      <c r="K5" s="203"/>
      <c r="L5" s="203"/>
      <c r="M5" s="311"/>
      <c r="N5" s="112"/>
      <c r="O5" s="112"/>
      <c r="P5" s="112"/>
      <c r="Q5" s="112"/>
    </row>
    <row r="6" spans="1:17" ht="12.6">
      <c r="A6" s="112"/>
      <c r="B6" s="365" t="s">
        <v>789</v>
      </c>
      <c r="C6" s="366"/>
      <c r="D6" s="197" t="s">
        <v>741</v>
      </c>
      <c r="E6" s="1416">
        <f>FORM!I26</f>
        <v>0</v>
      </c>
      <c r="F6" s="1417"/>
      <c r="G6" s="1417"/>
      <c r="H6" s="1417"/>
      <c r="I6" s="1418"/>
      <c r="J6" s="203"/>
      <c r="K6" s="1588" t="s">
        <v>789</v>
      </c>
      <c r="L6" s="1588"/>
      <c r="M6" s="197" t="s">
        <v>741</v>
      </c>
      <c r="N6" s="1600">
        <f t="shared" ref="N6:N13" si="0">E6</f>
        <v>0</v>
      </c>
      <c r="O6" s="1600"/>
      <c r="P6" s="1600"/>
      <c r="Q6" s="1600"/>
    </row>
    <row r="7" spans="1:17" ht="12.95" thickBot="1">
      <c r="A7" s="112"/>
      <c r="B7" s="206" t="s">
        <v>740</v>
      </c>
      <c r="C7" s="367"/>
      <c r="D7" s="197" t="s">
        <v>741</v>
      </c>
      <c r="E7" s="1428" t="str">
        <f>FORM!$I$11</f>
        <v>The Southprime Flats</v>
      </c>
      <c r="F7" s="1429"/>
      <c r="G7" s="369" t="str">
        <f>FORM!I14</f>
        <v>B2</v>
      </c>
      <c r="H7" s="369"/>
      <c r="I7" s="217"/>
      <c r="J7" s="203"/>
      <c r="K7" s="1588" t="s">
        <v>740</v>
      </c>
      <c r="L7" s="1588"/>
      <c r="M7" s="368" t="s">
        <v>741</v>
      </c>
      <c r="N7" s="1600" t="str">
        <f t="shared" si="0"/>
        <v>The Southprime Flats</v>
      </c>
      <c r="O7" s="1600"/>
      <c r="P7" s="1600"/>
      <c r="Q7" s="1600"/>
    </row>
    <row r="8" spans="1:17" ht="12.6">
      <c r="A8" s="302"/>
      <c r="B8" s="365" t="s">
        <v>790</v>
      </c>
      <c r="C8" s="366"/>
      <c r="D8" s="197" t="s">
        <v>741</v>
      </c>
      <c r="E8" s="1416" t="str">
        <f>'STANDARD COMP.'!E8:I8</f>
        <v>2L</v>
      </c>
      <c r="F8" s="1417"/>
      <c r="G8" s="1417"/>
      <c r="H8" s="1417"/>
      <c r="I8" s="1418"/>
      <c r="J8" s="203"/>
      <c r="K8" s="1588" t="s">
        <v>790</v>
      </c>
      <c r="L8" s="1588"/>
      <c r="M8" s="197" t="s">
        <v>741</v>
      </c>
      <c r="N8" s="1600" t="str">
        <f>E8</f>
        <v>2L</v>
      </c>
      <c r="O8" s="1600"/>
      <c r="P8" s="1600"/>
      <c r="Q8" s="1600"/>
    </row>
    <row r="9" spans="1:17" ht="12.6" hidden="1">
      <c r="A9" s="112"/>
      <c r="B9" s="206" t="s">
        <v>791</v>
      </c>
      <c r="C9" s="367"/>
      <c r="D9" s="197" t="s">
        <v>741</v>
      </c>
      <c r="E9" s="1416" t="e">
        <f>FORM!#REF!</f>
        <v>#REF!</v>
      </c>
      <c r="F9" s="1417"/>
      <c r="G9" s="1417"/>
      <c r="H9" s="1417"/>
      <c r="I9" s="1418"/>
      <c r="J9" s="203"/>
      <c r="K9" s="1588" t="s">
        <v>791</v>
      </c>
      <c r="L9" s="1588"/>
      <c r="M9" s="197" t="s">
        <v>741</v>
      </c>
      <c r="N9" s="1600" t="e">
        <f t="shared" si="0"/>
        <v>#REF!</v>
      </c>
      <c r="O9" s="1600"/>
      <c r="P9" s="1600"/>
      <c r="Q9" s="1600"/>
    </row>
    <row r="10" spans="1:17" ht="12.95" thickBot="1">
      <c r="A10" s="112"/>
      <c r="B10" s="206" t="s">
        <v>792</v>
      </c>
      <c r="C10" s="367"/>
      <c r="D10" s="197" t="s">
        <v>741</v>
      </c>
      <c r="E10" s="1416" t="str">
        <f>VLOOKUP(E8,'Pricelist Link'!A6:AA304,6,FALSE)</f>
        <v>Studio</v>
      </c>
      <c r="F10" s="1417"/>
      <c r="G10" s="1417"/>
      <c r="H10" s="1417"/>
      <c r="I10" s="1418"/>
      <c r="J10" s="203"/>
      <c r="K10" s="1588" t="s">
        <v>792</v>
      </c>
      <c r="L10" s="1588"/>
      <c r="M10" s="368" t="s">
        <v>741</v>
      </c>
      <c r="N10" s="1600" t="str">
        <f t="shared" si="0"/>
        <v>Studio</v>
      </c>
      <c r="O10" s="1600"/>
      <c r="P10" s="1600"/>
      <c r="Q10" s="1600"/>
    </row>
    <row r="11" spans="1:17" ht="12.6">
      <c r="A11" s="112"/>
      <c r="B11" s="206" t="s">
        <v>793</v>
      </c>
      <c r="C11" s="367"/>
      <c r="D11" s="197" t="s">
        <v>741</v>
      </c>
      <c r="E11" s="1601">
        <f>VLOOKUP(E8,'Pricelist Link'!A6:AA304,7,FALSE)</f>
        <v>22</v>
      </c>
      <c r="F11" s="1602"/>
      <c r="G11" s="369" t="s">
        <v>794</v>
      </c>
      <c r="H11" s="1417"/>
      <c r="I11" s="1418"/>
      <c r="J11" s="203"/>
      <c r="K11" s="1588" t="s">
        <v>793</v>
      </c>
      <c r="L11" s="1588"/>
      <c r="M11" s="197" t="s">
        <v>741</v>
      </c>
      <c r="N11" s="1420">
        <f t="shared" si="0"/>
        <v>22</v>
      </c>
      <c r="O11" s="1421"/>
      <c r="P11" s="1422" t="s">
        <v>794</v>
      </c>
      <c r="Q11" s="1423"/>
    </row>
    <row r="12" spans="1:17" ht="12.6">
      <c r="A12" s="302"/>
      <c r="B12" s="370" t="s">
        <v>795</v>
      </c>
      <c r="C12" s="366"/>
      <c r="D12" s="197" t="s">
        <v>741</v>
      </c>
      <c r="E12" s="1601"/>
      <c r="F12" s="1602"/>
      <c r="G12" s="369" t="s">
        <v>794</v>
      </c>
      <c r="H12" s="1422"/>
      <c r="I12" s="1423"/>
      <c r="J12" s="203"/>
      <c r="K12" s="1588" t="s">
        <v>795</v>
      </c>
      <c r="L12" s="1588"/>
      <c r="M12" s="197" t="s">
        <v>741</v>
      </c>
      <c r="N12" s="1589">
        <f t="shared" si="0"/>
        <v>0</v>
      </c>
      <c r="O12" s="1590"/>
      <c r="P12" s="1422" t="s">
        <v>794</v>
      </c>
      <c r="Q12" s="1423"/>
    </row>
    <row r="13" spans="1:17" ht="12.6">
      <c r="A13" s="303"/>
      <c r="B13" s="206" t="s">
        <v>796</v>
      </c>
      <c r="C13" s="367"/>
      <c r="D13" s="197" t="s">
        <v>741</v>
      </c>
      <c r="E13" s="1593">
        <f>VLOOKUP(E8,'Pricelist Link'!A6:AA304,7,FALSE)</f>
        <v>22</v>
      </c>
      <c r="F13" s="1594"/>
      <c r="G13" s="369" t="s">
        <v>794</v>
      </c>
      <c r="H13" s="1422"/>
      <c r="I13" s="1423"/>
      <c r="J13" s="203"/>
      <c r="K13" s="1588" t="s">
        <v>796</v>
      </c>
      <c r="L13" s="1588"/>
      <c r="M13" s="197" t="s">
        <v>741</v>
      </c>
      <c r="N13" s="1589">
        <f t="shared" si="0"/>
        <v>22</v>
      </c>
      <c r="O13" s="1590"/>
      <c r="P13" s="1422" t="s">
        <v>794</v>
      </c>
      <c r="Q13" s="1423"/>
    </row>
    <row r="14" spans="1:17" ht="12.6">
      <c r="A14" s="112"/>
      <c r="B14" s="112"/>
      <c r="C14" s="312"/>
      <c r="D14" s="197"/>
      <c r="E14" s="203"/>
      <c r="F14" s="371"/>
      <c r="G14" s="371"/>
      <c r="H14" s="372"/>
      <c r="I14" s="373"/>
      <c r="J14" s="203"/>
      <c r="K14" s="112"/>
      <c r="L14" s="112"/>
      <c r="M14" s="301"/>
      <c r="N14" s="112"/>
      <c r="O14" s="112"/>
      <c r="P14" s="112"/>
      <c r="Q14" s="112"/>
    </row>
    <row r="15" spans="1:17" ht="15" customHeight="1">
      <c r="A15" s="112"/>
      <c r="B15" s="201" t="s">
        <v>797</v>
      </c>
      <c r="C15" s="201"/>
      <c r="D15" s="374" t="s">
        <v>741</v>
      </c>
      <c r="E15" s="375"/>
      <c r="F15" s="1595">
        <f>VLOOKUP(E8,'Pricelist Link'!A6:AA304,8,FALSE)</f>
        <v>3379693.0676632621</v>
      </c>
      <c r="G15" s="1595"/>
      <c r="H15" s="1595"/>
      <c r="I15" s="1596"/>
      <c r="J15" s="203"/>
      <c r="K15" s="1434" t="s">
        <v>798</v>
      </c>
      <c r="L15" s="1434"/>
      <c r="M15" s="1435" t="s">
        <v>709</v>
      </c>
      <c r="N15" s="1434" t="s">
        <v>712</v>
      </c>
      <c r="O15" s="1434"/>
      <c r="P15" s="1436" t="s">
        <v>458</v>
      </c>
      <c r="Q15" s="1437"/>
    </row>
    <row r="16" spans="1:17" ht="12.6">
      <c r="A16" s="112"/>
      <c r="B16" s="215" t="s">
        <v>799</v>
      </c>
      <c r="C16" s="367"/>
      <c r="D16" s="376" t="s">
        <v>741</v>
      </c>
      <c r="E16" s="377"/>
      <c r="F16" s="1586">
        <f>'STANDARD COMP.'!F16:I16</f>
        <v>0</v>
      </c>
      <c r="G16" s="1586"/>
      <c r="H16" s="1586"/>
      <c r="I16" s="1587"/>
      <c r="J16" s="114"/>
      <c r="K16" s="1434"/>
      <c r="L16" s="1434"/>
      <c r="M16" s="1435"/>
      <c r="N16" s="1434"/>
      <c r="O16" s="1434"/>
      <c r="P16" s="1438"/>
      <c r="Q16" s="1439"/>
    </row>
    <row r="17" spans="1:50" ht="12.6">
      <c r="A17" s="112"/>
      <c r="B17" s="165" t="s">
        <v>800</v>
      </c>
      <c r="C17" s="122"/>
      <c r="D17" s="203" t="s">
        <v>741</v>
      </c>
      <c r="E17" s="375"/>
      <c r="F17" s="1591">
        <f>F15-F16</f>
        <v>3379693.0676632621</v>
      </c>
      <c r="G17" s="1591"/>
      <c r="H17" s="1591"/>
      <c r="I17" s="1592"/>
      <c r="J17" s="114"/>
      <c r="K17" s="1419" t="s">
        <v>758</v>
      </c>
      <c r="L17" s="1419"/>
      <c r="M17" s="378">
        <f>C2</f>
        <v>45901</v>
      </c>
      <c r="N17" s="1441">
        <f>F25</f>
        <v>30000</v>
      </c>
      <c r="O17" s="1441"/>
      <c r="P17" s="1442"/>
      <c r="Q17" s="1443"/>
      <c r="W17" s="380">
        <f>M17</f>
        <v>45901</v>
      </c>
      <c r="X17" s="380">
        <f>EDATE(W17,E29)</f>
        <v>46447</v>
      </c>
    </row>
    <row r="18" spans="1:50" ht="12.95">
      <c r="A18" s="112"/>
      <c r="B18" s="212"/>
      <c r="C18" s="312"/>
      <c r="D18" s="197"/>
      <c r="E18" s="114"/>
      <c r="F18" s="381"/>
      <c r="G18" s="382"/>
      <c r="H18" s="383"/>
      <c r="I18" s="383"/>
      <c r="J18" s="114"/>
      <c r="K18" s="1419" t="str">
        <f t="shared" ref="K18:K63" si="1">IF(N18&gt;1,T18,0)</f>
        <v>1st EQUITY PAYMENT</v>
      </c>
      <c r="L18" s="1419"/>
      <c r="M18" s="378">
        <f t="shared" ref="M18:M63" si="2">IF(N18&gt;1,W18,"")</f>
        <v>45935</v>
      </c>
      <c r="N18" s="1441">
        <f>IF(E29&gt;0,F29,"")</f>
        <v>19691.115913705336</v>
      </c>
      <c r="O18" s="1441"/>
      <c r="P18" s="1442"/>
      <c r="Q18" s="1443"/>
      <c r="T18" s="1549" t="s">
        <v>945</v>
      </c>
      <c r="U18" s="1549"/>
      <c r="W18" s="378">
        <f>IF(DAY(W17)=31,Y20,AA20)</f>
        <v>45935</v>
      </c>
      <c r="X18" s="24"/>
      <c r="Y18" s="1585" t="s">
        <v>805</v>
      </c>
      <c r="Z18" s="1585"/>
      <c r="AA18" s="24"/>
    </row>
    <row r="19" spans="1:50" ht="12.6">
      <c r="A19" s="302"/>
      <c r="B19" s="215" t="s">
        <v>803</v>
      </c>
      <c r="C19" s="367"/>
      <c r="D19" s="376" t="s">
        <v>741</v>
      </c>
      <c r="E19" s="487">
        <v>0.12</v>
      </c>
      <c r="F19" s="1586"/>
      <c r="G19" s="1586"/>
      <c r="H19" s="1586"/>
      <c r="I19" s="1587"/>
      <c r="J19" s="114"/>
      <c r="K19" s="1419" t="str">
        <f t="shared" si="1"/>
        <v>2nd EQUITY PAYMENT</v>
      </c>
      <c r="L19" s="1419"/>
      <c r="M19" s="378">
        <f t="shared" si="2"/>
        <v>45966</v>
      </c>
      <c r="N19" s="1441">
        <f>IF(E29&gt;1,F29,0)</f>
        <v>19691.115913705336</v>
      </c>
      <c r="O19" s="1441"/>
      <c r="P19" s="1442"/>
      <c r="Q19" s="1443"/>
      <c r="T19" s="1549" t="s">
        <v>804</v>
      </c>
      <c r="U19" s="1549"/>
      <c r="W19" s="378">
        <f t="shared" ref="W19:W61" si="3">IF(AND(DAY(W18)&gt;=6,DAY(W18)&lt;=20),DATE(YEAR(W18),MONTH(W18)+1,DAY(20)),IF(AND(DAY(W18)&gt;=21,DAY(W18)&lt;=30),DATE(YEAR(W18),MONTH(W18)+1,IF(DAY(EOMONTH(W18,1))&lt;30,DAY(EOMONTH(W18,1)),DAY(30))),DATE(YEAR(W18),MONTH(W18)+1,DAY(5))))</f>
        <v>45966</v>
      </c>
      <c r="X19" s="60" t="s">
        <v>37</v>
      </c>
      <c r="Y19" s="1583" t="b">
        <f>IF(DAY(W17)=31,DATE(YEAR(X17),MONTH(X17)+2,DAY(5)))</f>
        <v>0</v>
      </c>
      <c r="Z19" s="1584"/>
      <c r="AA19" s="495">
        <f>IF(AND(DAY(X17)&gt;=6,DAY(X17)&lt;=20),DATE(YEAR(X17),MONTH(X17)+1,DAY(20)),IF(AND(DAY(X17)&gt;=21,DAY(X17)&lt;=31),DATE(YEAR(X17),MONTH(X17)+1,IF(DAY(EOMONTH(X17,1))&lt;30,DAY(EOMONTH(X17,1)),DAY(30))),DATE(YEAR(X17),MONTH(X17)+1,DAY(5))))</f>
        <v>46482</v>
      </c>
    </row>
    <row r="20" spans="1:50" ht="12.6">
      <c r="A20" s="303"/>
      <c r="B20" s="384" t="s">
        <v>806</v>
      </c>
      <c r="C20" s="122"/>
      <c r="D20" s="197" t="s">
        <v>741</v>
      </c>
      <c r="E20" s="216"/>
      <c r="F20" s="1580">
        <f>'STANDARD COMP.'!F20:I20</f>
        <v>464707.79680369853</v>
      </c>
      <c r="G20" s="1581"/>
      <c r="H20" s="1581"/>
      <c r="I20" s="1582"/>
      <c r="J20" s="114"/>
      <c r="K20" s="1419" t="str">
        <f t="shared" si="1"/>
        <v>3rd EQUITY PAYMENT</v>
      </c>
      <c r="L20" s="1419"/>
      <c r="M20" s="378">
        <f t="shared" si="2"/>
        <v>45996</v>
      </c>
      <c r="N20" s="1441">
        <f>IF(E29&gt;2,F29,0)</f>
        <v>19691.115913705336</v>
      </c>
      <c r="O20" s="1441"/>
      <c r="P20" s="1442"/>
      <c r="Q20" s="1443"/>
      <c r="T20" s="1549" t="s">
        <v>807</v>
      </c>
      <c r="U20" s="1549"/>
      <c r="W20" s="378">
        <f t="shared" si="3"/>
        <v>45996</v>
      </c>
      <c r="X20" s="60" t="s">
        <v>809</v>
      </c>
      <c r="Y20" s="1583" t="b">
        <f>IF(DAY(W17)=31,DATE(YEAR(W17),MONTH(W17)+2,DAY(5)))</f>
        <v>0</v>
      </c>
      <c r="Z20" s="1584"/>
      <c r="AA20" s="495">
        <f>IF(AND(DAY(W17)&gt;=6,DAY(W17)&lt;=20),DATE(YEAR(W17),MONTH(W17)+1,DAY(20)),IF(AND(DAY(W17)&gt;=21,DAY(W17)&lt;=30),DATE(YEAR(W17),MONTH(W17)+1,IF(DAY(EOMONTH(W17,1))&lt;31,DAY(EOMONTH(W17,1)),DAY(30))),DATE(YEAR(W17),MONTH(W17)+1,DAY(5))))</f>
        <v>45935</v>
      </c>
      <c r="AX20" s="111"/>
    </row>
    <row r="21" spans="1:50" ht="12.6">
      <c r="A21" s="112"/>
      <c r="B21" s="212"/>
      <c r="C21" s="114"/>
      <c r="D21" s="197"/>
      <c r="E21" s="203"/>
      <c r="F21" s="381"/>
      <c r="G21" s="381"/>
      <c r="H21" s="381"/>
      <c r="I21" s="381"/>
      <c r="J21" s="114"/>
      <c r="K21" s="1419" t="str">
        <f t="shared" si="1"/>
        <v>4th EQUITY PAYMENT</v>
      </c>
      <c r="L21" s="1419"/>
      <c r="M21" s="378">
        <f t="shared" si="2"/>
        <v>46027</v>
      </c>
      <c r="N21" s="1441">
        <f>IF(E29&gt;3,F29,0)</f>
        <v>19691.115913705336</v>
      </c>
      <c r="O21" s="1441"/>
      <c r="P21" s="1442"/>
      <c r="Q21" s="1443"/>
      <c r="T21" s="1549" t="s">
        <v>808</v>
      </c>
      <c r="U21" s="1549"/>
      <c r="W21" s="378">
        <f t="shared" si="3"/>
        <v>46027</v>
      </c>
      <c r="AX21" s="111"/>
    </row>
    <row r="22" spans="1:50" ht="12.6">
      <c r="A22" s="112"/>
      <c r="B22" s="165" t="s">
        <v>810</v>
      </c>
      <c r="C22" s="122"/>
      <c r="D22" s="203" t="s">
        <v>741</v>
      </c>
      <c r="E22" s="385"/>
      <c r="F22" s="1474">
        <f>SUM(F20,F19,F17)</f>
        <v>3844400.8644669605</v>
      </c>
      <c r="G22" s="1475"/>
      <c r="H22" s="1475"/>
      <c r="I22" s="1476"/>
      <c r="J22" s="114"/>
      <c r="K22" s="1419" t="str">
        <f t="shared" si="1"/>
        <v>5th EQUITY PAYMENT</v>
      </c>
      <c r="L22" s="1419"/>
      <c r="M22" s="378">
        <f t="shared" si="2"/>
        <v>46058</v>
      </c>
      <c r="N22" s="1441">
        <f>IF(E29&gt;4,F29,0)</f>
        <v>19691.115913705336</v>
      </c>
      <c r="O22" s="1441"/>
      <c r="P22" s="1442"/>
      <c r="Q22" s="1443"/>
      <c r="T22" s="1549" t="s">
        <v>811</v>
      </c>
      <c r="U22" s="1549"/>
      <c r="W22" s="378">
        <f t="shared" si="3"/>
        <v>46058</v>
      </c>
      <c r="AX22" s="111"/>
    </row>
    <row r="23" spans="1:50" ht="12.6">
      <c r="A23" s="112"/>
      <c r="B23" s="212"/>
      <c r="C23" s="114"/>
      <c r="D23" s="197"/>
      <c r="E23" s="203"/>
      <c r="F23" s="381"/>
      <c r="G23" s="386"/>
      <c r="H23" s="386"/>
      <c r="I23" s="386"/>
      <c r="J23" s="114"/>
      <c r="K23" s="1419" t="str">
        <f t="shared" si="1"/>
        <v>6th EQUITY PAYMENT</v>
      </c>
      <c r="L23" s="1419"/>
      <c r="M23" s="378">
        <f t="shared" si="2"/>
        <v>46086</v>
      </c>
      <c r="N23" s="1441">
        <f>IF(E29&gt;5,F29,0)</f>
        <v>19691.115913705336</v>
      </c>
      <c r="O23" s="1441"/>
      <c r="P23" s="1442"/>
      <c r="Q23" s="1443"/>
      <c r="T23" s="1549" t="s">
        <v>812</v>
      </c>
      <c r="U23" s="1549"/>
      <c r="W23" s="378">
        <f t="shared" si="3"/>
        <v>46086</v>
      </c>
      <c r="AX23" s="111"/>
    </row>
    <row r="24" spans="1:50" ht="12.6">
      <c r="A24" s="112"/>
      <c r="B24" s="201" t="s">
        <v>813</v>
      </c>
      <c r="C24" s="366"/>
      <c r="D24" s="374" t="s">
        <v>741</v>
      </c>
      <c r="E24" s="485">
        <f>'STANDARD COMP.'!E24</f>
        <v>0.125</v>
      </c>
      <c r="F24" s="1474">
        <f>F22*E24</f>
        <v>480550.10805837007</v>
      </c>
      <c r="G24" s="1475"/>
      <c r="H24" s="1475"/>
      <c r="I24" s="1476"/>
      <c r="J24" s="114"/>
      <c r="K24" s="1419" t="str">
        <f t="shared" si="1"/>
        <v>7th EQUITY PAYMENT</v>
      </c>
      <c r="L24" s="1419"/>
      <c r="M24" s="378">
        <f t="shared" si="2"/>
        <v>46117</v>
      </c>
      <c r="N24" s="1441">
        <f>IF(E29&gt;6,F29,0)</f>
        <v>19691.115913705336</v>
      </c>
      <c r="O24" s="1441"/>
      <c r="P24" s="1442"/>
      <c r="Q24" s="1443"/>
      <c r="T24" s="1549" t="s">
        <v>814</v>
      </c>
      <c r="U24" s="1549"/>
      <c r="W24" s="378">
        <f t="shared" si="3"/>
        <v>46117</v>
      </c>
      <c r="AX24" s="111"/>
    </row>
    <row r="25" spans="1:50" ht="12.6">
      <c r="A25" s="112"/>
      <c r="B25" s="206" t="s">
        <v>815</v>
      </c>
      <c r="C25" s="367"/>
      <c r="D25" s="197" t="s">
        <v>741</v>
      </c>
      <c r="E25" s="388"/>
      <c r="F25" s="348">
        <f>FORM!I22</f>
        <v>30000</v>
      </c>
      <c r="G25" s="389"/>
      <c r="H25" s="390"/>
      <c r="I25" s="391"/>
      <c r="J25" s="114"/>
      <c r="K25" s="1419" t="str">
        <f t="shared" si="1"/>
        <v>8th EQUITY PAYMENT</v>
      </c>
      <c r="L25" s="1419"/>
      <c r="M25" s="378">
        <f t="shared" si="2"/>
        <v>46147</v>
      </c>
      <c r="N25" s="1441">
        <f>IF(E29&gt;7,F29,0)</f>
        <v>19691.115913705336</v>
      </c>
      <c r="O25" s="1441"/>
      <c r="P25" s="1442"/>
      <c r="Q25" s="1443"/>
      <c r="T25" s="1549" t="s">
        <v>816</v>
      </c>
      <c r="U25" s="1549"/>
      <c r="W25" s="378">
        <f t="shared" si="3"/>
        <v>46147</v>
      </c>
      <c r="AX25" s="111"/>
    </row>
    <row r="26" spans="1:50" ht="12.6">
      <c r="A26" s="302"/>
      <c r="B26" s="206" t="s">
        <v>941</v>
      </c>
      <c r="C26" s="367"/>
      <c r="D26" s="197"/>
      <c r="E26" s="543">
        <v>2.5000000000000001E-2</v>
      </c>
      <c r="F26" s="1453">
        <f>F22*E26</f>
        <v>96110.021611674019</v>
      </c>
      <c r="G26" s="1454"/>
      <c r="H26" s="1454"/>
      <c r="I26" s="1455"/>
      <c r="J26" s="114"/>
      <c r="K26" s="1419" t="str">
        <f t="shared" si="1"/>
        <v>9th EQUITY PAYMENT</v>
      </c>
      <c r="L26" s="1419"/>
      <c r="M26" s="378">
        <f t="shared" si="2"/>
        <v>46178</v>
      </c>
      <c r="N26" s="1441">
        <f>IF(E29&gt;8,F29,0)</f>
        <v>19691.115913705336</v>
      </c>
      <c r="O26" s="1441"/>
      <c r="P26" s="1442"/>
      <c r="Q26" s="1443"/>
      <c r="T26" s="1549" t="s">
        <v>818</v>
      </c>
      <c r="U26" s="1549"/>
      <c r="W26" s="378">
        <f t="shared" si="3"/>
        <v>46178</v>
      </c>
      <c r="AX26" s="111"/>
    </row>
    <row r="27" spans="1:50" ht="12.6">
      <c r="A27" s="112"/>
      <c r="B27" s="165" t="s">
        <v>946</v>
      </c>
      <c r="C27" s="160"/>
      <c r="D27" s="203" t="s">
        <v>741</v>
      </c>
      <c r="E27" s="388"/>
      <c r="F27" s="1474">
        <f>F24-F25-F26</f>
        <v>354440.08644669608</v>
      </c>
      <c r="G27" s="1475"/>
      <c r="H27" s="1475"/>
      <c r="I27" s="1476"/>
      <c r="J27" s="114"/>
      <c r="K27" s="1419" t="str">
        <f t="shared" si="1"/>
        <v>10th EQUITY PAYMENT</v>
      </c>
      <c r="L27" s="1419"/>
      <c r="M27" s="378">
        <f t="shared" si="2"/>
        <v>46208</v>
      </c>
      <c r="N27" s="1441">
        <f>IF(E29&gt;9,F29,0)</f>
        <v>19691.115913705336</v>
      </c>
      <c r="O27" s="1441"/>
      <c r="P27" s="1442"/>
      <c r="Q27" s="1443"/>
      <c r="T27" s="1549" t="s">
        <v>819</v>
      </c>
      <c r="U27" s="1549"/>
      <c r="W27" s="378">
        <f t="shared" si="3"/>
        <v>46208</v>
      </c>
      <c r="AX27" s="111"/>
    </row>
    <row r="28" spans="1:50" ht="12.6">
      <c r="A28" s="112"/>
      <c r="B28" s="212"/>
      <c r="C28" s="114"/>
      <c r="D28" s="197"/>
      <c r="E28" s="203"/>
      <c r="F28" s="381"/>
      <c r="G28" s="386"/>
      <c r="H28" s="386"/>
      <c r="I28" s="386"/>
      <c r="J28" s="114"/>
      <c r="K28" s="1419" t="str">
        <f t="shared" si="1"/>
        <v>11th EQUITY PAYMENT</v>
      </c>
      <c r="L28" s="1419"/>
      <c r="M28" s="378">
        <f t="shared" si="2"/>
        <v>46239</v>
      </c>
      <c r="N28" s="1441">
        <f>IF(E29&gt;10,F29,0)</f>
        <v>19691.115913705336</v>
      </c>
      <c r="O28" s="1441"/>
      <c r="P28" s="1442"/>
      <c r="Q28" s="1443"/>
      <c r="T28" s="1549" t="s">
        <v>822</v>
      </c>
      <c r="U28" s="1549"/>
      <c r="W28" s="378">
        <f t="shared" si="3"/>
        <v>46239</v>
      </c>
      <c r="AX28" s="111"/>
    </row>
    <row r="29" spans="1:50" ht="12.6">
      <c r="A29" s="304"/>
      <c r="B29" s="1579" t="s">
        <v>947</v>
      </c>
      <c r="C29" s="1579"/>
      <c r="D29" s="203" t="s">
        <v>741</v>
      </c>
      <c r="E29" s="392">
        <f>VLOOKUP(E8,'Pricelist Link'!A6:AA304,15,FALSE)</f>
        <v>18</v>
      </c>
      <c r="F29" s="1474">
        <f>F27/E29</f>
        <v>19691.115913705336</v>
      </c>
      <c r="G29" s="1475"/>
      <c r="H29" s="1475"/>
      <c r="I29" s="1476"/>
      <c r="J29" s="114"/>
      <c r="K29" s="1419" t="str">
        <f t="shared" si="1"/>
        <v>12th EQUITY PAYMENT</v>
      </c>
      <c r="L29" s="1419"/>
      <c r="M29" s="378">
        <f t="shared" si="2"/>
        <v>46270</v>
      </c>
      <c r="N29" s="1548">
        <f>IF(E29&gt;11,F29,0)</f>
        <v>19691.115913705336</v>
      </c>
      <c r="O29" s="1548"/>
      <c r="P29" s="1442"/>
      <c r="Q29" s="1443"/>
      <c r="T29" s="1549" t="s">
        <v>823</v>
      </c>
      <c r="U29" s="1549"/>
      <c r="W29" s="378">
        <f t="shared" si="3"/>
        <v>46270</v>
      </c>
      <c r="AX29" s="111"/>
    </row>
    <row r="30" spans="1:50" ht="12.6">
      <c r="A30" s="112"/>
      <c r="B30" s="112"/>
      <c r="C30" s="312"/>
      <c r="D30" s="197"/>
      <c r="E30" s="393"/>
      <c r="F30" s="381"/>
      <c r="G30" s="381"/>
      <c r="H30" s="381"/>
      <c r="I30" s="381"/>
      <c r="J30" s="114"/>
      <c r="K30" s="1419" t="str">
        <f t="shared" si="1"/>
        <v>13th EQUITY PAYMENT</v>
      </c>
      <c r="L30" s="1419"/>
      <c r="M30" s="378">
        <f t="shared" si="2"/>
        <v>46300</v>
      </c>
      <c r="N30" s="1548">
        <f>IF(E29&gt;12,F29,0)</f>
        <v>19691.115913705336</v>
      </c>
      <c r="O30" s="1548"/>
      <c r="P30" s="1442"/>
      <c r="Q30" s="1443"/>
      <c r="T30" s="1549" t="s">
        <v>824</v>
      </c>
      <c r="U30" s="1549"/>
      <c r="W30" s="378">
        <f t="shared" si="3"/>
        <v>46300</v>
      </c>
      <c r="AX30" s="111"/>
    </row>
    <row r="31" spans="1:50" ht="12.6">
      <c r="A31" s="112"/>
      <c r="B31" s="165" t="s">
        <v>827</v>
      </c>
      <c r="C31" s="165"/>
      <c r="D31" s="203" t="s">
        <v>741</v>
      </c>
      <c r="E31" s="387">
        <f>100%-E24</f>
        <v>0.875</v>
      </c>
      <c r="F31" s="1474">
        <f>F22*E31</f>
        <v>3363850.7564085904</v>
      </c>
      <c r="G31" s="1475"/>
      <c r="H31" s="1475"/>
      <c r="I31" s="1476"/>
      <c r="J31" s="114"/>
      <c r="K31" s="1419" t="str">
        <f t="shared" si="1"/>
        <v>14th EQUITY PAYMENT</v>
      </c>
      <c r="L31" s="1419"/>
      <c r="M31" s="378">
        <f t="shared" si="2"/>
        <v>46331</v>
      </c>
      <c r="N31" s="1548">
        <f>IF(E29&gt;13,F29,0)</f>
        <v>19691.115913705336</v>
      </c>
      <c r="O31" s="1548"/>
      <c r="P31" s="1442"/>
      <c r="Q31" s="1443"/>
      <c r="T31" s="1549" t="s">
        <v>825</v>
      </c>
      <c r="U31" s="1549"/>
      <c r="W31" s="378">
        <f t="shared" si="3"/>
        <v>46331</v>
      </c>
      <c r="AX31" s="111"/>
    </row>
    <row r="32" spans="1:50" ht="12.6">
      <c r="A32" s="112"/>
      <c r="B32" s="112"/>
      <c r="C32" s="312"/>
      <c r="D32" s="393"/>
      <c r="E32" s="393"/>
      <c r="F32" s="393"/>
      <c r="G32" s="394"/>
      <c r="H32" s="394"/>
      <c r="I32" s="394"/>
      <c r="J32" s="313"/>
      <c r="K32" s="1419" t="str">
        <f t="shared" si="1"/>
        <v>15th EQUITY PAYMENT</v>
      </c>
      <c r="L32" s="1419"/>
      <c r="M32" s="378">
        <f t="shared" si="2"/>
        <v>46361</v>
      </c>
      <c r="N32" s="1548">
        <f>IF(E29&gt;14,F29,0)</f>
        <v>19691.115913705336</v>
      </c>
      <c r="O32" s="1548"/>
      <c r="P32" s="1442"/>
      <c r="Q32" s="1443"/>
      <c r="T32" s="1549" t="s">
        <v>826</v>
      </c>
      <c r="U32" s="1549"/>
      <c r="W32" s="378">
        <f t="shared" si="3"/>
        <v>46361</v>
      </c>
      <c r="AX32" s="111"/>
    </row>
    <row r="33" spans="1:50" ht="12.6">
      <c r="A33" s="112"/>
      <c r="B33" s="122" t="s">
        <v>830</v>
      </c>
      <c r="C33" s="384"/>
      <c r="D33" s="395"/>
      <c r="E33" s="396"/>
      <c r="F33" s="393"/>
      <c r="G33" s="394"/>
      <c r="H33" s="394"/>
      <c r="I33" s="394"/>
      <c r="J33" s="203"/>
      <c r="K33" s="1419" t="str">
        <f t="shared" si="1"/>
        <v>16th EQUITY PAYMENT</v>
      </c>
      <c r="L33" s="1419"/>
      <c r="M33" s="378">
        <f t="shared" si="2"/>
        <v>46392</v>
      </c>
      <c r="N33" s="1548">
        <f>IF(E29&gt;15,F29,0)</f>
        <v>19691.115913705336</v>
      </c>
      <c r="O33" s="1548"/>
      <c r="P33" s="1442"/>
      <c r="Q33" s="1443"/>
      <c r="T33" s="1549" t="s">
        <v>828</v>
      </c>
      <c r="U33" s="1549"/>
      <c r="W33" s="378">
        <f t="shared" si="3"/>
        <v>46392</v>
      </c>
      <c r="AX33" s="111"/>
    </row>
    <row r="34" spans="1:50" ht="12.6">
      <c r="A34" s="112"/>
      <c r="B34" s="112"/>
      <c r="C34" s="312"/>
      <c r="D34" s="312"/>
      <c r="E34" s="397"/>
      <c r="F34" s="278"/>
      <c r="G34" s="278"/>
      <c r="H34" s="278"/>
      <c r="I34" s="278"/>
      <c r="J34" s="312"/>
      <c r="K34" s="1419" t="str">
        <f t="shared" si="1"/>
        <v>17th EQUITY PAYMENT</v>
      </c>
      <c r="L34" s="1419"/>
      <c r="M34" s="378">
        <f t="shared" si="2"/>
        <v>46423</v>
      </c>
      <c r="N34" s="1548">
        <f>IF(E29&gt;16,F29,0)</f>
        <v>19691.115913705336</v>
      </c>
      <c r="O34" s="1548"/>
      <c r="P34" s="1442"/>
      <c r="Q34" s="1443"/>
      <c r="T34" s="1549" t="s">
        <v>829</v>
      </c>
      <c r="U34" s="1549"/>
      <c r="W34" s="378">
        <f t="shared" si="3"/>
        <v>46423</v>
      </c>
      <c r="AX34" s="111"/>
    </row>
    <row r="35" spans="1:50" ht="12.6">
      <c r="A35" s="112"/>
      <c r="B35" s="345" t="s">
        <v>833</v>
      </c>
      <c r="C35" s="345" t="s">
        <v>352</v>
      </c>
      <c r="D35" s="345" t="s">
        <v>834</v>
      </c>
      <c r="E35" s="345" t="s">
        <v>835</v>
      </c>
      <c r="F35" s="1434" t="s">
        <v>855</v>
      </c>
      <c r="G35" s="1434"/>
      <c r="H35" s="1434"/>
      <c r="I35" s="1434"/>
      <c r="J35" s="114"/>
      <c r="K35" s="1419" t="str">
        <f t="shared" si="1"/>
        <v>18th EQUITY PAYMENT</v>
      </c>
      <c r="L35" s="1419"/>
      <c r="M35" s="378">
        <f t="shared" si="2"/>
        <v>46451</v>
      </c>
      <c r="N35" s="1548">
        <f>IF(E29&gt;17,F29,0)</f>
        <v>19691.115913705336</v>
      </c>
      <c r="O35" s="1548"/>
      <c r="P35" s="1442"/>
      <c r="Q35" s="1443"/>
      <c r="T35" s="1549" t="s">
        <v>831</v>
      </c>
      <c r="U35" s="1549"/>
      <c r="W35" s="378">
        <f t="shared" si="3"/>
        <v>46451</v>
      </c>
      <c r="AX35" s="111"/>
    </row>
    <row r="36" spans="1:50" ht="12.6">
      <c r="A36" s="112"/>
      <c r="B36" s="398">
        <v>5</v>
      </c>
      <c r="C36" s="699">
        <f>'STANDARD COMP.'!C35</f>
        <v>7.0000000000000007E-2</v>
      </c>
      <c r="D36" s="399">
        <f>PMT(C36/12,B36*12,-1)</f>
        <v>1.9801198540349535E-2</v>
      </c>
      <c r="E36" s="400">
        <f>F31*D36</f>
        <v>66608.276687751451</v>
      </c>
      <c r="F36" s="1441">
        <f>E36/0.33</f>
        <v>201843.26269015591</v>
      </c>
      <c r="G36" s="1441"/>
      <c r="H36" s="1441"/>
      <c r="I36" s="1441"/>
      <c r="J36" s="114"/>
      <c r="K36" s="1419">
        <f t="shared" si="1"/>
        <v>0</v>
      </c>
      <c r="L36" s="1419"/>
      <c r="M36" s="378" t="str">
        <f t="shared" si="2"/>
        <v/>
      </c>
      <c r="N36" s="1548">
        <f>IF(E29&gt;18,F29,0)</f>
        <v>0</v>
      </c>
      <c r="O36" s="1548"/>
      <c r="P36" s="1442"/>
      <c r="Q36" s="1443"/>
      <c r="T36" s="1549" t="s">
        <v>832</v>
      </c>
      <c r="U36" s="1549"/>
      <c r="W36" s="378">
        <f t="shared" si="3"/>
        <v>46482</v>
      </c>
      <c r="AX36" s="111"/>
    </row>
    <row r="37" spans="1:50" ht="12.6">
      <c r="A37" s="112"/>
      <c r="B37" s="398">
        <v>10</v>
      </c>
      <c r="C37" s="699">
        <f>'STANDARD COMP.'!C36</f>
        <v>7.0000000000000007E-2</v>
      </c>
      <c r="D37" s="399">
        <f>PMT(C37/12,B37*12,-1)</f>
        <v>1.1610847921862406E-2</v>
      </c>
      <c r="E37" s="400">
        <f>F31*D37</f>
        <v>39057.159564501962</v>
      </c>
      <c r="F37" s="1441">
        <f>E37/0.33</f>
        <v>118355.02898333927</v>
      </c>
      <c r="G37" s="1441"/>
      <c r="H37" s="1441"/>
      <c r="I37" s="1441"/>
      <c r="J37" s="114"/>
      <c r="K37" s="1419">
        <f t="shared" si="1"/>
        <v>0</v>
      </c>
      <c r="L37" s="1419"/>
      <c r="M37" s="378" t="str">
        <f t="shared" si="2"/>
        <v/>
      </c>
      <c r="N37" s="1548">
        <f>IF(E29&gt;19,F29,0)</f>
        <v>0</v>
      </c>
      <c r="O37" s="1548"/>
      <c r="P37" s="1442"/>
      <c r="Q37" s="1443"/>
      <c r="T37" s="1549" t="s">
        <v>837</v>
      </c>
      <c r="U37" s="1549"/>
      <c r="W37" s="378">
        <f t="shared" si="3"/>
        <v>46512</v>
      </c>
      <c r="AX37" s="111"/>
    </row>
    <row r="38" spans="1:50" ht="12.6">
      <c r="A38" s="112"/>
      <c r="B38" s="398">
        <v>15</v>
      </c>
      <c r="C38" s="699">
        <f>'STANDARD COMP.'!C37</f>
        <v>7.0000000000000007E-2</v>
      </c>
      <c r="D38" s="399">
        <f>PMT(C38/12,B38*12,-1)</f>
        <v>8.988282708524269E-3</v>
      </c>
      <c r="E38" s="400">
        <f>F31*D38</f>
        <v>30235.241587883615</v>
      </c>
      <c r="F38" s="1441">
        <f>E38/0.33</f>
        <v>91621.944205707914</v>
      </c>
      <c r="G38" s="1441"/>
      <c r="H38" s="1441"/>
      <c r="I38" s="1441"/>
      <c r="J38" s="114"/>
      <c r="K38" s="1419">
        <f t="shared" si="1"/>
        <v>0</v>
      </c>
      <c r="L38" s="1419"/>
      <c r="M38" s="378" t="str">
        <f t="shared" si="2"/>
        <v/>
      </c>
      <c r="N38" s="1548">
        <f>IF(E29&gt;20,F29,0)</f>
        <v>0</v>
      </c>
      <c r="O38" s="1548"/>
      <c r="P38" s="1442"/>
      <c r="Q38" s="1443"/>
      <c r="T38" s="1549" t="s">
        <v>838</v>
      </c>
      <c r="U38" s="1549"/>
      <c r="W38" s="378">
        <f t="shared" si="3"/>
        <v>46543</v>
      </c>
      <c r="AX38" s="111"/>
    </row>
    <row r="39" spans="1:50" ht="12.6">
      <c r="A39" s="112"/>
      <c r="B39" s="398">
        <v>20</v>
      </c>
      <c r="C39" s="699">
        <f>'STANDARD COMP.'!C38</f>
        <v>7.0000000000000007E-2</v>
      </c>
      <c r="D39" s="399">
        <f>PMT(C39/12,B39*12,-1)</f>
        <v>7.7529893561887461E-3</v>
      </c>
      <c r="E39" s="400">
        <f>F31*D39</f>
        <v>26079.899110243263</v>
      </c>
      <c r="F39" s="1441">
        <f>E39/0.33</f>
        <v>79029.997303767464</v>
      </c>
      <c r="G39" s="1441"/>
      <c r="H39" s="1441"/>
      <c r="I39" s="1441"/>
      <c r="J39" s="114"/>
      <c r="K39" s="1419">
        <f t="shared" si="1"/>
        <v>0</v>
      </c>
      <c r="L39" s="1419"/>
      <c r="M39" s="378" t="str">
        <f t="shared" si="2"/>
        <v/>
      </c>
      <c r="N39" s="1548">
        <f>IF(E29&gt;21,F29,0)</f>
        <v>0</v>
      </c>
      <c r="O39" s="1548"/>
      <c r="P39" s="1442"/>
      <c r="Q39" s="1443"/>
      <c r="T39" s="1549" t="s">
        <v>839</v>
      </c>
      <c r="U39" s="1549"/>
      <c r="W39" s="378">
        <f t="shared" si="3"/>
        <v>46573</v>
      </c>
      <c r="AX39" s="111"/>
    </row>
    <row r="40" spans="1:50" ht="12.6">
      <c r="A40" s="112"/>
      <c r="B40" s="814" t="str">
        <f>'STANDARD COMP.'!B39</f>
        <v>Fixed for three (3) years</v>
      </c>
      <c r="C40" s="305"/>
      <c r="D40" s="306"/>
      <c r="E40" s="307"/>
      <c r="F40" s="1578"/>
      <c r="G40" s="1578"/>
      <c r="H40" s="346"/>
      <c r="I40" s="112"/>
      <c r="J40" s="114"/>
      <c r="K40" s="1419">
        <f t="shared" si="1"/>
        <v>0</v>
      </c>
      <c r="L40" s="1419"/>
      <c r="M40" s="378" t="str">
        <f t="shared" si="2"/>
        <v/>
      </c>
      <c r="N40" s="1548">
        <f>IF(E29&gt;22,F29,0)</f>
        <v>0</v>
      </c>
      <c r="O40" s="1548"/>
      <c r="P40" s="1442"/>
      <c r="Q40" s="1443"/>
      <c r="T40" s="1549" t="s">
        <v>840</v>
      </c>
      <c r="U40" s="1549"/>
      <c r="W40" s="378">
        <f t="shared" si="3"/>
        <v>46604</v>
      </c>
      <c r="AN40" s="401">
        <v>3128865.99</v>
      </c>
      <c r="AX40" s="111"/>
    </row>
    <row r="41" spans="1:50" ht="12.6">
      <c r="A41" s="112"/>
      <c r="B41" s="814" t="str">
        <f>'STANDARD COMP.'!B40</f>
        <v>Sample Computation for Interest rate is at 7% fixed for three (3) years only</v>
      </c>
      <c r="C41" s="402"/>
      <c r="D41" s="197"/>
      <c r="E41" s="112"/>
      <c r="F41" s="112"/>
      <c r="G41" s="112"/>
      <c r="H41" s="112"/>
      <c r="I41" s="112"/>
      <c r="J41" s="114"/>
      <c r="K41" s="1419">
        <f t="shared" si="1"/>
        <v>0</v>
      </c>
      <c r="L41" s="1419"/>
      <c r="M41" s="378" t="str">
        <f t="shared" si="2"/>
        <v/>
      </c>
      <c r="N41" s="1548">
        <f>IF(E29&gt;24,F29,0)</f>
        <v>0</v>
      </c>
      <c r="O41" s="1548"/>
      <c r="P41" s="1442"/>
      <c r="Q41" s="1443"/>
      <c r="T41" s="1549" t="s">
        <v>841</v>
      </c>
      <c r="U41" s="1549"/>
      <c r="W41" s="378">
        <f t="shared" si="3"/>
        <v>46635</v>
      </c>
      <c r="AX41" s="111"/>
    </row>
    <row r="42" spans="1:50" ht="12.6">
      <c r="A42" s="112"/>
      <c r="B42" s="273" t="s">
        <v>844</v>
      </c>
      <c r="C42" s="112"/>
      <c r="D42" s="197"/>
      <c r="E42" s="112"/>
      <c r="F42" s="112"/>
      <c r="G42" s="112"/>
      <c r="H42" s="112"/>
      <c r="I42" s="112"/>
      <c r="J42" s="203"/>
      <c r="K42" s="1419">
        <f t="shared" si="1"/>
        <v>0</v>
      </c>
      <c r="L42" s="1419"/>
      <c r="M42" s="378" t="str">
        <f t="shared" si="2"/>
        <v/>
      </c>
      <c r="N42" s="1471">
        <f>IF(E29&gt;24,F29,0)</f>
        <v>0</v>
      </c>
      <c r="O42" s="1471"/>
      <c r="P42" s="1442"/>
      <c r="Q42" s="1443"/>
      <c r="T42" s="1549" t="s">
        <v>842</v>
      </c>
      <c r="U42" s="1549"/>
      <c r="W42" s="378">
        <f t="shared" si="3"/>
        <v>46665</v>
      </c>
      <c r="AX42" s="111"/>
    </row>
    <row r="43" spans="1:50" ht="12.6">
      <c r="A43" s="112"/>
      <c r="B43" s="273" t="s">
        <v>846</v>
      </c>
      <c r="C43" s="402"/>
      <c r="D43" s="197"/>
      <c r="E43" s="112"/>
      <c r="F43" s="112"/>
      <c r="G43" s="112"/>
      <c r="H43" s="112"/>
      <c r="I43" s="112"/>
      <c r="J43" s="197"/>
      <c r="K43" s="1419">
        <f t="shared" si="1"/>
        <v>0</v>
      </c>
      <c r="L43" s="1419"/>
      <c r="M43" s="378" t="str">
        <f t="shared" si="2"/>
        <v/>
      </c>
      <c r="N43" s="1471">
        <f>IF(E29&gt;25,F29,0)</f>
        <v>0</v>
      </c>
      <c r="O43" s="1471"/>
      <c r="P43" s="1442"/>
      <c r="Q43" s="1443"/>
      <c r="T43" s="1549" t="s">
        <v>843</v>
      </c>
      <c r="U43" s="1549"/>
      <c r="W43" s="378">
        <f t="shared" si="3"/>
        <v>46696</v>
      </c>
      <c r="AX43" s="111"/>
    </row>
    <row r="44" spans="1:50" ht="12.6">
      <c r="A44" s="112"/>
      <c r="B44" s="816"/>
      <c r="C44" s="815"/>
      <c r="D44" s="796"/>
      <c r="E44" s="24"/>
      <c r="F44" s="24"/>
      <c r="G44" s="24"/>
      <c r="H44" s="24"/>
      <c r="I44" s="24"/>
      <c r="J44" s="197"/>
      <c r="K44" s="1419">
        <f t="shared" si="1"/>
        <v>0</v>
      </c>
      <c r="L44" s="1419"/>
      <c r="M44" s="378" t="str">
        <f t="shared" si="2"/>
        <v/>
      </c>
      <c r="N44" s="1471">
        <f>IF(E29&gt;26,F29,0)</f>
        <v>0</v>
      </c>
      <c r="O44" s="1471"/>
      <c r="P44" s="1442"/>
      <c r="Q44" s="1443"/>
      <c r="T44" s="1549" t="s">
        <v>845</v>
      </c>
      <c r="U44" s="1549"/>
      <c r="W44" s="378">
        <f t="shared" si="3"/>
        <v>46726</v>
      </c>
      <c r="AX44" s="111"/>
    </row>
    <row r="45" spans="1:50" ht="12.6">
      <c r="A45" s="112"/>
      <c r="B45" s="122" t="s">
        <v>849</v>
      </c>
      <c r="C45" s="384"/>
      <c r="D45" s="395"/>
      <c r="E45" s="1234"/>
      <c r="F45" s="1062"/>
      <c r="G45" s="276"/>
      <c r="H45" s="276"/>
      <c r="I45" s="276"/>
      <c r="J45" s="197"/>
      <c r="K45" s="1419">
        <f t="shared" si="1"/>
        <v>0</v>
      </c>
      <c r="L45" s="1419"/>
      <c r="M45" s="378" t="str">
        <f t="shared" si="2"/>
        <v/>
      </c>
      <c r="N45" s="1471">
        <f>IF($E$29&gt;27,$F$29,0)</f>
        <v>0</v>
      </c>
      <c r="O45" s="1471"/>
      <c r="P45" s="1442"/>
      <c r="Q45" s="1443"/>
      <c r="T45" s="1549" t="s">
        <v>847</v>
      </c>
      <c r="U45" s="1549"/>
      <c r="W45" s="378">
        <f t="shared" si="3"/>
        <v>46757</v>
      </c>
      <c r="AX45" s="111"/>
    </row>
    <row r="46" spans="1:50" ht="12.6">
      <c r="A46" s="112"/>
      <c r="B46" s="309"/>
      <c r="C46" s="395"/>
      <c r="D46" s="395"/>
      <c r="E46" s="1235"/>
      <c r="F46" s="1236"/>
      <c r="G46" s="1237"/>
      <c r="H46" s="1237"/>
      <c r="I46" s="1237"/>
      <c r="J46" s="197"/>
      <c r="K46" s="1419">
        <f t="shared" si="1"/>
        <v>0</v>
      </c>
      <c r="L46" s="1419"/>
      <c r="M46" s="378" t="str">
        <f t="shared" si="2"/>
        <v/>
      </c>
      <c r="N46" s="1471">
        <f>IF($E$29&gt;28,$F$29,0)</f>
        <v>0</v>
      </c>
      <c r="O46" s="1471"/>
      <c r="P46" s="1442"/>
      <c r="Q46" s="1443"/>
      <c r="T46" s="1549" t="s">
        <v>848</v>
      </c>
      <c r="U46" s="1549"/>
      <c r="W46" s="378">
        <f t="shared" si="3"/>
        <v>46788</v>
      </c>
      <c r="AJ46" s="111"/>
      <c r="AW46" s="111"/>
      <c r="AX46" s="111"/>
    </row>
    <row r="47" spans="1:50" ht="12.6">
      <c r="A47" s="112"/>
      <c r="B47" s="165" t="s">
        <v>852</v>
      </c>
      <c r="C47" s="165"/>
      <c r="D47" s="203" t="s">
        <v>741</v>
      </c>
      <c r="E47" s="387">
        <v>0.8</v>
      </c>
      <c r="F47" s="1474">
        <f>E47*F22</f>
        <v>3075520.6915735686</v>
      </c>
      <c r="G47" s="1475"/>
      <c r="H47" s="1475"/>
      <c r="I47" s="1476"/>
      <c r="J47" s="197"/>
      <c r="K47" s="1419">
        <f t="shared" si="1"/>
        <v>0</v>
      </c>
      <c r="L47" s="1419"/>
      <c r="M47" s="378" t="str">
        <f t="shared" si="2"/>
        <v/>
      </c>
      <c r="N47" s="1471">
        <f>IF($E$29&gt;28,$F$29,0)</f>
        <v>0</v>
      </c>
      <c r="O47" s="1471"/>
      <c r="P47" s="1442"/>
      <c r="Q47" s="1443"/>
      <c r="T47" s="1549" t="s">
        <v>850</v>
      </c>
      <c r="U47" s="1549"/>
      <c r="W47" s="378">
        <f t="shared" si="3"/>
        <v>46817</v>
      </c>
      <c r="AJ47" s="111"/>
      <c r="AW47" s="111"/>
      <c r="AX47" s="111"/>
    </row>
    <row r="48" spans="1:50" ht="15" customHeight="1">
      <c r="A48" s="112"/>
      <c r="B48" s="112"/>
      <c r="C48" s="312"/>
      <c r="D48" s="312"/>
      <c r="E48" s="1238"/>
      <c r="F48" s="278"/>
      <c r="G48" s="278"/>
      <c r="H48" s="278"/>
      <c r="I48" s="278"/>
      <c r="J48" s="197"/>
      <c r="K48" s="1419">
        <f t="shared" si="1"/>
        <v>0</v>
      </c>
      <c r="L48" s="1419"/>
      <c r="M48" s="378" t="str">
        <f t="shared" si="2"/>
        <v/>
      </c>
      <c r="N48" s="1471">
        <f>IF($E$29&gt;30,$F$29,0)</f>
        <v>0</v>
      </c>
      <c r="O48" s="1471"/>
      <c r="P48" s="1442"/>
      <c r="Q48" s="1443"/>
      <c r="T48" s="1577" t="s">
        <v>851</v>
      </c>
      <c r="U48" s="1577"/>
      <c r="W48" s="378">
        <f t="shared" si="3"/>
        <v>46848</v>
      </c>
      <c r="AJ48" s="111"/>
      <c r="AW48" s="111"/>
      <c r="AX48" s="111"/>
    </row>
    <row r="49" spans="1:50" ht="12.6">
      <c r="A49" s="112"/>
      <c r="B49" s="345" t="s">
        <v>833</v>
      </c>
      <c r="C49" s="345" t="s">
        <v>352</v>
      </c>
      <c r="D49" s="345" t="s">
        <v>834</v>
      </c>
      <c r="E49" s="345" t="s">
        <v>835</v>
      </c>
      <c r="F49" s="1434" t="s">
        <v>855</v>
      </c>
      <c r="G49" s="1434"/>
      <c r="H49" s="1434"/>
      <c r="I49" s="1434"/>
      <c r="J49" s="197"/>
      <c r="K49" s="1419">
        <f t="shared" si="1"/>
        <v>0</v>
      </c>
      <c r="L49" s="1419"/>
      <c r="M49" s="378" t="str">
        <f t="shared" si="2"/>
        <v/>
      </c>
      <c r="N49" s="1471">
        <f>IF($E$29&gt;31,$F$29,0)</f>
        <v>0</v>
      </c>
      <c r="O49" s="1471"/>
      <c r="P49" s="1442"/>
      <c r="Q49" s="1443"/>
      <c r="T49" s="1577" t="s">
        <v>853</v>
      </c>
      <c r="U49" s="1577"/>
      <c r="W49" s="378">
        <f t="shared" si="3"/>
        <v>46878</v>
      </c>
      <c r="AJ49" s="111"/>
      <c r="AW49" s="111"/>
      <c r="AX49" s="111"/>
    </row>
    <row r="50" spans="1:50" ht="15" customHeight="1">
      <c r="A50" s="112"/>
      <c r="B50" s="398">
        <v>1</v>
      </c>
      <c r="C50" s="1239">
        <v>0.12</v>
      </c>
      <c r="D50" s="399">
        <f>PMT(C50/12,B50*12,-1)</f>
        <v>8.88487886783417E-2</v>
      </c>
      <c r="E50" s="400">
        <f>$F$47*$D$50</f>
        <v>273256.28800148732</v>
      </c>
      <c r="F50" s="1441">
        <f>E50/0.33</f>
        <v>828049.35758026456</v>
      </c>
      <c r="G50" s="1441"/>
      <c r="H50" s="1441"/>
      <c r="I50" s="1441"/>
      <c r="J50" s="197"/>
      <c r="K50" s="1419">
        <f t="shared" si="1"/>
        <v>0</v>
      </c>
      <c r="L50" s="1419"/>
      <c r="M50" s="378" t="str">
        <f t="shared" si="2"/>
        <v/>
      </c>
      <c r="N50" s="1471">
        <f>IF($E$29&gt;32,$F$29,0)</f>
        <v>0</v>
      </c>
      <c r="O50" s="1471"/>
      <c r="P50" s="1442"/>
      <c r="Q50" s="1443"/>
      <c r="T50" s="1549" t="s">
        <v>854</v>
      </c>
      <c r="U50" s="1549"/>
      <c r="W50" s="378">
        <f t="shared" si="3"/>
        <v>46909</v>
      </c>
      <c r="AJ50" s="111"/>
      <c r="AW50" s="111"/>
      <c r="AX50" s="111"/>
    </row>
    <row r="51" spans="1:50" ht="12.6">
      <c r="A51" s="112"/>
      <c r="B51" s="398">
        <v>3</v>
      </c>
      <c r="C51" s="1239">
        <v>0.16</v>
      </c>
      <c r="D51" s="399">
        <f>PMT(C51/12,B51*12,-1)</f>
        <v>3.5157033036350094E-2</v>
      </c>
      <c r="E51" s="400">
        <f>$F$47*$D$51</f>
        <v>108126.18255763024</v>
      </c>
      <c r="F51" s="1441">
        <f>E51/0.33</f>
        <v>327655.09865948552</v>
      </c>
      <c r="G51" s="1441"/>
      <c r="H51" s="1441"/>
      <c r="I51" s="1441"/>
      <c r="J51" s="197"/>
      <c r="K51" s="1419">
        <f t="shared" si="1"/>
        <v>0</v>
      </c>
      <c r="L51" s="1419"/>
      <c r="M51" s="378" t="str">
        <f t="shared" si="2"/>
        <v/>
      </c>
      <c r="N51" s="1548">
        <f>IF($E$29&gt;33,$F$29,0)</f>
        <v>0</v>
      </c>
      <c r="O51" s="1548"/>
      <c r="P51" s="1442"/>
      <c r="Q51" s="1443"/>
      <c r="T51" s="1549" t="s">
        <v>856</v>
      </c>
      <c r="U51" s="1549"/>
      <c r="W51" s="378">
        <f t="shared" si="3"/>
        <v>46939</v>
      </c>
      <c r="AJ51" s="111"/>
      <c r="AW51" s="111"/>
      <c r="AX51" s="111"/>
    </row>
    <row r="52" spans="1:50" ht="15" customHeight="1">
      <c r="A52" s="112"/>
      <c r="B52" s="398">
        <v>5</v>
      </c>
      <c r="C52" s="1239">
        <v>0.18</v>
      </c>
      <c r="D52" s="399">
        <f>PMT(C52/12,B52*12,-1)</f>
        <v>2.5393427427109084E-2</v>
      </c>
      <c r="E52" s="400">
        <f>$F$47*$D$52</f>
        <v>78098.011482045753</v>
      </c>
      <c r="F52" s="1441">
        <f>E52/0.33</f>
        <v>236660.64085468408</v>
      </c>
      <c r="G52" s="1441"/>
      <c r="H52" s="1441"/>
      <c r="I52" s="1441"/>
      <c r="J52" s="197"/>
      <c r="K52" s="1419">
        <f t="shared" si="1"/>
        <v>0</v>
      </c>
      <c r="L52" s="1419"/>
      <c r="M52" s="378" t="str">
        <f t="shared" si="2"/>
        <v/>
      </c>
      <c r="N52" s="1548">
        <f>IF($E$29&gt;34,$F$29,0)</f>
        <v>0</v>
      </c>
      <c r="O52" s="1548"/>
      <c r="P52" s="1442"/>
      <c r="Q52" s="1443"/>
      <c r="T52" s="1549" t="s">
        <v>857</v>
      </c>
      <c r="U52" s="1549"/>
      <c r="W52" s="378">
        <f t="shared" si="3"/>
        <v>46970</v>
      </c>
      <c r="AJ52" s="111"/>
      <c r="AW52" s="111"/>
      <c r="AX52" s="111"/>
    </row>
    <row r="53" spans="1:50" ht="12.6">
      <c r="A53" s="112"/>
      <c r="B53" s="398">
        <v>10</v>
      </c>
      <c r="C53" s="1239">
        <v>0.2</v>
      </c>
      <c r="D53" s="399">
        <f>PMT(C53/12,B53*12,-1)</f>
        <v>1.9325567219932577E-2</v>
      </c>
      <c r="E53" s="400">
        <f>$F$47*$D$53</f>
        <v>59436.18186129853</v>
      </c>
      <c r="F53" s="1441">
        <f>E53/0.33</f>
        <v>180109.64200393492</v>
      </c>
      <c r="G53" s="1441"/>
      <c r="H53" s="1441"/>
      <c r="I53" s="1441"/>
      <c r="J53" s="197"/>
      <c r="K53" s="1419">
        <f t="shared" si="1"/>
        <v>0</v>
      </c>
      <c r="L53" s="1419"/>
      <c r="M53" s="378" t="str">
        <f t="shared" si="2"/>
        <v/>
      </c>
      <c r="N53" s="1548">
        <f>IF($E$29&gt;35,$F$29,0)</f>
        <v>0</v>
      </c>
      <c r="O53" s="1548"/>
      <c r="P53" s="1442"/>
      <c r="Q53" s="1443"/>
      <c r="T53" s="1549" t="s">
        <v>858</v>
      </c>
      <c r="U53" s="1549"/>
      <c r="W53" s="378">
        <f t="shared" si="3"/>
        <v>47001</v>
      </c>
      <c r="AJ53" s="111"/>
      <c r="AW53" s="111"/>
      <c r="AX53" s="111"/>
    </row>
    <row r="54" spans="1:50" ht="15" customHeight="1" thickBot="1">
      <c r="A54" s="112"/>
      <c r="B54" s="1240" t="s">
        <v>861</v>
      </c>
      <c r="C54" s="1241"/>
      <c r="D54" s="1241"/>
      <c r="E54" s="1241"/>
      <c r="F54" s="1241"/>
      <c r="G54" s="1241"/>
      <c r="H54" s="1241"/>
      <c r="I54" s="1241"/>
      <c r="J54" s="197"/>
      <c r="K54" s="1419">
        <f t="shared" si="1"/>
        <v>0</v>
      </c>
      <c r="L54" s="1419"/>
      <c r="M54" s="378" t="str">
        <f t="shared" si="2"/>
        <v/>
      </c>
      <c r="N54" s="1548">
        <f>IF($E$29&gt;36,$F$29,0)</f>
        <v>0</v>
      </c>
      <c r="O54" s="1548"/>
      <c r="P54" s="1442"/>
      <c r="Q54" s="1443"/>
      <c r="T54" s="1549" t="s">
        <v>859</v>
      </c>
      <c r="U54" s="1549"/>
      <c r="W54" s="378">
        <f>IF(AND(DAY(W53)&gt;=6,DAY(W53)&lt;=20),DATE(YEAR(W53),MONTH(W53)+1,DAY(20)),IF(AND(DAY(W53)&gt;=21,DAY(W53)&lt;=30),DATE(YEAR(W53),MONTH(W53)+1,IF(DAY(EOMONTH(W53,1))&lt;30,DAY(EOMONTH(W53,1)),DAY(30))),DATE(YEAR(W53),MONTH(W53)+1,DAY(5))))</f>
        <v>47031</v>
      </c>
      <c r="AJ54" s="111"/>
      <c r="AW54" s="111"/>
      <c r="AX54" s="111"/>
    </row>
    <row r="55" spans="1:50" ht="12.6">
      <c r="A55" s="112"/>
      <c r="B55" s="273"/>
      <c r="C55" s="402"/>
      <c r="D55" s="197"/>
      <c r="E55" s="112"/>
      <c r="F55" s="112"/>
      <c r="G55" s="112"/>
      <c r="H55" s="112"/>
      <c r="I55" s="112"/>
      <c r="J55" s="197"/>
      <c r="K55" s="1419">
        <f t="shared" si="1"/>
        <v>0</v>
      </c>
      <c r="L55" s="1419"/>
      <c r="M55" s="378" t="str">
        <f t="shared" si="2"/>
        <v/>
      </c>
      <c r="N55" s="1548">
        <f>IF($E$29&gt;37,$F$29,0)</f>
        <v>0</v>
      </c>
      <c r="O55" s="1548"/>
      <c r="P55" s="1442"/>
      <c r="Q55" s="1443"/>
      <c r="T55" s="1549" t="s">
        <v>860</v>
      </c>
      <c r="U55" s="1549"/>
      <c r="W55" s="378">
        <f t="shared" si="3"/>
        <v>47062</v>
      </c>
      <c r="AJ55" s="111"/>
      <c r="AW55" s="111"/>
      <c r="AX55" s="111"/>
    </row>
    <row r="56" spans="1:50" ht="15" customHeight="1">
      <c r="A56" s="112"/>
      <c r="B56" s="250"/>
      <c r="C56" s="112"/>
      <c r="D56" s="112"/>
      <c r="E56" s="112"/>
      <c r="F56" s="112"/>
      <c r="G56" s="112"/>
      <c r="H56" s="112"/>
      <c r="I56" s="112"/>
      <c r="J56" s="197"/>
      <c r="K56" s="1419">
        <f t="shared" si="1"/>
        <v>0</v>
      </c>
      <c r="L56" s="1419"/>
      <c r="M56" s="378" t="str">
        <f t="shared" si="2"/>
        <v/>
      </c>
      <c r="N56" s="1548">
        <f>IF($E$29&gt;38,$F$29,0)</f>
        <v>0</v>
      </c>
      <c r="O56" s="1548"/>
      <c r="P56" s="1442"/>
      <c r="Q56" s="1443"/>
      <c r="T56" s="1549" t="s">
        <v>862</v>
      </c>
      <c r="U56" s="1549"/>
      <c r="W56" s="378">
        <f t="shared" si="3"/>
        <v>47092</v>
      </c>
      <c r="AJ56" s="111"/>
      <c r="AW56" s="111"/>
      <c r="AX56" s="111"/>
    </row>
    <row r="57" spans="1:50" ht="12.6">
      <c r="A57" s="112"/>
      <c r="B57" s="165" t="s">
        <v>864</v>
      </c>
      <c r="C57" s="165"/>
      <c r="D57" s="312"/>
      <c r="E57" s="312"/>
      <c r="F57" s="312"/>
      <c r="G57" s="312"/>
      <c r="H57" s="312"/>
      <c r="I57" s="312"/>
      <c r="J57" s="197"/>
      <c r="K57" s="1419">
        <f t="shared" si="1"/>
        <v>0</v>
      </c>
      <c r="L57" s="1419"/>
      <c r="M57" s="378" t="str">
        <f t="shared" si="2"/>
        <v/>
      </c>
      <c r="N57" s="1548">
        <f>IF($E$29&gt;39,$F$29,0)</f>
        <v>0</v>
      </c>
      <c r="O57" s="1548"/>
      <c r="P57" s="1442"/>
      <c r="Q57" s="1443"/>
      <c r="T57" s="1549" t="s">
        <v>863</v>
      </c>
      <c r="U57" s="1549"/>
      <c r="W57" s="378">
        <f t="shared" si="3"/>
        <v>47123</v>
      </c>
      <c r="AJ57" s="111"/>
      <c r="AW57" s="111"/>
      <c r="AX57" s="111"/>
    </row>
    <row r="58" spans="1:50" ht="12.75" customHeight="1">
      <c r="A58" s="112"/>
      <c r="B58" s="312"/>
      <c r="C58" s="312"/>
      <c r="D58" s="312"/>
      <c r="E58" s="312"/>
      <c r="F58" s="312"/>
      <c r="G58" s="312"/>
      <c r="H58" s="312"/>
      <c r="I58" s="312"/>
      <c r="J58" s="197"/>
      <c r="K58" s="1419">
        <f t="shared" si="1"/>
        <v>0</v>
      </c>
      <c r="L58" s="1419"/>
      <c r="M58" s="378" t="str">
        <f t="shared" si="2"/>
        <v/>
      </c>
      <c r="N58" s="1548">
        <f>IF($E$29&gt;40,$F$29,0)</f>
        <v>0</v>
      </c>
      <c r="O58" s="1548"/>
      <c r="P58" s="1442"/>
      <c r="Q58" s="1443"/>
      <c r="T58" s="1549" t="s">
        <v>865</v>
      </c>
      <c r="U58" s="1549"/>
      <c r="W58" s="378">
        <f t="shared" si="3"/>
        <v>47154</v>
      </c>
      <c r="AJ58" s="111"/>
      <c r="AW58" s="111"/>
      <c r="AX58" s="111"/>
    </row>
    <row r="59" spans="1:50" ht="12.6">
      <c r="A59" s="112"/>
      <c r="B59" s="1434" t="s">
        <v>948</v>
      </c>
      <c r="C59" s="1434"/>
      <c r="D59" s="1434" t="s">
        <v>711</v>
      </c>
      <c r="E59" s="1434"/>
      <c r="F59" s="1434"/>
      <c r="G59" s="1434" t="s">
        <v>868</v>
      </c>
      <c r="H59" s="1434"/>
      <c r="I59" s="1434"/>
      <c r="J59" s="197"/>
      <c r="K59" s="1419">
        <f t="shared" si="1"/>
        <v>0</v>
      </c>
      <c r="L59" s="1419"/>
      <c r="M59" s="378" t="str">
        <f t="shared" si="2"/>
        <v/>
      </c>
      <c r="N59" s="1548">
        <f>IF($E$29&gt;41,$F$29,0)</f>
        <v>0</v>
      </c>
      <c r="O59" s="1548"/>
      <c r="P59" s="1442"/>
      <c r="Q59" s="1443"/>
      <c r="T59" s="1549" t="s">
        <v>867</v>
      </c>
      <c r="U59" s="1549"/>
      <c r="W59" s="378">
        <f t="shared" si="3"/>
        <v>47182</v>
      </c>
      <c r="AJ59" s="111"/>
      <c r="AW59" s="111"/>
      <c r="AX59" s="111"/>
    </row>
    <row r="60" spans="1:50" ht="12.6">
      <c r="A60" s="112"/>
      <c r="B60" s="1552">
        <f>FORM!O19</f>
        <v>0</v>
      </c>
      <c r="C60" s="1553"/>
      <c r="D60" s="1552">
        <f>FORM!S19</f>
        <v>0</v>
      </c>
      <c r="E60" s="1556"/>
      <c r="F60" s="1553"/>
      <c r="G60" s="1558">
        <f>FORM!V19</f>
        <v>0</v>
      </c>
      <c r="H60" s="1559"/>
      <c r="I60" s="1560"/>
      <c r="J60" s="197"/>
      <c r="K60" s="1419">
        <f t="shared" si="1"/>
        <v>0</v>
      </c>
      <c r="L60" s="1419"/>
      <c r="M60" s="378" t="str">
        <f t="shared" si="2"/>
        <v/>
      </c>
      <c r="N60" s="1548">
        <f>IF($E$29&gt;42,$F$29,0)</f>
        <v>0</v>
      </c>
      <c r="O60" s="1548"/>
      <c r="P60" s="1442"/>
      <c r="Q60" s="1443"/>
      <c r="T60" s="1549" t="s">
        <v>949</v>
      </c>
      <c r="U60" s="1549"/>
      <c r="W60" s="378">
        <f t="shared" si="3"/>
        <v>47213</v>
      </c>
      <c r="AJ60" s="111"/>
      <c r="AW60" s="111"/>
      <c r="AX60" s="111"/>
    </row>
    <row r="61" spans="1:50" ht="12.6">
      <c r="A61" s="112"/>
      <c r="B61" s="1554"/>
      <c r="C61" s="1555"/>
      <c r="D61" s="1554"/>
      <c r="E61" s="1557"/>
      <c r="F61" s="1555"/>
      <c r="G61" s="1561"/>
      <c r="H61" s="1562"/>
      <c r="I61" s="1563"/>
      <c r="J61" s="197"/>
      <c r="K61" s="1419" t="s">
        <v>942</v>
      </c>
      <c r="L61" s="1419"/>
      <c r="M61" s="378">
        <f>M64</f>
        <v>46482</v>
      </c>
      <c r="N61" s="1548">
        <f>F26</f>
        <v>96110.021611674019</v>
      </c>
      <c r="O61" s="1548"/>
      <c r="P61" s="1442"/>
      <c r="Q61" s="1443"/>
      <c r="T61" s="1549" t="s">
        <v>950</v>
      </c>
      <c r="U61" s="1549"/>
      <c r="W61" s="378">
        <f t="shared" si="3"/>
        <v>47243</v>
      </c>
      <c r="AJ61" s="111"/>
      <c r="AW61" s="111"/>
      <c r="AX61" s="111"/>
    </row>
    <row r="62" spans="1:50" ht="12.6" hidden="1">
      <c r="A62" s="112"/>
      <c r="B62" s="1552">
        <f>FORM!O21</f>
        <v>0</v>
      </c>
      <c r="C62" s="1553"/>
      <c r="D62" s="1552">
        <f>FORM!S21</f>
        <v>0</v>
      </c>
      <c r="E62" s="1556"/>
      <c r="F62" s="1553"/>
      <c r="G62" s="1558">
        <f>FORM!V21</f>
        <v>0</v>
      </c>
      <c r="H62" s="1559"/>
      <c r="I62" s="1560"/>
      <c r="J62" s="197"/>
      <c r="K62" s="1419">
        <f t="shared" si="1"/>
        <v>0</v>
      </c>
      <c r="L62" s="1419"/>
      <c r="M62" s="378" t="str">
        <f t="shared" si="2"/>
        <v/>
      </c>
      <c r="N62" s="1548">
        <f>IF($E$29&gt;44,$F$29,0)</f>
        <v>0</v>
      </c>
      <c r="O62" s="1548"/>
      <c r="P62" s="379"/>
      <c r="Q62" s="379"/>
      <c r="T62" s="1549" t="s">
        <v>951</v>
      </c>
      <c r="U62" s="1549"/>
      <c r="W62" s="378">
        <f>IF(AND(DAY(W61)&gt;=6,DAY(W61)&lt;=20),DATE(YEAR(W61),MONTH(W61)+1,DAY(20)),IF(AND(DAY(W61)&gt;=21,DAY(W61)&lt;=30),DATE(YEAR(W61),MONTH(W61)+1,IF(DAY(EOMONTH(W61,1))&lt;30,DAY(EOMONTH(W61,1)),DAY(30))),DATE(YEAR(W61),MONTH(W61)+1,DAY(5))))</f>
        <v>47274</v>
      </c>
      <c r="AJ62" s="111"/>
      <c r="AW62" s="111"/>
      <c r="AX62" s="111"/>
    </row>
    <row r="63" spans="1:50" ht="12.6" hidden="1">
      <c r="A63" s="112"/>
      <c r="B63" s="1554"/>
      <c r="C63" s="1555"/>
      <c r="D63" s="1554"/>
      <c r="E63" s="1557"/>
      <c r="F63" s="1555"/>
      <c r="G63" s="1561"/>
      <c r="H63" s="1562"/>
      <c r="I63" s="1563"/>
      <c r="J63" s="203"/>
      <c r="K63" s="1442">
        <f t="shared" si="1"/>
        <v>0</v>
      </c>
      <c r="L63" s="1443"/>
      <c r="M63" s="378" t="str">
        <f t="shared" si="2"/>
        <v/>
      </c>
      <c r="N63" s="1573">
        <f>IF($E$29&gt;45,$F$29,0)</f>
        <v>0</v>
      </c>
      <c r="O63" s="1574"/>
      <c r="P63" s="379"/>
      <c r="Q63" s="379"/>
      <c r="T63" s="1549" t="s">
        <v>952</v>
      </c>
      <c r="U63" s="1549"/>
      <c r="AJ63" s="111"/>
      <c r="AW63" s="111"/>
      <c r="AX63" s="111"/>
    </row>
    <row r="64" spans="1:50" ht="12.6">
      <c r="A64" s="112"/>
      <c r="B64" s="1552">
        <f>FORM!O25</f>
        <v>0</v>
      </c>
      <c r="C64" s="1553"/>
      <c r="D64" s="1552">
        <f>FORM!S25</f>
        <v>0</v>
      </c>
      <c r="E64" s="1556"/>
      <c r="F64" s="1553"/>
      <c r="G64" s="1558">
        <f>FORM!V25</f>
        <v>0</v>
      </c>
      <c r="H64" s="1559"/>
      <c r="I64" s="1560"/>
      <c r="J64" s="203"/>
      <c r="K64" s="1575" t="s">
        <v>866</v>
      </c>
      <c r="L64" s="1575"/>
      <c r="M64" s="404">
        <f>IF(DAY(W17)=31,Y19,AA19)</f>
        <v>46482</v>
      </c>
      <c r="N64" s="1576">
        <f>F31</f>
        <v>3363850.7564085904</v>
      </c>
      <c r="O64" s="1576"/>
      <c r="P64" s="1550"/>
      <c r="Q64" s="1551"/>
      <c r="AJ64" s="111"/>
      <c r="AW64" s="111"/>
      <c r="AX64" s="111"/>
    </row>
    <row r="65" spans="1:50" ht="12.6" hidden="1">
      <c r="A65" s="112"/>
      <c r="B65" s="1554"/>
      <c r="C65" s="1555"/>
      <c r="D65" s="1554"/>
      <c r="E65" s="1557"/>
      <c r="F65" s="1555"/>
      <c r="G65" s="1561"/>
      <c r="H65" s="1562"/>
      <c r="I65" s="1563"/>
      <c r="J65" s="278"/>
      <c r="K65" s="1569"/>
      <c r="L65" s="1569"/>
      <c r="M65" s="405"/>
      <c r="N65" s="1570"/>
      <c r="O65" s="1570"/>
      <c r="P65" s="406"/>
      <c r="Q65" s="114"/>
      <c r="AJ65" s="111"/>
      <c r="AW65" s="111"/>
      <c r="AX65" s="111"/>
    </row>
    <row r="66" spans="1:50" ht="12.6">
      <c r="A66" s="112"/>
      <c r="B66" s="1552">
        <f>FORM!O27</f>
        <v>0</v>
      </c>
      <c r="C66" s="1553"/>
      <c r="D66" s="1552">
        <f>FORM!S27</f>
        <v>0</v>
      </c>
      <c r="E66" s="1556"/>
      <c r="F66" s="1553"/>
      <c r="G66" s="1558">
        <f>FORM!V27</f>
        <v>0</v>
      </c>
      <c r="H66" s="1559"/>
      <c r="I66" s="1560"/>
      <c r="J66" s="278"/>
      <c r="AJ66" s="111"/>
      <c r="AW66" s="111"/>
      <c r="AX66" s="111"/>
    </row>
    <row r="67" spans="1:50" ht="12" customHeight="1">
      <c r="A67" s="112"/>
      <c r="B67" s="1554"/>
      <c r="C67" s="1555"/>
      <c r="D67" s="1554"/>
      <c r="E67" s="1557"/>
      <c r="F67" s="1555"/>
      <c r="G67" s="1561"/>
      <c r="H67" s="1562"/>
      <c r="I67" s="1563"/>
      <c r="J67" s="278"/>
      <c r="K67" s="114" t="s">
        <v>869</v>
      </c>
      <c r="L67" s="112"/>
      <c r="M67" s="112"/>
      <c r="N67" s="112"/>
      <c r="O67" s="114" t="s">
        <v>870</v>
      </c>
      <c r="P67" s="112"/>
      <c r="Q67" s="112"/>
      <c r="AJ67" s="111"/>
      <c r="AW67" s="111"/>
      <c r="AX67" s="111"/>
    </row>
    <row r="68" spans="1:50" ht="12" customHeight="1">
      <c r="A68" s="112"/>
      <c r="B68" s="1552">
        <f>FORM!O31</f>
        <v>0</v>
      </c>
      <c r="C68" s="1553"/>
      <c r="D68" s="1552">
        <f>FORM!S31</f>
        <v>0</v>
      </c>
      <c r="E68" s="1556"/>
      <c r="F68" s="1553"/>
      <c r="G68" s="1558">
        <f>FORM!V31</f>
        <v>0</v>
      </c>
      <c r="H68" s="1559"/>
      <c r="I68" s="1560"/>
      <c r="J68" s="112"/>
      <c r="K68" s="112"/>
      <c r="L68" s="112"/>
      <c r="M68" s="197"/>
      <c r="N68" s="112"/>
      <c r="O68" s="112"/>
      <c r="P68" s="112"/>
      <c r="Q68" s="112"/>
      <c r="AJ68" s="111"/>
      <c r="AW68" s="111"/>
      <c r="AX68" s="111"/>
    </row>
    <row r="69" spans="1:50" ht="12" customHeight="1">
      <c r="A69" s="112"/>
      <c r="B69" s="1554"/>
      <c r="C69" s="1555"/>
      <c r="D69" s="1554"/>
      <c r="E69" s="1557"/>
      <c r="F69" s="1555"/>
      <c r="G69" s="1561"/>
      <c r="H69" s="1562"/>
      <c r="I69" s="1563"/>
      <c r="J69" s="112"/>
      <c r="K69" s="112"/>
      <c r="L69" s="112"/>
      <c r="M69" s="197"/>
      <c r="N69" s="112"/>
      <c r="O69" s="112"/>
      <c r="P69" s="112"/>
      <c r="Q69" s="112"/>
      <c r="AJ69" s="111"/>
      <c r="AW69" s="111"/>
      <c r="AX69" s="111"/>
    </row>
    <row r="70" spans="1:50" ht="12" customHeight="1">
      <c r="A70" s="112"/>
      <c r="B70" s="1552">
        <f>FORM!O33</f>
        <v>0</v>
      </c>
      <c r="C70" s="1553"/>
      <c r="D70" s="1552">
        <f>FORM!S33</f>
        <v>0</v>
      </c>
      <c r="E70" s="1556"/>
      <c r="F70" s="1553"/>
      <c r="G70" s="1558">
        <f>FORM!V33</f>
        <v>0</v>
      </c>
      <c r="H70" s="1559"/>
      <c r="I70" s="1560"/>
      <c r="J70" s="112"/>
      <c r="K70" s="1571">
        <f>FORM!I28</f>
        <v>0</v>
      </c>
      <c r="L70" s="1571"/>
      <c r="M70" s="1571"/>
      <c r="N70" s="114"/>
      <c r="O70" s="1572">
        <f>FORM!I26</f>
        <v>0</v>
      </c>
      <c r="P70" s="1572"/>
      <c r="Q70" s="1572"/>
      <c r="AJ70" s="111"/>
      <c r="AW70" s="111"/>
      <c r="AX70" s="111"/>
    </row>
    <row r="71" spans="1:50" ht="12" customHeight="1">
      <c r="A71" s="112"/>
      <c r="B71" s="1554"/>
      <c r="C71" s="1555"/>
      <c r="D71" s="1554"/>
      <c r="E71" s="1557"/>
      <c r="F71" s="1555"/>
      <c r="G71" s="1561"/>
      <c r="H71" s="1562"/>
      <c r="I71" s="1563"/>
      <c r="J71" s="112"/>
      <c r="K71" s="126" t="s">
        <v>953</v>
      </c>
      <c r="L71" s="1565"/>
      <c r="M71" s="1565"/>
      <c r="N71" s="112"/>
      <c r="O71" s="1567" t="s">
        <v>871</v>
      </c>
      <c r="P71" s="1567"/>
      <c r="Q71" s="1567"/>
      <c r="AJ71" s="111"/>
      <c r="AW71" s="111"/>
      <c r="AX71" s="111"/>
    </row>
    <row r="72" spans="1:50" ht="12" customHeight="1">
      <c r="A72" s="112"/>
      <c r="B72" s="250"/>
      <c r="C72" s="112"/>
      <c r="D72" s="112" t="s">
        <v>757</v>
      </c>
      <c r="E72" s="112"/>
      <c r="F72" s="112"/>
      <c r="G72" s="112"/>
      <c r="H72" s="112"/>
      <c r="I72" s="112"/>
      <c r="J72" s="112"/>
      <c r="L72" s="111"/>
      <c r="AJ72" s="111"/>
      <c r="AW72" s="111"/>
      <c r="AX72" s="111"/>
    </row>
    <row r="73" spans="1:50" ht="12" customHeight="1">
      <c r="A73" s="112"/>
      <c r="C73" s="403" t="s">
        <v>954</v>
      </c>
      <c r="D73" s="1547"/>
      <c r="E73" s="1547"/>
      <c r="F73" s="1547"/>
      <c r="G73" s="112"/>
      <c r="H73" s="112"/>
      <c r="I73" s="112"/>
      <c r="J73" s="278"/>
      <c r="K73" s="235"/>
      <c r="L73" s="112"/>
      <c r="M73" s="301"/>
      <c r="N73" s="112"/>
      <c r="O73" s="112"/>
      <c r="P73" s="112"/>
      <c r="Q73" s="112"/>
      <c r="AJ73" s="111"/>
      <c r="AW73" s="111"/>
      <c r="AX73" s="111"/>
    </row>
    <row r="74" spans="1:50" ht="12" customHeight="1">
      <c r="A74" s="112"/>
      <c r="B74" s="403"/>
      <c r="C74" s="112"/>
      <c r="D74" s="13"/>
      <c r="E74" s="13"/>
      <c r="F74" s="112"/>
      <c r="G74" s="112"/>
      <c r="H74" s="112"/>
      <c r="I74" s="112"/>
      <c r="J74" s="278"/>
      <c r="K74" s="235"/>
      <c r="L74" s="112"/>
      <c r="M74" s="301"/>
      <c r="N74" s="112"/>
      <c r="O74" s="112"/>
      <c r="P74" s="112"/>
      <c r="Q74" s="112"/>
      <c r="AJ74" s="111"/>
      <c r="AW74" s="111"/>
      <c r="AX74" s="111"/>
    </row>
    <row r="75" spans="1:50" ht="12" customHeight="1">
      <c r="A75" s="112"/>
      <c r="B75" s="403"/>
      <c r="C75" s="112"/>
      <c r="D75" s="13"/>
      <c r="E75" s="13"/>
      <c r="F75" s="112"/>
      <c r="G75" s="112"/>
      <c r="H75" s="112"/>
      <c r="I75" s="112"/>
      <c r="J75" s="278"/>
      <c r="K75" s="235"/>
      <c r="L75" s="112"/>
      <c r="M75" s="301"/>
      <c r="N75" s="112"/>
      <c r="O75" s="112"/>
      <c r="P75" s="112"/>
      <c r="Q75" s="112"/>
      <c r="AJ75" s="111"/>
      <c r="AW75" s="111"/>
      <c r="AX75" s="111"/>
    </row>
    <row r="76" spans="1:50" ht="12" customHeight="1">
      <c r="A76" s="112"/>
      <c r="B76" s="403"/>
      <c r="C76" s="112"/>
      <c r="D76" s="13"/>
      <c r="E76" s="13"/>
      <c r="F76" s="112"/>
      <c r="G76" s="112"/>
      <c r="H76" s="112"/>
      <c r="I76" s="112"/>
      <c r="J76" s="278"/>
      <c r="K76" s="235"/>
      <c r="L76" s="112"/>
      <c r="M76" s="301"/>
      <c r="N76" s="112"/>
      <c r="O76" s="112"/>
      <c r="P76" s="112"/>
      <c r="Q76" s="112"/>
      <c r="AJ76" s="111"/>
      <c r="AW76" s="111"/>
      <c r="AX76" s="111"/>
    </row>
    <row r="77" spans="1:50" ht="12" customHeight="1">
      <c r="A77" s="112"/>
      <c r="B77" s="403"/>
      <c r="C77" s="112"/>
      <c r="D77" s="13"/>
      <c r="E77" s="13"/>
      <c r="F77" s="112"/>
      <c r="G77" s="112"/>
      <c r="H77" s="112"/>
      <c r="I77" s="112"/>
      <c r="J77" s="278"/>
      <c r="K77" s="235"/>
      <c r="L77" s="112"/>
      <c r="M77" s="301"/>
      <c r="N77" s="112"/>
      <c r="O77" s="112"/>
      <c r="P77" s="112"/>
      <c r="Q77" s="112"/>
      <c r="AJ77" s="111"/>
      <c r="AW77" s="111"/>
      <c r="AX77" s="111"/>
    </row>
    <row r="78" spans="1:50" ht="12" customHeight="1">
      <c r="A78" s="112"/>
      <c r="B78" s="403"/>
      <c r="C78" s="112"/>
      <c r="D78" s="13"/>
      <c r="E78" s="13"/>
      <c r="F78" s="112"/>
      <c r="G78" s="112"/>
      <c r="H78" s="112"/>
      <c r="I78" s="112"/>
      <c r="J78" s="278"/>
      <c r="K78" s="235"/>
      <c r="L78" s="112"/>
      <c r="M78" s="301"/>
      <c r="N78" s="112"/>
      <c r="O78" s="112"/>
      <c r="P78" s="112"/>
      <c r="Q78" s="112"/>
      <c r="AJ78" s="111"/>
      <c r="AW78" s="111"/>
      <c r="AX78" s="111"/>
    </row>
    <row r="79" spans="1:50" ht="12" customHeight="1">
      <c r="A79" s="112"/>
      <c r="B79" s="114" t="s">
        <v>869</v>
      </c>
      <c r="C79" s="112"/>
      <c r="D79" s="112"/>
      <c r="E79" s="112"/>
      <c r="F79" s="114" t="s">
        <v>870</v>
      </c>
      <c r="G79" s="112"/>
      <c r="H79" s="112"/>
      <c r="I79" s="112"/>
      <c r="J79" s="278"/>
      <c r="K79" s="235"/>
      <c r="L79" s="112"/>
      <c r="M79" s="301"/>
      <c r="N79" s="112"/>
      <c r="O79" s="112"/>
      <c r="P79" s="112"/>
      <c r="Q79" s="112"/>
      <c r="AJ79" s="111"/>
      <c r="AW79" s="111"/>
      <c r="AX79" s="111"/>
    </row>
    <row r="80" spans="1:50" ht="12" customHeight="1">
      <c r="A80" s="112"/>
      <c r="B80" s="112"/>
      <c r="C80" s="112"/>
      <c r="D80" s="197"/>
      <c r="E80" s="112"/>
      <c r="F80" s="112"/>
      <c r="G80" s="112"/>
      <c r="H80" s="112"/>
      <c r="I80" s="112"/>
      <c r="J80" s="278"/>
      <c r="K80" s="235"/>
      <c r="L80" s="112"/>
      <c r="M80" s="301"/>
      <c r="N80" s="112"/>
      <c r="O80" s="112"/>
      <c r="P80" s="112"/>
      <c r="Q80" s="112"/>
      <c r="AJ80" s="111"/>
      <c r="AW80" s="111"/>
      <c r="AX80" s="111"/>
    </row>
    <row r="81" spans="1:50" ht="12" customHeight="1">
      <c r="A81" s="112"/>
      <c r="B81" s="112"/>
      <c r="C81" s="112"/>
      <c r="D81" s="197"/>
      <c r="E81" s="112"/>
      <c r="F81" s="112"/>
      <c r="G81" s="112"/>
      <c r="H81" s="112"/>
      <c r="I81" s="112"/>
      <c r="J81" s="278"/>
      <c r="K81" s="235"/>
      <c r="L81" s="112"/>
      <c r="M81" s="301"/>
      <c r="N81" s="112"/>
      <c r="O81" s="112"/>
      <c r="P81" s="112"/>
      <c r="Q81" s="112"/>
      <c r="AJ81" s="111"/>
      <c r="AW81" s="111"/>
      <c r="AX81" s="111"/>
    </row>
    <row r="82" spans="1:50" ht="12" customHeight="1">
      <c r="A82" s="112"/>
      <c r="B82" s="1571">
        <f>FORM!I28</f>
        <v>0</v>
      </c>
      <c r="C82" s="1571"/>
      <c r="D82" s="1571"/>
      <c r="E82" s="114"/>
      <c r="F82" s="1571">
        <f>FORM!I26</f>
        <v>0</v>
      </c>
      <c r="G82" s="1571"/>
      <c r="H82" s="1571"/>
      <c r="I82" s="1571"/>
      <c r="J82" s="278"/>
      <c r="K82" s="235"/>
      <c r="L82" s="112"/>
      <c r="M82" s="301"/>
      <c r="N82" s="112"/>
      <c r="O82" s="112"/>
      <c r="P82" s="112"/>
      <c r="Q82" s="112"/>
      <c r="AJ82" s="111"/>
      <c r="AW82" s="111"/>
      <c r="AX82" s="111"/>
    </row>
    <row r="83" spans="1:50" ht="12" customHeight="1">
      <c r="A83" s="112"/>
      <c r="B83" s="126" t="s">
        <v>953</v>
      </c>
      <c r="C83" s="1565"/>
      <c r="D83" s="1565"/>
      <c r="E83" s="112"/>
      <c r="F83" s="1566" t="s">
        <v>871</v>
      </c>
      <c r="G83" s="1566"/>
      <c r="H83" s="1566"/>
      <c r="I83" s="277"/>
      <c r="J83" s="278"/>
      <c r="K83" s="235"/>
      <c r="L83" s="112"/>
      <c r="M83" s="301"/>
      <c r="N83" s="112"/>
      <c r="O83" s="112"/>
      <c r="P83" s="112"/>
      <c r="Q83" s="112"/>
      <c r="AJ83" s="111"/>
      <c r="AW83" s="111"/>
      <c r="AX83" s="111"/>
    </row>
    <row r="84" spans="1:50" ht="12" customHeight="1">
      <c r="A84" s="112"/>
      <c r="B84" s="250"/>
      <c r="C84" s="112"/>
      <c r="D84" s="112"/>
      <c r="E84" s="112"/>
      <c r="F84" s="112"/>
      <c r="G84" s="112"/>
      <c r="H84" s="112"/>
      <c r="I84" s="112"/>
      <c r="J84" s="278"/>
      <c r="K84" s="235"/>
      <c r="L84" s="112"/>
      <c r="M84" s="301"/>
      <c r="N84" s="112"/>
      <c r="O84" s="112"/>
      <c r="P84" s="112"/>
      <c r="Q84" s="112"/>
      <c r="AJ84" s="111"/>
      <c r="AW84" s="111"/>
      <c r="AX84" s="111"/>
    </row>
    <row r="85" spans="1:50" ht="12" customHeight="1">
      <c r="A85" s="112"/>
      <c r="B85" s="250"/>
      <c r="C85" s="112"/>
      <c r="D85" s="112"/>
      <c r="E85" s="112"/>
      <c r="F85" s="112"/>
      <c r="G85" s="112"/>
      <c r="H85" s="112"/>
      <c r="I85" s="112"/>
      <c r="J85" s="278"/>
      <c r="K85" s="235"/>
      <c r="L85" s="112"/>
      <c r="M85" s="301"/>
      <c r="N85" s="112"/>
      <c r="O85" s="112"/>
      <c r="P85" s="112"/>
      <c r="Q85" s="112"/>
      <c r="AJ85" s="111"/>
      <c r="AW85" s="111"/>
      <c r="AX85" s="111"/>
    </row>
    <row r="86" spans="1:50" ht="12" customHeight="1">
      <c r="A86" s="112"/>
      <c r="B86" s="250"/>
      <c r="C86" s="112"/>
      <c r="D86" s="112"/>
      <c r="E86" s="112"/>
      <c r="F86" s="112"/>
      <c r="G86" s="112"/>
      <c r="H86" s="112"/>
      <c r="I86" s="112"/>
      <c r="J86" s="278"/>
      <c r="K86" s="235"/>
      <c r="L86" s="112"/>
      <c r="M86" s="301"/>
      <c r="N86" s="112"/>
      <c r="O86" s="112"/>
      <c r="P86" s="112"/>
      <c r="Q86" s="112"/>
      <c r="AJ86" s="111"/>
      <c r="AW86" s="111"/>
      <c r="AX86" s="111"/>
    </row>
    <row r="87" spans="1:50" ht="12" customHeight="1">
      <c r="A87" s="112"/>
      <c r="B87" s="250"/>
      <c r="C87" s="112"/>
      <c r="D87" s="112"/>
      <c r="E87" s="112"/>
      <c r="F87" s="112"/>
      <c r="G87" s="112"/>
      <c r="H87" s="112"/>
      <c r="I87" s="112"/>
      <c r="J87" s="278"/>
      <c r="K87" s="235"/>
      <c r="L87" s="112"/>
      <c r="M87" s="301"/>
      <c r="N87" s="112"/>
      <c r="O87" s="112"/>
      <c r="P87" s="112"/>
      <c r="Q87" s="112"/>
      <c r="AJ87" s="111"/>
      <c r="AW87" s="111"/>
      <c r="AX87" s="111"/>
    </row>
    <row r="88" spans="1:50" ht="12.6">
      <c r="A88" s="112"/>
      <c r="B88" s="250"/>
      <c r="C88" s="112"/>
      <c r="D88" s="112"/>
      <c r="E88" s="112"/>
      <c r="F88" s="112"/>
      <c r="G88" s="112"/>
      <c r="H88" s="112"/>
      <c r="I88" s="112"/>
      <c r="J88" s="278"/>
      <c r="K88" s="235"/>
      <c r="L88" s="112"/>
      <c r="M88" s="301"/>
      <c r="N88" s="112"/>
      <c r="O88" s="112"/>
      <c r="P88" s="112"/>
      <c r="Q88" s="112"/>
      <c r="AJ88" s="111"/>
      <c r="AW88" s="111"/>
      <c r="AX88" s="111"/>
    </row>
    <row r="89" spans="1:50" ht="12" customHeight="1">
      <c r="A89" s="112"/>
      <c r="B89" s="250"/>
      <c r="C89" s="112"/>
      <c r="D89" s="197"/>
      <c r="E89" s="112"/>
      <c r="F89" s="112"/>
      <c r="G89" s="112"/>
      <c r="H89" s="112"/>
      <c r="I89" s="112"/>
      <c r="J89" s="278"/>
      <c r="K89" s="235"/>
      <c r="L89" s="112"/>
      <c r="M89" s="301"/>
      <c r="N89" s="112"/>
      <c r="O89" s="112"/>
      <c r="P89" s="112"/>
      <c r="Q89" s="112"/>
      <c r="AJ89" s="111"/>
      <c r="AW89" s="111"/>
      <c r="AX89" s="111"/>
    </row>
    <row r="90" spans="1:50" ht="12" customHeight="1">
      <c r="A90" s="112"/>
      <c r="B90" s="250"/>
      <c r="C90" s="112"/>
      <c r="D90" s="197"/>
      <c r="E90" s="112"/>
      <c r="F90" s="112"/>
      <c r="G90" s="112"/>
      <c r="H90" s="112"/>
      <c r="I90" s="112"/>
      <c r="J90" s="278"/>
      <c r="K90" s="235"/>
      <c r="L90" s="112"/>
      <c r="M90" s="301"/>
      <c r="N90" s="112"/>
      <c r="O90" s="112"/>
      <c r="P90" s="112"/>
      <c r="Q90" s="112"/>
      <c r="AJ90" s="111"/>
      <c r="AW90" s="111"/>
      <c r="AX90" s="111"/>
    </row>
    <row r="91" spans="1:50" ht="12" customHeight="1">
      <c r="A91" s="112"/>
      <c r="B91" s="250"/>
      <c r="C91" s="112"/>
      <c r="D91" s="197"/>
      <c r="E91" s="112"/>
      <c r="F91" s="112"/>
      <c r="G91" s="112"/>
      <c r="H91" s="112"/>
      <c r="I91" s="112"/>
      <c r="J91" s="278"/>
      <c r="K91" s="235"/>
      <c r="L91" s="112"/>
      <c r="M91" s="301"/>
      <c r="N91" s="112"/>
      <c r="O91" s="112"/>
      <c r="P91" s="112"/>
      <c r="Q91" s="112"/>
      <c r="AJ91" s="111"/>
      <c r="AW91" s="111"/>
      <c r="AX91" s="111"/>
    </row>
    <row r="92" spans="1:50" ht="12" customHeight="1">
      <c r="A92" s="112"/>
      <c r="B92" s="250"/>
      <c r="C92" s="112"/>
      <c r="D92" s="112"/>
      <c r="E92" s="112"/>
      <c r="F92" s="112"/>
      <c r="G92" s="112"/>
      <c r="H92" s="112"/>
      <c r="I92" s="112"/>
      <c r="J92" s="278"/>
      <c r="K92" s="235"/>
      <c r="L92" s="112"/>
      <c r="M92" s="301"/>
      <c r="N92" s="112"/>
      <c r="O92" s="112"/>
      <c r="P92" s="112"/>
      <c r="Q92" s="112"/>
      <c r="AJ92" s="111"/>
      <c r="AW92" s="111"/>
      <c r="AX92" s="111"/>
    </row>
    <row r="93" spans="1:50" ht="12" customHeight="1">
      <c r="A93" s="112"/>
      <c r="B93" s="250"/>
      <c r="C93" s="112"/>
      <c r="D93" s="112"/>
      <c r="E93" s="112"/>
      <c r="F93" s="112"/>
      <c r="G93" s="112"/>
      <c r="H93" s="112"/>
      <c r="I93" s="112"/>
      <c r="J93" s="278"/>
      <c r="K93" s="235"/>
      <c r="L93" s="112"/>
      <c r="M93" s="301"/>
      <c r="N93" s="112"/>
      <c r="O93" s="112"/>
      <c r="P93" s="112"/>
      <c r="Q93" s="112"/>
      <c r="AJ93" s="111"/>
      <c r="AW93" s="111"/>
      <c r="AX93" s="111"/>
    </row>
    <row r="94" spans="1:50" ht="12" customHeight="1">
      <c r="A94" s="112"/>
      <c r="B94" s="250"/>
      <c r="C94" s="112"/>
      <c r="D94" s="112"/>
      <c r="E94" s="112"/>
      <c r="F94" s="112"/>
      <c r="G94" s="112"/>
      <c r="H94" s="112"/>
      <c r="I94" s="112"/>
      <c r="J94" s="278"/>
      <c r="K94" s="235"/>
      <c r="L94" s="112"/>
      <c r="M94" s="301"/>
      <c r="N94" s="112"/>
      <c r="O94" s="112"/>
      <c r="P94" s="112"/>
      <c r="Q94" s="112"/>
      <c r="AJ94" s="111"/>
      <c r="AW94" s="111"/>
      <c r="AX94" s="111"/>
    </row>
    <row r="95" spans="1:50" ht="12" customHeight="1">
      <c r="A95" s="112"/>
      <c r="B95" s="250"/>
      <c r="C95" s="112"/>
      <c r="D95" s="112"/>
      <c r="E95" s="112"/>
      <c r="F95" s="112"/>
      <c r="G95" s="112"/>
      <c r="H95" s="112"/>
      <c r="I95" s="112"/>
      <c r="J95" s="278"/>
      <c r="K95" s="235"/>
      <c r="L95" s="112"/>
      <c r="M95" s="301"/>
      <c r="N95" s="112"/>
      <c r="O95" s="112"/>
      <c r="P95" s="112"/>
      <c r="Q95" s="112"/>
      <c r="AJ95" s="111"/>
      <c r="AW95" s="111"/>
      <c r="AX95" s="111"/>
    </row>
    <row r="96" spans="1:50" ht="12" customHeight="1">
      <c r="A96" s="112"/>
      <c r="B96" s="250"/>
      <c r="C96" s="112"/>
      <c r="D96" s="112"/>
      <c r="E96" s="112"/>
      <c r="F96" s="112"/>
      <c r="G96" s="112"/>
      <c r="H96" s="112"/>
      <c r="I96" s="112"/>
      <c r="J96" s="278"/>
      <c r="K96" s="235"/>
      <c r="L96" s="112"/>
      <c r="M96" s="301"/>
      <c r="N96" s="112"/>
      <c r="O96" s="112"/>
      <c r="P96" s="112"/>
      <c r="Q96" s="112"/>
      <c r="AJ96" s="111"/>
      <c r="AW96" s="111"/>
      <c r="AX96" s="111"/>
    </row>
    <row r="97" spans="1:50" ht="12" customHeight="1">
      <c r="A97" s="112"/>
      <c r="B97" s="250"/>
      <c r="C97" s="112"/>
      <c r="D97" s="112"/>
      <c r="E97" s="112"/>
      <c r="F97" s="112"/>
      <c r="G97" s="112"/>
      <c r="H97" s="112"/>
      <c r="I97" s="112"/>
      <c r="J97" s="278"/>
      <c r="K97" s="235"/>
      <c r="L97" s="112"/>
      <c r="M97" s="301"/>
      <c r="N97" s="112"/>
      <c r="O97" s="112"/>
      <c r="P97" s="112"/>
      <c r="Q97" s="112"/>
      <c r="AJ97" s="111"/>
      <c r="AW97" s="111"/>
      <c r="AX97" s="111"/>
    </row>
    <row r="98" spans="1:50" ht="12" customHeight="1">
      <c r="A98" s="112"/>
      <c r="B98" s="250"/>
      <c r="C98" s="112"/>
      <c r="D98" s="112"/>
      <c r="E98" s="112"/>
      <c r="F98" s="112"/>
      <c r="G98" s="112"/>
      <c r="H98" s="112"/>
      <c r="I98" s="112"/>
      <c r="J98" s="278"/>
      <c r="K98" s="235"/>
      <c r="L98" s="112"/>
      <c r="M98" s="301"/>
      <c r="N98" s="112"/>
      <c r="O98" s="112"/>
      <c r="P98" s="112"/>
      <c r="Q98" s="112"/>
      <c r="AJ98" s="111"/>
      <c r="AW98" s="111"/>
      <c r="AX98" s="111"/>
    </row>
    <row r="99" spans="1:50" ht="12" customHeight="1">
      <c r="A99" s="112"/>
      <c r="B99" s="250"/>
      <c r="C99" s="112"/>
      <c r="D99" s="112"/>
      <c r="E99" s="112"/>
      <c r="F99" s="112"/>
      <c r="G99" s="112"/>
      <c r="H99" s="112"/>
      <c r="I99" s="112"/>
      <c r="J99" s="278"/>
      <c r="K99" s="235"/>
      <c r="L99" s="112"/>
      <c r="M99" s="301"/>
      <c r="N99" s="112"/>
      <c r="O99" s="112"/>
      <c r="P99" s="112"/>
      <c r="Q99" s="112"/>
      <c r="AJ99" s="111"/>
      <c r="AW99" s="111"/>
      <c r="AX99" s="111"/>
    </row>
    <row r="100" spans="1:50" ht="12" customHeight="1">
      <c r="A100" s="112"/>
      <c r="B100" s="250"/>
      <c r="C100" s="112"/>
      <c r="D100" s="112"/>
      <c r="E100" s="112"/>
      <c r="F100" s="112"/>
      <c r="G100" s="112"/>
      <c r="H100" s="112"/>
      <c r="I100" s="112"/>
      <c r="J100" s="278"/>
      <c r="K100" s="235"/>
      <c r="L100" s="112"/>
      <c r="M100" s="301"/>
      <c r="N100" s="112"/>
      <c r="O100" s="112"/>
      <c r="P100" s="112"/>
      <c r="Q100" s="112"/>
      <c r="AJ100" s="111"/>
      <c r="AW100" s="111"/>
      <c r="AX100" s="111"/>
    </row>
    <row r="101" spans="1:50" ht="12" customHeight="1">
      <c r="A101" s="112"/>
      <c r="B101" s="250"/>
      <c r="C101" s="112"/>
      <c r="D101" s="112"/>
      <c r="E101" s="112"/>
      <c r="F101" s="112"/>
      <c r="G101" s="112"/>
      <c r="H101" s="112"/>
      <c r="I101" s="112"/>
      <c r="J101" s="278"/>
      <c r="K101" s="235"/>
      <c r="L101" s="112"/>
      <c r="M101" s="301"/>
      <c r="N101" s="112"/>
      <c r="O101" s="112"/>
      <c r="P101" s="112"/>
      <c r="Q101" s="112"/>
      <c r="AJ101" s="111"/>
      <c r="AW101" s="111"/>
      <c r="AX101" s="111"/>
    </row>
    <row r="102" spans="1:50" ht="12" customHeight="1">
      <c r="A102" s="112"/>
      <c r="B102" s="250"/>
      <c r="C102" s="112"/>
      <c r="D102" s="112"/>
      <c r="E102" s="112"/>
      <c r="F102" s="112"/>
      <c r="G102" s="112"/>
      <c r="H102" s="112"/>
      <c r="I102" s="112"/>
      <c r="J102" s="278"/>
      <c r="K102" s="235"/>
      <c r="L102" s="112"/>
      <c r="M102" s="301"/>
      <c r="N102" s="112"/>
      <c r="O102" s="112"/>
      <c r="P102" s="112"/>
      <c r="Q102" s="112"/>
      <c r="AJ102" s="111"/>
      <c r="AW102" s="111"/>
      <c r="AX102" s="111"/>
    </row>
    <row r="103" spans="1:50" ht="12" customHeight="1">
      <c r="A103" s="112"/>
      <c r="B103" s="250"/>
      <c r="C103" s="112"/>
      <c r="D103" s="112"/>
      <c r="E103" s="112"/>
      <c r="F103" s="112"/>
      <c r="G103" s="112"/>
      <c r="H103" s="112"/>
      <c r="I103" s="112"/>
      <c r="J103" s="278"/>
      <c r="K103" s="235"/>
      <c r="L103" s="112"/>
      <c r="M103" s="301"/>
      <c r="N103" s="112"/>
      <c r="O103" s="112"/>
      <c r="P103" s="112"/>
      <c r="Q103" s="112"/>
      <c r="AJ103" s="111"/>
      <c r="AW103" s="111"/>
      <c r="AX103" s="111"/>
    </row>
    <row r="104" spans="1:50" ht="12" customHeight="1">
      <c r="A104" s="112"/>
      <c r="B104" s="250"/>
      <c r="C104" s="112"/>
      <c r="D104" s="112"/>
      <c r="E104" s="112"/>
      <c r="F104" s="112"/>
      <c r="G104" s="112"/>
      <c r="H104" s="112"/>
      <c r="I104" s="112"/>
      <c r="J104" s="278"/>
      <c r="K104" s="235"/>
      <c r="L104" s="112"/>
      <c r="M104" s="301"/>
      <c r="N104" s="112"/>
      <c r="O104" s="112"/>
      <c r="P104" s="112"/>
      <c r="Q104" s="112"/>
      <c r="AJ104" s="111"/>
      <c r="AW104" s="111"/>
      <c r="AX104" s="111"/>
    </row>
    <row r="105" spans="1:50" ht="12" customHeight="1">
      <c r="A105" s="112"/>
      <c r="B105" s="250"/>
      <c r="C105" s="112"/>
      <c r="D105" s="112"/>
      <c r="E105" s="112"/>
      <c r="F105" s="112"/>
      <c r="G105" s="112"/>
      <c r="H105" s="112"/>
      <c r="I105" s="112"/>
      <c r="J105" s="278"/>
      <c r="K105" s="235"/>
      <c r="L105" s="112"/>
      <c r="M105" s="301"/>
      <c r="N105" s="112"/>
      <c r="O105" s="112"/>
      <c r="P105" s="112"/>
      <c r="Q105" s="112"/>
      <c r="AJ105" s="111"/>
      <c r="AW105" s="111"/>
      <c r="AX105" s="111"/>
    </row>
    <row r="106" spans="1:50" ht="12" customHeight="1">
      <c r="A106" s="112"/>
      <c r="B106" s="250"/>
      <c r="C106" s="112"/>
      <c r="D106" s="112"/>
      <c r="E106" s="112"/>
      <c r="F106" s="112"/>
      <c r="G106" s="112"/>
      <c r="H106" s="112"/>
      <c r="I106" s="112"/>
      <c r="J106" s="278"/>
      <c r="K106" s="235"/>
      <c r="L106" s="112"/>
      <c r="M106" s="301"/>
      <c r="N106" s="112"/>
      <c r="O106" s="112"/>
      <c r="P106" s="112"/>
      <c r="Q106" s="112"/>
      <c r="AJ106" s="111"/>
      <c r="AW106" s="111"/>
      <c r="AX106" s="111"/>
    </row>
    <row r="107" spans="1:50" ht="12" customHeight="1">
      <c r="A107" s="112"/>
      <c r="B107" s="250"/>
      <c r="C107" s="112"/>
      <c r="D107" s="112"/>
      <c r="E107" s="112"/>
      <c r="F107" s="112"/>
      <c r="G107" s="112"/>
      <c r="H107" s="112"/>
      <c r="I107" s="112"/>
      <c r="J107" s="278"/>
      <c r="K107" s="235"/>
      <c r="L107" s="112"/>
      <c r="M107" s="301"/>
      <c r="N107" s="112"/>
      <c r="O107" s="112"/>
      <c r="P107" s="112"/>
      <c r="Q107" s="112"/>
      <c r="AJ107" s="111"/>
      <c r="AW107" s="111"/>
      <c r="AX107" s="111"/>
    </row>
    <row r="108" spans="1:50" ht="12" customHeight="1">
      <c r="A108" s="112"/>
      <c r="B108" s="250"/>
      <c r="C108" s="112"/>
      <c r="D108" s="112"/>
      <c r="E108" s="112"/>
      <c r="F108" s="112"/>
      <c r="G108" s="112"/>
      <c r="H108" s="112"/>
      <c r="I108" s="112"/>
      <c r="J108" s="278"/>
      <c r="K108" s="235"/>
      <c r="L108" s="112"/>
      <c r="M108" s="301"/>
      <c r="N108" s="112"/>
      <c r="O108" s="112"/>
      <c r="P108" s="112"/>
      <c r="Q108" s="112"/>
      <c r="AJ108" s="111"/>
      <c r="AW108" s="111"/>
      <c r="AX108" s="111"/>
    </row>
    <row r="109" spans="1:50" ht="12" customHeight="1">
      <c r="A109" s="112"/>
      <c r="B109" s="250"/>
      <c r="C109" s="112"/>
      <c r="D109" s="112"/>
      <c r="E109" s="112"/>
      <c r="F109" s="112"/>
      <c r="G109" s="112"/>
      <c r="H109" s="112"/>
      <c r="I109" s="112"/>
      <c r="J109" s="278"/>
      <c r="K109" s="235"/>
      <c r="L109" s="112"/>
      <c r="M109" s="301"/>
      <c r="N109" s="112"/>
      <c r="O109" s="112"/>
      <c r="P109" s="112"/>
      <c r="Q109" s="112"/>
      <c r="AJ109" s="111"/>
      <c r="AW109" s="111"/>
      <c r="AX109" s="111"/>
    </row>
    <row r="110" spans="1:50" ht="12" customHeight="1">
      <c r="A110" s="112"/>
      <c r="B110" s="250"/>
      <c r="C110" s="112"/>
      <c r="D110" s="112"/>
      <c r="E110" s="112"/>
      <c r="F110" s="112"/>
      <c r="G110" s="112"/>
      <c r="H110" s="112"/>
      <c r="I110" s="112"/>
      <c r="J110" s="278"/>
      <c r="K110" s="235"/>
      <c r="L110" s="112"/>
      <c r="M110" s="301"/>
      <c r="N110" s="112"/>
      <c r="O110" s="112"/>
      <c r="P110" s="112"/>
      <c r="Q110" s="112"/>
      <c r="AJ110" s="111"/>
      <c r="AW110" s="111"/>
      <c r="AX110" s="111"/>
    </row>
    <row r="111" spans="1:50" ht="12" customHeight="1">
      <c r="A111" s="112"/>
      <c r="B111" s="250"/>
      <c r="C111" s="112"/>
      <c r="D111" s="112"/>
      <c r="E111" s="112"/>
      <c r="F111" s="112"/>
      <c r="G111" s="112"/>
      <c r="H111" s="112"/>
      <c r="I111" s="112"/>
      <c r="J111" s="278"/>
      <c r="K111" s="235"/>
      <c r="L111" s="112"/>
      <c r="M111" s="301"/>
      <c r="N111" s="112"/>
      <c r="O111" s="112"/>
      <c r="P111" s="112"/>
      <c r="Q111" s="112"/>
      <c r="AJ111" s="111"/>
      <c r="AW111" s="111"/>
      <c r="AX111" s="111"/>
    </row>
    <row r="112" spans="1:50" ht="12" customHeight="1">
      <c r="A112" s="112"/>
      <c r="B112" s="250"/>
      <c r="C112" s="112"/>
      <c r="D112" s="112"/>
      <c r="E112" s="112"/>
      <c r="F112" s="112"/>
      <c r="G112" s="112"/>
      <c r="H112" s="112"/>
      <c r="I112" s="112"/>
      <c r="J112" s="278"/>
      <c r="K112" s="235"/>
      <c r="L112" s="112"/>
      <c r="M112" s="301"/>
      <c r="N112" s="112"/>
      <c r="O112" s="112"/>
      <c r="P112" s="112"/>
      <c r="Q112" s="112"/>
      <c r="AJ112" s="111"/>
      <c r="AW112" s="111"/>
      <c r="AX112" s="111"/>
    </row>
    <row r="113" spans="1:50" ht="12" customHeight="1">
      <c r="A113" s="112"/>
      <c r="B113" s="250"/>
      <c r="C113" s="112"/>
      <c r="D113" s="112"/>
      <c r="E113" s="112"/>
      <c r="F113" s="112"/>
      <c r="G113" s="112"/>
      <c r="H113" s="112"/>
      <c r="I113" s="112"/>
      <c r="J113" s="278"/>
      <c r="K113" s="235"/>
      <c r="L113" s="112"/>
      <c r="M113" s="301"/>
      <c r="N113" s="112"/>
      <c r="O113" s="112"/>
      <c r="P113" s="112"/>
      <c r="Q113" s="112"/>
      <c r="AJ113" s="111"/>
      <c r="AW113" s="111"/>
      <c r="AX113" s="111"/>
    </row>
    <row r="114" spans="1:50" ht="12" customHeight="1">
      <c r="A114" s="112"/>
      <c r="B114" s="250"/>
      <c r="C114" s="112"/>
      <c r="D114" s="112"/>
      <c r="E114" s="112"/>
      <c r="F114" s="112"/>
      <c r="G114" s="112"/>
      <c r="H114" s="112"/>
      <c r="I114" s="112"/>
      <c r="J114" s="278"/>
      <c r="K114" s="235"/>
      <c r="L114" s="112"/>
      <c r="M114" s="301"/>
      <c r="N114" s="112"/>
      <c r="O114" s="112"/>
      <c r="P114" s="112"/>
      <c r="Q114" s="112"/>
      <c r="AJ114" s="111"/>
      <c r="AW114" s="111"/>
      <c r="AX114" s="111"/>
    </row>
    <row r="115" spans="1:50" ht="12" customHeight="1">
      <c r="A115" s="112"/>
      <c r="B115" s="250"/>
      <c r="C115" s="112"/>
      <c r="D115" s="112"/>
      <c r="E115" s="112"/>
      <c r="F115" s="112"/>
      <c r="G115" s="112"/>
      <c r="H115" s="112"/>
      <c r="I115" s="112"/>
      <c r="J115" s="278"/>
      <c r="K115" s="235"/>
      <c r="L115" s="112"/>
      <c r="M115" s="301"/>
      <c r="N115" s="112"/>
      <c r="O115" s="112"/>
      <c r="P115" s="112"/>
      <c r="Q115" s="112"/>
      <c r="AJ115" s="111"/>
      <c r="AW115" s="111"/>
      <c r="AX115" s="111"/>
    </row>
    <row r="116" spans="1:50" ht="12" customHeight="1">
      <c r="A116" s="112"/>
      <c r="B116" s="250"/>
      <c r="C116" s="112"/>
      <c r="D116" s="112"/>
      <c r="E116" s="112"/>
      <c r="F116" s="112"/>
      <c r="G116" s="112"/>
      <c r="H116" s="112"/>
      <c r="I116" s="112"/>
      <c r="J116" s="278"/>
      <c r="K116" s="235"/>
      <c r="L116" s="112"/>
      <c r="M116" s="301"/>
      <c r="N116" s="112"/>
      <c r="O116" s="112"/>
      <c r="P116" s="112"/>
      <c r="Q116" s="112"/>
      <c r="AJ116" s="111"/>
      <c r="AW116" s="111"/>
      <c r="AX116" s="111"/>
    </row>
    <row r="117" spans="1:50" ht="12" customHeight="1">
      <c r="A117" s="112"/>
      <c r="B117" s="250"/>
      <c r="C117" s="112"/>
      <c r="D117" s="112"/>
      <c r="E117" s="112"/>
      <c r="F117" s="112"/>
      <c r="G117" s="112"/>
      <c r="H117" s="112"/>
      <c r="I117" s="112"/>
      <c r="J117" s="278"/>
      <c r="K117" s="235"/>
      <c r="L117" s="112"/>
      <c r="M117" s="301"/>
      <c r="N117" s="112"/>
      <c r="O117" s="112"/>
      <c r="P117" s="112"/>
      <c r="Q117" s="112"/>
      <c r="AJ117" s="111"/>
      <c r="AW117" s="111"/>
      <c r="AX117" s="111"/>
    </row>
    <row r="118" spans="1:50" ht="12" customHeight="1">
      <c r="A118" s="112"/>
      <c r="B118" s="250"/>
      <c r="C118" s="112"/>
      <c r="D118" s="112"/>
      <c r="E118" s="112"/>
      <c r="F118" s="112"/>
      <c r="G118" s="112"/>
      <c r="H118" s="112"/>
      <c r="I118" s="112"/>
      <c r="J118" s="278"/>
      <c r="K118" s="235"/>
      <c r="L118" s="112"/>
      <c r="M118" s="301"/>
      <c r="N118" s="112"/>
      <c r="O118" s="112"/>
      <c r="P118" s="112"/>
      <c r="Q118" s="112"/>
      <c r="AJ118" s="111"/>
      <c r="AW118" s="111"/>
      <c r="AX118" s="111"/>
    </row>
    <row r="119" spans="1:50" ht="12" customHeight="1">
      <c r="A119" s="112"/>
      <c r="B119" s="250"/>
      <c r="C119" s="112"/>
      <c r="D119" s="112"/>
      <c r="E119" s="112"/>
      <c r="F119" s="112"/>
      <c r="G119" s="112"/>
      <c r="H119" s="112"/>
      <c r="I119" s="112"/>
      <c r="J119" s="278"/>
      <c r="K119" s="235"/>
      <c r="L119" s="112"/>
      <c r="M119" s="301"/>
      <c r="N119" s="112"/>
      <c r="O119" s="112"/>
      <c r="P119" s="112"/>
      <c r="Q119" s="112"/>
      <c r="AJ119" s="111"/>
      <c r="AW119" s="111"/>
      <c r="AX119" s="111"/>
    </row>
    <row r="120" spans="1:50" ht="12" customHeight="1">
      <c r="A120" s="112"/>
      <c r="B120" s="250"/>
      <c r="C120" s="112"/>
      <c r="D120" s="112"/>
      <c r="E120" s="112"/>
      <c r="F120" s="112"/>
      <c r="G120" s="112"/>
      <c r="H120" s="112"/>
      <c r="I120" s="112"/>
      <c r="J120" s="278"/>
      <c r="K120" s="235"/>
      <c r="L120" s="112"/>
      <c r="M120" s="301"/>
      <c r="N120" s="112"/>
      <c r="O120" s="112"/>
      <c r="P120" s="112"/>
      <c r="Q120" s="112"/>
      <c r="AJ120" s="111"/>
      <c r="AW120" s="111"/>
      <c r="AX120" s="111"/>
    </row>
    <row r="121" spans="1:50" ht="12" customHeight="1">
      <c r="A121" s="112"/>
      <c r="B121" s="250"/>
      <c r="C121" s="112"/>
      <c r="D121" s="112"/>
      <c r="E121" s="112"/>
      <c r="F121" s="112"/>
      <c r="G121" s="112"/>
      <c r="H121" s="112"/>
      <c r="I121" s="112"/>
      <c r="J121" s="278"/>
      <c r="K121" s="235"/>
      <c r="L121" s="112"/>
      <c r="M121" s="301"/>
      <c r="N121" s="112"/>
      <c r="O121" s="112"/>
      <c r="P121" s="112"/>
      <c r="Q121" s="112"/>
      <c r="AJ121" s="111"/>
      <c r="AW121" s="111"/>
      <c r="AX121" s="111"/>
    </row>
    <row r="122" spans="1:50" ht="12" customHeight="1">
      <c r="A122" s="112"/>
      <c r="B122" s="250"/>
      <c r="C122" s="112"/>
      <c r="D122" s="112"/>
      <c r="E122" s="112"/>
      <c r="F122" s="112"/>
      <c r="G122" s="112"/>
      <c r="H122" s="112"/>
      <c r="I122" s="112"/>
      <c r="J122" s="278"/>
      <c r="K122" s="235"/>
      <c r="L122" s="112"/>
      <c r="M122" s="301"/>
      <c r="N122" s="112"/>
      <c r="O122" s="112"/>
      <c r="P122" s="112"/>
      <c r="Q122" s="112"/>
      <c r="AJ122" s="111"/>
      <c r="AW122" s="111"/>
      <c r="AX122" s="111"/>
    </row>
    <row r="123" spans="1:50" ht="12" customHeight="1">
      <c r="A123" s="112"/>
      <c r="B123" s="250"/>
      <c r="C123" s="112"/>
      <c r="D123" s="112"/>
      <c r="E123" s="112"/>
      <c r="F123" s="112"/>
      <c r="G123" s="112"/>
      <c r="H123" s="112"/>
      <c r="I123" s="112"/>
      <c r="J123" s="278"/>
      <c r="K123" s="235"/>
      <c r="L123" s="112"/>
      <c r="M123" s="301"/>
      <c r="N123" s="112"/>
      <c r="O123" s="112"/>
      <c r="P123" s="112"/>
      <c r="Q123" s="112"/>
      <c r="AJ123" s="111"/>
      <c r="AW123" s="111"/>
      <c r="AX123" s="111"/>
    </row>
    <row r="124" spans="1:50" ht="12" customHeight="1">
      <c r="A124" s="112"/>
      <c r="B124" s="250"/>
      <c r="C124" s="112"/>
      <c r="D124" s="112"/>
      <c r="E124" s="112"/>
      <c r="F124" s="112"/>
      <c r="G124" s="112"/>
      <c r="H124" s="112"/>
      <c r="I124" s="112"/>
      <c r="J124" s="278"/>
      <c r="K124" s="235"/>
      <c r="L124" s="112"/>
      <c r="M124" s="301"/>
      <c r="N124" s="112"/>
      <c r="O124" s="112"/>
      <c r="P124" s="112"/>
      <c r="Q124" s="112"/>
      <c r="AJ124" s="111"/>
      <c r="AW124" s="111"/>
      <c r="AX124" s="111"/>
    </row>
    <row r="125" spans="1:50" ht="12" customHeight="1">
      <c r="A125" s="112"/>
      <c r="B125" s="250"/>
      <c r="C125" s="112"/>
      <c r="D125" s="112"/>
      <c r="E125" s="112"/>
      <c r="F125" s="112"/>
      <c r="G125" s="112"/>
      <c r="H125" s="112"/>
      <c r="I125" s="112"/>
      <c r="J125" s="278"/>
      <c r="K125" s="235"/>
      <c r="L125" s="112"/>
      <c r="M125" s="301"/>
      <c r="N125" s="112"/>
      <c r="O125" s="112"/>
      <c r="P125" s="112"/>
      <c r="Q125" s="112"/>
      <c r="AJ125" s="111"/>
      <c r="AW125" s="111"/>
      <c r="AX125" s="111"/>
    </row>
    <row r="126" spans="1:50" ht="12" customHeight="1">
      <c r="A126" s="112"/>
      <c r="B126" s="250"/>
      <c r="C126" s="112"/>
      <c r="D126" s="112"/>
      <c r="E126" s="112"/>
      <c r="F126" s="112"/>
      <c r="G126" s="112"/>
      <c r="H126" s="112"/>
      <c r="I126" s="112"/>
      <c r="J126" s="278"/>
      <c r="K126" s="235"/>
      <c r="L126" s="112"/>
      <c r="M126" s="301"/>
      <c r="N126" s="112"/>
      <c r="O126" s="112"/>
      <c r="P126" s="112"/>
      <c r="Q126" s="112"/>
      <c r="AJ126" s="111"/>
      <c r="AW126" s="111"/>
      <c r="AX126" s="111"/>
    </row>
    <row r="127" spans="1:50" ht="12" customHeight="1">
      <c r="A127" s="112"/>
      <c r="B127" s="250"/>
      <c r="C127" s="112"/>
      <c r="D127" s="112"/>
      <c r="E127" s="112"/>
      <c r="F127" s="112"/>
      <c r="G127" s="112"/>
      <c r="H127" s="112"/>
      <c r="I127" s="112"/>
      <c r="J127" s="278"/>
      <c r="K127" s="235"/>
      <c r="L127" s="112"/>
      <c r="M127" s="301"/>
      <c r="N127" s="112"/>
      <c r="O127" s="112"/>
      <c r="P127" s="112"/>
      <c r="Q127" s="112"/>
      <c r="AJ127" s="111"/>
      <c r="AW127" s="111"/>
      <c r="AX127" s="111"/>
    </row>
    <row r="128" spans="1:50" ht="12" customHeight="1">
      <c r="A128" s="112"/>
      <c r="B128" s="250"/>
      <c r="C128" s="112"/>
      <c r="D128" s="112"/>
      <c r="E128" s="112"/>
      <c r="F128" s="112"/>
      <c r="G128" s="112"/>
      <c r="H128" s="112"/>
      <c r="I128" s="112"/>
      <c r="J128" s="278"/>
      <c r="K128" s="235"/>
      <c r="L128" s="112"/>
      <c r="M128" s="301"/>
      <c r="N128" s="112"/>
      <c r="O128" s="112"/>
      <c r="P128" s="112"/>
      <c r="Q128" s="112"/>
      <c r="AJ128" s="111"/>
      <c r="AW128" s="111"/>
      <c r="AX128" s="111"/>
    </row>
    <row r="129" spans="1:50" ht="12" customHeight="1">
      <c r="A129" s="112"/>
      <c r="B129" s="250"/>
      <c r="C129" s="112"/>
      <c r="D129" s="112"/>
      <c r="E129" s="112"/>
      <c r="F129" s="112"/>
      <c r="G129" s="112"/>
      <c r="H129" s="112"/>
      <c r="I129" s="112"/>
      <c r="J129" s="278"/>
      <c r="K129" s="235"/>
      <c r="L129" s="112"/>
      <c r="M129" s="301"/>
      <c r="N129" s="112"/>
      <c r="O129" s="112"/>
      <c r="P129" s="112"/>
      <c r="Q129" s="112"/>
      <c r="AJ129" s="111"/>
      <c r="AW129" s="111"/>
      <c r="AX129" s="111"/>
    </row>
    <row r="130" spans="1:50" ht="12" customHeight="1">
      <c r="A130" s="112"/>
      <c r="B130" s="250"/>
      <c r="C130" s="112"/>
      <c r="D130" s="112"/>
      <c r="E130" s="112"/>
      <c r="F130" s="112"/>
      <c r="G130" s="112"/>
      <c r="H130" s="112"/>
      <c r="I130" s="112"/>
      <c r="J130" s="278"/>
      <c r="K130" s="235"/>
      <c r="L130" s="112"/>
      <c r="M130" s="301"/>
      <c r="N130" s="112"/>
      <c r="O130" s="112"/>
      <c r="P130" s="112"/>
      <c r="Q130" s="112"/>
      <c r="AJ130" s="111"/>
      <c r="AW130" s="111"/>
      <c r="AX130" s="111"/>
    </row>
    <row r="131" spans="1:50" ht="12" customHeight="1">
      <c r="A131" s="112"/>
      <c r="B131" s="250"/>
      <c r="C131" s="112"/>
      <c r="D131" s="112"/>
      <c r="E131" s="112"/>
      <c r="F131" s="112"/>
      <c r="G131" s="112"/>
      <c r="H131" s="112"/>
      <c r="I131" s="112"/>
      <c r="J131" s="278"/>
      <c r="K131" s="235"/>
      <c r="L131" s="112"/>
      <c r="M131" s="301"/>
      <c r="N131" s="112"/>
      <c r="O131" s="112"/>
      <c r="P131" s="112"/>
      <c r="Q131" s="112"/>
      <c r="AJ131" s="111"/>
      <c r="AW131" s="111"/>
      <c r="AX131" s="111"/>
    </row>
    <row r="132" spans="1:50" ht="12" customHeight="1">
      <c r="A132" s="112"/>
      <c r="B132" s="250"/>
      <c r="C132" s="112"/>
      <c r="D132" s="112"/>
      <c r="E132" s="112"/>
      <c r="F132" s="112"/>
      <c r="G132" s="112"/>
      <c r="H132" s="112"/>
      <c r="I132" s="112"/>
      <c r="J132" s="278"/>
      <c r="K132" s="235"/>
      <c r="L132" s="112"/>
      <c r="M132" s="301"/>
      <c r="N132" s="112"/>
      <c r="O132" s="112"/>
      <c r="P132" s="112"/>
      <c r="Q132" s="112"/>
      <c r="AJ132" s="111"/>
      <c r="AW132" s="111"/>
      <c r="AX132" s="111"/>
    </row>
    <row r="133" spans="1:50" ht="12" customHeight="1">
      <c r="A133" s="112"/>
      <c r="B133" s="250"/>
      <c r="C133" s="112"/>
      <c r="D133" s="112"/>
      <c r="E133" s="112"/>
      <c r="F133" s="112"/>
      <c r="G133" s="112"/>
      <c r="H133" s="112"/>
      <c r="I133" s="112"/>
      <c r="J133" s="278"/>
      <c r="K133" s="235"/>
      <c r="L133" s="112"/>
      <c r="M133" s="301"/>
      <c r="N133" s="112"/>
      <c r="O133" s="112"/>
      <c r="P133" s="112"/>
      <c r="Q133" s="112"/>
      <c r="AJ133" s="111"/>
      <c r="AW133" s="111"/>
      <c r="AX133" s="111"/>
    </row>
    <row r="134" spans="1:50" ht="12" customHeight="1">
      <c r="A134" s="112"/>
      <c r="B134" s="250"/>
      <c r="C134" s="112"/>
      <c r="D134" s="112"/>
      <c r="E134" s="112"/>
      <c r="F134" s="112"/>
      <c r="G134" s="112"/>
      <c r="H134" s="112"/>
      <c r="I134" s="112"/>
      <c r="J134" s="278"/>
      <c r="K134" s="235"/>
      <c r="L134" s="112"/>
      <c r="M134" s="301"/>
      <c r="N134" s="112"/>
      <c r="O134" s="112"/>
      <c r="P134" s="112"/>
      <c r="Q134" s="112"/>
      <c r="AJ134" s="111"/>
      <c r="AW134" s="111"/>
      <c r="AX134" s="111"/>
    </row>
    <row r="135" spans="1:50" ht="12" customHeight="1">
      <c r="A135" s="112"/>
      <c r="B135" s="250"/>
      <c r="C135" s="112"/>
      <c r="D135" s="112"/>
      <c r="E135" s="112"/>
      <c r="F135" s="112"/>
      <c r="G135" s="112"/>
      <c r="H135" s="112"/>
      <c r="I135" s="112"/>
      <c r="J135" s="278"/>
      <c r="K135" s="235"/>
      <c r="L135" s="112"/>
      <c r="M135" s="301"/>
      <c r="N135" s="112"/>
      <c r="O135" s="112"/>
      <c r="P135" s="112"/>
      <c r="Q135" s="112"/>
      <c r="AJ135" s="111"/>
      <c r="AW135" s="111"/>
      <c r="AX135" s="111"/>
    </row>
    <row r="136" spans="1:50" ht="12" customHeight="1">
      <c r="A136" s="112"/>
      <c r="B136" s="250"/>
      <c r="C136" s="112"/>
      <c r="D136" s="112"/>
      <c r="E136" s="112"/>
      <c r="F136" s="112"/>
      <c r="G136" s="112"/>
      <c r="H136" s="112"/>
      <c r="I136" s="112"/>
      <c r="J136" s="278"/>
      <c r="K136" s="235"/>
      <c r="L136" s="112"/>
      <c r="M136" s="301"/>
      <c r="N136" s="112"/>
      <c r="O136" s="112"/>
      <c r="P136" s="112"/>
      <c r="Q136" s="112"/>
      <c r="AJ136" s="111"/>
      <c r="AW136" s="111"/>
      <c r="AX136" s="111"/>
    </row>
    <row r="137" spans="1:50" ht="12" customHeight="1">
      <c r="A137" s="112"/>
      <c r="B137" s="250"/>
      <c r="C137" s="112"/>
      <c r="D137" s="112"/>
      <c r="E137" s="112"/>
      <c r="F137" s="112"/>
      <c r="G137" s="112"/>
      <c r="H137" s="112"/>
      <c r="I137" s="112"/>
      <c r="J137" s="278"/>
      <c r="K137" s="235"/>
      <c r="L137" s="112"/>
      <c r="M137" s="301"/>
      <c r="N137" s="112"/>
      <c r="O137" s="112"/>
      <c r="P137" s="112"/>
      <c r="Q137" s="112"/>
      <c r="AJ137" s="111"/>
      <c r="AW137" s="111"/>
      <c r="AX137" s="111"/>
    </row>
    <row r="138" spans="1:50" ht="12" customHeight="1">
      <c r="A138" s="112"/>
      <c r="B138" s="250"/>
      <c r="C138" s="112"/>
      <c r="D138" s="112"/>
      <c r="E138" s="112"/>
      <c r="F138" s="112"/>
      <c r="G138" s="112"/>
      <c r="H138" s="112"/>
      <c r="I138" s="112"/>
      <c r="J138" s="278"/>
      <c r="K138" s="235"/>
      <c r="L138" s="112"/>
      <c r="M138" s="301"/>
      <c r="N138" s="112"/>
      <c r="O138" s="112"/>
      <c r="P138" s="112"/>
      <c r="Q138" s="112"/>
      <c r="AJ138" s="111"/>
      <c r="AW138" s="111"/>
      <c r="AX138" s="111"/>
    </row>
    <row r="139" spans="1:50" ht="12" customHeight="1">
      <c r="A139" s="112"/>
      <c r="B139" s="250"/>
      <c r="C139" s="112"/>
      <c r="D139" s="112"/>
      <c r="E139" s="112"/>
      <c r="F139" s="112"/>
      <c r="G139" s="112"/>
      <c r="H139" s="112"/>
      <c r="I139" s="112"/>
      <c r="J139" s="278"/>
      <c r="K139" s="235"/>
      <c r="L139" s="112"/>
      <c r="M139" s="301"/>
      <c r="N139" s="112"/>
      <c r="O139" s="112"/>
      <c r="P139" s="112"/>
      <c r="Q139" s="112"/>
      <c r="AJ139" s="111"/>
      <c r="AW139" s="111"/>
      <c r="AX139" s="111"/>
    </row>
    <row r="140" spans="1:50" ht="12" customHeight="1">
      <c r="A140" s="112"/>
      <c r="B140" s="250"/>
      <c r="C140" s="112"/>
      <c r="D140" s="112"/>
      <c r="E140" s="112"/>
      <c r="F140" s="112"/>
      <c r="G140" s="112"/>
      <c r="H140" s="112"/>
      <c r="I140" s="112"/>
      <c r="J140" s="278"/>
      <c r="K140" s="235"/>
      <c r="L140" s="112"/>
      <c r="M140" s="301"/>
      <c r="N140" s="112"/>
      <c r="O140" s="112"/>
      <c r="P140" s="112"/>
      <c r="Q140" s="112"/>
      <c r="AJ140" s="111"/>
      <c r="AW140" s="111"/>
      <c r="AX140" s="111"/>
    </row>
    <row r="141" spans="1:50" ht="12" customHeight="1">
      <c r="A141" s="112"/>
      <c r="B141" s="250"/>
      <c r="C141" s="112"/>
      <c r="D141" s="112"/>
      <c r="E141" s="112"/>
      <c r="F141" s="112"/>
      <c r="G141" s="112"/>
      <c r="H141" s="112"/>
      <c r="I141" s="112"/>
      <c r="J141" s="278"/>
      <c r="K141" s="235"/>
      <c r="L141" s="112"/>
      <c r="M141" s="301"/>
      <c r="N141" s="112"/>
      <c r="O141" s="112"/>
      <c r="P141" s="112"/>
      <c r="Q141" s="112"/>
      <c r="AJ141" s="111"/>
      <c r="AW141" s="111"/>
      <c r="AX141" s="111"/>
    </row>
    <row r="142" spans="1:50" ht="12" customHeight="1">
      <c r="A142" s="112"/>
      <c r="B142" s="250"/>
      <c r="C142" s="112"/>
      <c r="D142" s="112"/>
      <c r="E142" s="112"/>
      <c r="F142" s="112"/>
      <c r="G142" s="112"/>
      <c r="H142" s="112"/>
      <c r="I142" s="112"/>
      <c r="J142" s="278"/>
      <c r="K142" s="235"/>
      <c r="L142" s="112"/>
      <c r="M142" s="301"/>
      <c r="N142" s="112"/>
      <c r="O142" s="112"/>
      <c r="P142" s="112"/>
      <c r="Q142" s="112"/>
      <c r="AJ142" s="111"/>
      <c r="AW142" s="111"/>
      <c r="AX142" s="111"/>
    </row>
    <row r="143" spans="1:50" ht="12" customHeight="1">
      <c r="A143" s="112"/>
      <c r="B143" s="250"/>
      <c r="C143" s="112"/>
      <c r="D143" s="112"/>
      <c r="E143" s="112"/>
      <c r="F143" s="112"/>
      <c r="G143" s="112"/>
      <c r="H143" s="112"/>
      <c r="I143" s="112"/>
      <c r="J143" s="278"/>
      <c r="K143" s="235"/>
      <c r="L143" s="112"/>
      <c r="M143" s="301"/>
      <c r="N143" s="112"/>
      <c r="O143" s="112"/>
      <c r="P143" s="112"/>
      <c r="Q143" s="112"/>
      <c r="AJ143" s="111"/>
      <c r="AW143" s="111"/>
      <c r="AX143" s="111"/>
    </row>
    <row r="144" spans="1:50" ht="12" customHeight="1">
      <c r="A144" s="112"/>
      <c r="B144" s="250"/>
      <c r="C144" s="112"/>
      <c r="D144" s="112"/>
      <c r="E144" s="112"/>
      <c r="F144" s="112"/>
      <c r="G144" s="112"/>
      <c r="H144" s="112"/>
      <c r="I144" s="112"/>
      <c r="J144" s="278"/>
      <c r="K144" s="235"/>
      <c r="L144" s="112"/>
      <c r="M144" s="301"/>
      <c r="N144" s="112"/>
      <c r="O144" s="112"/>
      <c r="P144" s="112"/>
      <c r="Q144" s="112"/>
      <c r="AJ144" s="111"/>
      <c r="AW144" s="111"/>
      <c r="AX144" s="111"/>
    </row>
    <row r="145" spans="1:50" ht="12" customHeight="1">
      <c r="A145" s="112"/>
      <c r="B145" s="250"/>
      <c r="C145" s="112"/>
      <c r="D145" s="112"/>
      <c r="E145" s="112"/>
      <c r="F145" s="112"/>
      <c r="G145" s="112"/>
      <c r="H145" s="112"/>
      <c r="I145" s="112"/>
      <c r="J145" s="278"/>
      <c r="K145" s="235"/>
      <c r="L145" s="112"/>
      <c r="M145" s="301"/>
      <c r="N145" s="112"/>
      <c r="O145" s="112"/>
      <c r="P145" s="112"/>
      <c r="Q145" s="112"/>
      <c r="AJ145" s="111"/>
      <c r="AW145" s="111"/>
      <c r="AX145" s="111"/>
    </row>
    <row r="146" spans="1:50" ht="12" customHeight="1">
      <c r="A146" s="112"/>
      <c r="B146" s="250"/>
      <c r="C146" s="112"/>
      <c r="D146" s="112"/>
      <c r="E146" s="112"/>
      <c r="F146" s="112"/>
      <c r="G146" s="112"/>
      <c r="H146" s="112"/>
      <c r="I146" s="112"/>
      <c r="J146" s="278"/>
      <c r="K146" s="235"/>
      <c r="L146" s="112"/>
      <c r="M146" s="301"/>
      <c r="N146" s="112"/>
      <c r="O146" s="112"/>
      <c r="P146" s="112"/>
      <c r="Q146" s="112"/>
      <c r="AJ146" s="111"/>
      <c r="AW146" s="111"/>
      <c r="AX146" s="111"/>
    </row>
    <row r="147" spans="1:50" ht="12" customHeight="1">
      <c r="A147" s="112"/>
      <c r="B147" s="250"/>
      <c r="C147" s="112"/>
      <c r="D147" s="112"/>
      <c r="E147" s="112"/>
      <c r="F147" s="112"/>
      <c r="G147" s="112"/>
      <c r="H147" s="112"/>
      <c r="I147" s="112"/>
      <c r="J147" s="278"/>
      <c r="K147" s="235"/>
      <c r="L147" s="112"/>
      <c r="M147" s="301"/>
      <c r="N147" s="112"/>
      <c r="O147" s="112"/>
      <c r="P147" s="112"/>
      <c r="Q147" s="112"/>
      <c r="AJ147" s="111"/>
      <c r="AW147" s="111"/>
      <c r="AX147" s="111"/>
    </row>
    <row r="148" spans="1:50" ht="12" customHeight="1">
      <c r="A148" s="112"/>
      <c r="B148" s="250"/>
      <c r="C148" s="112"/>
      <c r="D148" s="112"/>
      <c r="E148" s="112"/>
      <c r="F148" s="112"/>
      <c r="G148" s="112"/>
      <c r="H148" s="112"/>
      <c r="I148" s="112"/>
      <c r="J148" s="278"/>
      <c r="K148" s="235"/>
      <c r="L148" s="112"/>
      <c r="M148" s="301"/>
      <c r="N148" s="112"/>
      <c r="O148" s="112"/>
      <c r="P148" s="112"/>
      <c r="Q148" s="112"/>
      <c r="AJ148" s="111"/>
      <c r="AW148" s="111"/>
      <c r="AX148" s="111"/>
    </row>
    <row r="149" spans="1:50" ht="12" customHeight="1">
      <c r="A149" s="112"/>
      <c r="B149" s="250"/>
      <c r="C149" s="112"/>
      <c r="D149" s="112"/>
      <c r="E149" s="112"/>
      <c r="F149" s="112"/>
      <c r="G149" s="112"/>
      <c r="H149" s="112"/>
      <c r="I149" s="112"/>
      <c r="J149" s="278"/>
      <c r="K149" s="235"/>
      <c r="L149" s="112"/>
      <c r="M149" s="301"/>
      <c r="N149" s="112"/>
      <c r="O149" s="112"/>
      <c r="P149" s="112"/>
      <c r="Q149" s="112"/>
      <c r="AJ149" s="111"/>
      <c r="AW149" s="111"/>
      <c r="AX149" s="111"/>
    </row>
    <row r="150" spans="1:50" ht="12" customHeight="1">
      <c r="A150" s="112"/>
      <c r="B150" s="250"/>
      <c r="C150" s="112"/>
      <c r="D150" s="112"/>
      <c r="E150" s="112"/>
      <c r="F150" s="112"/>
      <c r="G150" s="112"/>
      <c r="H150" s="112"/>
      <c r="I150" s="112"/>
      <c r="J150" s="278"/>
      <c r="K150" s="235"/>
      <c r="L150" s="112"/>
      <c r="M150" s="301"/>
      <c r="N150" s="112"/>
      <c r="O150" s="112"/>
      <c r="P150" s="112"/>
      <c r="Q150" s="112"/>
      <c r="AJ150" s="111"/>
      <c r="AW150" s="111"/>
      <c r="AX150" s="111"/>
    </row>
    <row r="151" spans="1:50" ht="12" customHeight="1">
      <c r="A151" s="112"/>
      <c r="B151" s="250"/>
      <c r="C151" s="112"/>
      <c r="D151" s="112"/>
      <c r="E151" s="112"/>
      <c r="F151" s="112"/>
      <c r="G151" s="112"/>
      <c r="H151" s="112"/>
      <c r="I151" s="112"/>
      <c r="J151" s="278"/>
      <c r="K151" s="235"/>
      <c r="L151" s="112"/>
      <c r="M151" s="301"/>
      <c r="N151" s="112"/>
      <c r="O151" s="112"/>
      <c r="P151" s="112"/>
      <c r="Q151" s="112"/>
      <c r="AJ151" s="111"/>
      <c r="AW151" s="111"/>
      <c r="AX151" s="111"/>
    </row>
    <row r="152" spans="1:50" ht="12" customHeight="1">
      <c r="A152" s="112"/>
      <c r="B152" s="250"/>
      <c r="C152" s="112"/>
      <c r="D152" s="112"/>
      <c r="E152" s="112"/>
      <c r="F152" s="112"/>
      <c r="G152" s="112"/>
      <c r="H152" s="112"/>
      <c r="I152" s="112"/>
      <c r="J152" s="278"/>
      <c r="K152" s="235"/>
      <c r="L152" s="112"/>
      <c r="M152" s="301"/>
      <c r="N152" s="112"/>
      <c r="O152" s="112"/>
      <c r="P152" s="112"/>
      <c r="Q152" s="112"/>
      <c r="AJ152" s="111"/>
      <c r="AW152" s="111"/>
      <c r="AX152" s="111"/>
    </row>
    <row r="153" spans="1:50" ht="12" customHeight="1">
      <c r="A153" s="112"/>
      <c r="B153" s="250"/>
      <c r="C153" s="112"/>
      <c r="D153" s="112"/>
      <c r="E153" s="112"/>
      <c r="F153" s="112"/>
      <c r="G153" s="112"/>
      <c r="H153" s="112"/>
      <c r="I153" s="112"/>
      <c r="J153" s="278"/>
      <c r="K153" s="235"/>
      <c r="L153" s="112"/>
      <c r="M153" s="301"/>
      <c r="N153" s="112"/>
      <c r="O153" s="112"/>
      <c r="P153" s="112"/>
      <c r="Q153" s="112"/>
      <c r="AJ153" s="111"/>
      <c r="AW153" s="111"/>
      <c r="AX153" s="111"/>
    </row>
    <row r="154" spans="1:50" ht="12" customHeight="1">
      <c r="A154" s="112"/>
      <c r="B154" s="250"/>
      <c r="C154" s="112"/>
      <c r="D154" s="112"/>
      <c r="E154" s="112"/>
      <c r="F154" s="112"/>
      <c r="G154" s="112"/>
      <c r="H154" s="112"/>
      <c r="I154" s="112"/>
      <c r="J154" s="278"/>
      <c r="K154" s="235"/>
      <c r="L154" s="112"/>
      <c r="M154" s="301"/>
      <c r="N154" s="112"/>
      <c r="O154" s="112"/>
      <c r="P154" s="112"/>
      <c r="Q154" s="112"/>
      <c r="AJ154" s="111"/>
      <c r="AW154" s="111"/>
      <c r="AX154" s="111"/>
    </row>
    <row r="155" spans="1:50" ht="12" customHeight="1">
      <c r="A155" s="112"/>
      <c r="B155" s="250"/>
      <c r="C155" s="112"/>
      <c r="D155" s="112"/>
      <c r="E155" s="112"/>
      <c r="F155" s="112"/>
      <c r="G155" s="112"/>
      <c r="H155" s="112"/>
      <c r="I155" s="112"/>
      <c r="J155" s="278"/>
      <c r="K155" s="235"/>
      <c r="L155" s="112"/>
      <c r="M155" s="301"/>
      <c r="N155" s="112"/>
      <c r="O155" s="112"/>
      <c r="P155" s="112"/>
      <c r="Q155" s="112"/>
      <c r="AJ155" s="111"/>
      <c r="AW155" s="111"/>
      <c r="AX155" s="111"/>
    </row>
    <row r="156" spans="1:50" ht="12" customHeight="1">
      <c r="A156" s="112"/>
      <c r="B156" s="250"/>
      <c r="C156" s="112"/>
      <c r="D156" s="112"/>
      <c r="E156" s="112"/>
      <c r="F156" s="112"/>
      <c r="G156" s="112"/>
      <c r="H156" s="112"/>
      <c r="I156" s="112"/>
      <c r="J156" s="278"/>
      <c r="K156" s="235"/>
      <c r="L156" s="112"/>
      <c r="M156" s="301"/>
      <c r="N156" s="112"/>
      <c r="O156" s="112"/>
      <c r="P156" s="112"/>
      <c r="Q156" s="112"/>
      <c r="AJ156" s="111"/>
      <c r="AW156" s="111"/>
      <c r="AX156" s="111"/>
    </row>
    <row r="157" spans="1:50" ht="12" customHeight="1">
      <c r="A157" s="112"/>
      <c r="B157" s="250"/>
      <c r="C157" s="112"/>
      <c r="D157" s="112"/>
      <c r="E157" s="112"/>
      <c r="F157" s="112"/>
      <c r="G157" s="112"/>
      <c r="H157" s="112"/>
      <c r="I157" s="112"/>
      <c r="J157" s="278"/>
      <c r="K157" s="235"/>
      <c r="L157" s="112"/>
      <c r="M157" s="301"/>
      <c r="N157" s="112"/>
      <c r="O157" s="112"/>
      <c r="P157" s="112"/>
      <c r="Q157" s="112"/>
      <c r="AJ157" s="111"/>
      <c r="AW157" s="111"/>
      <c r="AX157" s="111"/>
    </row>
    <row r="158" spans="1:50" ht="12" customHeight="1">
      <c r="A158" s="112"/>
      <c r="B158" s="250"/>
      <c r="C158" s="112"/>
      <c r="D158" s="112"/>
      <c r="E158" s="112"/>
      <c r="F158" s="112"/>
      <c r="G158" s="112"/>
      <c r="H158" s="112"/>
      <c r="I158" s="112"/>
      <c r="J158" s="278"/>
      <c r="K158" s="235"/>
      <c r="L158" s="112"/>
      <c r="M158" s="301"/>
      <c r="N158" s="112"/>
      <c r="O158" s="112"/>
      <c r="P158" s="112"/>
      <c r="Q158" s="112"/>
      <c r="AJ158" s="111"/>
      <c r="AW158" s="111"/>
      <c r="AX158" s="111"/>
    </row>
    <row r="159" spans="1:50" ht="12" customHeight="1">
      <c r="A159" s="112"/>
      <c r="B159" s="250"/>
      <c r="C159" s="112"/>
      <c r="D159" s="112"/>
      <c r="E159" s="112"/>
      <c r="F159" s="112"/>
      <c r="G159" s="112"/>
      <c r="H159" s="112"/>
      <c r="I159" s="112"/>
      <c r="J159" s="278"/>
      <c r="K159" s="235"/>
      <c r="L159" s="112"/>
      <c r="M159" s="301"/>
      <c r="N159" s="112"/>
      <c r="O159" s="112"/>
      <c r="P159" s="112"/>
      <c r="Q159" s="112"/>
      <c r="AJ159" s="111"/>
      <c r="AW159" s="111"/>
      <c r="AX159" s="111"/>
    </row>
    <row r="160" spans="1:50" ht="12" customHeight="1">
      <c r="A160" s="112"/>
      <c r="B160" s="250"/>
      <c r="C160" s="112"/>
      <c r="D160" s="112"/>
      <c r="E160" s="112"/>
      <c r="F160" s="112"/>
      <c r="G160" s="112"/>
      <c r="H160" s="112"/>
      <c r="I160" s="112"/>
      <c r="J160" s="278"/>
      <c r="K160" s="235"/>
      <c r="L160" s="112"/>
      <c r="M160" s="301"/>
      <c r="N160" s="112"/>
      <c r="O160" s="112"/>
      <c r="P160" s="112"/>
      <c r="Q160" s="112"/>
      <c r="AJ160" s="111"/>
      <c r="AW160" s="111"/>
      <c r="AX160" s="111"/>
    </row>
    <row r="161" spans="1:50" ht="12" customHeight="1">
      <c r="A161" s="112"/>
      <c r="B161" s="250"/>
      <c r="C161" s="112"/>
      <c r="D161" s="112"/>
      <c r="E161" s="112"/>
      <c r="F161" s="112"/>
      <c r="G161" s="112"/>
      <c r="H161" s="112"/>
      <c r="I161" s="112"/>
      <c r="J161" s="278"/>
      <c r="K161" s="235"/>
      <c r="L161" s="112"/>
      <c r="M161" s="301"/>
      <c r="N161" s="112"/>
      <c r="O161" s="112"/>
      <c r="P161" s="112"/>
      <c r="Q161" s="112"/>
      <c r="AJ161" s="111"/>
      <c r="AW161" s="111"/>
      <c r="AX161" s="111"/>
    </row>
    <row r="162" spans="1:50" ht="12" customHeight="1">
      <c r="A162" s="112"/>
      <c r="B162" s="250"/>
      <c r="C162" s="112"/>
      <c r="D162" s="112"/>
      <c r="E162" s="112"/>
      <c r="F162" s="112"/>
      <c r="G162" s="112"/>
      <c r="H162" s="112"/>
      <c r="I162" s="112"/>
      <c r="J162" s="278"/>
      <c r="K162" s="235"/>
      <c r="L162" s="112"/>
      <c r="M162" s="301"/>
      <c r="N162" s="112"/>
      <c r="O162" s="112"/>
      <c r="P162" s="112"/>
      <c r="Q162" s="112"/>
      <c r="AJ162" s="111"/>
      <c r="AW162" s="111"/>
      <c r="AX162" s="111"/>
    </row>
    <row r="163" spans="1:50" ht="12" customHeight="1">
      <c r="A163" s="112"/>
      <c r="B163" s="250"/>
      <c r="C163" s="112"/>
      <c r="D163" s="112"/>
      <c r="E163" s="112"/>
      <c r="F163" s="112"/>
      <c r="G163" s="112"/>
      <c r="H163" s="112"/>
      <c r="I163" s="112"/>
      <c r="J163" s="278"/>
      <c r="K163" s="235"/>
      <c r="L163" s="112"/>
      <c r="M163" s="301"/>
      <c r="N163" s="112"/>
      <c r="O163" s="112"/>
      <c r="P163" s="112"/>
      <c r="Q163" s="112"/>
      <c r="AJ163" s="111"/>
      <c r="AW163" s="111"/>
      <c r="AX163" s="111"/>
    </row>
    <row r="164" spans="1:50" ht="12" customHeight="1">
      <c r="A164" s="112"/>
      <c r="B164" s="250"/>
      <c r="C164" s="112"/>
      <c r="D164" s="112"/>
      <c r="E164" s="112"/>
      <c r="F164" s="112"/>
      <c r="G164" s="112"/>
      <c r="H164" s="112"/>
      <c r="I164" s="112"/>
      <c r="J164" s="278"/>
      <c r="K164" s="235"/>
      <c r="L164" s="112"/>
      <c r="M164" s="301"/>
      <c r="N164" s="112"/>
      <c r="O164" s="112"/>
      <c r="P164" s="112"/>
      <c r="Q164" s="112"/>
      <c r="AJ164" s="111"/>
      <c r="AW164" s="111"/>
      <c r="AX164" s="111"/>
    </row>
    <row r="165" spans="1:50" ht="12" customHeight="1">
      <c r="A165" s="112"/>
      <c r="B165" s="250"/>
      <c r="C165" s="112"/>
      <c r="D165" s="112"/>
      <c r="E165" s="112"/>
      <c r="F165" s="112"/>
      <c r="G165" s="112"/>
      <c r="H165" s="112"/>
      <c r="I165" s="112"/>
      <c r="J165" s="278"/>
      <c r="K165" s="235"/>
      <c r="L165" s="112"/>
      <c r="M165" s="301"/>
      <c r="N165" s="112"/>
      <c r="O165" s="112"/>
      <c r="P165" s="112"/>
      <c r="Q165" s="112"/>
      <c r="AJ165" s="111"/>
      <c r="AW165" s="111"/>
      <c r="AX165" s="111"/>
    </row>
    <row r="166" spans="1:50" ht="12" customHeight="1">
      <c r="A166" s="112"/>
      <c r="B166" s="250"/>
      <c r="C166" s="112"/>
      <c r="D166" s="112"/>
      <c r="E166" s="112"/>
      <c r="F166" s="112"/>
      <c r="G166" s="112"/>
      <c r="H166" s="112"/>
      <c r="I166" s="112"/>
      <c r="J166" s="278"/>
      <c r="K166" s="235"/>
      <c r="L166" s="112"/>
      <c r="M166" s="301"/>
      <c r="N166" s="112"/>
      <c r="O166" s="112"/>
      <c r="P166" s="112"/>
      <c r="Q166" s="112"/>
      <c r="AJ166" s="111"/>
      <c r="AW166" s="111"/>
      <c r="AX166" s="111"/>
    </row>
    <row r="167" spans="1:50" ht="10.5" customHeight="1">
      <c r="A167" s="112"/>
      <c r="B167" s="250"/>
      <c r="C167" s="112"/>
      <c r="D167" s="112"/>
      <c r="E167" s="112"/>
      <c r="F167" s="112"/>
      <c r="G167" s="112"/>
      <c r="H167" s="112"/>
      <c r="I167" s="112"/>
      <c r="J167" s="278"/>
      <c r="K167" s="235"/>
      <c r="L167" s="112"/>
      <c r="M167" s="301"/>
      <c r="N167" s="112"/>
      <c r="O167" s="112"/>
      <c r="P167" s="112"/>
      <c r="Q167" s="112"/>
      <c r="AJ167" s="111"/>
      <c r="AW167" s="111"/>
      <c r="AX167" s="111"/>
    </row>
    <row r="168" spans="1:50" ht="12" customHeight="1">
      <c r="A168" s="112"/>
      <c r="B168" s="250"/>
      <c r="C168" s="112"/>
      <c r="D168" s="112"/>
      <c r="E168" s="112"/>
      <c r="F168" s="112"/>
      <c r="G168" s="112"/>
      <c r="H168" s="112"/>
      <c r="I168" s="112"/>
      <c r="J168" s="278"/>
      <c r="K168" s="235"/>
      <c r="L168" s="112"/>
      <c r="M168" s="301"/>
      <c r="N168" s="112"/>
      <c r="O168" s="112"/>
      <c r="P168" s="112"/>
      <c r="Q168" s="112"/>
      <c r="AJ168" s="111"/>
      <c r="AW168" s="111"/>
      <c r="AX168" s="111"/>
    </row>
    <row r="169" spans="1:50" ht="12" customHeight="1">
      <c r="A169" s="112"/>
      <c r="B169" s="250"/>
      <c r="C169" s="112"/>
      <c r="D169" s="112"/>
      <c r="E169" s="112"/>
      <c r="F169" s="112"/>
      <c r="G169" s="112"/>
      <c r="H169" s="112"/>
      <c r="I169" s="112"/>
      <c r="J169" s="278"/>
      <c r="K169" s="235"/>
      <c r="L169" s="112"/>
      <c r="M169" s="301"/>
      <c r="N169" s="112"/>
      <c r="O169" s="112"/>
      <c r="P169" s="112"/>
      <c r="Q169" s="112"/>
      <c r="AJ169" s="111"/>
      <c r="AW169" s="111"/>
      <c r="AX169" s="111"/>
    </row>
    <row r="170" spans="1:50" ht="12" customHeight="1">
      <c r="A170" s="112"/>
      <c r="B170" s="250"/>
      <c r="C170" s="112"/>
      <c r="D170" s="112"/>
      <c r="E170" s="112"/>
      <c r="F170" s="112"/>
      <c r="G170" s="112"/>
      <c r="H170" s="112"/>
      <c r="I170" s="112"/>
      <c r="J170" s="278"/>
      <c r="K170" s="235"/>
      <c r="L170" s="112"/>
      <c r="M170" s="301"/>
      <c r="N170" s="112"/>
      <c r="O170" s="112"/>
      <c r="P170" s="112"/>
      <c r="Q170" s="112"/>
      <c r="AJ170" s="111"/>
      <c r="AW170" s="111"/>
      <c r="AX170" s="111"/>
    </row>
    <row r="171" spans="1:50" ht="12" customHeight="1">
      <c r="A171" s="112"/>
      <c r="B171" s="250"/>
      <c r="C171" s="112"/>
      <c r="D171" s="112"/>
      <c r="E171" s="112"/>
      <c r="F171" s="112"/>
      <c r="G171" s="112"/>
      <c r="H171" s="112"/>
      <c r="I171" s="112"/>
      <c r="J171" s="278"/>
      <c r="K171" s="235"/>
      <c r="L171" s="112"/>
      <c r="M171" s="301"/>
      <c r="N171" s="112"/>
      <c r="O171" s="112"/>
      <c r="P171" s="112"/>
      <c r="Q171" s="112"/>
      <c r="AJ171" s="111"/>
      <c r="AW171" s="111"/>
      <c r="AX171" s="111"/>
    </row>
    <row r="172" spans="1:50" ht="12" customHeight="1">
      <c r="A172" s="112"/>
      <c r="B172" s="250"/>
      <c r="C172" s="112"/>
      <c r="D172" s="112"/>
      <c r="E172" s="112"/>
      <c r="F172" s="112"/>
      <c r="G172" s="112"/>
      <c r="H172" s="112"/>
      <c r="I172" s="112"/>
      <c r="J172" s="278"/>
      <c r="K172" s="235"/>
      <c r="L172" s="112"/>
      <c r="M172" s="301"/>
      <c r="N172" s="112"/>
      <c r="O172" s="112"/>
      <c r="P172" s="112"/>
      <c r="Q172" s="112"/>
      <c r="AJ172" s="111"/>
      <c r="AW172" s="111"/>
      <c r="AX172" s="111"/>
    </row>
    <row r="173" spans="1:50" ht="12" customHeight="1">
      <c r="A173" s="112"/>
      <c r="B173" s="250"/>
      <c r="C173" s="112"/>
      <c r="D173" s="112"/>
      <c r="E173" s="112"/>
      <c r="F173" s="112"/>
      <c r="G173" s="112"/>
      <c r="H173" s="112"/>
      <c r="I173" s="112"/>
      <c r="J173" s="278"/>
      <c r="K173" s="235"/>
      <c r="L173" s="112"/>
      <c r="M173" s="301"/>
      <c r="N173" s="112"/>
      <c r="O173" s="112"/>
      <c r="P173" s="112"/>
      <c r="Q173" s="112"/>
      <c r="AJ173" s="111"/>
      <c r="AW173" s="111"/>
      <c r="AX173" s="111"/>
    </row>
    <row r="174" spans="1:50" ht="12" customHeight="1">
      <c r="A174" s="112"/>
      <c r="B174" s="250"/>
      <c r="C174" s="112"/>
      <c r="D174" s="112"/>
      <c r="E174" s="112"/>
      <c r="F174" s="112"/>
      <c r="G174" s="112"/>
      <c r="H174" s="112"/>
      <c r="I174" s="112"/>
      <c r="J174" s="278"/>
      <c r="K174" s="235"/>
      <c r="L174" s="112"/>
      <c r="M174" s="301"/>
      <c r="N174" s="112"/>
      <c r="O174" s="112"/>
      <c r="P174" s="112"/>
      <c r="Q174" s="112"/>
      <c r="AJ174" s="111"/>
      <c r="AW174" s="111"/>
      <c r="AX174" s="111"/>
    </row>
    <row r="175" spans="1:50" ht="12" customHeight="1">
      <c r="A175" s="112"/>
      <c r="B175" s="250"/>
      <c r="C175" s="112"/>
      <c r="D175" s="112"/>
      <c r="E175" s="112"/>
      <c r="F175" s="112"/>
      <c r="G175" s="112"/>
      <c r="H175" s="112"/>
      <c r="I175" s="112"/>
      <c r="J175" s="278"/>
      <c r="K175" s="235"/>
      <c r="L175" s="112"/>
      <c r="M175" s="301"/>
      <c r="N175" s="112"/>
      <c r="O175" s="112"/>
      <c r="P175" s="112"/>
      <c r="Q175" s="112"/>
      <c r="AJ175" s="111"/>
      <c r="AW175" s="111"/>
      <c r="AX175" s="111"/>
    </row>
    <row r="176" spans="1:50" ht="12" customHeight="1">
      <c r="A176" s="112"/>
      <c r="B176" s="250"/>
      <c r="C176" s="112"/>
      <c r="D176" s="112"/>
      <c r="E176" s="112"/>
      <c r="F176" s="112"/>
      <c r="G176" s="112"/>
      <c r="H176" s="112"/>
      <c r="I176" s="112"/>
      <c r="J176" s="278"/>
      <c r="K176" s="235"/>
      <c r="L176" s="112"/>
      <c r="M176" s="301"/>
      <c r="N176" s="112"/>
      <c r="O176" s="112"/>
      <c r="P176" s="112"/>
      <c r="Q176" s="112"/>
      <c r="AJ176" s="111"/>
      <c r="AW176" s="111"/>
      <c r="AX176" s="111"/>
    </row>
    <row r="177" spans="1:50" ht="12" customHeight="1">
      <c r="A177" s="112"/>
      <c r="B177" s="250"/>
      <c r="C177" s="112"/>
      <c r="D177" s="112"/>
      <c r="E177" s="112"/>
      <c r="F177" s="112"/>
      <c r="G177" s="112"/>
      <c r="H177" s="112"/>
      <c r="I177" s="112"/>
      <c r="J177" s="278"/>
      <c r="K177" s="235"/>
      <c r="L177" s="112"/>
      <c r="M177" s="301"/>
      <c r="N177" s="112"/>
      <c r="O177" s="112"/>
      <c r="P177" s="112"/>
      <c r="Q177" s="112"/>
      <c r="AJ177" s="111"/>
      <c r="AW177" s="111"/>
      <c r="AX177" s="111"/>
    </row>
    <row r="178" spans="1:50" ht="12" customHeight="1">
      <c r="A178" s="112"/>
      <c r="B178" s="250"/>
      <c r="C178" s="112"/>
      <c r="D178" s="112"/>
      <c r="E178" s="112"/>
      <c r="F178" s="112"/>
      <c r="G178" s="112"/>
      <c r="H178" s="112"/>
      <c r="I178" s="112"/>
      <c r="J178" s="278"/>
      <c r="K178" s="235"/>
      <c r="L178" s="112"/>
      <c r="M178" s="301"/>
      <c r="N178" s="112"/>
      <c r="O178" s="112"/>
      <c r="P178" s="112"/>
      <c r="Q178" s="112"/>
      <c r="AJ178" s="111"/>
      <c r="AW178" s="111"/>
      <c r="AX178" s="111"/>
    </row>
    <row r="179" spans="1:50" ht="12" customHeight="1">
      <c r="A179" s="112"/>
      <c r="B179" s="250"/>
      <c r="C179" s="112"/>
      <c r="D179" s="112"/>
      <c r="E179" s="112"/>
      <c r="F179" s="112"/>
      <c r="G179" s="112"/>
      <c r="H179" s="112"/>
      <c r="I179" s="112"/>
      <c r="J179" s="278"/>
      <c r="K179" s="235"/>
      <c r="L179" s="112"/>
      <c r="M179" s="301"/>
      <c r="N179" s="112"/>
      <c r="O179" s="112"/>
      <c r="P179" s="112"/>
      <c r="Q179" s="112"/>
      <c r="AJ179" s="111"/>
      <c r="AW179" s="111"/>
      <c r="AX179" s="111"/>
    </row>
    <row r="180" spans="1:50" ht="12" customHeight="1">
      <c r="A180" s="112"/>
      <c r="B180" s="250"/>
      <c r="C180" s="112"/>
      <c r="D180" s="112"/>
      <c r="E180" s="112"/>
      <c r="F180" s="112"/>
      <c r="G180" s="112"/>
      <c r="H180" s="112"/>
      <c r="I180" s="112"/>
      <c r="J180" s="278"/>
      <c r="K180" s="235"/>
      <c r="L180" s="112"/>
      <c r="M180" s="301"/>
      <c r="N180" s="112"/>
      <c r="O180" s="112"/>
      <c r="P180" s="112"/>
      <c r="Q180" s="112"/>
      <c r="AJ180" s="111"/>
      <c r="AW180" s="111"/>
      <c r="AX180" s="111"/>
    </row>
    <row r="181" spans="1:50" ht="12" customHeight="1">
      <c r="A181" s="112"/>
      <c r="B181" s="250"/>
      <c r="C181" s="112"/>
      <c r="D181" s="112"/>
      <c r="E181" s="112"/>
      <c r="F181" s="112"/>
      <c r="G181" s="112"/>
      <c r="H181" s="112"/>
      <c r="I181" s="112"/>
      <c r="J181" s="278"/>
      <c r="K181" s="235"/>
      <c r="L181" s="112"/>
      <c r="M181" s="301"/>
      <c r="N181" s="112"/>
      <c r="O181" s="112"/>
      <c r="P181" s="112"/>
      <c r="Q181" s="112"/>
      <c r="AJ181" s="111"/>
      <c r="AW181" s="111"/>
      <c r="AX181" s="111"/>
    </row>
    <row r="182" spans="1:50" ht="12" customHeight="1">
      <c r="A182" s="112"/>
      <c r="B182" s="250"/>
      <c r="C182" s="112"/>
      <c r="D182" s="112"/>
      <c r="E182" s="112"/>
      <c r="F182" s="112"/>
      <c r="G182" s="112"/>
      <c r="H182" s="112"/>
      <c r="I182" s="112"/>
      <c r="J182" s="278"/>
      <c r="K182" s="235"/>
      <c r="L182" s="112"/>
      <c r="M182" s="301"/>
      <c r="N182" s="112"/>
      <c r="O182" s="112"/>
      <c r="P182" s="112"/>
      <c r="Q182" s="112"/>
      <c r="AJ182" s="111"/>
      <c r="AW182" s="111"/>
      <c r="AX182" s="111"/>
    </row>
    <row r="183" spans="1:50" ht="12" customHeight="1">
      <c r="A183" s="112"/>
      <c r="B183" s="250"/>
      <c r="C183" s="112"/>
      <c r="D183" s="112"/>
      <c r="E183" s="112"/>
      <c r="F183" s="112"/>
      <c r="G183" s="112"/>
      <c r="H183" s="112"/>
      <c r="I183" s="112"/>
      <c r="J183" s="278"/>
      <c r="K183" s="235"/>
      <c r="L183" s="112"/>
      <c r="M183" s="301"/>
      <c r="N183" s="112"/>
      <c r="O183" s="112"/>
      <c r="P183" s="112"/>
      <c r="Q183" s="112"/>
      <c r="AJ183" s="111"/>
      <c r="AW183" s="111"/>
      <c r="AX183" s="111"/>
    </row>
    <row r="184" spans="1:50" ht="12" customHeight="1">
      <c r="A184" s="112"/>
      <c r="B184" s="250"/>
      <c r="C184" s="112"/>
      <c r="D184" s="112"/>
      <c r="E184" s="112"/>
      <c r="F184" s="112"/>
      <c r="G184" s="112"/>
      <c r="H184" s="112"/>
      <c r="I184" s="112"/>
      <c r="J184" s="278"/>
      <c r="K184" s="235"/>
      <c r="L184" s="112"/>
      <c r="M184" s="301"/>
      <c r="N184" s="112"/>
      <c r="O184" s="112"/>
      <c r="P184" s="112"/>
      <c r="Q184" s="112"/>
      <c r="AJ184" s="111"/>
      <c r="AW184" s="111"/>
      <c r="AX184" s="111"/>
    </row>
    <row r="185" spans="1:50" ht="12" customHeight="1">
      <c r="A185" s="112"/>
      <c r="B185" s="250"/>
      <c r="C185" s="112"/>
      <c r="D185" s="112"/>
      <c r="E185" s="112"/>
      <c r="F185" s="112"/>
      <c r="G185" s="112"/>
      <c r="H185" s="112"/>
      <c r="I185" s="112"/>
      <c r="J185" s="278"/>
      <c r="K185" s="235"/>
      <c r="L185" s="112"/>
      <c r="M185" s="301"/>
      <c r="N185" s="112"/>
      <c r="O185" s="112"/>
      <c r="P185" s="112"/>
      <c r="Q185" s="112"/>
      <c r="AJ185" s="111"/>
      <c r="AW185" s="111"/>
      <c r="AX185" s="111"/>
    </row>
    <row r="186" spans="1:50" ht="12" customHeight="1">
      <c r="A186" s="112"/>
      <c r="B186" s="250"/>
      <c r="C186" s="112"/>
      <c r="D186" s="112"/>
      <c r="E186" s="112"/>
      <c r="F186" s="112"/>
      <c r="G186" s="112"/>
      <c r="H186" s="112"/>
      <c r="I186" s="112"/>
      <c r="J186" s="278"/>
      <c r="K186" s="235"/>
      <c r="L186" s="112"/>
      <c r="M186" s="301"/>
      <c r="N186" s="112"/>
      <c r="O186" s="112"/>
      <c r="P186" s="112"/>
      <c r="Q186" s="112"/>
      <c r="AJ186" s="111"/>
      <c r="AW186" s="111"/>
      <c r="AX186" s="111"/>
    </row>
    <row r="187" spans="1:50" ht="12" customHeight="1">
      <c r="A187" s="112"/>
      <c r="B187" s="250"/>
      <c r="C187" s="112"/>
      <c r="D187" s="112"/>
      <c r="E187" s="112"/>
      <c r="F187" s="112"/>
      <c r="G187" s="112"/>
      <c r="H187" s="112"/>
      <c r="I187" s="112"/>
      <c r="J187" s="278"/>
      <c r="K187" s="235"/>
      <c r="L187" s="112"/>
      <c r="M187" s="301"/>
      <c r="N187" s="112"/>
      <c r="O187" s="112"/>
      <c r="P187" s="112"/>
      <c r="Q187" s="112"/>
      <c r="AJ187" s="111"/>
      <c r="AW187" s="111"/>
      <c r="AX187" s="111"/>
    </row>
    <row r="188" spans="1:50" ht="12" customHeight="1">
      <c r="A188" s="112"/>
      <c r="B188" s="250"/>
      <c r="C188" s="112"/>
      <c r="D188" s="112"/>
      <c r="E188" s="112"/>
      <c r="F188" s="112"/>
      <c r="G188" s="112"/>
      <c r="H188" s="112"/>
      <c r="I188" s="112"/>
      <c r="J188" s="278"/>
      <c r="K188" s="235"/>
      <c r="L188" s="112"/>
      <c r="M188" s="301"/>
      <c r="N188" s="112"/>
      <c r="O188" s="112"/>
      <c r="P188" s="112"/>
      <c r="Q188" s="112"/>
      <c r="AJ188" s="111"/>
      <c r="AW188" s="111"/>
      <c r="AX188" s="111"/>
    </row>
    <row r="189" spans="1:50" ht="12" customHeight="1">
      <c r="A189" s="112"/>
      <c r="B189" s="250"/>
      <c r="C189" s="112"/>
      <c r="D189" s="112"/>
      <c r="E189" s="112"/>
      <c r="F189" s="112"/>
      <c r="G189" s="112"/>
      <c r="H189" s="112"/>
      <c r="I189" s="112"/>
      <c r="J189" s="278"/>
      <c r="K189" s="235"/>
      <c r="L189" s="112"/>
      <c r="M189" s="301"/>
      <c r="N189" s="112"/>
      <c r="O189" s="112"/>
      <c r="P189" s="112"/>
      <c r="Q189" s="112"/>
      <c r="AJ189" s="111"/>
      <c r="AW189" s="111"/>
      <c r="AX189" s="111"/>
    </row>
    <row r="190" spans="1:50" ht="12" customHeight="1">
      <c r="A190" s="112"/>
      <c r="B190" s="250"/>
      <c r="C190" s="112"/>
      <c r="D190" s="112"/>
      <c r="E190" s="112"/>
      <c r="F190" s="112"/>
      <c r="G190" s="112"/>
      <c r="H190" s="112"/>
      <c r="I190" s="112"/>
      <c r="J190" s="278"/>
      <c r="K190" s="235"/>
      <c r="L190" s="112"/>
      <c r="M190" s="301"/>
      <c r="N190" s="112"/>
      <c r="O190" s="112"/>
      <c r="P190" s="112"/>
      <c r="Q190" s="112"/>
      <c r="AJ190" s="111"/>
      <c r="AW190" s="111"/>
      <c r="AX190" s="111"/>
    </row>
    <row r="191" spans="1:50" ht="12" customHeight="1">
      <c r="A191" s="112"/>
      <c r="B191" s="250"/>
      <c r="C191" s="112"/>
      <c r="D191" s="112"/>
      <c r="E191" s="112"/>
      <c r="F191" s="112"/>
      <c r="G191" s="112"/>
      <c r="H191" s="112"/>
      <c r="I191" s="112"/>
      <c r="J191" s="278"/>
      <c r="K191" s="235"/>
      <c r="L191" s="112"/>
      <c r="M191" s="301"/>
      <c r="N191" s="112"/>
      <c r="O191" s="112"/>
      <c r="P191" s="112"/>
      <c r="Q191" s="112"/>
      <c r="AJ191" s="111"/>
      <c r="AW191" s="111"/>
      <c r="AX191" s="111"/>
    </row>
    <row r="192" spans="1:50" ht="12" customHeight="1">
      <c r="A192" s="112"/>
      <c r="B192" s="250"/>
      <c r="C192" s="112"/>
      <c r="D192" s="112"/>
      <c r="E192" s="112"/>
      <c r="F192" s="112"/>
      <c r="G192" s="112"/>
      <c r="H192" s="112"/>
      <c r="I192" s="112"/>
      <c r="J192" s="278"/>
      <c r="K192" s="235"/>
      <c r="L192" s="112"/>
      <c r="M192" s="301"/>
      <c r="N192" s="112"/>
      <c r="O192" s="112"/>
      <c r="P192" s="112"/>
      <c r="Q192" s="112"/>
      <c r="AJ192" s="111"/>
      <c r="AW192" s="111"/>
      <c r="AX192" s="111"/>
    </row>
    <row r="193" spans="1:50" ht="12" customHeight="1">
      <c r="A193" s="112"/>
      <c r="B193" s="250"/>
      <c r="C193" s="112"/>
      <c r="D193" s="112"/>
      <c r="E193" s="112"/>
      <c r="F193" s="112"/>
      <c r="G193" s="112"/>
      <c r="H193" s="112"/>
      <c r="I193" s="112"/>
      <c r="J193" s="278"/>
      <c r="K193" s="235"/>
      <c r="L193" s="112"/>
      <c r="M193" s="301"/>
      <c r="N193" s="112"/>
      <c r="O193" s="112"/>
      <c r="P193" s="112"/>
      <c r="Q193" s="112"/>
      <c r="AJ193" s="111"/>
      <c r="AW193" s="111"/>
      <c r="AX193" s="111"/>
    </row>
    <row r="194" spans="1:50" ht="12" customHeight="1">
      <c r="A194" s="112"/>
      <c r="B194" s="250"/>
      <c r="C194" s="112"/>
      <c r="D194" s="112"/>
      <c r="E194" s="112"/>
      <c r="F194" s="112"/>
      <c r="G194" s="112"/>
      <c r="H194" s="112"/>
      <c r="I194" s="112"/>
      <c r="J194" s="278"/>
      <c r="K194" s="235"/>
      <c r="L194" s="112"/>
      <c r="M194" s="301"/>
      <c r="N194" s="112"/>
      <c r="O194" s="112"/>
      <c r="P194" s="112"/>
      <c r="Q194" s="112"/>
      <c r="AJ194" s="111"/>
      <c r="AW194" s="111"/>
      <c r="AX194" s="111"/>
    </row>
    <row r="195" spans="1:50" ht="12" customHeight="1">
      <c r="A195" s="112"/>
      <c r="B195" s="250"/>
      <c r="C195" s="112"/>
      <c r="D195" s="112"/>
      <c r="E195" s="112"/>
      <c r="F195" s="112"/>
      <c r="G195" s="112"/>
      <c r="H195" s="112"/>
      <c r="I195" s="112"/>
      <c r="J195" s="278"/>
      <c r="K195" s="235"/>
      <c r="L195" s="112"/>
      <c r="M195" s="301"/>
      <c r="N195" s="112"/>
      <c r="O195" s="112"/>
      <c r="P195" s="112"/>
      <c r="Q195" s="112"/>
      <c r="AJ195" s="111"/>
      <c r="AW195" s="111"/>
      <c r="AX195" s="111"/>
    </row>
    <row r="196" spans="1:50" ht="12" customHeight="1">
      <c r="A196" s="112"/>
      <c r="B196" s="250"/>
      <c r="C196" s="112"/>
      <c r="D196" s="112"/>
      <c r="E196" s="112"/>
      <c r="F196" s="112"/>
      <c r="G196" s="112"/>
      <c r="H196" s="112"/>
      <c r="I196" s="112"/>
      <c r="J196" s="278"/>
      <c r="K196" s="235"/>
      <c r="L196" s="112"/>
      <c r="M196" s="301"/>
      <c r="N196" s="112"/>
      <c r="O196" s="112"/>
      <c r="P196" s="112"/>
      <c r="Q196" s="112"/>
      <c r="AJ196" s="111"/>
      <c r="AW196" s="111"/>
      <c r="AX196" s="111"/>
    </row>
    <row r="197" spans="1:50" ht="12" customHeight="1">
      <c r="A197" s="112"/>
      <c r="B197" s="250"/>
      <c r="C197" s="112"/>
      <c r="D197" s="112"/>
      <c r="E197" s="112"/>
      <c r="F197" s="112"/>
      <c r="G197" s="112"/>
      <c r="H197" s="112"/>
      <c r="I197" s="112"/>
      <c r="J197" s="278"/>
      <c r="K197" s="235"/>
      <c r="L197" s="112"/>
      <c r="M197" s="301"/>
      <c r="N197" s="112"/>
      <c r="O197" s="112"/>
      <c r="P197" s="112"/>
      <c r="Q197" s="112"/>
      <c r="AJ197" s="111"/>
      <c r="AW197" s="111"/>
      <c r="AX197" s="111"/>
    </row>
    <row r="198" spans="1:50" ht="12" customHeight="1">
      <c r="A198" s="112"/>
      <c r="B198" s="250"/>
      <c r="C198" s="112"/>
      <c r="D198" s="112"/>
      <c r="E198" s="112"/>
      <c r="F198" s="112"/>
      <c r="G198" s="112"/>
      <c r="H198" s="112"/>
      <c r="I198" s="112"/>
      <c r="J198" s="278"/>
      <c r="K198" s="235"/>
      <c r="L198" s="112"/>
      <c r="M198" s="301"/>
      <c r="N198" s="112"/>
      <c r="O198" s="112"/>
      <c r="P198" s="112"/>
      <c r="Q198" s="112"/>
      <c r="AJ198" s="111"/>
      <c r="AW198" s="111"/>
      <c r="AX198" s="111"/>
    </row>
    <row r="199" spans="1:50" ht="12" customHeight="1">
      <c r="A199" s="112"/>
      <c r="B199" s="250"/>
      <c r="C199" s="112"/>
      <c r="D199" s="112"/>
      <c r="E199" s="112"/>
      <c r="F199" s="112"/>
      <c r="G199" s="112"/>
      <c r="H199" s="112"/>
      <c r="I199" s="112"/>
      <c r="J199" s="278"/>
      <c r="K199" s="235"/>
      <c r="L199" s="112"/>
      <c r="M199" s="301"/>
      <c r="N199" s="112"/>
      <c r="O199" s="112"/>
      <c r="P199" s="112"/>
      <c r="Q199" s="112"/>
      <c r="AJ199" s="111"/>
      <c r="AW199" s="111"/>
      <c r="AX199" s="111"/>
    </row>
    <row r="200" spans="1:50" ht="12" customHeight="1">
      <c r="A200" s="112"/>
      <c r="B200" s="250"/>
      <c r="C200" s="112"/>
      <c r="D200" s="112"/>
      <c r="E200" s="112"/>
      <c r="F200" s="112"/>
      <c r="G200" s="112"/>
      <c r="H200" s="112"/>
      <c r="I200" s="112"/>
      <c r="J200" s="278"/>
      <c r="K200" s="235"/>
      <c r="L200" s="112"/>
      <c r="M200" s="301"/>
      <c r="N200" s="112"/>
      <c r="O200" s="112"/>
      <c r="P200" s="112"/>
      <c r="Q200" s="112"/>
      <c r="AJ200" s="111"/>
      <c r="AW200" s="111"/>
      <c r="AX200" s="111"/>
    </row>
    <row r="201" spans="1:50" ht="12" customHeight="1">
      <c r="A201" s="112"/>
      <c r="B201" s="250"/>
      <c r="C201" s="112"/>
      <c r="D201" s="112"/>
      <c r="E201" s="112"/>
      <c r="F201" s="112"/>
      <c r="G201" s="112"/>
      <c r="H201" s="112"/>
      <c r="I201" s="112"/>
      <c r="J201" s="278"/>
      <c r="K201" s="235"/>
      <c r="L201" s="112"/>
      <c r="M201" s="301"/>
      <c r="N201" s="112"/>
      <c r="O201" s="112"/>
      <c r="P201" s="112"/>
      <c r="Q201" s="112"/>
      <c r="AJ201" s="111"/>
      <c r="AW201" s="111"/>
      <c r="AX201" s="111"/>
    </row>
    <row r="202" spans="1:50" ht="12" customHeight="1">
      <c r="A202" s="112"/>
      <c r="B202" s="250"/>
      <c r="C202" s="112"/>
      <c r="D202" s="112"/>
      <c r="E202" s="112"/>
      <c r="F202" s="112"/>
      <c r="G202" s="112"/>
      <c r="H202" s="112"/>
      <c r="I202" s="112"/>
      <c r="J202" s="278"/>
      <c r="K202" s="235"/>
      <c r="L202" s="112"/>
      <c r="M202" s="301"/>
      <c r="N202" s="112"/>
      <c r="O202" s="112"/>
      <c r="P202" s="112"/>
      <c r="Q202" s="112"/>
      <c r="AJ202" s="111"/>
      <c r="AW202" s="111"/>
      <c r="AX202" s="111"/>
    </row>
    <row r="203" spans="1:50" ht="12" customHeight="1">
      <c r="A203" s="112"/>
      <c r="B203" s="250"/>
      <c r="C203" s="112"/>
      <c r="D203" s="112"/>
      <c r="E203" s="112"/>
      <c r="F203" s="112"/>
      <c r="G203" s="112"/>
      <c r="H203" s="112"/>
      <c r="I203" s="112"/>
      <c r="J203" s="278"/>
      <c r="K203" s="235"/>
      <c r="L203" s="112"/>
      <c r="M203" s="301"/>
      <c r="N203" s="112"/>
      <c r="O203" s="112"/>
      <c r="P203" s="112"/>
      <c r="Q203" s="112"/>
      <c r="AJ203" s="111"/>
      <c r="AW203" s="111"/>
      <c r="AX203" s="111"/>
    </row>
    <row r="204" spans="1:50" ht="12" customHeight="1">
      <c r="A204" s="112"/>
      <c r="B204" s="250"/>
      <c r="C204" s="112"/>
      <c r="D204" s="112"/>
      <c r="E204" s="112"/>
      <c r="F204" s="112"/>
      <c r="G204" s="112"/>
      <c r="H204" s="112"/>
      <c r="I204" s="112"/>
      <c r="J204" s="278"/>
      <c r="K204" s="235"/>
      <c r="L204" s="112"/>
      <c r="M204" s="301"/>
      <c r="N204" s="112"/>
      <c r="O204" s="112"/>
      <c r="P204" s="112"/>
      <c r="Q204" s="112"/>
      <c r="AJ204" s="111"/>
      <c r="AW204" s="111"/>
      <c r="AX204" s="111"/>
    </row>
    <row r="205" spans="1:50" ht="12" customHeight="1">
      <c r="A205" s="112"/>
      <c r="B205" s="250"/>
      <c r="C205" s="112"/>
      <c r="D205" s="112"/>
      <c r="E205" s="112"/>
      <c r="F205" s="112"/>
      <c r="G205" s="112"/>
      <c r="H205" s="112"/>
      <c r="I205" s="112"/>
      <c r="J205" s="278"/>
      <c r="K205" s="235"/>
      <c r="L205" s="112"/>
      <c r="M205" s="301"/>
      <c r="N205" s="112"/>
      <c r="O205" s="112"/>
      <c r="P205" s="112"/>
      <c r="Q205" s="112"/>
      <c r="AJ205" s="111"/>
      <c r="AW205" s="111"/>
      <c r="AX205" s="111"/>
    </row>
    <row r="206" spans="1:50" ht="12" customHeight="1">
      <c r="A206" s="112"/>
      <c r="B206" s="250"/>
      <c r="C206" s="112"/>
      <c r="D206" s="112"/>
      <c r="E206" s="112"/>
      <c r="F206" s="112"/>
      <c r="G206" s="112"/>
      <c r="H206" s="112"/>
      <c r="I206" s="112"/>
      <c r="J206" s="278"/>
      <c r="K206" s="235"/>
      <c r="L206" s="112"/>
      <c r="M206" s="301"/>
      <c r="N206" s="112"/>
      <c r="O206" s="112"/>
      <c r="P206" s="112"/>
      <c r="Q206" s="112"/>
      <c r="AJ206" s="111"/>
      <c r="AW206" s="111"/>
      <c r="AX206" s="111"/>
    </row>
    <row r="207" spans="1:50" ht="12" customHeight="1">
      <c r="A207" s="112"/>
      <c r="B207" s="250"/>
      <c r="C207" s="112"/>
      <c r="D207" s="112"/>
      <c r="E207" s="112"/>
      <c r="F207" s="112"/>
      <c r="G207" s="112"/>
      <c r="H207" s="112"/>
      <c r="I207" s="112"/>
      <c r="J207" s="278"/>
      <c r="K207" s="235"/>
      <c r="L207" s="112"/>
      <c r="M207" s="301"/>
      <c r="N207" s="112"/>
      <c r="O207" s="112"/>
      <c r="P207" s="112"/>
      <c r="Q207" s="112"/>
      <c r="AJ207" s="111"/>
      <c r="AW207" s="111"/>
      <c r="AX207" s="111"/>
    </row>
    <row r="208" spans="1:50" ht="12" customHeight="1">
      <c r="A208" s="112"/>
      <c r="B208" s="250"/>
      <c r="C208" s="112"/>
      <c r="D208" s="112"/>
      <c r="E208" s="112"/>
      <c r="F208" s="112"/>
      <c r="G208" s="112"/>
      <c r="H208" s="112"/>
      <c r="I208" s="112"/>
      <c r="J208" s="278"/>
      <c r="K208" s="235"/>
      <c r="L208" s="112"/>
      <c r="M208" s="301"/>
      <c r="N208" s="112"/>
      <c r="O208" s="112"/>
      <c r="P208" s="112"/>
      <c r="Q208" s="112"/>
      <c r="AJ208" s="111"/>
      <c r="AW208" s="111"/>
      <c r="AX208" s="111"/>
    </row>
    <row r="209" spans="1:50" ht="12" customHeight="1">
      <c r="A209" s="112"/>
      <c r="B209" s="250"/>
      <c r="C209" s="112"/>
      <c r="D209" s="112"/>
      <c r="E209" s="112"/>
      <c r="F209" s="112"/>
      <c r="G209" s="112"/>
      <c r="H209" s="112"/>
      <c r="I209" s="112"/>
      <c r="J209" s="278"/>
      <c r="K209" s="235"/>
      <c r="L209" s="112"/>
      <c r="M209" s="301"/>
      <c r="N209" s="112"/>
      <c r="O209" s="112"/>
      <c r="P209" s="112"/>
      <c r="Q209" s="112"/>
      <c r="AJ209" s="111"/>
      <c r="AW209" s="111"/>
      <c r="AX209" s="111"/>
    </row>
    <row r="210" spans="1:50" ht="12" customHeight="1">
      <c r="A210" s="112"/>
      <c r="B210" s="250"/>
      <c r="C210" s="112"/>
      <c r="D210" s="112"/>
      <c r="E210" s="112"/>
      <c r="F210" s="112"/>
      <c r="G210" s="112"/>
      <c r="H210" s="112"/>
      <c r="I210" s="112"/>
      <c r="J210" s="278"/>
      <c r="K210" s="235"/>
      <c r="L210" s="112"/>
      <c r="M210" s="301"/>
      <c r="N210" s="112"/>
      <c r="O210" s="112"/>
      <c r="P210" s="112"/>
      <c r="Q210" s="112"/>
      <c r="AJ210" s="111"/>
      <c r="AW210" s="111"/>
      <c r="AX210" s="111"/>
    </row>
    <row r="211" spans="1:50" ht="12" customHeight="1">
      <c r="A211" s="112"/>
      <c r="B211" s="250"/>
      <c r="C211" s="112"/>
      <c r="D211" s="112"/>
      <c r="E211" s="112"/>
      <c r="F211" s="112"/>
      <c r="G211" s="112"/>
      <c r="H211" s="112"/>
      <c r="I211" s="112"/>
      <c r="J211" s="278"/>
      <c r="K211" s="235"/>
      <c r="L211" s="112"/>
      <c r="M211" s="301"/>
      <c r="N211" s="112"/>
      <c r="O211" s="112"/>
      <c r="P211" s="112"/>
      <c r="Q211" s="112"/>
      <c r="AJ211" s="111"/>
      <c r="AW211" s="111"/>
      <c r="AX211" s="111"/>
    </row>
    <row r="212" spans="1:50" ht="12" customHeight="1">
      <c r="A212" s="112"/>
      <c r="B212" s="250"/>
      <c r="C212" s="112"/>
      <c r="D212" s="112"/>
      <c r="E212" s="112"/>
      <c r="F212" s="112"/>
      <c r="G212" s="112"/>
      <c r="H212" s="112"/>
      <c r="I212" s="112"/>
      <c r="J212" s="278"/>
      <c r="K212" s="235"/>
      <c r="L212" s="112"/>
      <c r="M212" s="301"/>
      <c r="N212" s="112"/>
      <c r="O212" s="112"/>
      <c r="P212" s="112"/>
      <c r="Q212" s="112"/>
      <c r="AJ212" s="111"/>
      <c r="AW212" s="111"/>
      <c r="AX212" s="111"/>
    </row>
    <row r="213" spans="1:50" ht="12" customHeight="1">
      <c r="A213" s="112"/>
      <c r="B213" s="250"/>
      <c r="C213" s="112"/>
      <c r="D213" s="112"/>
      <c r="E213" s="112"/>
      <c r="F213" s="112"/>
      <c r="G213" s="112"/>
      <c r="H213" s="112"/>
      <c r="I213" s="112"/>
      <c r="J213" s="278"/>
      <c r="K213" s="235"/>
      <c r="L213" s="112"/>
      <c r="M213" s="301"/>
      <c r="N213" s="112"/>
      <c r="O213" s="112"/>
      <c r="P213" s="112"/>
      <c r="Q213" s="112"/>
      <c r="AJ213" s="111"/>
      <c r="AW213" s="111"/>
      <c r="AX213" s="111"/>
    </row>
    <row r="214" spans="1:50" ht="12" customHeight="1">
      <c r="A214" s="112"/>
      <c r="B214" s="250"/>
      <c r="C214" s="112"/>
      <c r="D214" s="112"/>
      <c r="E214" s="112"/>
      <c r="F214" s="112"/>
      <c r="G214" s="112"/>
      <c r="H214" s="112"/>
      <c r="I214" s="112"/>
      <c r="J214" s="278"/>
      <c r="K214" s="235"/>
      <c r="L214" s="112"/>
      <c r="M214" s="301"/>
      <c r="N214" s="112"/>
      <c r="O214" s="112"/>
      <c r="P214" s="112"/>
      <c r="Q214" s="112"/>
      <c r="AJ214" s="111"/>
      <c r="AW214" s="111"/>
      <c r="AX214" s="111"/>
    </row>
    <row r="215" spans="1:50" ht="12" customHeight="1">
      <c r="A215" s="112"/>
      <c r="B215" s="250"/>
      <c r="C215" s="112"/>
      <c r="D215" s="112"/>
      <c r="E215" s="112"/>
      <c r="F215" s="112"/>
      <c r="G215" s="112"/>
      <c r="H215" s="112"/>
      <c r="I215" s="112"/>
      <c r="J215" s="278"/>
      <c r="K215" s="235"/>
      <c r="L215" s="112"/>
      <c r="M215" s="301"/>
      <c r="N215" s="112"/>
      <c r="O215" s="112"/>
      <c r="P215" s="112"/>
      <c r="Q215" s="112"/>
      <c r="AJ215" s="111"/>
      <c r="AW215" s="111"/>
      <c r="AX215" s="111"/>
    </row>
    <row r="216" spans="1:50" ht="12" customHeight="1">
      <c r="A216" s="112"/>
      <c r="B216" s="250"/>
      <c r="C216" s="112"/>
      <c r="D216" s="112"/>
      <c r="E216" s="112"/>
      <c r="F216" s="112"/>
      <c r="G216" s="112"/>
      <c r="H216" s="112"/>
      <c r="I216" s="112"/>
      <c r="J216" s="278"/>
      <c r="K216" s="235"/>
      <c r="L216" s="112"/>
      <c r="M216" s="301"/>
      <c r="N216" s="112"/>
      <c r="O216" s="112"/>
      <c r="P216" s="112"/>
      <c r="Q216" s="112"/>
      <c r="AJ216" s="111"/>
      <c r="AW216" s="111"/>
      <c r="AX216" s="111"/>
    </row>
    <row r="217" spans="1:50" ht="12" customHeight="1">
      <c r="A217" s="112"/>
      <c r="B217" s="250"/>
      <c r="C217" s="112"/>
      <c r="D217" s="112"/>
      <c r="E217" s="112"/>
      <c r="F217" s="112"/>
      <c r="G217" s="112"/>
      <c r="H217" s="112"/>
      <c r="I217" s="112"/>
      <c r="J217" s="278"/>
      <c r="K217" s="235"/>
      <c r="L217" s="112"/>
      <c r="M217" s="301"/>
      <c r="N217" s="112"/>
      <c r="O217" s="112"/>
      <c r="P217" s="112"/>
      <c r="Q217" s="112"/>
      <c r="AJ217" s="111"/>
      <c r="AW217" s="111"/>
      <c r="AX217" s="111"/>
    </row>
    <row r="218" spans="1:50" ht="12" customHeight="1">
      <c r="A218" s="112"/>
      <c r="B218" s="250"/>
      <c r="C218" s="112"/>
      <c r="D218" s="112"/>
      <c r="E218" s="112"/>
      <c r="F218" s="112"/>
      <c r="G218" s="112"/>
      <c r="H218" s="112"/>
      <c r="I218" s="112"/>
      <c r="J218" s="278"/>
      <c r="K218" s="235"/>
      <c r="L218" s="112"/>
      <c r="M218" s="301"/>
      <c r="N218" s="112"/>
      <c r="O218" s="112"/>
      <c r="P218" s="112"/>
      <c r="Q218" s="112"/>
      <c r="AJ218" s="111"/>
      <c r="AW218" s="111"/>
      <c r="AX218" s="111"/>
    </row>
    <row r="219" spans="1:50" ht="13.5" customHeight="1">
      <c r="A219" s="112"/>
      <c r="B219" s="250"/>
      <c r="C219" s="112"/>
      <c r="D219" s="112"/>
      <c r="E219" s="112"/>
      <c r="F219" s="112"/>
      <c r="G219" s="112"/>
      <c r="H219" s="112"/>
      <c r="I219" s="112"/>
      <c r="J219" s="278"/>
      <c r="K219" s="235"/>
      <c r="L219" s="112"/>
      <c r="M219" s="301"/>
      <c r="N219" s="112"/>
      <c r="O219" s="112"/>
      <c r="P219" s="112"/>
      <c r="Q219" s="112"/>
      <c r="AJ219" s="111"/>
      <c r="AW219" s="111"/>
      <c r="AX219" s="111"/>
    </row>
    <row r="220" spans="1:50" ht="12" customHeight="1">
      <c r="A220" s="112"/>
      <c r="B220" s="250"/>
      <c r="C220" s="112"/>
      <c r="D220" s="112"/>
      <c r="E220" s="112"/>
      <c r="F220" s="112"/>
      <c r="G220" s="112"/>
      <c r="H220" s="112"/>
      <c r="I220" s="112"/>
      <c r="J220" s="278"/>
      <c r="K220" s="235"/>
      <c r="L220" s="112"/>
      <c r="M220" s="301"/>
      <c r="N220" s="112"/>
      <c r="O220" s="112"/>
      <c r="P220" s="112"/>
      <c r="Q220" s="112"/>
      <c r="AJ220" s="111"/>
      <c r="AW220" s="111"/>
      <c r="AX220" s="111"/>
    </row>
    <row r="221" spans="1:50" ht="12" customHeight="1">
      <c r="A221" s="112"/>
      <c r="B221" s="250"/>
      <c r="C221" s="112"/>
      <c r="D221" s="112"/>
      <c r="E221" s="112"/>
      <c r="F221" s="112"/>
      <c r="G221" s="112"/>
      <c r="H221" s="112"/>
      <c r="I221" s="112"/>
      <c r="J221" s="278"/>
      <c r="K221" s="235"/>
      <c r="L221" s="112"/>
      <c r="M221" s="301"/>
      <c r="N221" s="112"/>
      <c r="O221" s="112"/>
      <c r="P221" s="112"/>
      <c r="Q221" s="112"/>
      <c r="AJ221" s="111"/>
      <c r="AW221" s="111"/>
      <c r="AX221" s="111"/>
    </row>
    <row r="222" spans="1:50" ht="12" customHeight="1">
      <c r="A222" s="112"/>
      <c r="B222" s="250"/>
      <c r="C222" s="112"/>
      <c r="D222" s="112"/>
      <c r="E222" s="112"/>
      <c r="F222" s="112"/>
      <c r="G222" s="112"/>
      <c r="H222" s="112"/>
      <c r="I222" s="112"/>
      <c r="J222" s="278"/>
      <c r="K222" s="235"/>
      <c r="L222" s="112"/>
      <c r="M222" s="301"/>
      <c r="N222" s="112"/>
      <c r="O222" s="112"/>
      <c r="P222" s="112"/>
      <c r="Q222" s="112"/>
      <c r="AJ222" s="111"/>
      <c r="AW222" s="111"/>
      <c r="AX222" s="111"/>
    </row>
    <row r="223" spans="1:50" ht="12" customHeight="1">
      <c r="A223" s="112"/>
      <c r="B223" s="250"/>
      <c r="C223" s="112"/>
      <c r="D223" s="112"/>
      <c r="E223" s="112"/>
      <c r="F223" s="112"/>
      <c r="G223" s="112"/>
      <c r="H223" s="112"/>
      <c r="I223" s="112"/>
      <c r="J223" s="278"/>
      <c r="K223" s="235"/>
      <c r="L223" s="112"/>
      <c r="M223" s="301"/>
      <c r="N223" s="112"/>
      <c r="O223" s="112"/>
      <c r="P223" s="112"/>
      <c r="Q223" s="112"/>
      <c r="AJ223" s="111"/>
      <c r="AW223" s="111"/>
      <c r="AX223" s="111"/>
    </row>
    <row r="224" spans="1:50" ht="12" customHeight="1">
      <c r="A224" s="112"/>
      <c r="B224" s="250"/>
      <c r="C224" s="112"/>
      <c r="D224" s="112"/>
      <c r="E224" s="112"/>
      <c r="F224" s="112"/>
      <c r="G224" s="112"/>
      <c r="H224" s="112"/>
      <c r="I224" s="112"/>
      <c r="J224" s="278"/>
      <c r="K224" s="235"/>
      <c r="L224" s="112"/>
      <c r="M224" s="301"/>
      <c r="N224" s="112"/>
      <c r="O224" s="112"/>
      <c r="P224" s="112"/>
      <c r="Q224" s="112"/>
      <c r="AJ224" s="111"/>
      <c r="AW224" s="111"/>
      <c r="AX224" s="111"/>
    </row>
    <row r="225" spans="1:50" ht="12" customHeight="1">
      <c r="A225" s="112"/>
      <c r="B225" s="250"/>
      <c r="C225" s="112"/>
      <c r="D225" s="112"/>
      <c r="E225" s="112"/>
      <c r="F225" s="112"/>
      <c r="G225" s="112"/>
      <c r="H225" s="112"/>
      <c r="I225" s="112"/>
      <c r="J225" s="278"/>
      <c r="K225" s="235"/>
      <c r="L225" s="112"/>
      <c r="M225" s="301"/>
      <c r="N225" s="112"/>
      <c r="O225" s="112"/>
      <c r="P225" s="112"/>
      <c r="Q225" s="112"/>
      <c r="AJ225" s="111"/>
      <c r="AW225" s="111"/>
      <c r="AX225" s="111"/>
    </row>
    <row r="226" spans="1:50" ht="12" customHeight="1">
      <c r="A226" s="112"/>
      <c r="B226" s="250"/>
      <c r="C226" s="112"/>
      <c r="D226" s="112"/>
      <c r="E226" s="112"/>
      <c r="F226" s="112"/>
      <c r="G226" s="112"/>
      <c r="H226" s="112"/>
      <c r="I226" s="112"/>
      <c r="J226" s="278"/>
      <c r="K226" s="235"/>
      <c r="L226" s="112"/>
      <c r="M226" s="301"/>
      <c r="N226" s="112"/>
      <c r="O226" s="112"/>
      <c r="P226" s="112"/>
      <c r="Q226" s="112"/>
      <c r="AJ226" s="111"/>
      <c r="AW226" s="111"/>
      <c r="AX226" s="111"/>
    </row>
    <row r="227" spans="1:50" ht="12" customHeight="1">
      <c r="A227" s="112"/>
      <c r="B227" s="250"/>
      <c r="C227" s="112"/>
      <c r="D227" s="112"/>
      <c r="E227" s="112"/>
      <c r="F227" s="112"/>
      <c r="G227" s="112"/>
      <c r="H227" s="112"/>
      <c r="I227" s="112"/>
      <c r="J227" s="278"/>
      <c r="K227" s="235"/>
      <c r="L227" s="112"/>
      <c r="M227" s="301"/>
      <c r="N227" s="112"/>
      <c r="O227" s="112"/>
      <c r="P227" s="112"/>
      <c r="Q227" s="112"/>
      <c r="AJ227" s="111"/>
      <c r="AW227" s="111"/>
      <c r="AX227" s="111"/>
    </row>
    <row r="228" spans="1:50" ht="12" customHeight="1">
      <c r="A228" s="112"/>
      <c r="B228" s="250"/>
      <c r="C228" s="112"/>
      <c r="D228" s="112"/>
      <c r="E228" s="112"/>
      <c r="F228" s="112"/>
      <c r="G228" s="112"/>
      <c r="H228" s="112"/>
      <c r="I228" s="112"/>
      <c r="J228" s="278"/>
      <c r="K228" s="235"/>
      <c r="L228" s="112"/>
      <c r="M228" s="301"/>
      <c r="N228" s="112"/>
      <c r="O228" s="112"/>
      <c r="P228" s="112"/>
      <c r="Q228" s="112"/>
      <c r="AJ228" s="111"/>
      <c r="AW228" s="111"/>
      <c r="AX228" s="111"/>
    </row>
    <row r="229" spans="1:50" ht="12" customHeight="1">
      <c r="A229" s="112"/>
      <c r="B229" s="250"/>
      <c r="C229" s="112"/>
      <c r="D229" s="112"/>
      <c r="E229" s="112"/>
      <c r="F229" s="112"/>
      <c r="G229" s="112"/>
      <c r="H229" s="112"/>
      <c r="I229" s="112"/>
      <c r="J229" s="278"/>
      <c r="K229" s="235"/>
      <c r="L229" s="112"/>
      <c r="M229" s="301"/>
      <c r="N229" s="112"/>
      <c r="O229" s="112"/>
      <c r="P229" s="112"/>
      <c r="Q229" s="112"/>
      <c r="AJ229" s="111"/>
      <c r="AW229" s="111"/>
      <c r="AX229" s="111"/>
    </row>
    <row r="230" spans="1:50" ht="12" customHeight="1">
      <c r="A230" s="112"/>
      <c r="B230" s="250"/>
      <c r="C230" s="112"/>
      <c r="D230" s="112"/>
      <c r="E230" s="112"/>
      <c r="F230" s="112"/>
      <c r="G230" s="112"/>
      <c r="H230" s="112"/>
      <c r="I230" s="112"/>
      <c r="J230" s="278"/>
      <c r="K230" s="235"/>
      <c r="L230" s="112"/>
      <c r="M230" s="301"/>
      <c r="N230" s="112"/>
      <c r="O230" s="112"/>
      <c r="P230" s="112"/>
      <c r="Q230" s="112"/>
      <c r="AJ230" s="111"/>
      <c r="AW230" s="111"/>
      <c r="AX230" s="111"/>
    </row>
    <row r="231" spans="1:50" ht="12" customHeight="1">
      <c r="A231" s="112"/>
      <c r="B231" s="250"/>
      <c r="C231" s="112"/>
      <c r="D231" s="112"/>
      <c r="E231" s="112"/>
      <c r="F231" s="112"/>
      <c r="G231" s="112"/>
      <c r="H231" s="112"/>
      <c r="I231" s="112"/>
      <c r="J231" s="278"/>
      <c r="K231" s="235"/>
      <c r="L231" s="112"/>
      <c r="M231" s="301"/>
      <c r="N231" s="112"/>
      <c r="O231" s="112"/>
      <c r="P231" s="112"/>
      <c r="Q231" s="112"/>
      <c r="AJ231" s="111"/>
      <c r="AW231" s="111"/>
      <c r="AX231" s="111"/>
    </row>
    <row r="232" spans="1:50" ht="12" customHeight="1">
      <c r="A232" s="112"/>
      <c r="B232" s="250"/>
      <c r="C232" s="112"/>
      <c r="D232" s="112"/>
      <c r="E232" s="112"/>
      <c r="F232" s="112"/>
      <c r="G232" s="112"/>
      <c r="H232" s="112"/>
      <c r="I232" s="112"/>
      <c r="J232" s="278"/>
      <c r="K232" s="235"/>
      <c r="L232" s="112"/>
      <c r="M232" s="301"/>
      <c r="N232" s="112"/>
      <c r="O232" s="112"/>
      <c r="P232" s="112"/>
      <c r="Q232" s="112"/>
      <c r="AJ232" s="111"/>
      <c r="AW232" s="111"/>
      <c r="AX232" s="111"/>
    </row>
    <row r="233" spans="1:50" ht="12" customHeight="1">
      <c r="A233" s="112"/>
      <c r="B233" s="250"/>
      <c r="C233" s="112"/>
      <c r="D233" s="112"/>
      <c r="E233" s="112"/>
      <c r="F233" s="112"/>
      <c r="G233" s="112"/>
      <c r="H233" s="112"/>
      <c r="I233" s="112"/>
      <c r="J233" s="278"/>
      <c r="K233" s="235"/>
      <c r="L233" s="112"/>
      <c r="M233" s="301"/>
      <c r="N233" s="112"/>
      <c r="O233" s="112"/>
      <c r="P233" s="112"/>
      <c r="Q233" s="112"/>
      <c r="AJ233" s="111"/>
      <c r="AW233" s="111"/>
      <c r="AX233" s="111"/>
    </row>
    <row r="234" spans="1:50" ht="12" customHeight="1">
      <c r="A234" s="112"/>
      <c r="B234" s="250"/>
      <c r="C234" s="112"/>
      <c r="D234" s="112"/>
      <c r="E234" s="112"/>
      <c r="F234" s="112"/>
      <c r="G234" s="112"/>
      <c r="H234" s="112"/>
      <c r="I234" s="112"/>
      <c r="J234" s="278"/>
      <c r="K234" s="235"/>
      <c r="L234" s="112"/>
      <c r="M234" s="301"/>
      <c r="N234" s="112"/>
      <c r="O234" s="112"/>
      <c r="P234" s="112"/>
      <c r="Q234" s="112"/>
      <c r="AJ234" s="111"/>
      <c r="AW234" s="111"/>
      <c r="AX234" s="111"/>
    </row>
    <row r="235" spans="1:50" ht="12" customHeight="1">
      <c r="A235" s="112"/>
      <c r="B235" s="250"/>
      <c r="C235" s="112"/>
      <c r="D235" s="112"/>
      <c r="E235" s="112"/>
      <c r="F235" s="112"/>
      <c r="G235" s="112"/>
      <c r="H235" s="112"/>
      <c r="I235" s="112"/>
      <c r="J235" s="278"/>
      <c r="K235" s="235"/>
      <c r="L235" s="112"/>
      <c r="M235" s="301"/>
      <c r="N235" s="112"/>
      <c r="O235" s="112"/>
      <c r="P235" s="112"/>
      <c r="Q235" s="112"/>
      <c r="AJ235" s="111"/>
      <c r="AW235" s="111"/>
      <c r="AX235" s="111"/>
    </row>
    <row r="236" spans="1:50" ht="12" customHeight="1">
      <c r="A236" s="112"/>
      <c r="B236" s="250"/>
      <c r="C236" s="112"/>
      <c r="D236" s="112"/>
      <c r="E236" s="112"/>
      <c r="F236" s="112"/>
      <c r="G236" s="112"/>
      <c r="H236" s="112"/>
      <c r="I236" s="112"/>
      <c r="J236" s="278"/>
      <c r="K236" s="235"/>
      <c r="L236" s="112"/>
      <c r="M236" s="301"/>
      <c r="N236" s="112"/>
      <c r="O236" s="112"/>
      <c r="P236" s="112"/>
      <c r="Q236" s="112"/>
      <c r="AJ236" s="111"/>
      <c r="AW236" s="111"/>
      <c r="AX236" s="111"/>
    </row>
    <row r="237" spans="1:50" ht="12" customHeight="1">
      <c r="A237" s="112"/>
      <c r="B237" s="250"/>
      <c r="C237" s="112"/>
      <c r="D237" s="112"/>
      <c r="E237" s="112"/>
      <c r="F237" s="112"/>
      <c r="G237" s="112"/>
      <c r="H237" s="112"/>
      <c r="I237" s="112"/>
      <c r="J237" s="278"/>
      <c r="K237" s="235"/>
      <c r="L237" s="112"/>
      <c r="M237" s="301"/>
      <c r="N237" s="112"/>
      <c r="O237" s="112"/>
      <c r="P237" s="112"/>
      <c r="Q237" s="112"/>
      <c r="AJ237" s="111"/>
      <c r="AW237" s="111"/>
      <c r="AX237" s="111"/>
    </row>
    <row r="238" spans="1:50" ht="12" customHeight="1">
      <c r="A238" s="112"/>
      <c r="B238" s="250"/>
      <c r="C238" s="112"/>
      <c r="D238" s="112"/>
      <c r="E238" s="112"/>
      <c r="F238" s="112"/>
      <c r="G238" s="112"/>
      <c r="H238" s="112"/>
      <c r="I238" s="112"/>
      <c r="J238" s="278"/>
      <c r="K238" s="235"/>
      <c r="L238" s="112"/>
      <c r="M238" s="301"/>
      <c r="N238" s="112"/>
      <c r="O238" s="112"/>
      <c r="P238" s="112"/>
      <c r="Q238" s="112"/>
      <c r="AJ238" s="111"/>
      <c r="AW238" s="111"/>
      <c r="AX238" s="111"/>
    </row>
    <row r="239" spans="1:50" ht="12" customHeight="1">
      <c r="A239" s="112"/>
      <c r="B239" s="250"/>
      <c r="C239" s="112"/>
      <c r="D239" s="112"/>
      <c r="E239" s="112"/>
      <c r="F239" s="112"/>
      <c r="G239" s="112"/>
      <c r="H239" s="112"/>
      <c r="I239" s="112"/>
      <c r="J239" s="278"/>
      <c r="K239" s="235"/>
      <c r="L239" s="112"/>
      <c r="M239" s="301"/>
      <c r="N239" s="112"/>
      <c r="O239" s="112"/>
      <c r="P239" s="112"/>
      <c r="Q239" s="112"/>
      <c r="AJ239" s="111"/>
      <c r="AW239" s="111"/>
      <c r="AX239" s="111"/>
    </row>
    <row r="240" spans="1:50" ht="12" customHeight="1">
      <c r="A240" s="112"/>
      <c r="B240" s="250"/>
      <c r="C240" s="112"/>
      <c r="D240" s="112"/>
      <c r="E240" s="112"/>
      <c r="F240" s="112"/>
      <c r="G240" s="112"/>
      <c r="H240" s="112"/>
      <c r="I240" s="112"/>
      <c r="J240" s="278"/>
      <c r="K240" s="235"/>
      <c r="L240" s="112"/>
      <c r="M240" s="301"/>
      <c r="N240" s="112"/>
      <c r="O240" s="112"/>
      <c r="P240" s="112"/>
      <c r="Q240" s="112"/>
      <c r="AJ240" s="111"/>
      <c r="AW240" s="111"/>
      <c r="AX240" s="111"/>
    </row>
    <row r="241" spans="1:50" ht="12" customHeight="1">
      <c r="A241" s="112"/>
      <c r="B241" s="250"/>
      <c r="C241" s="112"/>
      <c r="D241" s="112"/>
      <c r="E241" s="112"/>
      <c r="F241" s="112"/>
      <c r="G241" s="112"/>
      <c r="H241" s="112"/>
      <c r="I241" s="112"/>
      <c r="J241" s="278"/>
      <c r="K241" s="235"/>
      <c r="L241" s="112"/>
      <c r="M241" s="301"/>
      <c r="N241" s="112"/>
      <c r="O241" s="112"/>
      <c r="P241" s="112"/>
      <c r="Q241" s="112"/>
      <c r="AJ241" s="111"/>
      <c r="AW241" s="111"/>
      <c r="AX241" s="111"/>
    </row>
    <row r="242" spans="1:50" ht="17.25" customHeight="1">
      <c r="A242" s="112"/>
      <c r="B242" s="250"/>
      <c r="C242" s="112"/>
      <c r="D242" s="112"/>
      <c r="E242" s="112"/>
      <c r="F242" s="112"/>
      <c r="G242" s="112"/>
      <c r="H242" s="112"/>
      <c r="I242" s="112"/>
      <c r="J242" s="278"/>
      <c r="K242" s="235"/>
      <c r="L242" s="112"/>
      <c r="M242" s="301"/>
      <c r="N242" s="112"/>
      <c r="O242" s="112"/>
      <c r="P242" s="112"/>
      <c r="Q242" s="112"/>
      <c r="AJ242" s="111"/>
      <c r="AW242" s="111"/>
      <c r="AX242" s="111"/>
    </row>
    <row r="243" spans="1:50" ht="15.75" customHeight="1">
      <c r="A243" s="112"/>
      <c r="B243" s="250"/>
      <c r="C243" s="112"/>
      <c r="D243" s="112"/>
      <c r="E243" s="112"/>
      <c r="F243" s="112"/>
      <c r="G243" s="112"/>
      <c r="H243" s="112"/>
      <c r="I243" s="112"/>
      <c r="J243" s="278"/>
      <c r="K243" s="235"/>
      <c r="L243" s="112"/>
      <c r="M243" s="301"/>
      <c r="N243" s="112"/>
      <c r="O243" s="112"/>
      <c r="P243" s="112"/>
      <c r="Q243" s="112"/>
      <c r="AJ243" s="111"/>
      <c r="AW243" s="111"/>
      <c r="AX243" s="111"/>
    </row>
    <row r="244" spans="1:50" ht="12.75" customHeight="1">
      <c r="A244" s="112"/>
      <c r="B244" s="250"/>
      <c r="C244" s="112"/>
      <c r="D244" s="112"/>
      <c r="E244" s="112"/>
      <c r="F244" s="112"/>
      <c r="G244" s="112"/>
      <c r="H244" s="112"/>
      <c r="I244" s="112"/>
      <c r="J244" s="278"/>
      <c r="K244" s="235"/>
      <c r="L244" s="112"/>
      <c r="M244" s="301"/>
      <c r="N244" s="112"/>
      <c r="O244" s="112"/>
      <c r="P244" s="112"/>
      <c r="Q244" s="112"/>
      <c r="AJ244" s="111"/>
      <c r="AW244" s="111"/>
      <c r="AX244" s="111"/>
    </row>
    <row r="245" spans="1:50" ht="12.75" customHeight="1">
      <c r="A245" s="112"/>
      <c r="B245" s="250"/>
      <c r="C245" s="112"/>
      <c r="D245" s="112"/>
      <c r="E245" s="112"/>
      <c r="F245" s="112"/>
      <c r="G245" s="112"/>
      <c r="H245" s="112"/>
      <c r="I245" s="112"/>
      <c r="J245" s="278"/>
      <c r="K245" s="235"/>
      <c r="L245" s="112"/>
      <c r="M245" s="301"/>
      <c r="N245" s="112"/>
      <c r="O245" s="112"/>
      <c r="P245" s="112"/>
      <c r="Q245" s="112"/>
      <c r="AJ245" s="111"/>
      <c r="AW245" s="111"/>
      <c r="AX245" s="111"/>
    </row>
    <row r="246" spans="1:50" ht="12.75" customHeight="1">
      <c r="A246" s="112"/>
      <c r="B246" s="92"/>
      <c r="C246" s="92"/>
      <c r="D246" s="96"/>
      <c r="E246" s="112"/>
      <c r="F246" s="112"/>
      <c r="G246" s="112"/>
      <c r="H246" s="112"/>
      <c r="I246" s="112"/>
      <c r="J246" s="278"/>
      <c r="K246" s="235"/>
      <c r="L246" s="112"/>
      <c r="M246" s="301"/>
      <c r="N246" s="112"/>
      <c r="O246" s="112"/>
      <c r="P246" s="112"/>
      <c r="Q246" s="112"/>
      <c r="AJ246" s="111"/>
      <c r="AW246" s="111"/>
      <c r="AX246" s="111"/>
    </row>
    <row r="247" spans="1:50" ht="12.75" customHeight="1">
      <c r="A247" s="92"/>
      <c r="B247" s="92"/>
      <c r="C247" s="92"/>
      <c r="D247" s="96"/>
      <c r="E247" s="112"/>
      <c r="F247" s="112"/>
      <c r="G247" s="112"/>
      <c r="H247" s="112"/>
      <c r="I247" s="112"/>
      <c r="J247" s="278"/>
      <c r="K247" s="235"/>
      <c r="L247" s="112"/>
      <c r="M247" s="301"/>
      <c r="N247" s="112"/>
      <c r="O247" s="112"/>
      <c r="P247" s="112"/>
      <c r="Q247" s="112"/>
      <c r="AJ247" s="111"/>
      <c r="AW247" s="111"/>
      <c r="AX247" s="111"/>
    </row>
    <row r="248" spans="1:50" ht="12.75" customHeight="1">
      <c r="A248" s="92"/>
      <c r="B248" s="92"/>
      <c r="C248" s="92"/>
      <c r="D248" s="96"/>
      <c r="E248" s="112"/>
      <c r="F248" s="112"/>
      <c r="G248" s="112"/>
      <c r="H248" s="112"/>
      <c r="I248" s="112"/>
      <c r="J248" s="278"/>
      <c r="K248" s="235"/>
      <c r="L248" s="112"/>
      <c r="M248" s="301"/>
      <c r="N248" s="112"/>
      <c r="O248" s="112"/>
      <c r="P248" s="112"/>
      <c r="Q248" s="112"/>
      <c r="AJ248" s="111"/>
      <c r="AW248" s="111"/>
      <c r="AX248" s="111"/>
    </row>
    <row r="249" spans="1:50" ht="12.75" customHeight="1">
      <c r="A249" s="92"/>
      <c r="B249" s="92"/>
      <c r="C249" s="92"/>
      <c r="D249" s="96"/>
      <c r="E249" s="112"/>
      <c r="F249" s="112"/>
      <c r="G249" s="112"/>
      <c r="H249" s="112"/>
      <c r="I249" s="112"/>
      <c r="J249" s="278"/>
      <c r="K249" s="235"/>
      <c r="L249" s="112"/>
      <c r="M249" s="301"/>
      <c r="N249" s="112"/>
      <c r="O249" s="112"/>
      <c r="P249" s="112"/>
      <c r="Q249" s="112"/>
      <c r="AJ249" s="111"/>
      <c r="AW249" s="111"/>
      <c r="AX249" s="111"/>
    </row>
    <row r="250" spans="1:50" ht="12.75" customHeight="1">
      <c r="A250" s="92"/>
      <c r="B250" s="92"/>
      <c r="C250" s="92"/>
      <c r="D250" s="92"/>
      <c r="E250" s="112"/>
      <c r="F250" s="197"/>
      <c r="G250" s="197"/>
      <c r="H250" s="197"/>
      <c r="I250" s="197"/>
      <c r="J250" s="278"/>
      <c r="K250" s="235"/>
      <c r="L250" s="112"/>
      <c r="M250" s="301"/>
      <c r="N250" s="112"/>
      <c r="O250" s="112"/>
      <c r="P250" s="112"/>
      <c r="Q250" s="112"/>
      <c r="AJ250" s="111"/>
      <c r="AW250" s="111"/>
      <c r="AX250" s="111"/>
    </row>
    <row r="251" spans="1:50" ht="12.75" customHeight="1">
      <c r="A251" s="92"/>
      <c r="B251" s="92"/>
      <c r="C251" s="92"/>
      <c r="D251" s="92"/>
      <c r="E251" s="112"/>
      <c r="F251" s="112"/>
      <c r="G251" s="112"/>
      <c r="H251" s="112"/>
      <c r="I251" s="112"/>
      <c r="J251" s="278"/>
      <c r="K251" s="235"/>
      <c r="L251" s="112"/>
      <c r="M251" s="301"/>
      <c r="N251" s="112"/>
      <c r="O251" s="112"/>
      <c r="P251" s="112"/>
      <c r="Q251" s="112"/>
      <c r="AJ251" s="111"/>
      <c r="AW251" s="111"/>
      <c r="AX251" s="111"/>
    </row>
    <row r="252" spans="1:50" ht="12.75" customHeight="1">
      <c r="A252" s="92"/>
      <c r="B252" s="92"/>
      <c r="C252" s="92"/>
      <c r="D252" s="314"/>
      <c r="E252" s="315"/>
      <c r="F252" s="315"/>
      <c r="G252" s="315"/>
      <c r="H252" s="315"/>
      <c r="I252" s="316"/>
      <c r="J252" s="278"/>
      <c r="K252" s="235"/>
      <c r="L252" s="112"/>
      <c r="M252" s="301"/>
      <c r="N252" s="112"/>
      <c r="O252" s="112"/>
      <c r="P252" s="112"/>
      <c r="Q252" s="112"/>
      <c r="AJ252" s="111"/>
      <c r="AW252" s="111"/>
      <c r="AX252" s="111"/>
    </row>
    <row r="253" spans="1:50" ht="12.75" customHeight="1">
      <c r="A253" s="92"/>
      <c r="B253" s="92"/>
      <c r="C253" s="92"/>
      <c r="D253" s="314"/>
      <c r="E253" s="315"/>
      <c r="F253" s="315"/>
      <c r="G253" s="315"/>
      <c r="H253" s="315"/>
      <c r="I253" s="290"/>
      <c r="J253" s="112"/>
      <c r="K253" s="112"/>
      <c r="L253" s="112"/>
      <c r="M253" s="301"/>
      <c r="N253" s="112"/>
      <c r="O253" s="112"/>
      <c r="P253" s="112"/>
      <c r="Q253" s="112"/>
      <c r="AJ253" s="111"/>
      <c r="AW253" s="111"/>
      <c r="AX253" s="111"/>
    </row>
    <row r="254" spans="1:50" ht="12.75" customHeight="1">
      <c r="A254" s="90"/>
      <c r="B254" s="407"/>
      <c r="C254" s="90"/>
      <c r="D254" s="317"/>
      <c r="E254" s="318"/>
      <c r="F254" s="319"/>
      <c r="G254" s="319"/>
      <c r="H254" s="319"/>
      <c r="I254" s="316"/>
      <c r="J254" s="112"/>
      <c r="K254" s="112"/>
      <c r="L254" s="112"/>
      <c r="M254" s="197"/>
      <c r="N254" s="112"/>
      <c r="O254" s="112"/>
      <c r="P254" s="112"/>
      <c r="Q254" s="112"/>
      <c r="AJ254" s="111"/>
      <c r="AW254" s="111"/>
      <c r="AX254" s="111"/>
    </row>
    <row r="255" spans="1:50" ht="12.75" customHeight="1">
      <c r="A255" s="407" t="e">
        <f>(F15-#REF!)*12%</f>
        <v>#REF!</v>
      </c>
      <c r="B255" s="90"/>
      <c r="C255" s="90"/>
      <c r="D255" s="317"/>
      <c r="F255" s="319"/>
      <c r="G255" s="319"/>
      <c r="H255" s="319"/>
      <c r="I255" s="320"/>
      <c r="J255" s="112"/>
      <c r="K255" s="112"/>
      <c r="L255" s="112"/>
      <c r="M255" s="197"/>
      <c r="N255" s="112"/>
      <c r="O255" s="112"/>
      <c r="P255" s="112"/>
      <c r="Q255" s="112"/>
      <c r="AJ255" s="111"/>
      <c r="AW255" s="111"/>
      <c r="AX255" s="111"/>
    </row>
    <row r="256" spans="1:50" ht="12.75" customHeight="1">
      <c r="A256" s="408"/>
      <c r="B256" s="90"/>
      <c r="C256" s="90"/>
      <c r="D256" s="317"/>
      <c r="E256" s="318"/>
      <c r="F256" s="318"/>
      <c r="G256" s="318"/>
      <c r="H256" s="318"/>
      <c r="J256" s="112"/>
      <c r="K256" s="112"/>
      <c r="L256" s="112"/>
      <c r="M256" s="197"/>
      <c r="N256" s="112"/>
      <c r="O256" s="112"/>
      <c r="P256" s="112"/>
      <c r="Q256" s="112"/>
      <c r="AJ256" s="111"/>
      <c r="AW256" s="111"/>
      <c r="AX256" s="111"/>
    </row>
    <row r="257" spans="1:50" ht="12.75" customHeight="1">
      <c r="A257" s="90"/>
      <c r="D257" s="321"/>
      <c r="E257" s="318"/>
      <c r="F257" s="318"/>
      <c r="G257" s="318"/>
      <c r="H257" s="318"/>
      <c r="J257" s="112"/>
      <c r="K257" s="1568"/>
      <c r="L257" s="1568"/>
      <c r="M257" s="1568"/>
      <c r="N257" s="112"/>
      <c r="O257" s="112"/>
      <c r="P257" s="1568"/>
      <c r="Q257" s="1568"/>
      <c r="AJ257" s="111"/>
      <c r="AW257" s="111"/>
      <c r="AX257" s="111"/>
    </row>
    <row r="258" spans="1:50" ht="12.75" customHeight="1">
      <c r="D258" s="321"/>
      <c r="E258" s="318"/>
      <c r="F258" s="318"/>
      <c r="G258" s="318"/>
      <c r="H258" s="318"/>
      <c r="J258" s="112"/>
      <c r="K258" s="112"/>
      <c r="L258" s="1564"/>
      <c r="M258" s="1564"/>
      <c r="N258" s="112"/>
      <c r="O258" s="112"/>
      <c r="P258" s="112"/>
      <c r="Q258" s="112"/>
      <c r="AJ258" s="111"/>
      <c r="AW258" s="111"/>
      <c r="AX258" s="111"/>
    </row>
    <row r="259" spans="1:50" ht="12.75" customHeight="1">
      <c r="D259" s="321"/>
      <c r="E259" s="318"/>
      <c r="F259" s="318"/>
      <c r="G259" s="318"/>
      <c r="H259" s="318"/>
      <c r="J259" s="112"/>
      <c r="K259" s="316"/>
      <c r="L259" s="98"/>
      <c r="M259" s="112"/>
      <c r="N259" s="112"/>
      <c r="O259" s="112"/>
      <c r="P259" s="112"/>
      <c r="Q259" s="112"/>
      <c r="AJ259" s="111"/>
      <c r="AW259" s="111"/>
      <c r="AX259" s="111"/>
    </row>
    <row r="260" spans="1:50" ht="12.75" customHeight="1">
      <c r="D260" s="321"/>
      <c r="E260" s="318"/>
      <c r="F260" s="318"/>
      <c r="G260" s="318"/>
      <c r="H260" s="318"/>
      <c r="J260" s="112"/>
      <c r="K260" s="290"/>
      <c r="L260" s="98"/>
      <c r="M260" s="112"/>
      <c r="N260" s="112"/>
      <c r="O260" s="112"/>
      <c r="P260" s="112"/>
      <c r="Q260" s="112"/>
      <c r="AJ260" s="111"/>
      <c r="AW260" s="111"/>
      <c r="AX260" s="111"/>
    </row>
    <row r="261" spans="1:50" ht="12.75" customHeight="1">
      <c r="D261" s="321"/>
      <c r="E261" s="318"/>
      <c r="F261" s="318"/>
      <c r="G261" s="318"/>
      <c r="H261" s="318"/>
      <c r="K261" s="316"/>
      <c r="L261" s="320"/>
      <c r="AJ261" s="111"/>
      <c r="AW261" s="111"/>
      <c r="AX261" s="111"/>
    </row>
    <row r="262" spans="1:50" ht="12.75" customHeight="1">
      <c r="D262" s="321"/>
      <c r="E262" s="318"/>
      <c r="F262" s="318"/>
      <c r="G262" s="318"/>
      <c r="H262" s="318"/>
      <c r="K262" s="322"/>
      <c r="L262" s="320"/>
      <c r="AJ262" s="111"/>
      <c r="AW262" s="111"/>
      <c r="AX262" s="111"/>
    </row>
    <row r="263" spans="1:50" ht="12.75" customHeight="1">
      <c r="D263" s="321"/>
      <c r="E263" s="318"/>
      <c r="F263" s="318"/>
      <c r="G263" s="318"/>
      <c r="H263" s="318"/>
      <c r="J263" s="322"/>
      <c r="K263" s="170"/>
      <c r="L263" s="111"/>
      <c r="AJ263" s="111"/>
      <c r="AW263" s="111"/>
      <c r="AX263" s="111"/>
    </row>
    <row r="264" spans="1:50" ht="12.75" customHeight="1">
      <c r="D264" s="321"/>
      <c r="E264" s="318"/>
      <c r="F264" s="318"/>
      <c r="G264" s="318"/>
      <c r="H264" s="318"/>
      <c r="J264" s="316"/>
      <c r="K264" s="170"/>
      <c r="L264" s="111"/>
      <c r="AJ264" s="111"/>
      <c r="AW264" s="111"/>
      <c r="AX264" s="111"/>
    </row>
    <row r="265" spans="1:50" ht="12.75" customHeight="1">
      <c r="D265" s="321"/>
      <c r="E265" s="318"/>
      <c r="F265" s="318"/>
      <c r="G265" s="318"/>
      <c r="H265" s="318"/>
      <c r="J265" s="290"/>
      <c r="K265" s="170"/>
      <c r="L265" s="111"/>
      <c r="AJ265" s="111"/>
      <c r="AW265" s="111"/>
      <c r="AX265" s="111"/>
    </row>
    <row r="266" spans="1:50" ht="12.75" customHeight="1">
      <c r="D266" s="321"/>
      <c r="E266" s="318"/>
      <c r="F266" s="318"/>
      <c r="G266" s="318"/>
      <c r="H266" s="318"/>
      <c r="J266" s="316"/>
      <c r="K266" s="170"/>
      <c r="L266" s="111"/>
      <c r="AJ266" s="111"/>
      <c r="AW266" s="111"/>
      <c r="AX266" s="111"/>
    </row>
    <row r="267" spans="1:50" ht="12.75" customHeight="1">
      <c r="D267" s="321"/>
      <c r="E267" s="318"/>
      <c r="F267" s="318"/>
      <c r="G267" s="318"/>
      <c r="H267" s="318"/>
      <c r="J267" s="320"/>
      <c r="K267" s="170"/>
      <c r="L267" s="111"/>
      <c r="AJ267" s="111"/>
      <c r="AW267" s="111"/>
      <c r="AX267" s="111"/>
    </row>
    <row r="268" spans="1:50" ht="12.75" customHeight="1">
      <c r="D268" s="321"/>
      <c r="E268" s="318"/>
      <c r="F268" s="318"/>
      <c r="G268" s="318"/>
      <c r="H268" s="318"/>
      <c r="K268" s="170"/>
      <c r="L268" s="111"/>
      <c r="AJ268" s="111"/>
      <c r="AW268" s="111"/>
      <c r="AX268" s="111"/>
    </row>
    <row r="269" spans="1:50" ht="12.75" customHeight="1">
      <c r="D269" s="321"/>
      <c r="E269" s="318"/>
      <c r="F269" s="318"/>
      <c r="G269" s="318"/>
      <c r="H269" s="318"/>
      <c r="K269" s="170"/>
      <c r="L269" s="111"/>
      <c r="AJ269" s="111"/>
      <c r="AW269" s="111"/>
      <c r="AX269" s="111"/>
    </row>
    <row r="270" spans="1:50" ht="12.75" customHeight="1">
      <c r="D270" s="321"/>
      <c r="E270" s="318"/>
      <c r="F270" s="318"/>
      <c r="G270" s="318"/>
      <c r="H270" s="318"/>
      <c r="K270" s="170"/>
      <c r="L270" s="111"/>
      <c r="AJ270" s="111"/>
      <c r="AW270" s="111"/>
      <c r="AX270" s="111"/>
    </row>
    <row r="271" spans="1:50" ht="12.75" customHeight="1">
      <c r="D271" s="321"/>
      <c r="E271" s="318"/>
      <c r="F271" s="318"/>
      <c r="G271" s="318"/>
      <c r="H271" s="318"/>
      <c r="K271" s="170"/>
      <c r="L271" s="111"/>
      <c r="AJ271" s="111"/>
      <c r="AW271" s="111"/>
      <c r="AX271" s="111"/>
    </row>
    <row r="272" spans="1:50" ht="12.75" customHeight="1">
      <c r="D272" s="321"/>
      <c r="E272" s="318"/>
      <c r="F272" s="318"/>
      <c r="G272" s="318"/>
      <c r="H272" s="318"/>
      <c r="K272" s="170"/>
      <c r="L272" s="111"/>
      <c r="AJ272" s="111"/>
      <c r="AW272" s="111"/>
      <c r="AX272" s="111"/>
    </row>
    <row r="273" spans="4:50" ht="12.75" customHeight="1">
      <c r="D273" s="321"/>
      <c r="E273" s="318"/>
      <c r="F273" s="318"/>
      <c r="G273" s="318"/>
      <c r="H273" s="318"/>
      <c r="K273" s="170"/>
      <c r="L273" s="111"/>
      <c r="AJ273" s="111"/>
      <c r="AW273" s="111"/>
      <c r="AX273" s="111"/>
    </row>
    <row r="274" spans="4:50" ht="12.75" customHeight="1">
      <c r="D274" s="321"/>
      <c r="E274" s="318"/>
      <c r="F274" s="318"/>
      <c r="G274" s="318"/>
      <c r="H274" s="318"/>
      <c r="K274" s="170"/>
      <c r="L274" s="111"/>
      <c r="AJ274" s="111"/>
      <c r="AW274" s="111"/>
      <c r="AX274" s="111"/>
    </row>
    <row r="275" spans="4:50" ht="12.75" customHeight="1">
      <c r="D275" s="321"/>
      <c r="E275" s="318"/>
      <c r="F275" s="318"/>
      <c r="G275" s="318"/>
      <c r="H275" s="318"/>
      <c r="AJ275" s="111"/>
      <c r="AW275" s="111"/>
      <c r="AX275" s="111"/>
    </row>
    <row r="276" spans="4:50" ht="12.75" customHeight="1">
      <c r="D276" s="321"/>
      <c r="E276" s="318"/>
      <c r="F276" s="318"/>
      <c r="G276" s="318"/>
      <c r="H276" s="318"/>
      <c r="AJ276" s="111"/>
      <c r="AW276" s="111"/>
      <c r="AX276" s="111"/>
    </row>
    <row r="277" spans="4:50" ht="12.75" customHeight="1">
      <c r="D277" s="321"/>
      <c r="E277" s="318"/>
      <c r="F277" s="318"/>
      <c r="G277" s="318"/>
      <c r="H277" s="318"/>
      <c r="AJ277" s="111"/>
      <c r="AW277" s="111"/>
      <c r="AX277" s="111"/>
    </row>
    <row r="278" spans="4:50" ht="12.75" customHeight="1">
      <c r="D278" s="321"/>
      <c r="E278" s="318"/>
      <c r="F278" s="318"/>
      <c r="G278" s="318"/>
      <c r="H278" s="318"/>
      <c r="AJ278" s="111"/>
      <c r="AW278" s="111"/>
      <c r="AX278" s="111"/>
    </row>
    <row r="279" spans="4:50" ht="12.75" customHeight="1">
      <c r="D279" s="321"/>
      <c r="E279" s="318"/>
      <c r="F279" s="318"/>
      <c r="G279" s="318"/>
      <c r="H279" s="318"/>
      <c r="AJ279" s="111"/>
      <c r="AW279" s="111"/>
      <c r="AX279" s="111"/>
    </row>
    <row r="280" spans="4:50" ht="12.75" customHeight="1">
      <c r="D280" s="321"/>
      <c r="E280" s="318"/>
      <c r="F280" s="318"/>
      <c r="G280" s="318"/>
      <c r="H280" s="318"/>
      <c r="AJ280" s="111"/>
      <c r="AW280" s="111"/>
      <c r="AX280" s="111"/>
    </row>
    <row r="281" spans="4:50" ht="12.75" customHeight="1">
      <c r="D281" s="321"/>
      <c r="E281" s="318"/>
      <c r="F281" s="318"/>
      <c r="G281" s="318"/>
      <c r="H281" s="318"/>
      <c r="AJ281" s="111"/>
      <c r="AW281" s="111"/>
      <c r="AX281" s="111"/>
    </row>
    <row r="282" spans="4:50" ht="12.75" customHeight="1">
      <c r="D282" s="321"/>
      <c r="E282" s="318"/>
      <c r="F282" s="318"/>
      <c r="G282" s="318"/>
      <c r="H282" s="318"/>
      <c r="AJ282" s="111"/>
      <c r="AW282" s="111"/>
      <c r="AX282" s="111"/>
    </row>
    <row r="283" spans="4:50" ht="12.75" customHeight="1">
      <c r="D283" s="321"/>
      <c r="E283" s="318"/>
      <c r="F283" s="318"/>
      <c r="G283" s="318"/>
      <c r="H283" s="318"/>
      <c r="AJ283" s="111"/>
      <c r="AW283" s="111"/>
      <c r="AX283" s="111"/>
    </row>
    <row r="284" spans="4:50" ht="12.75" customHeight="1">
      <c r="D284" s="321"/>
      <c r="E284" s="318"/>
      <c r="F284" s="318"/>
      <c r="G284" s="318"/>
      <c r="H284" s="318"/>
      <c r="AJ284" s="111"/>
      <c r="AW284" s="111"/>
      <c r="AX284" s="111"/>
    </row>
    <row r="285" spans="4:50" ht="12.75" customHeight="1">
      <c r="D285" s="321"/>
      <c r="E285" s="318"/>
      <c r="F285" s="318"/>
      <c r="G285" s="318"/>
      <c r="H285" s="318"/>
      <c r="AJ285" s="111"/>
      <c r="AW285" s="111"/>
      <c r="AX285" s="111"/>
    </row>
    <row r="286" spans="4:50" ht="12.75" customHeight="1">
      <c r="D286" s="321"/>
      <c r="E286" s="318"/>
      <c r="F286" s="318"/>
      <c r="G286" s="318"/>
      <c r="H286" s="318"/>
      <c r="AJ286" s="111"/>
      <c r="AW286" s="111"/>
      <c r="AX286" s="111"/>
    </row>
    <row r="287" spans="4:50" ht="12.75" customHeight="1">
      <c r="D287" s="321"/>
      <c r="E287" s="318"/>
      <c r="F287" s="318"/>
      <c r="G287" s="318"/>
      <c r="H287" s="318"/>
      <c r="AJ287" s="111"/>
      <c r="AW287" s="111"/>
      <c r="AX287" s="111"/>
    </row>
    <row r="288" spans="4:50" ht="12.75" customHeight="1">
      <c r="D288" s="321"/>
      <c r="E288" s="318"/>
      <c r="F288" s="318"/>
      <c r="G288" s="318"/>
      <c r="H288" s="318"/>
      <c r="AJ288" s="111"/>
      <c r="AW288" s="111"/>
      <c r="AX288" s="111"/>
    </row>
    <row r="289" spans="4:50" ht="12.75" customHeight="1">
      <c r="D289" s="321"/>
      <c r="E289" s="318"/>
      <c r="F289" s="318"/>
      <c r="G289" s="318"/>
      <c r="H289" s="318"/>
      <c r="AJ289" s="111"/>
      <c r="AW289" s="111"/>
      <c r="AX289" s="111"/>
    </row>
    <row r="290" spans="4:50" ht="12.75" customHeight="1">
      <c r="D290" s="321"/>
      <c r="E290" s="318"/>
      <c r="F290" s="318"/>
      <c r="G290" s="318"/>
      <c r="H290" s="318"/>
      <c r="AJ290" s="111"/>
      <c r="AW290" s="111"/>
      <c r="AX290" s="111"/>
    </row>
    <row r="291" spans="4:50" ht="12.75" customHeight="1">
      <c r="D291" s="321"/>
      <c r="E291" s="318"/>
      <c r="F291" s="318"/>
      <c r="G291" s="318"/>
      <c r="H291" s="318"/>
      <c r="AJ291" s="111"/>
      <c r="AW291" s="111"/>
      <c r="AX291" s="111"/>
    </row>
    <row r="292" spans="4:50" ht="12.75" customHeight="1">
      <c r="D292" s="321"/>
      <c r="E292" s="318"/>
      <c r="F292" s="318"/>
      <c r="G292" s="318"/>
      <c r="H292" s="318"/>
      <c r="AJ292" s="111"/>
      <c r="AW292" s="111"/>
      <c r="AX292" s="111"/>
    </row>
    <row r="293" spans="4:50" ht="12.75" customHeight="1">
      <c r="D293" s="321"/>
      <c r="E293" s="318"/>
      <c r="F293" s="318"/>
      <c r="G293" s="318"/>
      <c r="H293" s="318"/>
      <c r="AJ293" s="111"/>
      <c r="AW293" s="111"/>
      <c r="AX293" s="111"/>
    </row>
    <row r="294" spans="4:50" ht="12.75" customHeight="1">
      <c r="D294" s="321"/>
      <c r="E294" s="318"/>
      <c r="F294" s="318"/>
      <c r="G294" s="318"/>
      <c r="H294" s="318"/>
      <c r="AJ294" s="111"/>
      <c r="AW294" s="111"/>
      <c r="AX294" s="111"/>
    </row>
    <row r="295" spans="4:50" ht="12.75" customHeight="1">
      <c r="D295" s="321"/>
      <c r="E295" s="318"/>
      <c r="F295" s="318"/>
      <c r="G295" s="318"/>
      <c r="H295" s="318"/>
      <c r="AJ295" s="111"/>
      <c r="AW295" s="111"/>
      <c r="AX295" s="111"/>
    </row>
    <row r="296" spans="4:50" ht="12.75" customHeight="1">
      <c r="D296" s="321"/>
      <c r="E296" s="318"/>
      <c r="F296" s="318"/>
      <c r="G296" s="318"/>
      <c r="H296" s="318"/>
      <c r="AJ296" s="111"/>
      <c r="AW296" s="111"/>
      <c r="AX296" s="111"/>
    </row>
    <row r="297" spans="4:50" ht="12.75" customHeight="1">
      <c r="D297" s="321"/>
      <c r="E297" s="318"/>
      <c r="F297" s="318"/>
      <c r="G297" s="318"/>
      <c r="H297" s="318"/>
      <c r="AJ297" s="111"/>
      <c r="AW297" s="111"/>
      <c r="AX297" s="111"/>
    </row>
    <row r="298" spans="4:50" ht="12.75" customHeight="1">
      <c r="D298" s="321"/>
      <c r="E298" s="318"/>
      <c r="F298" s="318"/>
      <c r="G298" s="318"/>
      <c r="H298" s="318"/>
      <c r="AJ298" s="111"/>
      <c r="AW298" s="111"/>
      <c r="AX298" s="111"/>
    </row>
    <row r="299" spans="4:50" ht="12.75" customHeight="1">
      <c r="D299" s="321"/>
      <c r="E299" s="318"/>
      <c r="F299" s="318"/>
      <c r="G299" s="318"/>
      <c r="H299" s="318"/>
      <c r="AJ299" s="111"/>
      <c r="AW299" s="111"/>
      <c r="AX299" s="111"/>
    </row>
    <row r="300" spans="4:50" ht="12.75" customHeight="1">
      <c r="D300" s="321"/>
      <c r="E300" s="318"/>
      <c r="F300" s="318"/>
      <c r="G300" s="318"/>
      <c r="H300" s="318"/>
      <c r="AJ300" s="111"/>
      <c r="AW300" s="111"/>
      <c r="AX300" s="111"/>
    </row>
    <row r="301" spans="4:50" ht="12.75" customHeight="1">
      <c r="D301" s="321"/>
      <c r="E301" s="318"/>
      <c r="F301" s="318"/>
      <c r="G301" s="318"/>
      <c r="H301" s="318"/>
      <c r="AJ301" s="111"/>
      <c r="AW301" s="111"/>
      <c r="AX301" s="111"/>
    </row>
    <row r="302" spans="4:50" ht="12.75" customHeight="1">
      <c r="D302" s="321"/>
      <c r="E302" s="318"/>
      <c r="F302" s="318"/>
      <c r="G302" s="318"/>
      <c r="H302" s="318"/>
      <c r="AJ302" s="111"/>
      <c r="AW302" s="111"/>
      <c r="AX302" s="111"/>
    </row>
    <row r="303" spans="4:50" ht="12.75" customHeight="1">
      <c r="D303" s="321"/>
      <c r="E303" s="318"/>
      <c r="F303" s="318"/>
      <c r="G303" s="318"/>
      <c r="H303" s="318"/>
      <c r="AJ303" s="111"/>
      <c r="AW303" s="111"/>
      <c r="AX303" s="111"/>
    </row>
    <row r="304" spans="4:50" ht="12.75" customHeight="1">
      <c r="D304" s="321"/>
      <c r="E304" s="318"/>
      <c r="F304" s="318"/>
      <c r="G304" s="318"/>
      <c r="H304" s="318"/>
      <c r="AJ304" s="111"/>
      <c r="AW304" s="111"/>
      <c r="AX304" s="111"/>
    </row>
    <row r="305" spans="4:50" ht="12.75" customHeight="1">
      <c r="D305" s="321"/>
      <c r="E305" s="318"/>
      <c r="F305" s="318"/>
      <c r="G305" s="318"/>
      <c r="H305" s="318"/>
      <c r="AJ305" s="111"/>
      <c r="AW305" s="111"/>
      <c r="AX305" s="111"/>
    </row>
    <row r="306" spans="4:50" ht="12.75" customHeight="1">
      <c r="D306" s="321"/>
      <c r="E306" s="318"/>
      <c r="F306" s="318"/>
      <c r="G306" s="318"/>
      <c r="H306" s="318"/>
      <c r="AJ306" s="111"/>
      <c r="AW306" s="111"/>
      <c r="AX306" s="111"/>
    </row>
    <row r="307" spans="4:50" ht="12.75" customHeight="1">
      <c r="D307" s="321"/>
      <c r="E307" s="318"/>
      <c r="F307" s="318"/>
      <c r="G307" s="318"/>
      <c r="H307" s="318"/>
      <c r="AJ307" s="111"/>
      <c r="AW307" s="111"/>
      <c r="AX307" s="111"/>
    </row>
    <row r="308" spans="4:50" ht="12.75" customHeight="1">
      <c r="D308" s="321"/>
      <c r="E308" s="318"/>
      <c r="F308" s="318"/>
      <c r="G308" s="318"/>
      <c r="H308" s="318"/>
      <c r="AJ308" s="111"/>
      <c r="AW308" s="111"/>
      <c r="AX308" s="111"/>
    </row>
    <row r="309" spans="4:50" ht="12.75" customHeight="1">
      <c r="D309" s="321"/>
      <c r="E309" s="318"/>
      <c r="F309" s="318"/>
      <c r="G309" s="318"/>
      <c r="H309" s="318"/>
      <c r="AJ309" s="111"/>
      <c r="AW309" s="111"/>
      <c r="AX309" s="111"/>
    </row>
    <row r="310" spans="4:50" ht="12.75" customHeight="1">
      <c r="D310" s="321"/>
      <c r="E310" s="318"/>
      <c r="F310" s="318"/>
      <c r="G310" s="318"/>
      <c r="H310" s="318"/>
      <c r="AJ310" s="111"/>
      <c r="AW310" s="111"/>
      <c r="AX310" s="111"/>
    </row>
    <row r="311" spans="4:50" ht="12.75" customHeight="1">
      <c r="D311" s="321"/>
      <c r="E311" s="318"/>
      <c r="F311" s="318"/>
      <c r="G311" s="318"/>
      <c r="H311" s="318"/>
      <c r="AJ311" s="111"/>
      <c r="AW311" s="111"/>
      <c r="AX311" s="111"/>
    </row>
    <row r="312" spans="4:50" ht="12.75" customHeight="1">
      <c r="D312" s="321"/>
      <c r="E312" s="318"/>
      <c r="F312" s="318"/>
      <c r="G312" s="318"/>
      <c r="H312" s="318"/>
      <c r="AJ312" s="111"/>
      <c r="AW312" s="111"/>
      <c r="AX312" s="111"/>
    </row>
    <row r="313" spans="4:50" ht="12.75" customHeight="1">
      <c r="D313" s="321"/>
      <c r="E313" s="318"/>
      <c r="F313" s="318"/>
      <c r="G313" s="318"/>
      <c r="H313" s="318"/>
      <c r="AJ313" s="111"/>
      <c r="AW313" s="111"/>
      <c r="AX313" s="111"/>
    </row>
    <row r="314" spans="4:50" ht="12.75" customHeight="1">
      <c r="D314" s="321"/>
      <c r="E314" s="318"/>
      <c r="F314" s="318"/>
      <c r="G314" s="318"/>
      <c r="H314" s="318"/>
      <c r="AJ314" s="111"/>
      <c r="AW314" s="111"/>
      <c r="AX314" s="111"/>
    </row>
    <row r="315" spans="4:50" ht="12.75" customHeight="1">
      <c r="D315" s="321"/>
      <c r="E315" s="318"/>
      <c r="F315" s="318"/>
      <c r="G315" s="318"/>
      <c r="H315" s="318"/>
      <c r="AJ315" s="111"/>
      <c r="AW315" s="111"/>
      <c r="AX315" s="111"/>
    </row>
    <row r="316" spans="4:50" ht="12.75" customHeight="1">
      <c r="D316" s="321"/>
      <c r="E316" s="318"/>
      <c r="F316" s="318"/>
      <c r="G316" s="318"/>
      <c r="H316" s="318"/>
      <c r="AJ316" s="111"/>
      <c r="AW316" s="111"/>
      <c r="AX316" s="111"/>
    </row>
    <row r="317" spans="4:50" ht="12.75" customHeight="1">
      <c r="D317" s="321"/>
      <c r="E317" s="318"/>
      <c r="F317" s="318"/>
      <c r="G317" s="318"/>
      <c r="H317" s="318"/>
      <c r="AJ317" s="111"/>
      <c r="AW317" s="111"/>
      <c r="AX317" s="111"/>
    </row>
    <row r="318" spans="4:50" ht="12.75" customHeight="1">
      <c r="D318" s="321"/>
      <c r="E318" s="318"/>
      <c r="F318" s="318"/>
      <c r="G318" s="318"/>
      <c r="H318" s="318"/>
      <c r="AJ318" s="111"/>
      <c r="AW318" s="111"/>
      <c r="AX318" s="111"/>
    </row>
    <row r="319" spans="4:50" ht="12.75" customHeight="1">
      <c r="D319" s="321"/>
      <c r="E319" s="318"/>
      <c r="F319" s="318"/>
      <c r="G319" s="318"/>
      <c r="H319" s="318"/>
      <c r="AJ319" s="111"/>
      <c r="AW319" s="111"/>
      <c r="AX319" s="111"/>
    </row>
    <row r="320" spans="4:50" ht="12.75" customHeight="1">
      <c r="D320" s="321"/>
      <c r="E320" s="318"/>
      <c r="F320" s="318"/>
      <c r="G320" s="318"/>
      <c r="H320" s="318"/>
      <c r="AJ320" s="111"/>
      <c r="AW320" s="111"/>
      <c r="AX320" s="111"/>
    </row>
    <row r="321" spans="4:50" ht="12.75" customHeight="1">
      <c r="D321" s="321"/>
      <c r="E321" s="318"/>
      <c r="F321" s="318"/>
      <c r="G321" s="318"/>
      <c r="H321" s="318"/>
      <c r="AJ321" s="111"/>
      <c r="AW321" s="111"/>
      <c r="AX321" s="111"/>
    </row>
    <row r="322" spans="4:50" ht="12.75" customHeight="1">
      <c r="D322" s="321"/>
      <c r="E322" s="318"/>
      <c r="F322" s="318"/>
      <c r="G322" s="318"/>
      <c r="H322" s="318"/>
      <c r="AJ322" s="111"/>
      <c r="AW322" s="111"/>
      <c r="AX322" s="111"/>
    </row>
    <row r="323" spans="4:50" ht="12.75" customHeight="1">
      <c r="D323" s="321"/>
      <c r="E323" s="318"/>
      <c r="F323" s="318"/>
      <c r="G323" s="318"/>
      <c r="H323" s="318"/>
      <c r="AJ323" s="111"/>
      <c r="AW323" s="111"/>
      <c r="AX323" s="111"/>
    </row>
    <row r="324" spans="4:50" ht="12.75" customHeight="1">
      <c r="D324" s="321"/>
      <c r="E324" s="318"/>
      <c r="F324" s="318"/>
      <c r="G324" s="318"/>
      <c r="H324" s="318"/>
      <c r="AJ324" s="111"/>
      <c r="AW324" s="111"/>
      <c r="AX324" s="111"/>
    </row>
    <row r="325" spans="4:50" ht="12.75" customHeight="1">
      <c r="D325" s="321"/>
      <c r="E325" s="318"/>
      <c r="F325" s="318"/>
      <c r="G325" s="318"/>
      <c r="H325" s="318"/>
      <c r="AJ325" s="111"/>
      <c r="AW325" s="111"/>
      <c r="AX325" s="111"/>
    </row>
    <row r="326" spans="4:50" ht="12.75" customHeight="1">
      <c r="D326" s="321"/>
      <c r="E326" s="318"/>
      <c r="F326" s="318"/>
      <c r="G326" s="318"/>
      <c r="H326" s="318"/>
      <c r="AJ326" s="111"/>
      <c r="AW326" s="111"/>
      <c r="AX326" s="111"/>
    </row>
    <row r="327" spans="4:50" ht="12.75" customHeight="1">
      <c r="D327" s="321"/>
      <c r="E327" s="318"/>
      <c r="F327" s="318"/>
      <c r="G327" s="318"/>
      <c r="H327" s="318"/>
      <c r="AJ327" s="111"/>
      <c r="AW327" s="111"/>
      <c r="AX327" s="111"/>
    </row>
    <row r="328" spans="4:50" ht="12.75" customHeight="1">
      <c r="D328" s="321"/>
      <c r="E328" s="318"/>
      <c r="F328" s="318"/>
      <c r="G328" s="318"/>
      <c r="H328" s="318"/>
      <c r="AJ328" s="111"/>
      <c r="AW328" s="111"/>
      <c r="AX328" s="111"/>
    </row>
    <row r="329" spans="4:50" ht="12.75" customHeight="1">
      <c r="D329" s="321"/>
      <c r="E329" s="318"/>
      <c r="F329" s="318"/>
      <c r="G329" s="318"/>
      <c r="H329" s="318"/>
      <c r="AJ329" s="111"/>
      <c r="AW329" s="111"/>
      <c r="AX329" s="111"/>
    </row>
    <row r="330" spans="4:50" ht="12.75" customHeight="1">
      <c r="D330" s="321"/>
      <c r="E330" s="318"/>
      <c r="F330" s="318"/>
      <c r="G330" s="318"/>
      <c r="H330" s="318"/>
      <c r="AJ330" s="111"/>
      <c r="AW330" s="111"/>
      <c r="AX330" s="111"/>
    </row>
    <row r="331" spans="4:50" ht="12.75" customHeight="1">
      <c r="D331" s="321"/>
      <c r="E331" s="318"/>
      <c r="F331" s="318"/>
      <c r="G331" s="318"/>
      <c r="H331" s="318"/>
      <c r="AJ331" s="111"/>
      <c r="AW331" s="111"/>
      <c r="AX331" s="111"/>
    </row>
    <row r="332" spans="4:50" ht="12.75" customHeight="1">
      <c r="D332" s="321"/>
      <c r="E332" s="318"/>
      <c r="F332" s="318"/>
      <c r="G332" s="318"/>
      <c r="H332" s="318"/>
      <c r="AJ332" s="111"/>
      <c r="AW332" s="111"/>
      <c r="AX332" s="111"/>
    </row>
    <row r="333" spans="4:50" ht="12.75" customHeight="1">
      <c r="D333" s="321"/>
      <c r="E333" s="318"/>
      <c r="F333" s="318"/>
      <c r="G333" s="318"/>
      <c r="H333" s="318"/>
      <c r="AJ333" s="111"/>
      <c r="AW333" s="111"/>
      <c r="AX333" s="111"/>
    </row>
    <row r="334" spans="4:50" ht="12.75" customHeight="1">
      <c r="D334" s="321"/>
      <c r="E334" s="318"/>
      <c r="F334" s="318"/>
      <c r="G334" s="318"/>
      <c r="H334" s="318"/>
      <c r="AJ334" s="111"/>
      <c r="AW334" s="111"/>
      <c r="AX334" s="111"/>
    </row>
    <row r="335" spans="4:50" ht="12.75" customHeight="1">
      <c r="D335" s="321"/>
      <c r="E335" s="318"/>
      <c r="F335" s="318"/>
      <c r="G335" s="318"/>
      <c r="H335" s="318"/>
      <c r="AJ335" s="111"/>
      <c r="AW335" s="111"/>
      <c r="AX335" s="111"/>
    </row>
    <row r="336" spans="4:50" ht="12.75" customHeight="1">
      <c r="D336" s="321"/>
      <c r="E336" s="318"/>
      <c r="F336" s="318"/>
      <c r="G336" s="318"/>
      <c r="H336" s="318"/>
      <c r="AJ336" s="111"/>
      <c r="AW336" s="111"/>
      <c r="AX336" s="111"/>
    </row>
    <row r="337" spans="4:50" ht="12.75" customHeight="1">
      <c r="D337" s="321"/>
      <c r="E337" s="318"/>
      <c r="F337" s="318"/>
      <c r="G337" s="318"/>
      <c r="H337" s="318"/>
      <c r="AJ337" s="111"/>
      <c r="AW337" s="111"/>
      <c r="AX337" s="111"/>
    </row>
    <row r="338" spans="4:50" ht="12.75" customHeight="1">
      <c r="D338" s="321"/>
      <c r="E338" s="318"/>
      <c r="F338" s="318"/>
      <c r="G338" s="318"/>
      <c r="H338" s="318"/>
      <c r="AJ338" s="111"/>
      <c r="AW338" s="111"/>
      <c r="AX338" s="111"/>
    </row>
    <row r="339" spans="4:50" ht="12.75" customHeight="1">
      <c r="D339" s="321"/>
      <c r="E339" s="318"/>
      <c r="F339" s="318"/>
      <c r="G339" s="318"/>
      <c r="H339" s="318"/>
      <c r="AJ339" s="111"/>
      <c r="AW339" s="111"/>
      <c r="AX339" s="111"/>
    </row>
    <row r="340" spans="4:50" ht="12.75" customHeight="1">
      <c r="D340" s="321"/>
      <c r="E340" s="318"/>
      <c r="F340" s="318"/>
      <c r="G340" s="318"/>
      <c r="H340" s="318"/>
      <c r="AJ340" s="111"/>
      <c r="AW340" s="111"/>
      <c r="AX340" s="111"/>
    </row>
    <row r="341" spans="4:50" ht="12.75" customHeight="1">
      <c r="D341" s="321"/>
      <c r="E341" s="318"/>
      <c r="F341" s="318"/>
      <c r="G341" s="318"/>
      <c r="H341" s="318"/>
      <c r="AJ341" s="111"/>
      <c r="AW341" s="111"/>
      <c r="AX341" s="111"/>
    </row>
    <row r="342" spans="4:50" ht="12.75" customHeight="1">
      <c r="D342" s="321"/>
      <c r="E342" s="318"/>
      <c r="F342" s="318"/>
      <c r="G342" s="318"/>
      <c r="H342" s="318"/>
      <c r="AJ342" s="111"/>
      <c r="AW342" s="111"/>
      <c r="AX342" s="111"/>
    </row>
    <row r="343" spans="4:50" ht="12.75" customHeight="1">
      <c r="D343" s="321"/>
      <c r="E343" s="318"/>
      <c r="F343" s="318"/>
      <c r="G343" s="318"/>
      <c r="H343" s="318"/>
      <c r="AJ343" s="111"/>
      <c r="AW343" s="111"/>
      <c r="AX343" s="111"/>
    </row>
    <row r="344" spans="4:50" ht="12.75" customHeight="1">
      <c r="D344" s="321"/>
      <c r="E344" s="318"/>
      <c r="F344" s="318"/>
      <c r="G344" s="318"/>
      <c r="H344" s="318"/>
      <c r="AJ344" s="111"/>
      <c r="AW344" s="111"/>
      <c r="AX344" s="111"/>
    </row>
    <row r="345" spans="4:50" ht="12.75" customHeight="1">
      <c r="D345" s="321"/>
      <c r="E345" s="318"/>
      <c r="F345" s="318"/>
      <c r="G345" s="318"/>
      <c r="H345" s="318"/>
      <c r="AJ345" s="111"/>
      <c r="AW345" s="111"/>
      <c r="AX345" s="111"/>
    </row>
    <row r="346" spans="4:50" ht="12.75" customHeight="1">
      <c r="D346" s="321"/>
      <c r="E346" s="318"/>
      <c r="F346" s="318"/>
      <c r="G346" s="318"/>
      <c r="H346" s="318"/>
      <c r="AJ346" s="111"/>
      <c r="AW346" s="111"/>
      <c r="AX346" s="111"/>
    </row>
    <row r="347" spans="4:50" ht="12.75" customHeight="1">
      <c r="D347" s="321"/>
      <c r="E347" s="318"/>
      <c r="F347" s="318"/>
      <c r="G347" s="318"/>
      <c r="H347" s="318"/>
      <c r="AJ347" s="111"/>
      <c r="AW347" s="111"/>
      <c r="AX347" s="111"/>
    </row>
    <row r="348" spans="4:50" ht="12.75" customHeight="1">
      <c r="D348" s="321"/>
      <c r="E348" s="318"/>
      <c r="F348" s="318"/>
      <c r="G348" s="318"/>
      <c r="H348" s="318"/>
      <c r="AJ348" s="111"/>
      <c r="AW348" s="111"/>
      <c r="AX348" s="111"/>
    </row>
    <row r="349" spans="4:50" ht="12.75" customHeight="1">
      <c r="D349" s="321"/>
      <c r="E349" s="318"/>
      <c r="F349" s="318"/>
      <c r="G349" s="318"/>
      <c r="H349" s="318"/>
      <c r="AJ349" s="111"/>
      <c r="AW349" s="111"/>
      <c r="AX349" s="111"/>
    </row>
    <row r="350" spans="4:50" ht="12.75" customHeight="1">
      <c r="D350" s="321"/>
      <c r="E350" s="318"/>
      <c r="F350" s="318"/>
      <c r="G350" s="318"/>
      <c r="H350" s="318"/>
      <c r="AJ350" s="111"/>
      <c r="AW350" s="111"/>
      <c r="AX350" s="111"/>
    </row>
    <row r="351" spans="4:50" ht="12.75" customHeight="1">
      <c r="D351" s="321"/>
      <c r="E351" s="318"/>
      <c r="F351" s="318"/>
      <c r="G351" s="318"/>
      <c r="H351" s="318"/>
      <c r="AJ351" s="111"/>
      <c r="AW351" s="111"/>
      <c r="AX351" s="111"/>
    </row>
    <row r="352" spans="4:50" ht="12.75" customHeight="1">
      <c r="D352" s="321"/>
      <c r="E352" s="318"/>
      <c r="F352" s="318"/>
      <c r="G352" s="318"/>
      <c r="H352" s="318"/>
      <c r="AJ352" s="111"/>
      <c r="AW352" s="111"/>
      <c r="AX352" s="111"/>
    </row>
    <row r="353" spans="4:50" ht="12.75" customHeight="1">
      <c r="D353" s="321"/>
      <c r="E353" s="318"/>
      <c r="F353" s="318"/>
      <c r="G353" s="318"/>
      <c r="H353" s="318"/>
      <c r="AJ353" s="111"/>
      <c r="AW353" s="111"/>
      <c r="AX353" s="111"/>
    </row>
    <row r="354" spans="4:50" ht="12.75" customHeight="1">
      <c r="D354" s="321"/>
      <c r="E354" s="318"/>
      <c r="F354" s="318"/>
      <c r="G354" s="318"/>
      <c r="H354" s="318"/>
      <c r="AJ354" s="111"/>
      <c r="AW354" s="111"/>
      <c r="AX354" s="111"/>
    </row>
    <row r="355" spans="4:50" ht="12.75" customHeight="1">
      <c r="D355" s="321"/>
      <c r="E355" s="318"/>
      <c r="F355" s="318"/>
      <c r="G355" s="318"/>
      <c r="H355" s="318"/>
      <c r="AJ355" s="111"/>
      <c r="AW355" s="111"/>
      <c r="AX355" s="111"/>
    </row>
    <row r="356" spans="4:50" ht="12.75" customHeight="1">
      <c r="D356" s="321"/>
      <c r="E356" s="318"/>
      <c r="F356" s="318"/>
      <c r="G356" s="318"/>
      <c r="H356" s="318"/>
      <c r="AJ356" s="111"/>
      <c r="AW356" s="111"/>
      <c r="AX356" s="111"/>
    </row>
    <row r="357" spans="4:50" ht="12.75" customHeight="1">
      <c r="D357" s="321"/>
      <c r="E357" s="318"/>
      <c r="F357" s="318"/>
      <c r="G357" s="318"/>
      <c r="H357" s="318"/>
      <c r="AJ357" s="111"/>
      <c r="AW357" s="111"/>
      <c r="AX357" s="111"/>
    </row>
    <row r="358" spans="4:50" ht="12.75" customHeight="1">
      <c r="D358" s="321"/>
      <c r="E358" s="318"/>
      <c r="F358" s="318"/>
      <c r="G358" s="318"/>
      <c r="H358" s="318"/>
      <c r="AJ358" s="111"/>
      <c r="AW358" s="111"/>
      <c r="AX358" s="111"/>
    </row>
    <row r="359" spans="4:50" ht="12.75" customHeight="1">
      <c r="D359" s="321"/>
      <c r="E359" s="318"/>
      <c r="F359" s="318"/>
      <c r="G359" s="318"/>
      <c r="H359" s="318"/>
      <c r="AJ359" s="111"/>
      <c r="AW359" s="111"/>
      <c r="AX359" s="111"/>
    </row>
    <row r="360" spans="4:50" ht="12.75" customHeight="1">
      <c r="D360" s="321"/>
      <c r="E360" s="318"/>
      <c r="F360" s="318"/>
      <c r="G360" s="318"/>
      <c r="H360" s="318"/>
      <c r="AJ360" s="111"/>
      <c r="AW360" s="111"/>
      <c r="AX360" s="111"/>
    </row>
    <row r="361" spans="4:50" ht="12.75" customHeight="1">
      <c r="D361" s="321"/>
      <c r="E361" s="318"/>
      <c r="F361" s="318"/>
      <c r="G361" s="318"/>
      <c r="H361" s="318"/>
      <c r="AJ361" s="111"/>
      <c r="AW361" s="111"/>
      <c r="AX361" s="111"/>
    </row>
    <row r="362" spans="4:50" ht="12.75" customHeight="1">
      <c r="D362" s="321"/>
      <c r="E362" s="318"/>
      <c r="F362" s="318"/>
      <c r="G362" s="318"/>
      <c r="H362" s="318"/>
      <c r="AJ362" s="111"/>
      <c r="AW362" s="111"/>
      <c r="AX362" s="111"/>
    </row>
    <row r="363" spans="4:50" ht="12.75" customHeight="1">
      <c r="D363" s="321"/>
      <c r="E363" s="318"/>
      <c r="F363" s="318"/>
      <c r="G363" s="318"/>
      <c r="H363" s="318"/>
      <c r="AJ363" s="111"/>
      <c r="AW363" s="111"/>
      <c r="AX363" s="111"/>
    </row>
    <row r="364" spans="4:50" ht="12.75" customHeight="1">
      <c r="D364" s="321"/>
      <c r="E364" s="318"/>
      <c r="F364" s="318"/>
      <c r="G364" s="318"/>
      <c r="H364" s="318"/>
      <c r="AJ364" s="111"/>
      <c r="AW364" s="111"/>
      <c r="AX364" s="111"/>
    </row>
    <row r="365" spans="4:50" ht="12.75" customHeight="1">
      <c r="D365" s="321"/>
      <c r="E365" s="318"/>
      <c r="F365" s="318"/>
      <c r="G365" s="318"/>
      <c r="H365" s="318"/>
      <c r="AJ365" s="111"/>
      <c r="AW365" s="111"/>
      <c r="AX365" s="111"/>
    </row>
    <row r="366" spans="4:50" ht="12.75" customHeight="1">
      <c r="D366" s="321"/>
      <c r="E366" s="318"/>
      <c r="F366" s="318"/>
      <c r="G366" s="318"/>
      <c r="H366" s="318"/>
      <c r="AJ366" s="111"/>
      <c r="AW366" s="111"/>
      <c r="AX366" s="111"/>
    </row>
    <row r="367" spans="4:50" ht="12.75" customHeight="1">
      <c r="D367" s="321"/>
      <c r="E367" s="318"/>
      <c r="F367" s="318"/>
      <c r="G367" s="318"/>
      <c r="H367" s="318"/>
      <c r="AJ367" s="111"/>
      <c r="AW367" s="111"/>
      <c r="AX367" s="111"/>
    </row>
    <row r="368" spans="4:50" ht="12.75" customHeight="1">
      <c r="D368" s="321"/>
      <c r="E368" s="318"/>
      <c r="F368" s="318"/>
      <c r="G368" s="318"/>
      <c r="H368" s="318"/>
      <c r="AJ368" s="111"/>
      <c r="AW368" s="111"/>
      <c r="AX368" s="111"/>
    </row>
    <row r="369" spans="4:50" ht="12.75" customHeight="1">
      <c r="D369" s="321"/>
      <c r="E369" s="318"/>
      <c r="F369" s="318"/>
      <c r="G369" s="318"/>
      <c r="H369" s="318"/>
      <c r="AJ369" s="111"/>
      <c r="AW369" s="111"/>
      <c r="AX369" s="111"/>
    </row>
    <row r="370" spans="4:50" ht="12.75" customHeight="1">
      <c r="D370" s="321"/>
      <c r="E370" s="318"/>
      <c r="F370" s="318"/>
      <c r="G370" s="318"/>
      <c r="H370" s="318"/>
      <c r="AJ370" s="111"/>
      <c r="AW370" s="111"/>
      <c r="AX370" s="111"/>
    </row>
    <row r="371" spans="4:50" ht="12.75" customHeight="1">
      <c r="D371" s="321"/>
      <c r="E371" s="318"/>
      <c r="F371" s="318"/>
      <c r="G371" s="318"/>
      <c r="H371" s="318"/>
      <c r="AJ371" s="111"/>
      <c r="AW371" s="111"/>
      <c r="AX371" s="111"/>
    </row>
    <row r="372" spans="4:50" ht="12.75" customHeight="1">
      <c r="D372" s="321"/>
      <c r="E372" s="318"/>
      <c r="F372" s="318"/>
      <c r="G372" s="318"/>
      <c r="H372" s="318"/>
      <c r="AJ372" s="111"/>
      <c r="AW372" s="111"/>
      <c r="AX372" s="111"/>
    </row>
    <row r="373" spans="4:50" ht="12.75" customHeight="1">
      <c r="D373" s="321"/>
      <c r="E373" s="318"/>
      <c r="F373" s="318"/>
      <c r="G373" s="318"/>
      <c r="H373" s="318"/>
      <c r="AJ373" s="111"/>
      <c r="AW373" s="111"/>
      <c r="AX373" s="111"/>
    </row>
    <row r="374" spans="4:50" ht="12.75" customHeight="1">
      <c r="D374" s="321"/>
      <c r="E374" s="318"/>
      <c r="F374" s="318"/>
      <c r="G374" s="318"/>
      <c r="H374" s="318"/>
      <c r="AJ374" s="111"/>
      <c r="AW374" s="111"/>
      <c r="AX374" s="111"/>
    </row>
    <row r="375" spans="4:50" ht="12.75" customHeight="1">
      <c r="D375" s="321"/>
      <c r="E375" s="318"/>
      <c r="F375" s="318"/>
      <c r="G375" s="318"/>
      <c r="H375" s="318"/>
      <c r="AJ375" s="111"/>
      <c r="AW375" s="111"/>
      <c r="AX375" s="111"/>
    </row>
    <row r="376" spans="4:50" ht="12.75" customHeight="1">
      <c r="D376" s="321"/>
      <c r="E376" s="318"/>
      <c r="F376" s="318"/>
      <c r="G376" s="318"/>
      <c r="H376" s="318"/>
      <c r="AJ376" s="111"/>
      <c r="AW376" s="111"/>
      <c r="AX376" s="111"/>
    </row>
    <row r="377" spans="4:50" ht="12.75" customHeight="1">
      <c r="D377" s="321"/>
      <c r="E377" s="318"/>
      <c r="F377" s="318"/>
      <c r="G377" s="318"/>
      <c r="H377" s="318"/>
      <c r="AJ377" s="111"/>
      <c r="AW377" s="111"/>
      <c r="AX377" s="111"/>
    </row>
    <row r="378" spans="4:50" ht="12.75" customHeight="1">
      <c r="D378" s="321"/>
      <c r="E378" s="318"/>
      <c r="F378" s="318"/>
      <c r="G378" s="318"/>
      <c r="H378" s="318"/>
      <c r="AJ378" s="111"/>
      <c r="AW378" s="111"/>
      <c r="AX378" s="111"/>
    </row>
    <row r="379" spans="4:50" ht="12.75" customHeight="1">
      <c r="D379" s="321"/>
      <c r="E379" s="318"/>
      <c r="F379" s="318"/>
      <c r="G379" s="318"/>
      <c r="H379" s="318"/>
      <c r="AJ379" s="111"/>
      <c r="AW379" s="111"/>
      <c r="AX379" s="111"/>
    </row>
    <row r="380" spans="4:50" ht="12.75" customHeight="1">
      <c r="D380" s="321"/>
      <c r="E380" s="318"/>
      <c r="F380" s="318"/>
      <c r="G380" s="318"/>
      <c r="H380" s="318"/>
      <c r="AJ380" s="111"/>
      <c r="AW380" s="111"/>
      <c r="AX380" s="111"/>
    </row>
    <row r="381" spans="4:50" ht="12.75" customHeight="1">
      <c r="D381" s="321"/>
      <c r="E381" s="318"/>
      <c r="F381" s="318"/>
      <c r="G381" s="318"/>
      <c r="H381" s="318"/>
      <c r="AJ381" s="111"/>
      <c r="AW381" s="111"/>
      <c r="AX381" s="111"/>
    </row>
    <row r="382" spans="4:50" ht="12.75" customHeight="1">
      <c r="D382" s="321"/>
      <c r="E382" s="318"/>
      <c r="F382" s="318"/>
      <c r="G382" s="318"/>
      <c r="H382" s="318"/>
      <c r="AJ382" s="111"/>
      <c r="AW382" s="111"/>
      <c r="AX382" s="111"/>
    </row>
    <row r="383" spans="4:50" ht="12.75" customHeight="1">
      <c r="D383" s="321"/>
      <c r="E383" s="318"/>
      <c r="F383" s="318"/>
      <c r="G383" s="318"/>
      <c r="H383" s="318"/>
      <c r="AJ383" s="111"/>
      <c r="AW383" s="111"/>
      <c r="AX383" s="111"/>
    </row>
    <row r="384" spans="4:50" ht="12.75" customHeight="1">
      <c r="D384" s="321"/>
      <c r="E384" s="318"/>
      <c r="F384" s="318"/>
      <c r="G384" s="318"/>
      <c r="H384" s="318"/>
      <c r="AF384" s="409"/>
      <c r="AG384" s="410"/>
      <c r="AH384" s="409"/>
      <c r="AJ384" s="111"/>
      <c r="AW384" s="111"/>
      <c r="AX384" s="111"/>
    </row>
    <row r="385" spans="4:53" ht="12.75" customHeight="1">
      <c r="D385" s="321"/>
      <c r="E385" s="318"/>
      <c r="F385" s="318"/>
      <c r="G385" s="318"/>
      <c r="H385" s="318"/>
      <c r="AF385" s="411"/>
      <c r="AG385" s="411"/>
      <c r="AH385" s="409"/>
      <c r="AI385" s="410"/>
      <c r="AJ385" s="412"/>
      <c r="AK385" s="413"/>
      <c r="AL385" s="414"/>
      <c r="AM385" s="415"/>
      <c r="AN385" s="415"/>
      <c r="AO385" s="416"/>
      <c r="AP385" s="417"/>
      <c r="AQ385" s="415"/>
      <c r="AR385" s="415"/>
      <c r="AS385" s="418">
        <v>20000</v>
      </c>
      <c r="AT385" s="415"/>
      <c r="AU385" s="409">
        <v>24</v>
      </c>
      <c r="AV385" s="419"/>
      <c r="AW385" s="420"/>
      <c r="AX385" s="419"/>
      <c r="AY385" s="415"/>
      <c r="AZ385" s="415"/>
      <c r="BA385" s="415"/>
    </row>
    <row r="386" spans="4:53" ht="12.75" customHeight="1">
      <c r="D386" s="321"/>
      <c r="E386" s="318"/>
      <c r="F386" s="318"/>
      <c r="G386" s="318"/>
      <c r="H386" s="318"/>
      <c r="AF386" s="411"/>
      <c r="AG386" s="411"/>
      <c r="AH386" s="409"/>
      <c r="AI386" s="411"/>
      <c r="AJ386" s="421"/>
      <c r="AK386" s="422"/>
      <c r="AL386" s="423"/>
      <c r="AM386" s="418"/>
      <c r="AN386" s="418"/>
      <c r="AO386" s="424"/>
      <c r="AP386" s="425"/>
      <c r="AQ386" s="418"/>
      <c r="AR386" s="418"/>
      <c r="AS386" s="418">
        <v>15000</v>
      </c>
      <c r="AT386" s="418"/>
      <c r="AU386" s="411"/>
      <c r="AV386" s="426"/>
      <c r="AW386" s="427"/>
      <c r="AX386" s="426"/>
      <c r="AY386" s="418"/>
      <c r="AZ386" s="418"/>
      <c r="BA386" s="418"/>
    </row>
    <row r="387" spans="4:53" ht="12.75" customHeight="1">
      <c r="D387" s="321"/>
      <c r="E387" s="318"/>
      <c r="F387" s="318"/>
      <c r="G387" s="318"/>
      <c r="H387" s="318"/>
      <c r="AF387" s="411"/>
      <c r="AG387" s="411"/>
      <c r="AH387" s="409"/>
      <c r="AI387" s="411"/>
      <c r="AJ387" s="421"/>
      <c r="AK387" s="422"/>
      <c r="AL387" s="423"/>
      <c r="AM387" s="418"/>
      <c r="AN387" s="418"/>
      <c r="AO387" s="424"/>
      <c r="AP387" s="425"/>
      <c r="AQ387" s="418"/>
      <c r="AR387" s="418"/>
      <c r="AS387" s="418"/>
      <c r="AT387" s="418"/>
      <c r="AU387" s="411"/>
      <c r="AV387" s="426"/>
      <c r="AW387" s="427"/>
      <c r="AX387" s="426"/>
      <c r="AY387" s="418"/>
      <c r="AZ387" s="418"/>
      <c r="BA387" s="418"/>
    </row>
    <row r="388" spans="4:53" ht="12.75" customHeight="1">
      <c r="D388" s="321"/>
      <c r="E388" s="318"/>
      <c r="F388" s="318"/>
      <c r="G388" s="318"/>
      <c r="H388" s="318"/>
      <c r="AF388" s="411"/>
      <c r="AG388" s="411"/>
      <c r="AH388" s="409"/>
      <c r="AI388" s="411"/>
      <c r="AJ388" s="421"/>
      <c r="AK388" s="422"/>
      <c r="AL388" s="423"/>
      <c r="AM388" s="418"/>
      <c r="AN388" s="418"/>
      <c r="AO388" s="424"/>
      <c r="AP388" s="425"/>
      <c r="AQ388" s="418"/>
      <c r="AR388" s="418"/>
      <c r="AS388" s="418"/>
      <c r="AT388" s="418"/>
      <c r="AU388" s="411"/>
      <c r="AV388" s="426"/>
      <c r="AW388" s="427"/>
      <c r="AX388" s="426"/>
      <c r="AY388" s="418"/>
      <c r="AZ388" s="418"/>
      <c r="BA388" s="418"/>
    </row>
    <row r="389" spans="4:53" ht="12.75" customHeight="1">
      <c r="D389" s="321"/>
      <c r="E389" s="318"/>
      <c r="F389" s="318"/>
      <c r="G389" s="318"/>
      <c r="H389" s="318"/>
      <c r="AF389" s="411"/>
      <c r="AG389" s="411"/>
      <c r="AH389" s="409"/>
      <c r="AI389" s="411"/>
      <c r="AJ389" s="421"/>
      <c r="AK389" s="422"/>
      <c r="AL389" s="423"/>
      <c r="AM389" s="418"/>
      <c r="AN389" s="418"/>
      <c r="AO389" s="424"/>
      <c r="AP389" s="425"/>
      <c r="AQ389" s="418"/>
      <c r="AR389" s="418"/>
      <c r="AS389" s="418"/>
      <c r="AT389" s="418"/>
      <c r="AU389" s="411"/>
      <c r="AV389" s="426"/>
      <c r="AW389" s="427"/>
      <c r="AX389" s="426"/>
      <c r="AY389" s="418"/>
      <c r="AZ389" s="418"/>
      <c r="BA389" s="418"/>
    </row>
    <row r="390" spans="4:53" ht="12.75" customHeight="1">
      <c r="D390" s="321"/>
      <c r="E390" s="318"/>
      <c r="F390" s="318"/>
      <c r="G390" s="318"/>
      <c r="H390" s="318"/>
      <c r="AF390" s="411"/>
      <c r="AG390" s="411"/>
      <c r="AH390" s="409"/>
      <c r="AI390" s="411"/>
      <c r="AJ390" s="421"/>
      <c r="AK390" s="422"/>
      <c r="AL390" s="423"/>
      <c r="AM390" s="418"/>
      <c r="AN390" s="418"/>
      <c r="AO390" s="424"/>
      <c r="AP390" s="425"/>
      <c r="AQ390" s="418"/>
      <c r="AR390" s="418"/>
      <c r="AS390" s="418"/>
      <c r="AT390" s="418"/>
      <c r="AU390" s="411"/>
      <c r="AV390" s="426"/>
      <c r="AW390" s="427"/>
      <c r="AX390" s="426"/>
      <c r="AY390" s="418"/>
      <c r="AZ390" s="418"/>
      <c r="BA390" s="418"/>
    </row>
    <row r="391" spans="4:53" ht="12.75" customHeight="1">
      <c r="D391" s="321"/>
      <c r="E391" s="318"/>
      <c r="F391" s="318"/>
      <c r="G391" s="318"/>
      <c r="H391" s="318"/>
      <c r="AF391" s="411"/>
      <c r="AG391" s="411"/>
      <c r="AH391" s="409"/>
      <c r="AI391" s="411"/>
      <c r="AJ391" s="421"/>
      <c r="AK391" s="422"/>
      <c r="AL391" s="423"/>
      <c r="AM391" s="418"/>
      <c r="AN391" s="418"/>
      <c r="AO391" s="424"/>
      <c r="AP391" s="425"/>
      <c r="AQ391" s="418"/>
      <c r="AR391" s="418"/>
      <c r="AS391" s="418"/>
      <c r="AT391" s="418"/>
      <c r="AU391" s="411"/>
      <c r="AV391" s="426"/>
      <c r="AW391" s="427"/>
      <c r="AX391" s="426"/>
      <c r="AY391" s="418"/>
      <c r="AZ391" s="418"/>
      <c r="BA391" s="418"/>
    </row>
    <row r="392" spans="4:53" ht="12.75" customHeight="1">
      <c r="D392" s="321"/>
      <c r="E392" s="318"/>
      <c r="F392" s="318"/>
      <c r="G392" s="318"/>
      <c r="H392" s="318"/>
      <c r="AF392" s="411"/>
      <c r="AG392" s="411"/>
      <c r="AH392" s="409"/>
      <c r="AI392" s="411"/>
      <c r="AJ392" s="421"/>
      <c r="AK392" s="422"/>
      <c r="AL392" s="423"/>
      <c r="AM392" s="418"/>
      <c r="AN392" s="418"/>
      <c r="AO392" s="424"/>
      <c r="AP392" s="425"/>
      <c r="AQ392" s="418"/>
      <c r="AR392" s="418"/>
      <c r="AS392" s="418"/>
      <c r="AT392" s="418"/>
      <c r="AU392" s="411"/>
      <c r="AV392" s="426"/>
      <c r="AW392" s="427"/>
      <c r="AX392" s="426"/>
      <c r="AY392" s="418"/>
      <c r="AZ392" s="418"/>
      <c r="BA392" s="418"/>
    </row>
    <row r="393" spans="4:53" ht="12.75" customHeight="1">
      <c r="D393" s="321"/>
      <c r="E393" s="318"/>
      <c r="F393" s="318"/>
      <c r="G393" s="318"/>
      <c r="H393" s="318"/>
      <c r="AF393" s="411"/>
      <c r="AG393" s="411"/>
      <c r="AH393" s="409"/>
      <c r="AI393" s="411"/>
      <c r="AJ393" s="421"/>
      <c r="AK393" s="422"/>
      <c r="AL393" s="423"/>
      <c r="AM393" s="418"/>
      <c r="AN393" s="418"/>
      <c r="AO393" s="424"/>
      <c r="AP393" s="425"/>
      <c r="AQ393" s="418"/>
      <c r="AR393" s="418"/>
      <c r="AS393" s="418"/>
      <c r="AT393" s="418"/>
      <c r="AU393" s="411"/>
      <c r="AV393" s="426"/>
      <c r="AW393" s="427"/>
      <c r="AX393" s="426"/>
      <c r="AY393" s="418"/>
      <c r="AZ393" s="418"/>
      <c r="BA393" s="418"/>
    </row>
    <row r="394" spans="4:53" ht="12.75" customHeight="1">
      <c r="D394" s="321"/>
      <c r="E394" s="318"/>
      <c r="F394" s="318"/>
      <c r="G394" s="318"/>
      <c r="H394" s="318"/>
      <c r="AF394" s="170"/>
      <c r="AI394" s="411"/>
      <c r="AJ394" s="421"/>
      <c r="AK394" s="422"/>
      <c r="AL394" s="423"/>
      <c r="AM394" s="418"/>
      <c r="AN394" s="418"/>
      <c r="AO394" s="424"/>
      <c r="AP394" s="425"/>
      <c r="AQ394" s="418"/>
      <c r="AR394" s="418"/>
      <c r="AS394" s="418"/>
      <c r="AT394" s="418"/>
      <c r="AU394" s="411"/>
      <c r="AV394" s="426"/>
      <c r="AW394" s="427"/>
      <c r="AX394" s="426"/>
      <c r="AY394" s="418"/>
      <c r="AZ394" s="418"/>
      <c r="BA394" s="418"/>
    </row>
    <row r="395" spans="4:53" ht="12.75" customHeight="1">
      <c r="D395" s="321"/>
      <c r="E395" s="318"/>
      <c r="F395" s="318"/>
      <c r="G395" s="318"/>
      <c r="H395" s="318"/>
      <c r="AF395" s="170"/>
      <c r="AJ395" s="428"/>
      <c r="AS395" s="279"/>
    </row>
    <row r="396" spans="4:53" ht="12.75" customHeight="1">
      <c r="D396" s="321"/>
      <c r="E396" s="318"/>
      <c r="F396" s="318"/>
      <c r="G396" s="318"/>
      <c r="H396" s="318"/>
      <c r="AF396" s="170"/>
      <c r="AJ396" s="428"/>
      <c r="AS396" s="279"/>
    </row>
    <row r="397" spans="4:53" ht="12.75" customHeight="1">
      <c r="D397" s="321"/>
      <c r="E397" s="318"/>
      <c r="F397" s="318"/>
      <c r="G397" s="318"/>
      <c r="H397" s="318"/>
      <c r="AF397" s="170"/>
      <c r="AJ397" s="428"/>
      <c r="AS397" s="279"/>
    </row>
    <row r="398" spans="4:53" ht="12.75" customHeight="1">
      <c r="D398" s="321"/>
      <c r="E398" s="318"/>
      <c r="F398" s="318"/>
      <c r="G398" s="318"/>
      <c r="H398" s="318"/>
      <c r="AF398" s="170"/>
      <c r="AJ398" s="428"/>
      <c r="AS398" s="279"/>
    </row>
    <row r="399" spans="4:53" ht="12.75" customHeight="1">
      <c r="D399" s="321"/>
      <c r="E399" s="318"/>
      <c r="F399" s="318"/>
      <c r="G399" s="318"/>
      <c r="H399" s="318"/>
      <c r="AF399" s="170"/>
      <c r="AJ399" s="428"/>
      <c r="AS399" s="279"/>
    </row>
    <row r="400" spans="4:53" ht="12.75" customHeight="1">
      <c r="D400" s="321"/>
      <c r="E400" s="318"/>
      <c r="F400" s="318"/>
      <c r="G400" s="318"/>
      <c r="H400" s="318"/>
      <c r="AF400" s="170"/>
      <c r="AJ400" s="428"/>
      <c r="AS400" s="279"/>
    </row>
    <row r="401" spans="4:45" ht="12.75" customHeight="1">
      <c r="D401" s="321"/>
      <c r="E401" s="318"/>
      <c r="F401" s="318"/>
      <c r="G401" s="318"/>
      <c r="H401" s="318"/>
      <c r="AF401" s="170"/>
      <c r="AJ401" s="428"/>
      <c r="AS401" s="279"/>
    </row>
    <row r="402" spans="4:45" ht="12.75" customHeight="1">
      <c r="D402" s="321"/>
      <c r="E402" s="318"/>
      <c r="F402" s="318"/>
      <c r="G402" s="318"/>
      <c r="H402" s="318"/>
      <c r="AJ402" s="428"/>
      <c r="AS402" s="279"/>
    </row>
    <row r="403" spans="4:45" ht="12.75" customHeight="1">
      <c r="D403" s="321"/>
      <c r="E403" s="318"/>
      <c r="F403" s="318"/>
      <c r="G403" s="318"/>
      <c r="H403" s="318"/>
      <c r="AJ403" s="428"/>
    </row>
    <row r="404" spans="4:45" ht="12.75" customHeight="1">
      <c r="D404" s="321"/>
      <c r="E404" s="318"/>
      <c r="F404" s="318"/>
      <c r="G404" s="318"/>
      <c r="H404" s="318"/>
      <c r="AJ404" s="428"/>
    </row>
    <row r="405" spans="4:45" ht="12.75" customHeight="1">
      <c r="D405" s="321"/>
      <c r="E405" s="318"/>
      <c r="F405" s="318"/>
      <c r="G405" s="318"/>
      <c r="H405" s="318"/>
      <c r="AJ405" s="428"/>
    </row>
    <row r="406" spans="4:45" ht="12.75" customHeight="1">
      <c r="D406" s="321"/>
      <c r="E406" s="318"/>
      <c r="F406" s="318"/>
      <c r="G406" s="318"/>
      <c r="H406" s="318"/>
      <c r="AJ406" s="428"/>
    </row>
    <row r="407" spans="4:45" ht="12.75" customHeight="1">
      <c r="D407" s="321"/>
      <c r="E407" s="318"/>
      <c r="F407" s="318"/>
      <c r="G407" s="318"/>
      <c r="H407" s="318"/>
      <c r="AJ407" s="428"/>
    </row>
    <row r="408" spans="4:45" ht="12.75" customHeight="1">
      <c r="D408" s="321"/>
      <c r="E408" s="318"/>
      <c r="F408" s="318"/>
      <c r="G408" s="318"/>
      <c r="H408" s="318"/>
      <c r="AJ408" s="428"/>
    </row>
    <row r="409" spans="4:45" ht="12.75" customHeight="1">
      <c r="D409" s="321"/>
      <c r="E409" s="318"/>
      <c r="F409" s="318"/>
      <c r="G409" s="318"/>
      <c r="H409" s="318"/>
      <c r="AJ409" s="428"/>
    </row>
    <row r="410" spans="4:45" ht="12.75" customHeight="1">
      <c r="D410" s="321"/>
      <c r="E410" s="318"/>
      <c r="F410" s="318"/>
      <c r="G410" s="318"/>
      <c r="H410" s="318"/>
    </row>
    <row r="411" spans="4:45" ht="12.75" customHeight="1">
      <c r="D411" s="321"/>
      <c r="E411" s="318"/>
      <c r="F411" s="318"/>
      <c r="G411" s="318"/>
      <c r="H411" s="318"/>
    </row>
    <row r="412" spans="4:45" ht="12.75" customHeight="1">
      <c r="D412" s="321"/>
      <c r="E412" s="318"/>
      <c r="F412" s="318"/>
      <c r="G412" s="318"/>
      <c r="H412" s="318"/>
    </row>
    <row r="413" spans="4:45" ht="12.75" customHeight="1">
      <c r="D413" s="321"/>
      <c r="E413" s="318"/>
      <c r="F413" s="318"/>
      <c r="G413" s="318"/>
      <c r="H413" s="318"/>
    </row>
    <row r="414" spans="4:45" ht="12.75" customHeight="1">
      <c r="D414" s="321"/>
      <c r="E414" s="318"/>
      <c r="F414" s="318"/>
      <c r="G414" s="318"/>
      <c r="H414" s="318"/>
    </row>
    <row r="415" spans="4:45" ht="12.75" customHeight="1">
      <c r="D415" s="321"/>
      <c r="E415" s="318"/>
      <c r="F415" s="318"/>
      <c r="G415" s="318"/>
      <c r="H415" s="318"/>
    </row>
    <row r="416" spans="4:45" ht="12.75" customHeight="1">
      <c r="D416" s="321"/>
      <c r="E416" s="318"/>
      <c r="F416" s="318"/>
      <c r="G416" s="318"/>
      <c r="H416" s="318"/>
    </row>
    <row r="417" spans="4:8" ht="12.75" customHeight="1">
      <c r="D417" s="321"/>
      <c r="E417" s="318"/>
      <c r="F417" s="318"/>
      <c r="G417" s="318"/>
      <c r="H417" s="318"/>
    </row>
    <row r="418" spans="4:8" ht="12.75" customHeight="1">
      <c r="D418" s="321"/>
      <c r="E418" s="318"/>
      <c r="F418" s="318"/>
      <c r="G418" s="318"/>
      <c r="H418" s="318"/>
    </row>
    <row r="419" spans="4:8" ht="12.75" customHeight="1">
      <c r="D419" s="321"/>
      <c r="E419" s="318"/>
      <c r="F419" s="318"/>
      <c r="G419" s="318"/>
      <c r="H419" s="318"/>
    </row>
    <row r="420" spans="4:8" ht="12.75" customHeight="1">
      <c r="D420" s="321"/>
      <c r="E420" s="318"/>
      <c r="F420" s="318"/>
      <c r="G420" s="318"/>
      <c r="H420" s="318"/>
    </row>
    <row r="421" spans="4:8" ht="12.75" customHeight="1">
      <c r="D421" s="321"/>
      <c r="E421" s="318"/>
      <c r="F421" s="318"/>
      <c r="G421" s="318"/>
      <c r="H421" s="318"/>
    </row>
    <row r="422" spans="4:8" ht="12.75" customHeight="1">
      <c r="D422" s="321"/>
      <c r="E422" s="318"/>
      <c r="F422" s="318"/>
      <c r="G422" s="318"/>
      <c r="H422" s="318"/>
    </row>
    <row r="423" spans="4:8" ht="12.75" customHeight="1">
      <c r="D423" s="321"/>
      <c r="E423" s="318"/>
      <c r="F423" s="318"/>
      <c r="G423" s="318"/>
      <c r="H423" s="318"/>
    </row>
    <row r="424" spans="4:8" ht="12.75" customHeight="1">
      <c r="D424" s="321"/>
      <c r="E424" s="318"/>
      <c r="F424" s="318"/>
      <c r="G424" s="318"/>
      <c r="H424" s="318"/>
    </row>
    <row r="425" spans="4:8" ht="12.75" customHeight="1">
      <c r="D425" s="321"/>
      <c r="E425" s="318"/>
      <c r="F425" s="318"/>
      <c r="G425" s="318"/>
      <c r="H425" s="318"/>
    </row>
    <row r="426" spans="4:8" ht="12.75" customHeight="1">
      <c r="D426" s="321"/>
      <c r="E426" s="318"/>
      <c r="F426" s="318"/>
      <c r="G426" s="318"/>
      <c r="H426" s="318"/>
    </row>
    <row r="427" spans="4:8" ht="12.75" customHeight="1">
      <c r="D427" s="321"/>
      <c r="E427" s="318"/>
      <c r="F427" s="318"/>
      <c r="G427" s="318"/>
      <c r="H427" s="318"/>
    </row>
    <row r="428" spans="4:8" ht="12.75" customHeight="1">
      <c r="D428" s="321"/>
      <c r="E428" s="318"/>
      <c r="F428" s="318"/>
      <c r="G428" s="318"/>
      <c r="H428" s="318"/>
    </row>
    <row r="429" spans="4:8" ht="12.75" customHeight="1">
      <c r="D429" s="321"/>
      <c r="E429" s="318"/>
      <c r="F429" s="318"/>
      <c r="G429" s="318"/>
      <c r="H429" s="318"/>
    </row>
    <row r="430" spans="4:8" ht="12.75" customHeight="1">
      <c r="D430" s="321"/>
      <c r="E430" s="318"/>
      <c r="F430" s="318"/>
      <c r="G430" s="318"/>
      <c r="H430" s="318"/>
    </row>
    <row r="431" spans="4:8" ht="12.75" customHeight="1">
      <c r="D431" s="321"/>
      <c r="E431" s="318"/>
      <c r="F431" s="318"/>
      <c r="G431" s="318"/>
      <c r="H431" s="318"/>
    </row>
    <row r="432" spans="4:8" ht="12.75" customHeight="1">
      <c r="D432" s="321"/>
      <c r="E432" s="318"/>
      <c r="F432" s="318"/>
      <c r="G432" s="318"/>
      <c r="H432" s="318"/>
    </row>
    <row r="433" spans="4:8" ht="12.75" customHeight="1">
      <c r="D433" s="321"/>
      <c r="E433" s="318"/>
      <c r="F433" s="318"/>
      <c r="G433" s="318"/>
      <c r="H433" s="318"/>
    </row>
    <row r="434" spans="4:8" ht="12.75" customHeight="1">
      <c r="D434" s="321"/>
      <c r="E434" s="318"/>
      <c r="F434" s="318"/>
      <c r="G434" s="318"/>
      <c r="H434" s="318"/>
    </row>
    <row r="435" spans="4:8" ht="12.75" customHeight="1">
      <c r="D435" s="321"/>
      <c r="E435" s="318"/>
      <c r="F435" s="318"/>
      <c r="G435" s="318"/>
      <c r="H435" s="318"/>
    </row>
    <row r="436" spans="4:8" ht="12.75" customHeight="1">
      <c r="D436" s="321"/>
      <c r="E436" s="318"/>
      <c r="F436" s="318"/>
      <c r="G436" s="318"/>
      <c r="H436" s="318"/>
    </row>
    <row r="437" spans="4:8" ht="12.75" customHeight="1">
      <c r="D437" s="321"/>
      <c r="E437" s="318"/>
      <c r="F437" s="318"/>
      <c r="G437" s="318"/>
      <c r="H437" s="318"/>
    </row>
    <row r="438" spans="4:8" ht="12.75" customHeight="1">
      <c r="D438" s="321"/>
      <c r="E438" s="318"/>
      <c r="F438" s="318"/>
      <c r="G438" s="318"/>
      <c r="H438" s="318"/>
    </row>
    <row r="439" spans="4:8" ht="12.75" customHeight="1">
      <c r="D439" s="321"/>
      <c r="E439" s="318"/>
      <c r="F439" s="318"/>
      <c r="G439" s="318"/>
      <c r="H439" s="318"/>
    </row>
    <row r="440" spans="4:8" ht="12.75" customHeight="1">
      <c r="D440" s="321"/>
      <c r="E440" s="318"/>
      <c r="F440" s="318"/>
      <c r="G440" s="318"/>
      <c r="H440" s="318"/>
    </row>
    <row r="441" spans="4:8" ht="12.75" customHeight="1">
      <c r="D441" s="321"/>
      <c r="E441" s="318"/>
      <c r="F441" s="318"/>
      <c r="G441" s="318"/>
      <c r="H441" s="318"/>
    </row>
    <row r="442" spans="4:8" ht="12.75" customHeight="1">
      <c r="D442" s="321"/>
      <c r="E442" s="318"/>
      <c r="F442" s="318"/>
      <c r="G442" s="318"/>
      <c r="H442" s="318"/>
    </row>
    <row r="443" spans="4:8" ht="12.75" customHeight="1">
      <c r="D443" s="321"/>
      <c r="E443" s="318"/>
      <c r="F443" s="318"/>
      <c r="G443" s="318"/>
      <c r="H443" s="318"/>
    </row>
    <row r="444" spans="4:8" ht="12.75" customHeight="1">
      <c r="D444" s="321"/>
      <c r="E444" s="318"/>
      <c r="F444" s="318"/>
      <c r="G444" s="318"/>
      <c r="H444" s="318"/>
    </row>
    <row r="445" spans="4:8" ht="12.75" customHeight="1">
      <c r="D445" s="321"/>
      <c r="E445" s="318"/>
      <c r="F445" s="318"/>
      <c r="G445" s="318"/>
      <c r="H445" s="318"/>
    </row>
    <row r="446" spans="4:8" ht="12.75" customHeight="1">
      <c r="D446" s="321"/>
      <c r="E446" s="318"/>
      <c r="F446" s="318"/>
      <c r="G446" s="318"/>
      <c r="H446" s="318"/>
    </row>
    <row r="447" spans="4:8" ht="12.75" customHeight="1">
      <c r="D447" s="321"/>
      <c r="E447" s="318"/>
      <c r="F447" s="318"/>
      <c r="G447" s="318"/>
      <c r="H447" s="318"/>
    </row>
    <row r="448" spans="4:8" ht="12.75" customHeight="1">
      <c r="D448" s="321"/>
      <c r="E448" s="318"/>
      <c r="F448" s="318"/>
      <c r="G448" s="318"/>
      <c r="H448" s="318"/>
    </row>
    <row r="449" spans="4:8" ht="12.75" customHeight="1">
      <c r="D449" s="321"/>
      <c r="E449" s="318"/>
      <c r="F449" s="318"/>
      <c r="G449" s="318"/>
      <c r="H449" s="318"/>
    </row>
    <row r="450" spans="4:8" ht="12.75" customHeight="1">
      <c r="D450" s="321"/>
      <c r="E450" s="318"/>
      <c r="F450" s="318"/>
      <c r="G450" s="318"/>
      <c r="H450" s="318"/>
    </row>
    <row r="451" spans="4:8" ht="12.75" customHeight="1">
      <c r="D451" s="321"/>
      <c r="E451" s="318"/>
      <c r="F451" s="318"/>
      <c r="G451" s="318"/>
      <c r="H451" s="318"/>
    </row>
    <row r="452" spans="4:8" ht="12.75" customHeight="1">
      <c r="D452" s="321"/>
      <c r="E452" s="318"/>
      <c r="F452" s="318"/>
      <c r="G452" s="318"/>
      <c r="H452" s="318"/>
    </row>
    <row r="453" spans="4:8" ht="12.75" customHeight="1">
      <c r="D453" s="321"/>
      <c r="E453" s="318"/>
      <c r="F453" s="318"/>
      <c r="G453" s="318"/>
      <c r="H453" s="318"/>
    </row>
    <row r="454" spans="4:8" ht="12.75" customHeight="1">
      <c r="D454" s="321"/>
      <c r="E454" s="318"/>
      <c r="F454" s="318"/>
      <c r="G454" s="318"/>
      <c r="H454" s="318"/>
    </row>
    <row r="455" spans="4:8" ht="12.75" customHeight="1">
      <c r="D455" s="321"/>
      <c r="E455" s="318"/>
      <c r="F455" s="318"/>
      <c r="G455" s="318"/>
      <c r="H455" s="318"/>
    </row>
    <row r="456" spans="4:8" ht="12.75" customHeight="1">
      <c r="D456" s="321"/>
      <c r="E456" s="318"/>
      <c r="F456" s="318"/>
      <c r="G456" s="318"/>
      <c r="H456" s="318"/>
    </row>
    <row r="457" spans="4:8" ht="12.75" customHeight="1">
      <c r="D457" s="321"/>
      <c r="E457" s="318"/>
      <c r="F457" s="318"/>
      <c r="G457" s="318"/>
      <c r="H457" s="318"/>
    </row>
    <row r="458" spans="4:8" ht="12.75" customHeight="1">
      <c r="D458" s="321"/>
      <c r="E458" s="318"/>
      <c r="F458" s="318"/>
      <c r="G458" s="318"/>
      <c r="H458" s="318"/>
    </row>
    <row r="459" spans="4:8" ht="12.75" customHeight="1">
      <c r="D459" s="321"/>
      <c r="E459" s="318"/>
      <c r="F459" s="318"/>
      <c r="G459" s="318"/>
      <c r="H459" s="318"/>
    </row>
    <row r="460" spans="4:8" ht="12.75" customHeight="1">
      <c r="D460" s="321"/>
      <c r="E460" s="318"/>
      <c r="F460" s="318"/>
      <c r="G460" s="318"/>
      <c r="H460" s="318"/>
    </row>
    <row r="461" spans="4:8" ht="12.75" customHeight="1">
      <c r="D461" s="321"/>
      <c r="E461" s="318"/>
      <c r="F461" s="318"/>
      <c r="G461" s="318"/>
      <c r="H461" s="318"/>
    </row>
    <row r="462" spans="4:8" ht="12.75" customHeight="1">
      <c r="D462" s="321"/>
      <c r="E462" s="318"/>
      <c r="F462" s="318"/>
      <c r="G462" s="318"/>
      <c r="H462" s="318"/>
    </row>
    <row r="463" spans="4:8" ht="12.75" customHeight="1">
      <c r="D463" s="321"/>
      <c r="E463" s="318"/>
      <c r="F463" s="318"/>
      <c r="G463" s="318"/>
      <c r="H463" s="318"/>
    </row>
    <row r="464" spans="4:8" ht="12.75" customHeight="1">
      <c r="D464" s="321"/>
      <c r="E464" s="318"/>
      <c r="F464" s="318"/>
      <c r="G464" s="318"/>
      <c r="H464" s="318"/>
    </row>
    <row r="465" spans="4:8" ht="12.75" customHeight="1">
      <c r="D465" s="321"/>
      <c r="E465" s="318"/>
      <c r="F465" s="318"/>
      <c r="G465" s="318"/>
      <c r="H465" s="318"/>
    </row>
    <row r="466" spans="4:8" ht="12.75" customHeight="1">
      <c r="D466" s="321"/>
      <c r="E466" s="318"/>
      <c r="F466" s="318"/>
      <c r="G466" s="318"/>
      <c r="H466" s="318"/>
    </row>
    <row r="467" spans="4:8" ht="12.75" customHeight="1">
      <c r="D467" s="321"/>
      <c r="E467" s="318"/>
      <c r="F467" s="318"/>
      <c r="G467" s="318"/>
      <c r="H467" s="318"/>
    </row>
    <row r="468" spans="4:8" ht="12.75" customHeight="1">
      <c r="D468" s="321"/>
      <c r="E468" s="318"/>
      <c r="F468" s="318"/>
      <c r="G468" s="318"/>
      <c r="H468" s="318"/>
    </row>
    <row r="469" spans="4:8" ht="12.75" customHeight="1">
      <c r="D469" s="321"/>
      <c r="E469" s="318"/>
      <c r="F469" s="318"/>
      <c r="G469" s="318"/>
      <c r="H469" s="318"/>
    </row>
    <row r="470" spans="4:8" ht="12.75" customHeight="1">
      <c r="D470" s="321"/>
      <c r="E470" s="318"/>
      <c r="F470" s="318"/>
      <c r="G470" s="318"/>
      <c r="H470" s="318"/>
    </row>
    <row r="471" spans="4:8" ht="12.75" customHeight="1">
      <c r="D471" s="321"/>
      <c r="E471" s="318"/>
      <c r="F471" s="318"/>
      <c r="G471" s="318"/>
      <c r="H471" s="318"/>
    </row>
    <row r="472" spans="4:8" ht="12.75" customHeight="1">
      <c r="D472" s="321"/>
      <c r="E472" s="318"/>
      <c r="F472" s="318"/>
      <c r="G472" s="318"/>
      <c r="H472" s="318"/>
    </row>
    <row r="473" spans="4:8" ht="12.75" customHeight="1">
      <c r="D473" s="321"/>
      <c r="E473" s="318"/>
      <c r="F473" s="318"/>
      <c r="G473" s="318"/>
      <c r="H473" s="318"/>
    </row>
    <row r="474" spans="4:8" ht="12.75" customHeight="1">
      <c r="D474" s="321"/>
      <c r="E474" s="318"/>
      <c r="F474" s="318"/>
      <c r="G474" s="318"/>
      <c r="H474" s="318"/>
    </row>
    <row r="475" spans="4:8" ht="12.75" customHeight="1">
      <c r="D475" s="321"/>
      <c r="E475" s="318"/>
      <c r="F475" s="318"/>
      <c r="G475" s="318"/>
      <c r="H475" s="318"/>
    </row>
    <row r="476" spans="4:8" ht="12.75" customHeight="1">
      <c r="D476" s="321"/>
      <c r="E476" s="318"/>
      <c r="F476" s="318"/>
      <c r="G476" s="318"/>
      <c r="H476" s="318"/>
    </row>
    <row r="477" spans="4:8" ht="12.75" customHeight="1">
      <c r="D477" s="321"/>
      <c r="E477" s="318"/>
      <c r="F477" s="318"/>
      <c r="G477" s="318"/>
      <c r="H477" s="318"/>
    </row>
    <row r="478" spans="4:8" ht="12.75" customHeight="1">
      <c r="D478" s="321"/>
      <c r="E478" s="318"/>
      <c r="F478" s="318"/>
      <c r="G478" s="318"/>
      <c r="H478" s="318"/>
    </row>
    <row r="479" spans="4:8" ht="12.75" customHeight="1">
      <c r="D479" s="321"/>
      <c r="E479" s="318"/>
      <c r="F479" s="318"/>
      <c r="G479" s="318"/>
      <c r="H479" s="318"/>
    </row>
    <row r="480" spans="4:8" ht="12.75" customHeight="1">
      <c r="D480" s="321"/>
      <c r="E480" s="318"/>
      <c r="F480" s="318"/>
      <c r="G480" s="318"/>
      <c r="H480" s="318"/>
    </row>
    <row r="481" spans="4:8" ht="12.75" customHeight="1">
      <c r="D481" s="321"/>
      <c r="E481" s="318"/>
      <c r="F481" s="318"/>
      <c r="G481" s="318"/>
      <c r="H481" s="318"/>
    </row>
    <row r="482" spans="4:8" ht="12.75" customHeight="1">
      <c r="D482" s="321"/>
      <c r="E482" s="318"/>
      <c r="F482" s="318"/>
      <c r="G482" s="318"/>
      <c r="H482" s="318"/>
    </row>
    <row r="483" spans="4:8" ht="12.75" customHeight="1">
      <c r="D483" s="321"/>
      <c r="E483" s="318"/>
      <c r="F483" s="318"/>
      <c r="G483" s="318"/>
      <c r="H483" s="318"/>
    </row>
    <row r="484" spans="4:8" ht="12.75" customHeight="1">
      <c r="D484" s="321"/>
      <c r="E484" s="318"/>
      <c r="F484" s="318"/>
      <c r="G484" s="318"/>
      <c r="H484" s="318"/>
    </row>
    <row r="485" spans="4:8" ht="12.75" customHeight="1">
      <c r="D485" s="321"/>
      <c r="E485" s="318"/>
      <c r="F485" s="318"/>
      <c r="G485" s="318"/>
      <c r="H485" s="318"/>
    </row>
    <row r="486" spans="4:8" ht="12.75" customHeight="1">
      <c r="D486" s="321"/>
      <c r="E486" s="318"/>
      <c r="F486" s="318"/>
      <c r="G486" s="318"/>
      <c r="H486" s="318"/>
    </row>
    <row r="487" spans="4:8" ht="12.75" customHeight="1">
      <c r="D487" s="321"/>
      <c r="E487" s="318"/>
      <c r="F487" s="318"/>
      <c r="G487" s="318"/>
      <c r="H487" s="318"/>
    </row>
    <row r="488" spans="4:8" ht="12.75" customHeight="1">
      <c r="D488" s="321"/>
      <c r="E488" s="318"/>
      <c r="F488" s="318"/>
      <c r="G488" s="318"/>
      <c r="H488" s="318"/>
    </row>
    <row r="489" spans="4:8" ht="12.75" customHeight="1">
      <c r="D489" s="321"/>
      <c r="E489" s="318"/>
      <c r="F489" s="318"/>
      <c r="G489" s="318"/>
      <c r="H489" s="318"/>
    </row>
    <row r="490" spans="4:8" ht="12.75" customHeight="1">
      <c r="D490" s="321"/>
      <c r="E490" s="318"/>
      <c r="F490" s="318"/>
      <c r="G490" s="318"/>
      <c r="H490" s="318"/>
    </row>
    <row r="491" spans="4:8" ht="12.75" customHeight="1">
      <c r="D491" s="321"/>
      <c r="E491" s="318"/>
      <c r="F491" s="318"/>
      <c r="G491" s="318"/>
      <c r="H491" s="318"/>
    </row>
    <row r="492" spans="4:8" ht="12.75" customHeight="1">
      <c r="D492" s="321"/>
      <c r="E492" s="318"/>
      <c r="F492" s="318"/>
      <c r="G492" s="318"/>
      <c r="H492" s="318"/>
    </row>
    <row r="493" spans="4:8" ht="12.75" customHeight="1">
      <c r="D493" s="321"/>
      <c r="E493" s="318"/>
      <c r="F493" s="318"/>
      <c r="G493" s="318"/>
      <c r="H493" s="318"/>
    </row>
    <row r="494" spans="4:8" ht="12.75" customHeight="1">
      <c r="D494" s="321"/>
      <c r="E494" s="318"/>
      <c r="F494" s="318"/>
      <c r="G494" s="318"/>
      <c r="H494" s="318"/>
    </row>
    <row r="495" spans="4:8" ht="12.75" customHeight="1">
      <c r="D495" s="321"/>
      <c r="E495" s="318"/>
      <c r="F495" s="318"/>
      <c r="G495" s="318"/>
      <c r="H495" s="318"/>
    </row>
    <row r="496" spans="4:8" ht="12.75" customHeight="1">
      <c r="D496" s="321"/>
      <c r="E496" s="318"/>
      <c r="F496" s="318"/>
      <c r="G496" s="318"/>
      <c r="H496" s="318"/>
    </row>
    <row r="497" spans="4:8" ht="12.75" customHeight="1">
      <c r="D497" s="321"/>
      <c r="E497" s="318"/>
      <c r="F497" s="318"/>
      <c r="G497" s="318"/>
      <c r="H497" s="318"/>
    </row>
    <row r="498" spans="4:8" ht="12.75" customHeight="1">
      <c r="D498" s="321"/>
      <c r="E498" s="318"/>
      <c r="F498" s="318"/>
      <c r="G498" s="318"/>
      <c r="H498" s="318"/>
    </row>
    <row r="499" spans="4:8" ht="12.75" customHeight="1">
      <c r="D499" s="321"/>
      <c r="E499" s="318"/>
      <c r="F499" s="318"/>
      <c r="G499" s="318"/>
      <c r="H499" s="318"/>
    </row>
    <row r="500" spans="4:8" ht="12.75" customHeight="1">
      <c r="D500" s="321"/>
      <c r="E500" s="318"/>
      <c r="F500" s="318"/>
      <c r="G500" s="318"/>
      <c r="H500" s="318"/>
    </row>
    <row r="501" spans="4:8" ht="12.75" customHeight="1">
      <c r="D501" s="321"/>
      <c r="E501" s="318"/>
      <c r="F501" s="318"/>
      <c r="G501" s="318"/>
      <c r="H501" s="318"/>
    </row>
    <row r="502" spans="4:8" ht="12.75" customHeight="1">
      <c r="D502" s="321"/>
      <c r="E502" s="318"/>
      <c r="F502" s="318"/>
      <c r="G502" s="318"/>
      <c r="H502" s="318"/>
    </row>
    <row r="503" spans="4:8" ht="12.75" customHeight="1">
      <c r="D503" s="321"/>
      <c r="E503" s="318"/>
      <c r="F503" s="318"/>
      <c r="G503" s="318"/>
      <c r="H503" s="318"/>
    </row>
    <row r="504" spans="4:8" ht="12.75" customHeight="1">
      <c r="D504" s="321"/>
      <c r="E504" s="318"/>
      <c r="F504" s="318"/>
      <c r="G504" s="318"/>
      <c r="H504" s="318"/>
    </row>
    <row r="505" spans="4:8" ht="12.75" customHeight="1">
      <c r="D505" s="321"/>
      <c r="E505" s="318"/>
      <c r="F505" s="318"/>
      <c r="G505" s="318"/>
      <c r="H505" s="318"/>
    </row>
    <row r="506" spans="4:8" ht="12.75" customHeight="1">
      <c r="D506" s="321"/>
      <c r="E506" s="318"/>
      <c r="F506" s="318"/>
      <c r="G506" s="318"/>
      <c r="H506" s="318"/>
    </row>
    <row r="507" spans="4:8" ht="12.75" customHeight="1">
      <c r="D507" s="321"/>
      <c r="E507" s="318"/>
      <c r="F507" s="318"/>
      <c r="G507" s="318"/>
      <c r="H507" s="318"/>
    </row>
    <row r="508" spans="4:8" ht="12.75" customHeight="1">
      <c r="D508" s="321"/>
      <c r="E508" s="318"/>
      <c r="F508" s="318"/>
      <c r="G508" s="318"/>
      <c r="H508" s="318"/>
    </row>
    <row r="509" spans="4:8" ht="12.75" customHeight="1">
      <c r="D509" s="321"/>
      <c r="E509" s="318"/>
      <c r="F509" s="318"/>
      <c r="G509" s="318"/>
      <c r="H509" s="318"/>
    </row>
    <row r="510" spans="4:8" ht="12.75" customHeight="1">
      <c r="D510" s="321"/>
      <c r="E510" s="318"/>
      <c r="F510" s="318"/>
      <c r="G510" s="318"/>
      <c r="H510" s="318"/>
    </row>
    <row r="511" spans="4:8" ht="12.75" customHeight="1">
      <c r="D511" s="321"/>
      <c r="E511" s="318"/>
      <c r="F511" s="318"/>
      <c r="G511" s="318"/>
      <c r="H511" s="318"/>
    </row>
    <row r="512" spans="4:8" ht="12.75" customHeight="1">
      <c r="D512" s="321"/>
      <c r="E512" s="318"/>
      <c r="F512" s="318"/>
      <c r="G512" s="318"/>
      <c r="H512" s="318"/>
    </row>
    <row r="513" spans="4:8" ht="12.75" customHeight="1">
      <c r="D513" s="321"/>
      <c r="E513" s="318"/>
      <c r="F513" s="318"/>
      <c r="G513" s="318"/>
      <c r="H513" s="318"/>
    </row>
    <row r="514" spans="4:8" ht="12.75" customHeight="1">
      <c r="D514" s="321"/>
      <c r="E514" s="318"/>
      <c r="F514" s="318"/>
      <c r="G514" s="318"/>
      <c r="H514" s="318"/>
    </row>
    <row r="515" spans="4:8" ht="12.75" customHeight="1">
      <c r="D515" s="321"/>
      <c r="E515" s="318"/>
      <c r="F515" s="318"/>
      <c r="G515" s="318"/>
      <c r="H515" s="318"/>
    </row>
    <row r="516" spans="4:8" ht="12.75" customHeight="1">
      <c r="D516" s="321"/>
      <c r="E516" s="318"/>
      <c r="F516" s="318"/>
      <c r="G516" s="318"/>
      <c r="H516" s="318"/>
    </row>
    <row r="517" spans="4:8" ht="12.75" customHeight="1">
      <c r="D517" s="321"/>
      <c r="E517" s="318"/>
      <c r="F517" s="318"/>
      <c r="G517" s="318"/>
      <c r="H517" s="318"/>
    </row>
    <row r="518" spans="4:8" ht="12.75" customHeight="1">
      <c r="D518" s="321"/>
      <c r="E518" s="318"/>
      <c r="F518" s="318"/>
      <c r="G518" s="318"/>
      <c r="H518" s="318"/>
    </row>
    <row r="519" spans="4:8" ht="12.75" customHeight="1">
      <c r="D519" s="321"/>
      <c r="E519" s="318"/>
      <c r="F519" s="318"/>
      <c r="G519" s="318"/>
      <c r="H519" s="318"/>
    </row>
    <row r="520" spans="4:8" ht="12.75" customHeight="1">
      <c r="D520" s="321"/>
      <c r="E520" s="318"/>
      <c r="F520" s="318"/>
      <c r="G520" s="318"/>
      <c r="H520" s="318"/>
    </row>
    <row r="521" spans="4:8" ht="12.75" customHeight="1">
      <c r="D521" s="321"/>
      <c r="E521" s="318"/>
      <c r="F521" s="318"/>
      <c r="G521" s="318"/>
      <c r="H521" s="318"/>
    </row>
    <row r="522" spans="4:8" ht="12.75" customHeight="1">
      <c r="D522" s="321"/>
      <c r="E522" s="318"/>
      <c r="F522" s="318"/>
      <c r="G522" s="318"/>
      <c r="H522" s="318"/>
    </row>
    <row r="523" spans="4:8" ht="12.75" customHeight="1">
      <c r="D523" s="321"/>
      <c r="E523" s="318"/>
      <c r="F523" s="318"/>
      <c r="G523" s="318"/>
      <c r="H523" s="318"/>
    </row>
    <row r="524" spans="4:8" ht="12.75" customHeight="1">
      <c r="D524" s="321"/>
      <c r="E524" s="318"/>
      <c r="F524" s="318"/>
      <c r="G524" s="318"/>
      <c r="H524" s="318"/>
    </row>
    <row r="525" spans="4:8" ht="12.75" customHeight="1">
      <c r="D525" s="321"/>
      <c r="E525" s="318"/>
      <c r="F525" s="318"/>
      <c r="G525" s="318"/>
      <c r="H525" s="318"/>
    </row>
    <row r="526" spans="4:8" ht="12.75" customHeight="1">
      <c r="D526" s="321"/>
      <c r="E526" s="318"/>
      <c r="F526" s="318"/>
      <c r="G526" s="318"/>
      <c r="H526" s="318"/>
    </row>
    <row r="527" spans="4:8" ht="12.75" customHeight="1">
      <c r="D527" s="321"/>
      <c r="E527" s="318"/>
      <c r="F527" s="318"/>
      <c r="G527" s="318"/>
      <c r="H527" s="318"/>
    </row>
    <row r="528" spans="4:8" ht="12.75" customHeight="1">
      <c r="D528" s="321"/>
      <c r="E528" s="318"/>
      <c r="F528" s="318"/>
      <c r="G528" s="318"/>
      <c r="H528" s="318"/>
    </row>
    <row r="529" spans="4:8" ht="12.75" customHeight="1">
      <c r="D529" s="321"/>
      <c r="E529" s="318"/>
      <c r="F529" s="318"/>
      <c r="G529" s="318"/>
      <c r="H529" s="318"/>
    </row>
    <row r="530" spans="4:8" ht="12.75" customHeight="1">
      <c r="D530" s="321"/>
      <c r="E530" s="318"/>
      <c r="F530" s="318"/>
      <c r="G530" s="318"/>
      <c r="H530" s="318"/>
    </row>
    <row r="531" spans="4:8" ht="12.75" customHeight="1">
      <c r="D531" s="321"/>
      <c r="E531" s="318"/>
      <c r="F531" s="318"/>
      <c r="G531" s="318"/>
      <c r="H531" s="318"/>
    </row>
    <row r="532" spans="4:8" ht="12.75" customHeight="1">
      <c r="D532" s="321"/>
      <c r="E532" s="318"/>
      <c r="F532" s="318"/>
      <c r="G532" s="318"/>
      <c r="H532" s="318"/>
    </row>
    <row r="533" spans="4:8" ht="12.75" customHeight="1">
      <c r="D533" s="321"/>
      <c r="E533" s="318"/>
      <c r="F533" s="318"/>
      <c r="G533" s="318"/>
      <c r="H533" s="318"/>
    </row>
    <row r="534" spans="4:8" ht="12.75" customHeight="1">
      <c r="D534" s="321"/>
      <c r="E534" s="318"/>
      <c r="F534" s="318"/>
      <c r="G534" s="318"/>
      <c r="H534" s="318"/>
    </row>
    <row r="535" spans="4:8" ht="12.75" customHeight="1">
      <c r="D535" s="321"/>
      <c r="E535" s="318"/>
      <c r="F535" s="318"/>
      <c r="G535" s="318"/>
      <c r="H535" s="318"/>
    </row>
    <row r="536" spans="4:8" ht="12.75" customHeight="1">
      <c r="D536" s="321"/>
      <c r="E536" s="318"/>
      <c r="F536" s="318"/>
      <c r="G536" s="318"/>
      <c r="H536" s="318"/>
    </row>
    <row r="537" spans="4:8" ht="12.75" customHeight="1">
      <c r="D537" s="321"/>
      <c r="E537" s="318"/>
      <c r="F537" s="318"/>
      <c r="G537" s="318"/>
      <c r="H537" s="318"/>
    </row>
    <row r="538" spans="4:8" ht="12.75" customHeight="1">
      <c r="D538" s="321"/>
      <c r="E538" s="318"/>
      <c r="F538" s="318"/>
      <c r="G538" s="318"/>
      <c r="H538" s="318"/>
    </row>
    <row r="539" spans="4:8" ht="12.75" customHeight="1">
      <c r="D539" s="321"/>
      <c r="E539" s="318"/>
      <c r="F539" s="318"/>
      <c r="G539" s="318"/>
      <c r="H539" s="318"/>
    </row>
    <row r="540" spans="4:8" ht="12.75" customHeight="1">
      <c r="D540" s="321"/>
      <c r="E540" s="318"/>
      <c r="F540" s="318"/>
      <c r="G540" s="318"/>
      <c r="H540" s="318"/>
    </row>
    <row r="541" spans="4:8" ht="12.75" customHeight="1">
      <c r="D541" s="321"/>
      <c r="E541" s="318"/>
      <c r="F541" s="318"/>
      <c r="G541" s="318"/>
      <c r="H541" s="318"/>
    </row>
    <row r="542" spans="4:8" ht="12.75" customHeight="1">
      <c r="D542" s="321"/>
      <c r="E542" s="318"/>
      <c r="F542" s="318"/>
      <c r="G542" s="318"/>
      <c r="H542" s="318"/>
    </row>
    <row r="543" spans="4:8" ht="12.75" customHeight="1">
      <c r="D543" s="321"/>
      <c r="E543" s="318"/>
      <c r="F543" s="318"/>
      <c r="G543" s="318"/>
      <c r="H543" s="318"/>
    </row>
    <row r="544" spans="4:8" ht="12.75" customHeight="1">
      <c r="D544" s="321"/>
      <c r="E544" s="318"/>
      <c r="F544" s="318"/>
      <c r="G544" s="318"/>
      <c r="H544" s="318"/>
    </row>
    <row r="545" spans="4:8" ht="12.75" customHeight="1">
      <c r="D545" s="321"/>
      <c r="E545" s="318"/>
      <c r="F545" s="318"/>
      <c r="G545" s="318"/>
      <c r="H545" s="318"/>
    </row>
    <row r="546" spans="4:8" ht="12.75" customHeight="1">
      <c r="D546" s="321"/>
      <c r="E546" s="318"/>
      <c r="F546" s="318"/>
      <c r="G546" s="318"/>
      <c r="H546" s="318"/>
    </row>
    <row r="547" spans="4:8" ht="12.75" customHeight="1">
      <c r="D547" s="321"/>
      <c r="E547" s="318"/>
      <c r="F547" s="318"/>
      <c r="G547" s="318"/>
      <c r="H547" s="318"/>
    </row>
    <row r="548" spans="4:8" ht="12.75" customHeight="1">
      <c r="D548" s="321"/>
      <c r="E548" s="318"/>
      <c r="F548" s="318"/>
      <c r="G548" s="318"/>
      <c r="H548" s="318"/>
    </row>
    <row r="549" spans="4:8" ht="12.75" customHeight="1">
      <c r="D549" s="321"/>
      <c r="E549" s="318"/>
      <c r="F549" s="318"/>
      <c r="G549" s="318"/>
      <c r="H549" s="318"/>
    </row>
    <row r="550" spans="4:8" ht="12.75" customHeight="1">
      <c r="D550" s="321"/>
      <c r="E550" s="318"/>
      <c r="F550" s="318"/>
      <c r="G550" s="318"/>
      <c r="H550" s="318"/>
    </row>
    <row r="551" spans="4:8" ht="12.75" customHeight="1">
      <c r="D551" s="321"/>
      <c r="E551" s="318"/>
      <c r="F551" s="318"/>
      <c r="G551" s="318"/>
      <c r="H551" s="318"/>
    </row>
    <row r="552" spans="4:8" ht="12.75" customHeight="1">
      <c r="D552" s="321"/>
      <c r="E552" s="318"/>
      <c r="F552" s="318"/>
      <c r="G552" s="318"/>
      <c r="H552" s="318"/>
    </row>
    <row r="553" spans="4:8" ht="12.75" customHeight="1">
      <c r="D553" s="321"/>
      <c r="E553" s="318"/>
      <c r="F553" s="318"/>
      <c r="G553" s="318"/>
      <c r="H553" s="318"/>
    </row>
    <row r="554" spans="4:8" ht="12.75" customHeight="1">
      <c r="D554" s="321"/>
      <c r="E554" s="318"/>
      <c r="F554" s="318"/>
      <c r="G554" s="318"/>
      <c r="H554" s="318"/>
    </row>
    <row r="555" spans="4:8" ht="12.75" customHeight="1">
      <c r="D555" s="321"/>
      <c r="E555" s="318"/>
      <c r="F555" s="318"/>
      <c r="G555" s="318"/>
      <c r="H555" s="318"/>
    </row>
    <row r="556" spans="4:8" ht="12.75" customHeight="1">
      <c r="D556" s="321"/>
      <c r="E556" s="318"/>
      <c r="F556" s="318"/>
      <c r="G556" s="318"/>
      <c r="H556" s="318"/>
    </row>
    <row r="557" spans="4:8" ht="12.75" customHeight="1">
      <c r="D557" s="321"/>
      <c r="E557" s="318"/>
      <c r="F557" s="318"/>
      <c r="G557" s="318"/>
      <c r="H557" s="318"/>
    </row>
    <row r="558" spans="4:8" ht="12.75" customHeight="1">
      <c r="D558" s="321"/>
      <c r="E558" s="318"/>
      <c r="F558" s="318"/>
      <c r="G558" s="318"/>
      <c r="H558" s="318"/>
    </row>
    <row r="559" spans="4:8" ht="12.75" customHeight="1">
      <c r="D559" s="321"/>
      <c r="E559" s="318"/>
      <c r="F559" s="318"/>
      <c r="G559" s="318"/>
      <c r="H559" s="318"/>
    </row>
    <row r="560" spans="4:8" ht="12.75" customHeight="1">
      <c r="D560" s="321"/>
      <c r="E560" s="318"/>
      <c r="F560" s="318"/>
      <c r="G560" s="318"/>
      <c r="H560" s="318"/>
    </row>
    <row r="561" spans="4:8" ht="12.75" customHeight="1">
      <c r="D561" s="321"/>
      <c r="E561" s="318"/>
      <c r="F561" s="318"/>
      <c r="G561" s="318"/>
      <c r="H561" s="318"/>
    </row>
    <row r="562" spans="4:8" ht="12.75" customHeight="1">
      <c r="D562" s="321"/>
      <c r="E562" s="318"/>
      <c r="F562" s="318"/>
      <c r="G562" s="318"/>
      <c r="H562" s="318"/>
    </row>
    <row r="563" spans="4:8" ht="12.75" customHeight="1">
      <c r="D563" s="321"/>
      <c r="E563" s="318"/>
      <c r="F563" s="318"/>
      <c r="G563" s="318"/>
      <c r="H563" s="318"/>
    </row>
    <row r="564" spans="4:8" ht="12.75" customHeight="1">
      <c r="D564" s="321"/>
      <c r="E564" s="318"/>
      <c r="F564" s="318"/>
      <c r="G564" s="318"/>
      <c r="H564" s="318"/>
    </row>
    <row r="565" spans="4:8" ht="12.75" customHeight="1">
      <c r="D565" s="321"/>
      <c r="E565" s="318"/>
      <c r="F565" s="318"/>
      <c r="G565" s="318"/>
      <c r="H565" s="318"/>
    </row>
    <row r="566" spans="4:8" ht="12.75" customHeight="1">
      <c r="D566" s="321"/>
      <c r="E566" s="318"/>
      <c r="F566" s="318"/>
      <c r="G566" s="318"/>
      <c r="H566" s="318"/>
    </row>
    <row r="567" spans="4:8" ht="12.75" customHeight="1">
      <c r="D567" s="321"/>
      <c r="E567" s="318"/>
      <c r="F567" s="318"/>
      <c r="G567" s="318"/>
      <c r="H567" s="318"/>
    </row>
    <row r="568" spans="4:8" ht="12.75" customHeight="1">
      <c r="D568" s="321"/>
      <c r="E568" s="318"/>
      <c r="F568" s="318"/>
      <c r="G568" s="318"/>
      <c r="H568" s="318"/>
    </row>
    <row r="569" spans="4:8" ht="12.75" customHeight="1">
      <c r="D569" s="321"/>
      <c r="E569" s="318"/>
      <c r="F569" s="318"/>
      <c r="G569" s="318"/>
      <c r="H569" s="318"/>
    </row>
    <row r="570" spans="4:8" ht="12.75" customHeight="1">
      <c r="D570" s="321"/>
      <c r="E570" s="318"/>
      <c r="F570" s="318"/>
      <c r="G570" s="318"/>
      <c r="H570" s="318"/>
    </row>
    <row r="571" spans="4:8" ht="12.75" customHeight="1">
      <c r="D571" s="321"/>
      <c r="E571" s="318"/>
      <c r="F571" s="318"/>
      <c r="G571" s="318"/>
      <c r="H571" s="318"/>
    </row>
    <row r="572" spans="4:8" ht="12.75" customHeight="1">
      <c r="D572" s="321"/>
      <c r="E572" s="318"/>
      <c r="F572" s="318"/>
      <c r="G572" s="318"/>
      <c r="H572" s="318"/>
    </row>
    <row r="573" spans="4:8" ht="12.75" customHeight="1">
      <c r="D573" s="321"/>
      <c r="E573" s="318"/>
      <c r="F573" s="318"/>
      <c r="G573" s="318"/>
      <c r="H573" s="318"/>
    </row>
    <row r="574" spans="4:8" ht="12.75" customHeight="1">
      <c r="D574" s="321"/>
      <c r="E574" s="318"/>
      <c r="F574" s="318"/>
      <c r="G574" s="318"/>
      <c r="H574" s="318"/>
    </row>
    <row r="575" spans="4:8" ht="12.75" customHeight="1">
      <c r="D575" s="321"/>
      <c r="E575" s="318"/>
      <c r="F575" s="318"/>
      <c r="G575" s="318"/>
      <c r="H575" s="318"/>
    </row>
    <row r="576" spans="4:8" ht="12.75" customHeight="1">
      <c r="D576" s="321"/>
      <c r="E576" s="318"/>
      <c r="F576" s="318"/>
      <c r="G576" s="318"/>
      <c r="H576" s="318"/>
    </row>
    <row r="577" spans="4:8" ht="12.75" customHeight="1">
      <c r="D577" s="321"/>
      <c r="E577" s="318"/>
      <c r="F577" s="318"/>
      <c r="G577" s="318"/>
      <c r="H577" s="318"/>
    </row>
    <row r="578" spans="4:8" ht="12.75" customHeight="1">
      <c r="D578" s="321"/>
      <c r="E578" s="318"/>
      <c r="F578" s="318"/>
      <c r="G578" s="318"/>
      <c r="H578" s="318"/>
    </row>
    <row r="579" spans="4:8" ht="12.75" customHeight="1">
      <c r="D579" s="321"/>
      <c r="E579" s="318"/>
      <c r="F579" s="318"/>
      <c r="G579" s="318"/>
      <c r="H579" s="318"/>
    </row>
    <row r="580" spans="4:8" ht="12.75" customHeight="1">
      <c r="D580" s="321"/>
      <c r="E580" s="318"/>
      <c r="F580" s="318"/>
      <c r="G580" s="318"/>
      <c r="H580" s="318"/>
    </row>
    <row r="581" spans="4:8" ht="12.75" customHeight="1">
      <c r="D581" s="321"/>
      <c r="E581" s="318"/>
      <c r="F581" s="318"/>
      <c r="G581" s="318"/>
      <c r="H581" s="318"/>
    </row>
    <row r="582" spans="4:8" ht="12.75" customHeight="1">
      <c r="D582" s="321"/>
      <c r="E582" s="318"/>
      <c r="F582" s="318"/>
      <c r="G582" s="318"/>
      <c r="H582" s="318"/>
    </row>
    <row r="583" spans="4:8" ht="12.75" customHeight="1">
      <c r="D583" s="321"/>
      <c r="E583" s="318"/>
      <c r="F583" s="318"/>
      <c r="G583" s="318"/>
      <c r="H583" s="318"/>
    </row>
    <row r="584" spans="4:8" ht="12.75" customHeight="1">
      <c r="D584" s="321"/>
      <c r="E584" s="318"/>
      <c r="F584" s="318"/>
      <c r="G584" s="318"/>
      <c r="H584" s="318"/>
    </row>
    <row r="585" spans="4:8" ht="12.75" customHeight="1">
      <c r="D585" s="321"/>
      <c r="E585" s="318"/>
      <c r="F585" s="318"/>
      <c r="G585" s="318"/>
      <c r="H585" s="318"/>
    </row>
    <row r="586" spans="4:8" ht="12.75" customHeight="1">
      <c r="D586" s="321"/>
      <c r="E586" s="318"/>
      <c r="F586" s="318"/>
      <c r="G586" s="318"/>
      <c r="H586" s="318"/>
    </row>
    <row r="587" spans="4:8" ht="12.75" customHeight="1">
      <c r="D587" s="321"/>
      <c r="E587" s="318"/>
      <c r="F587" s="318"/>
      <c r="G587" s="318"/>
      <c r="H587" s="318"/>
    </row>
    <row r="588" spans="4:8" ht="12.75" customHeight="1">
      <c r="D588" s="321"/>
      <c r="E588" s="318"/>
      <c r="F588" s="318"/>
      <c r="G588" s="318"/>
      <c r="H588" s="318"/>
    </row>
    <row r="589" spans="4:8" ht="12.75" customHeight="1">
      <c r="D589" s="321"/>
      <c r="E589" s="318"/>
      <c r="F589" s="318"/>
      <c r="G589" s="318"/>
      <c r="H589" s="318"/>
    </row>
    <row r="590" spans="4:8" ht="12.75" customHeight="1">
      <c r="D590" s="321"/>
      <c r="E590" s="318"/>
      <c r="F590" s="318"/>
      <c r="G590" s="318"/>
      <c r="H590" s="318"/>
    </row>
    <row r="591" spans="4:8" ht="12.75" customHeight="1">
      <c r="D591" s="321"/>
      <c r="E591" s="318"/>
      <c r="F591" s="318"/>
      <c r="G591" s="318"/>
      <c r="H591" s="318"/>
    </row>
    <row r="592" spans="4:8" ht="12.75" customHeight="1">
      <c r="D592" s="321"/>
      <c r="E592" s="318"/>
      <c r="F592" s="318"/>
      <c r="G592" s="318"/>
      <c r="H592" s="318"/>
    </row>
    <row r="593" spans="4:8" ht="12.75" customHeight="1">
      <c r="D593" s="321"/>
      <c r="E593" s="318"/>
      <c r="F593" s="318"/>
      <c r="G593" s="318"/>
      <c r="H593" s="318"/>
    </row>
    <row r="594" spans="4:8" ht="12.75" customHeight="1">
      <c r="D594" s="321"/>
      <c r="E594" s="318"/>
      <c r="F594" s="318"/>
      <c r="G594" s="318"/>
      <c r="H594" s="318"/>
    </row>
    <row r="595" spans="4:8" ht="12.75" customHeight="1">
      <c r="D595" s="321"/>
      <c r="E595" s="318"/>
      <c r="F595" s="318"/>
      <c r="G595" s="318"/>
      <c r="H595" s="318"/>
    </row>
    <row r="596" spans="4:8" ht="12.75" customHeight="1">
      <c r="D596" s="321"/>
      <c r="E596" s="318"/>
      <c r="F596" s="318"/>
      <c r="G596" s="318"/>
      <c r="H596" s="318"/>
    </row>
    <row r="597" spans="4:8" ht="12.75" customHeight="1">
      <c r="D597" s="321"/>
      <c r="E597" s="318"/>
      <c r="F597" s="318"/>
      <c r="G597" s="318"/>
      <c r="H597" s="318"/>
    </row>
    <row r="598" spans="4:8" ht="12.75" customHeight="1">
      <c r="D598" s="321"/>
      <c r="E598" s="318"/>
      <c r="F598" s="318"/>
      <c r="G598" s="318"/>
      <c r="H598" s="318"/>
    </row>
    <row r="599" spans="4:8" ht="12.75" customHeight="1">
      <c r="D599" s="321"/>
      <c r="E599" s="318"/>
      <c r="F599" s="318"/>
      <c r="G599" s="318"/>
      <c r="H599" s="318"/>
    </row>
    <row r="600" spans="4:8" ht="12.75" customHeight="1">
      <c r="D600" s="321"/>
      <c r="E600" s="318"/>
      <c r="F600" s="318"/>
      <c r="G600" s="318"/>
      <c r="H600" s="318"/>
    </row>
    <row r="601" spans="4:8" ht="12.75" customHeight="1">
      <c r="D601" s="321"/>
      <c r="E601" s="318"/>
      <c r="F601" s="318"/>
      <c r="G601" s="318"/>
      <c r="H601" s="318"/>
    </row>
    <row r="602" spans="4:8" ht="12.75" customHeight="1">
      <c r="D602" s="321"/>
      <c r="E602" s="318"/>
      <c r="F602" s="318"/>
      <c r="G602" s="318"/>
      <c r="H602" s="318"/>
    </row>
    <row r="603" spans="4:8" ht="12.75" customHeight="1">
      <c r="D603" s="321"/>
      <c r="E603" s="318"/>
      <c r="F603" s="318"/>
      <c r="G603" s="318"/>
      <c r="H603" s="318"/>
    </row>
    <row r="604" spans="4:8" ht="12.75" customHeight="1">
      <c r="D604" s="321"/>
      <c r="E604" s="318"/>
      <c r="F604" s="318"/>
      <c r="G604" s="318"/>
      <c r="H604" s="318"/>
    </row>
    <row r="605" spans="4:8" ht="12.75" customHeight="1">
      <c r="D605" s="321"/>
      <c r="E605" s="318"/>
      <c r="F605" s="318"/>
      <c r="G605" s="318"/>
      <c r="H605" s="318"/>
    </row>
    <row r="606" spans="4:8" ht="12.75" customHeight="1">
      <c r="D606" s="321"/>
      <c r="E606" s="318"/>
      <c r="F606" s="318"/>
      <c r="G606" s="318"/>
      <c r="H606" s="318"/>
    </row>
    <row r="607" spans="4:8" ht="12.75" customHeight="1">
      <c r="D607" s="321"/>
      <c r="E607" s="318"/>
      <c r="F607" s="318"/>
      <c r="G607" s="318"/>
      <c r="H607" s="318"/>
    </row>
    <row r="608" spans="4:8" ht="12.75" customHeight="1">
      <c r="D608" s="321"/>
      <c r="E608" s="318"/>
      <c r="F608" s="318"/>
      <c r="G608" s="318"/>
      <c r="H608" s="318"/>
    </row>
    <row r="609" spans="4:8" ht="12.75" customHeight="1">
      <c r="D609" s="321"/>
      <c r="E609" s="318"/>
      <c r="F609" s="318"/>
      <c r="G609" s="318"/>
      <c r="H609" s="318"/>
    </row>
    <row r="610" spans="4:8" ht="12.75" customHeight="1">
      <c r="D610" s="321"/>
      <c r="E610" s="318"/>
      <c r="F610" s="318"/>
      <c r="G610" s="318"/>
      <c r="H610" s="318"/>
    </row>
    <row r="611" spans="4:8" ht="12.75" customHeight="1">
      <c r="D611" s="321"/>
      <c r="E611" s="318"/>
      <c r="F611" s="318"/>
      <c r="G611" s="318"/>
      <c r="H611" s="318"/>
    </row>
    <row r="612" spans="4:8" ht="12.75" customHeight="1">
      <c r="D612" s="321"/>
      <c r="E612" s="318"/>
      <c r="F612" s="318"/>
      <c r="G612" s="318"/>
      <c r="H612" s="318"/>
    </row>
    <row r="613" spans="4:8" ht="12.75" customHeight="1">
      <c r="D613" s="321"/>
      <c r="E613" s="318"/>
      <c r="F613" s="318"/>
      <c r="G613" s="318"/>
      <c r="H613" s="318"/>
    </row>
    <row r="614" spans="4:8" ht="12.75" customHeight="1">
      <c r="D614" s="321"/>
      <c r="E614" s="318"/>
      <c r="F614" s="318"/>
      <c r="G614" s="318"/>
      <c r="H614" s="318"/>
    </row>
    <row r="615" spans="4:8" ht="12.75" customHeight="1">
      <c r="D615" s="321"/>
      <c r="E615" s="318"/>
      <c r="F615" s="318"/>
      <c r="G615" s="318"/>
      <c r="H615" s="318"/>
    </row>
    <row r="616" spans="4:8" ht="12.75" customHeight="1">
      <c r="D616" s="321"/>
      <c r="E616" s="318"/>
      <c r="F616" s="318"/>
      <c r="G616" s="318"/>
      <c r="H616" s="318"/>
    </row>
    <row r="617" spans="4:8" ht="12.75" customHeight="1">
      <c r="D617" s="321"/>
      <c r="E617" s="318"/>
      <c r="F617" s="318"/>
      <c r="G617" s="318"/>
      <c r="H617" s="318"/>
    </row>
    <row r="618" spans="4:8" ht="12.75" customHeight="1">
      <c r="D618" s="321"/>
      <c r="E618" s="318"/>
      <c r="F618" s="318"/>
      <c r="G618" s="318"/>
      <c r="H618" s="318"/>
    </row>
    <row r="619" spans="4:8" ht="12.75" customHeight="1">
      <c r="D619" s="321"/>
      <c r="E619" s="318"/>
      <c r="F619" s="318"/>
      <c r="G619" s="318"/>
      <c r="H619" s="318"/>
    </row>
    <row r="620" spans="4:8" ht="12.75" customHeight="1">
      <c r="D620" s="321"/>
      <c r="E620" s="318"/>
      <c r="F620" s="318"/>
      <c r="G620" s="318"/>
      <c r="H620" s="318"/>
    </row>
    <row r="621" spans="4:8" ht="12.75" customHeight="1">
      <c r="D621" s="321"/>
      <c r="E621" s="318"/>
      <c r="F621" s="318"/>
      <c r="G621" s="318"/>
      <c r="H621" s="318"/>
    </row>
    <row r="622" spans="4:8" ht="12.75" customHeight="1">
      <c r="D622" s="321"/>
      <c r="E622" s="318"/>
      <c r="F622" s="318"/>
      <c r="G622" s="318"/>
      <c r="H622" s="318"/>
    </row>
    <row r="623" spans="4:8" ht="12.75" customHeight="1">
      <c r="D623" s="321"/>
      <c r="E623" s="318"/>
      <c r="F623" s="318"/>
      <c r="G623" s="318"/>
      <c r="H623" s="318"/>
    </row>
    <row r="624" spans="4:8" ht="12.75" customHeight="1">
      <c r="D624" s="321"/>
      <c r="E624" s="318"/>
      <c r="F624" s="318"/>
      <c r="G624" s="318"/>
      <c r="H624" s="318"/>
    </row>
    <row r="625" spans="4:8" ht="12.75" customHeight="1">
      <c r="D625" s="321"/>
      <c r="E625" s="318"/>
      <c r="F625" s="318"/>
      <c r="G625" s="318"/>
      <c r="H625" s="318"/>
    </row>
    <row r="626" spans="4:8" ht="12.75" customHeight="1">
      <c r="D626" s="321"/>
      <c r="E626" s="318"/>
      <c r="F626" s="318"/>
      <c r="G626" s="318"/>
      <c r="H626" s="318"/>
    </row>
    <row r="627" spans="4:8" ht="12.75" customHeight="1">
      <c r="D627" s="321"/>
      <c r="E627" s="318"/>
      <c r="F627" s="318"/>
      <c r="G627" s="318"/>
      <c r="H627" s="318"/>
    </row>
    <row r="628" spans="4:8" ht="12.75" customHeight="1">
      <c r="D628" s="321"/>
      <c r="E628" s="318"/>
      <c r="F628" s="318"/>
      <c r="G628" s="318"/>
      <c r="H628" s="318"/>
    </row>
    <row r="629" spans="4:8" ht="12.75" customHeight="1">
      <c r="D629" s="321"/>
      <c r="E629" s="318"/>
      <c r="F629" s="318"/>
      <c r="G629" s="318"/>
      <c r="H629" s="318"/>
    </row>
    <row r="630" spans="4:8" ht="12.75" customHeight="1">
      <c r="D630" s="321"/>
      <c r="E630" s="318"/>
      <c r="F630" s="318"/>
      <c r="G630" s="318"/>
      <c r="H630" s="318"/>
    </row>
    <row r="631" spans="4:8" ht="12.75" customHeight="1">
      <c r="D631" s="321"/>
      <c r="E631" s="318"/>
      <c r="F631" s="318"/>
      <c r="G631" s="318"/>
      <c r="H631" s="318"/>
    </row>
    <row r="632" spans="4:8" ht="12.75" customHeight="1">
      <c r="D632" s="321"/>
      <c r="E632" s="318"/>
      <c r="F632" s="318"/>
      <c r="G632" s="318"/>
      <c r="H632" s="318"/>
    </row>
    <row r="633" spans="4:8" ht="12.75" customHeight="1">
      <c r="D633" s="321"/>
      <c r="E633" s="318"/>
      <c r="F633" s="318"/>
      <c r="G633" s="318"/>
      <c r="H633" s="318"/>
    </row>
    <row r="634" spans="4:8" ht="12.75" customHeight="1">
      <c r="D634" s="321"/>
      <c r="E634" s="318"/>
      <c r="F634" s="318"/>
      <c r="G634" s="318"/>
      <c r="H634" s="318"/>
    </row>
    <row r="635" spans="4:8" ht="12.75" customHeight="1">
      <c r="D635" s="321"/>
      <c r="E635" s="318"/>
      <c r="F635" s="318"/>
      <c r="G635" s="318"/>
      <c r="H635" s="318"/>
    </row>
    <row r="636" spans="4:8" ht="12.75" customHeight="1">
      <c r="D636" s="321"/>
      <c r="E636" s="318"/>
      <c r="F636" s="318"/>
      <c r="G636" s="318"/>
      <c r="H636" s="318"/>
    </row>
    <row r="637" spans="4:8" ht="12.75" customHeight="1">
      <c r="D637" s="321"/>
      <c r="E637" s="318"/>
      <c r="F637" s="318"/>
      <c r="G637" s="318"/>
      <c r="H637" s="318"/>
    </row>
    <row r="638" spans="4:8" ht="12.75" customHeight="1">
      <c r="D638" s="321"/>
      <c r="E638" s="318"/>
      <c r="F638" s="318"/>
      <c r="G638" s="318"/>
      <c r="H638" s="318"/>
    </row>
    <row r="639" spans="4:8" ht="12.75" customHeight="1">
      <c r="D639" s="321"/>
      <c r="E639" s="318"/>
      <c r="F639" s="318"/>
      <c r="G639" s="318"/>
      <c r="H639" s="318"/>
    </row>
    <row r="640" spans="4:8" ht="12.75" customHeight="1">
      <c r="D640" s="321"/>
      <c r="E640" s="318"/>
      <c r="F640" s="318"/>
      <c r="G640" s="318"/>
      <c r="H640" s="318"/>
    </row>
    <row r="641" spans="4:8" ht="12.75" customHeight="1">
      <c r="D641" s="321"/>
      <c r="E641" s="318"/>
      <c r="F641" s="318"/>
      <c r="G641" s="318"/>
      <c r="H641" s="318"/>
    </row>
    <row r="642" spans="4:8" ht="12.75" customHeight="1">
      <c r="D642" s="321"/>
      <c r="E642" s="318"/>
      <c r="F642" s="318"/>
      <c r="G642" s="318"/>
      <c r="H642" s="318"/>
    </row>
    <row r="643" spans="4:8" ht="12.75" customHeight="1">
      <c r="D643" s="321"/>
      <c r="E643" s="318"/>
      <c r="F643" s="318"/>
      <c r="G643" s="318"/>
      <c r="H643" s="318"/>
    </row>
    <row r="644" spans="4:8" ht="12.75" customHeight="1">
      <c r="D644" s="321"/>
      <c r="E644" s="318"/>
      <c r="F644" s="318"/>
      <c r="G644" s="318"/>
      <c r="H644" s="318"/>
    </row>
    <row r="645" spans="4:8" ht="12.75" customHeight="1">
      <c r="D645" s="321"/>
      <c r="E645" s="318"/>
      <c r="F645" s="318"/>
      <c r="G645" s="318"/>
      <c r="H645" s="318"/>
    </row>
    <row r="646" spans="4:8" ht="12.75" customHeight="1">
      <c r="D646" s="321"/>
      <c r="E646" s="318"/>
      <c r="F646" s="318"/>
      <c r="G646" s="318"/>
      <c r="H646" s="318"/>
    </row>
    <row r="647" spans="4:8" ht="12.75" customHeight="1">
      <c r="D647" s="321"/>
      <c r="E647" s="318"/>
      <c r="F647" s="318"/>
      <c r="G647" s="318"/>
      <c r="H647" s="318"/>
    </row>
    <row r="648" spans="4:8" ht="12.75" customHeight="1">
      <c r="D648" s="321"/>
      <c r="E648" s="318"/>
      <c r="F648" s="318"/>
      <c r="G648" s="318"/>
      <c r="H648" s="318"/>
    </row>
    <row r="649" spans="4:8" ht="12.75" customHeight="1">
      <c r="D649" s="321"/>
      <c r="E649" s="318"/>
      <c r="F649" s="318"/>
      <c r="G649" s="318"/>
      <c r="H649" s="318"/>
    </row>
    <row r="650" spans="4:8" ht="12.75" customHeight="1">
      <c r="D650" s="321"/>
      <c r="E650" s="318"/>
      <c r="F650" s="318"/>
      <c r="G650" s="318"/>
      <c r="H650" s="318"/>
    </row>
    <row r="651" spans="4:8" ht="12.75" customHeight="1">
      <c r="D651" s="321"/>
      <c r="E651" s="318"/>
      <c r="F651" s="318"/>
      <c r="G651" s="318"/>
      <c r="H651" s="318"/>
    </row>
    <row r="652" spans="4:8" ht="12.75" customHeight="1">
      <c r="D652" s="321"/>
      <c r="E652" s="318"/>
      <c r="F652" s="318"/>
      <c r="G652" s="318"/>
      <c r="H652" s="318"/>
    </row>
    <row r="653" spans="4:8" ht="12.75" customHeight="1">
      <c r="D653" s="321"/>
      <c r="E653" s="318"/>
      <c r="F653" s="318"/>
      <c r="G653" s="318"/>
      <c r="H653" s="318"/>
    </row>
    <row r="654" spans="4:8" ht="12.75" customHeight="1">
      <c r="D654" s="321"/>
      <c r="E654" s="318"/>
      <c r="F654" s="318"/>
      <c r="G654" s="318"/>
      <c r="H654" s="318"/>
    </row>
    <row r="655" spans="4:8" ht="12.75" customHeight="1">
      <c r="D655" s="321"/>
      <c r="E655" s="318"/>
      <c r="F655" s="318"/>
      <c r="G655" s="318"/>
      <c r="H655" s="318"/>
    </row>
    <row r="656" spans="4:8" ht="12.75" customHeight="1">
      <c r="D656" s="321"/>
      <c r="E656" s="318"/>
      <c r="F656" s="318"/>
      <c r="G656" s="318"/>
      <c r="H656" s="318"/>
    </row>
    <row r="657" spans="4:8" ht="12.75" customHeight="1">
      <c r="D657" s="321"/>
      <c r="E657" s="318"/>
      <c r="F657" s="318"/>
      <c r="G657" s="318"/>
      <c r="H657" s="318"/>
    </row>
    <row r="658" spans="4:8" ht="12.75" customHeight="1">
      <c r="D658" s="321"/>
      <c r="E658" s="318"/>
      <c r="F658" s="318"/>
      <c r="G658" s="318"/>
      <c r="H658" s="318"/>
    </row>
    <row r="659" spans="4:8" ht="12.75" customHeight="1">
      <c r="D659" s="321"/>
      <c r="E659" s="318"/>
      <c r="F659" s="318"/>
      <c r="G659" s="318"/>
      <c r="H659" s="318"/>
    </row>
    <row r="660" spans="4:8" ht="12.75" customHeight="1">
      <c r="D660" s="321"/>
      <c r="E660" s="318"/>
      <c r="F660" s="318"/>
      <c r="G660" s="318"/>
      <c r="H660" s="318"/>
    </row>
    <row r="661" spans="4:8" ht="12.75" customHeight="1">
      <c r="D661" s="321"/>
      <c r="E661" s="318"/>
      <c r="F661" s="318"/>
      <c r="G661" s="318"/>
      <c r="H661" s="318"/>
    </row>
    <row r="662" spans="4:8" ht="12.75" customHeight="1">
      <c r="D662" s="321"/>
      <c r="E662" s="318"/>
      <c r="F662" s="318"/>
      <c r="G662" s="318"/>
      <c r="H662" s="318"/>
    </row>
    <row r="663" spans="4:8" ht="12.75" customHeight="1">
      <c r="D663" s="321"/>
      <c r="E663" s="318"/>
      <c r="F663" s="318"/>
      <c r="G663" s="318"/>
      <c r="H663" s="318"/>
    </row>
    <row r="664" spans="4:8" ht="12.75" customHeight="1">
      <c r="D664" s="321"/>
      <c r="E664" s="318"/>
      <c r="F664" s="318"/>
      <c r="G664" s="318"/>
      <c r="H664" s="318"/>
    </row>
    <row r="665" spans="4:8" ht="12.75" customHeight="1">
      <c r="D665" s="321"/>
      <c r="E665" s="318"/>
      <c r="F665" s="318"/>
      <c r="G665" s="318"/>
      <c r="H665" s="318"/>
    </row>
    <row r="666" spans="4:8" ht="12.75" customHeight="1">
      <c r="D666" s="321"/>
      <c r="E666" s="318"/>
      <c r="F666" s="318"/>
      <c r="G666" s="318"/>
      <c r="H666" s="318"/>
    </row>
    <row r="667" spans="4:8" ht="12.75" customHeight="1">
      <c r="D667" s="321"/>
      <c r="E667" s="318"/>
      <c r="F667" s="318"/>
      <c r="G667" s="318"/>
      <c r="H667" s="318"/>
    </row>
    <row r="668" spans="4:8" ht="12.75" customHeight="1">
      <c r="D668" s="321"/>
      <c r="E668" s="318"/>
      <c r="F668" s="318"/>
      <c r="G668" s="318"/>
      <c r="H668" s="318"/>
    </row>
    <row r="669" spans="4:8" ht="12.75" customHeight="1">
      <c r="D669" s="321"/>
      <c r="E669" s="318"/>
      <c r="F669" s="318"/>
      <c r="G669" s="318"/>
      <c r="H669" s="318"/>
    </row>
    <row r="670" spans="4:8" ht="12.75" customHeight="1">
      <c r="D670" s="321"/>
      <c r="E670" s="318"/>
      <c r="F670" s="318"/>
      <c r="G670" s="318"/>
      <c r="H670" s="318"/>
    </row>
    <row r="671" spans="4:8" ht="12.75" customHeight="1">
      <c r="D671" s="321"/>
      <c r="E671" s="318"/>
      <c r="F671" s="318"/>
      <c r="G671" s="318"/>
      <c r="H671" s="318"/>
    </row>
    <row r="672" spans="4:8" ht="12.75" customHeight="1">
      <c r="D672" s="321"/>
      <c r="E672" s="318"/>
      <c r="F672" s="318"/>
      <c r="G672" s="318"/>
      <c r="H672" s="318"/>
    </row>
    <row r="673" spans="4:8" ht="12.75" customHeight="1">
      <c r="D673" s="321"/>
      <c r="E673" s="318"/>
      <c r="F673" s="318"/>
      <c r="G673" s="318"/>
      <c r="H673" s="318"/>
    </row>
    <row r="674" spans="4:8" ht="12.75" customHeight="1">
      <c r="D674" s="321"/>
      <c r="E674" s="318"/>
      <c r="F674" s="318"/>
      <c r="G674" s="318"/>
      <c r="H674" s="318"/>
    </row>
    <row r="675" spans="4:8" ht="12.75" customHeight="1">
      <c r="D675" s="321"/>
      <c r="E675" s="318"/>
      <c r="F675" s="318"/>
      <c r="G675" s="318"/>
      <c r="H675" s="318"/>
    </row>
    <row r="676" spans="4:8" ht="12.75" customHeight="1">
      <c r="D676" s="321"/>
      <c r="E676" s="318"/>
      <c r="F676" s="318"/>
      <c r="G676" s="318"/>
      <c r="H676" s="318"/>
    </row>
    <row r="677" spans="4:8" ht="12.75" customHeight="1">
      <c r="D677" s="321"/>
      <c r="E677" s="318"/>
      <c r="F677" s="318"/>
      <c r="G677" s="318"/>
      <c r="H677" s="318"/>
    </row>
    <row r="678" spans="4:8" ht="12.75" customHeight="1">
      <c r="D678" s="321"/>
      <c r="E678" s="318"/>
      <c r="F678" s="318"/>
      <c r="G678" s="318"/>
      <c r="H678" s="318"/>
    </row>
    <row r="679" spans="4:8" ht="12.75" customHeight="1">
      <c r="D679" s="321"/>
      <c r="E679" s="318"/>
      <c r="F679" s="318"/>
      <c r="G679" s="318"/>
      <c r="H679" s="318"/>
    </row>
    <row r="680" spans="4:8" ht="12.75" customHeight="1">
      <c r="D680" s="321"/>
      <c r="E680" s="318"/>
      <c r="F680" s="318"/>
      <c r="G680" s="318"/>
      <c r="H680" s="318"/>
    </row>
    <row r="681" spans="4:8" ht="12.75" customHeight="1">
      <c r="D681" s="321"/>
      <c r="E681" s="318"/>
      <c r="F681" s="318"/>
      <c r="G681" s="318"/>
      <c r="H681" s="318"/>
    </row>
    <row r="682" spans="4:8" ht="12.75" customHeight="1">
      <c r="D682" s="321"/>
      <c r="E682" s="318"/>
      <c r="F682" s="318"/>
      <c r="G682" s="318"/>
      <c r="H682" s="318"/>
    </row>
    <row r="683" spans="4:8" ht="12.75" customHeight="1">
      <c r="D683" s="321"/>
      <c r="E683" s="318"/>
      <c r="F683" s="318"/>
      <c r="G683" s="318"/>
      <c r="H683" s="318"/>
    </row>
    <row r="684" spans="4:8" ht="12.75" customHeight="1">
      <c r="D684" s="321"/>
      <c r="E684" s="318"/>
      <c r="F684" s="318"/>
      <c r="G684" s="318"/>
      <c r="H684" s="318"/>
    </row>
    <row r="685" spans="4:8" ht="12.75" customHeight="1">
      <c r="D685" s="321"/>
      <c r="E685" s="318"/>
      <c r="F685" s="318"/>
      <c r="G685" s="318"/>
      <c r="H685" s="318"/>
    </row>
    <row r="686" spans="4:8" ht="12.75" customHeight="1">
      <c r="D686" s="321"/>
      <c r="E686" s="318"/>
      <c r="F686" s="318"/>
      <c r="G686" s="318"/>
      <c r="H686" s="318"/>
    </row>
    <row r="687" spans="4:8" ht="12.75" customHeight="1">
      <c r="D687" s="321"/>
      <c r="E687" s="318"/>
      <c r="F687" s="318"/>
      <c r="G687" s="318"/>
      <c r="H687" s="318"/>
    </row>
    <row r="688" spans="4:8" ht="12.75" customHeight="1">
      <c r="D688" s="321"/>
      <c r="E688" s="318"/>
      <c r="F688" s="318"/>
      <c r="G688" s="318"/>
      <c r="H688" s="318"/>
    </row>
    <row r="689" spans="4:8" ht="12.75" customHeight="1">
      <c r="D689" s="321"/>
      <c r="E689" s="318"/>
      <c r="F689" s="318"/>
      <c r="G689" s="318"/>
      <c r="H689" s="318"/>
    </row>
    <row r="690" spans="4:8" ht="12.75" customHeight="1">
      <c r="D690" s="321"/>
      <c r="E690" s="318"/>
      <c r="F690" s="318"/>
      <c r="G690" s="318"/>
      <c r="H690" s="318"/>
    </row>
    <row r="691" spans="4:8" ht="12.75" customHeight="1">
      <c r="D691" s="321"/>
      <c r="E691" s="318"/>
      <c r="F691" s="318"/>
      <c r="G691" s="318"/>
      <c r="H691" s="318"/>
    </row>
    <row r="692" spans="4:8" ht="12.75" customHeight="1">
      <c r="D692" s="321"/>
      <c r="E692" s="318"/>
      <c r="F692" s="318"/>
      <c r="G692" s="318"/>
      <c r="H692" s="318"/>
    </row>
    <row r="693" spans="4:8" ht="12.75" customHeight="1">
      <c r="D693" s="321"/>
      <c r="E693" s="318"/>
      <c r="F693" s="318"/>
      <c r="G693" s="318"/>
      <c r="H693" s="318"/>
    </row>
    <row r="694" spans="4:8" ht="12.75" customHeight="1">
      <c r="D694" s="321"/>
      <c r="E694" s="318"/>
      <c r="F694" s="318"/>
      <c r="G694" s="318"/>
      <c r="H694" s="318"/>
    </row>
    <row r="695" spans="4:8" ht="12.75" customHeight="1">
      <c r="D695" s="321"/>
      <c r="E695" s="318"/>
      <c r="F695" s="318"/>
      <c r="G695" s="318"/>
      <c r="H695" s="318"/>
    </row>
    <row r="696" spans="4:8" ht="12.75" customHeight="1">
      <c r="D696" s="321"/>
      <c r="E696" s="318"/>
      <c r="F696" s="318"/>
      <c r="G696" s="318"/>
      <c r="H696" s="318"/>
    </row>
    <row r="697" spans="4:8" ht="12.75" customHeight="1">
      <c r="D697" s="321"/>
      <c r="E697" s="318"/>
      <c r="F697" s="318"/>
      <c r="G697" s="318"/>
      <c r="H697" s="318"/>
    </row>
    <row r="698" spans="4:8" ht="12.75" customHeight="1">
      <c r="D698" s="321"/>
      <c r="E698" s="318"/>
      <c r="F698" s="318"/>
      <c r="G698" s="318"/>
      <c r="H698" s="318"/>
    </row>
    <row r="699" spans="4:8" ht="12.75" customHeight="1">
      <c r="D699" s="321"/>
      <c r="E699" s="318"/>
      <c r="F699" s="318"/>
      <c r="G699" s="318"/>
      <c r="H699" s="318"/>
    </row>
    <row r="700" spans="4:8" ht="12.75" customHeight="1">
      <c r="D700" s="321"/>
      <c r="E700" s="318"/>
      <c r="F700" s="318"/>
      <c r="G700" s="318"/>
      <c r="H700" s="318"/>
    </row>
    <row r="701" spans="4:8" ht="12.75" customHeight="1">
      <c r="D701" s="321"/>
      <c r="E701" s="318"/>
      <c r="F701" s="318"/>
      <c r="G701" s="318"/>
      <c r="H701" s="318"/>
    </row>
    <row r="702" spans="4:8" ht="12.75" customHeight="1">
      <c r="D702" s="321"/>
      <c r="E702" s="318"/>
      <c r="F702" s="318"/>
      <c r="G702" s="318"/>
      <c r="H702" s="318"/>
    </row>
    <row r="703" spans="4:8" ht="12.75" customHeight="1">
      <c r="D703" s="321"/>
      <c r="E703" s="318"/>
      <c r="F703" s="318"/>
      <c r="G703" s="318"/>
      <c r="H703" s="318"/>
    </row>
    <row r="704" spans="4:8" ht="12.75" customHeight="1">
      <c r="D704" s="321"/>
      <c r="E704" s="318"/>
      <c r="F704" s="318"/>
      <c r="G704" s="318"/>
      <c r="H704" s="318"/>
    </row>
    <row r="705" spans="4:8" ht="12.75" customHeight="1">
      <c r="D705" s="321"/>
      <c r="E705" s="318"/>
      <c r="F705" s="318"/>
      <c r="G705" s="318"/>
      <c r="H705" s="318"/>
    </row>
    <row r="706" spans="4:8" ht="12.75" customHeight="1">
      <c r="D706" s="321"/>
      <c r="E706" s="318"/>
      <c r="F706" s="318"/>
      <c r="G706" s="318"/>
      <c r="H706" s="318"/>
    </row>
    <row r="707" spans="4:8" ht="12.75" customHeight="1">
      <c r="D707" s="321"/>
      <c r="E707" s="318"/>
      <c r="F707" s="318"/>
      <c r="G707" s="318"/>
      <c r="H707" s="318"/>
    </row>
    <row r="708" spans="4:8" ht="12.75" customHeight="1">
      <c r="D708" s="321"/>
      <c r="E708" s="318"/>
      <c r="F708" s="318"/>
      <c r="G708" s="318"/>
      <c r="H708" s="318"/>
    </row>
    <row r="709" spans="4:8" ht="12.75" customHeight="1">
      <c r="D709" s="321"/>
      <c r="E709" s="318"/>
      <c r="F709" s="318"/>
      <c r="G709" s="318"/>
      <c r="H709" s="318"/>
    </row>
    <row r="710" spans="4:8" ht="12.75" customHeight="1">
      <c r="D710" s="321"/>
      <c r="E710" s="318"/>
      <c r="F710" s="318"/>
      <c r="G710" s="318"/>
      <c r="H710" s="318"/>
    </row>
    <row r="711" spans="4:8" ht="12.75" customHeight="1">
      <c r="D711" s="321"/>
      <c r="E711" s="318"/>
      <c r="F711" s="318"/>
      <c r="G711" s="318"/>
      <c r="H711" s="318"/>
    </row>
    <row r="712" spans="4:8" ht="12.75" customHeight="1">
      <c r="D712" s="321"/>
      <c r="E712" s="318"/>
      <c r="F712" s="318"/>
      <c r="G712" s="318"/>
      <c r="H712" s="318"/>
    </row>
    <row r="713" spans="4:8" ht="12.75" customHeight="1">
      <c r="D713" s="321"/>
      <c r="E713" s="318"/>
      <c r="F713" s="318"/>
      <c r="G713" s="318"/>
      <c r="H713" s="318"/>
    </row>
    <row r="714" spans="4:8" ht="12.75" customHeight="1">
      <c r="D714" s="321"/>
      <c r="E714" s="318"/>
      <c r="F714" s="318"/>
      <c r="G714" s="318"/>
      <c r="H714" s="318"/>
    </row>
    <row r="715" spans="4:8" ht="12.75" customHeight="1">
      <c r="D715" s="321"/>
      <c r="E715" s="318"/>
      <c r="F715" s="318"/>
      <c r="G715" s="318"/>
      <c r="H715" s="318"/>
    </row>
    <row r="716" spans="4:8" ht="12.75" customHeight="1">
      <c r="D716" s="321"/>
      <c r="E716" s="318"/>
      <c r="F716" s="318"/>
      <c r="G716" s="318"/>
      <c r="H716" s="318"/>
    </row>
    <row r="717" spans="4:8" ht="12.75" customHeight="1">
      <c r="D717" s="321"/>
      <c r="E717" s="318"/>
      <c r="F717" s="318"/>
      <c r="G717" s="318"/>
      <c r="H717" s="318"/>
    </row>
    <row r="718" spans="4:8" ht="12.75" customHeight="1">
      <c r="D718" s="321"/>
      <c r="E718" s="318"/>
      <c r="F718" s="318"/>
      <c r="G718" s="318"/>
      <c r="H718" s="318"/>
    </row>
    <row r="719" spans="4:8" ht="12.75" customHeight="1">
      <c r="D719" s="321"/>
      <c r="E719" s="318"/>
      <c r="F719" s="318"/>
      <c r="G719" s="318"/>
      <c r="H719" s="318"/>
    </row>
    <row r="720" spans="4:8" ht="12.75" customHeight="1">
      <c r="D720" s="321"/>
      <c r="E720" s="318"/>
      <c r="F720" s="318"/>
      <c r="G720" s="318"/>
      <c r="H720" s="318"/>
    </row>
    <row r="721" spans="4:8" ht="12.75" customHeight="1">
      <c r="D721" s="321"/>
      <c r="E721" s="318"/>
      <c r="F721" s="318"/>
      <c r="G721" s="318"/>
      <c r="H721" s="318"/>
    </row>
    <row r="722" spans="4:8" ht="12.75" customHeight="1">
      <c r="D722" s="321"/>
      <c r="E722" s="318"/>
      <c r="F722" s="318"/>
      <c r="G722" s="318"/>
      <c r="H722" s="318"/>
    </row>
    <row r="723" spans="4:8" ht="12.75" customHeight="1">
      <c r="D723" s="321"/>
      <c r="E723" s="318"/>
      <c r="F723" s="318"/>
      <c r="G723" s="318"/>
      <c r="H723" s="318"/>
    </row>
    <row r="724" spans="4:8" ht="12.75" customHeight="1">
      <c r="D724" s="321"/>
      <c r="E724" s="318"/>
      <c r="F724" s="318"/>
      <c r="G724" s="318"/>
      <c r="H724" s="318"/>
    </row>
    <row r="725" spans="4:8" ht="12.75" customHeight="1">
      <c r="D725" s="321"/>
      <c r="E725" s="318"/>
      <c r="F725" s="318"/>
      <c r="G725" s="318"/>
      <c r="H725" s="318"/>
    </row>
    <row r="726" spans="4:8" ht="12.75" customHeight="1">
      <c r="D726" s="321"/>
      <c r="E726" s="318"/>
      <c r="F726" s="318"/>
      <c r="G726" s="318"/>
      <c r="H726" s="318"/>
    </row>
    <row r="727" spans="4:8" ht="12.75" customHeight="1">
      <c r="D727" s="321"/>
      <c r="E727" s="318"/>
      <c r="F727" s="318"/>
      <c r="G727" s="318"/>
      <c r="H727" s="318"/>
    </row>
    <row r="728" spans="4:8" ht="12.75" customHeight="1">
      <c r="D728" s="321"/>
      <c r="E728" s="318"/>
      <c r="F728" s="318"/>
      <c r="G728" s="318"/>
      <c r="H728" s="318"/>
    </row>
    <row r="729" spans="4:8" ht="12.75" customHeight="1">
      <c r="D729" s="321"/>
      <c r="E729" s="318"/>
      <c r="F729" s="318"/>
      <c r="G729" s="318"/>
      <c r="H729" s="318"/>
    </row>
    <row r="730" spans="4:8" ht="12.75" customHeight="1">
      <c r="D730" s="321"/>
      <c r="E730" s="318"/>
      <c r="F730" s="318"/>
      <c r="G730" s="318"/>
      <c r="H730" s="318"/>
    </row>
    <row r="731" spans="4:8" ht="12.75" customHeight="1">
      <c r="D731" s="321"/>
      <c r="E731" s="318"/>
      <c r="F731" s="318"/>
      <c r="G731" s="318"/>
      <c r="H731" s="318"/>
    </row>
    <row r="732" spans="4:8" ht="12.75" customHeight="1">
      <c r="D732" s="321"/>
      <c r="E732" s="318"/>
      <c r="F732" s="318"/>
      <c r="G732" s="318"/>
      <c r="H732" s="318"/>
    </row>
    <row r="733" spans="4:8" ht="12.75" customHeight="1">
      <c r="D733" s="321"/>
      <c r="E733" s="318"/>
      <c r="F733" s="318"/>
      <c r="G733" s="318"/>
      <c r="H733" s="318"/>
    </row>
    <row r="734" spans="4:8" ht="12.75" customHeight="1">
      <c r="D734" s="321"/>
      <c r="E734" s="318"/>
      <c r="F734" s="318"/>
      <c r="G734" s="318"/>
      <c r="H734" s="318"/>
    </row>
    <row r="735" spans="4:8" ht="12.75" customHeight="1">
      <c r="D735" s="321"/>
      <c r="E735" s="318"/>
      <c r="F735" s="318"/>
      <c r="G735" s="318"/>
      <c r="H735" s="318"/>
    </row>
    <row r="736" spans="4:8" ht="12.75" customHeight="1">
      <c r="D736" s="321"/>
      <c r="E736" s="318"/>
      <c r="F736" s="318"/>
      <c r="G736" s="318"/>
      <c r="H736" s="318"/>
    </row>
    <row r="737" spans="4:8" ht="12.75" customHeight="1">
      <c r="D737" s="321"/>
      <c r="E737" s="318"/>
      <c r="F737" s="318"/>
      <c r="G737" s="318"/>
      <c r="H737" s="318"/>
    </row>
    <row r="738" spans="4:8" ht="12.75" customHeight="1">
      <c r="D738" s="321"/>
      <c r="E738" s="318"/>
      <c r="F738" s="318"/>
      <c r="G738" s="318"/>
      <c r="H738" s="318"/>
    </row>
    <row r="739" spans="4:8" ht="12.75" customHeight="1">
      <c r="D739" s="321"/>
      <c r="E739" s="318"/>
      <c r="F739" s="318"/>
      <c r="G739" s="318"/>
      <c r="H739" s="318"/>
    </row>
    <row r="740" spans="4:8" ht="12.75" customHeight="1">
      <c r="D740" s="321"/>
      <c r="E740" s="318"/>
      <c r="F740" s="318"/>
      <c r="G740" s="318"/>
      <c r="H740" s="318"/>
    </row>
    <row r="741" spans="4:8" ht="12.75" customHeight="1">
      <c r="D741" s="321"/>
      <c r="E741" s="318"/>
      <c r="F741" s="318"/>
      <c r="G741" s="318"/>
      <c r="H741" s="318"/>
    </row>
    <row r="742" spans="4:8" ht="12.75" customHeight="1">
      <c r="D742" s="321"/>
      <c r="E742" s="318"/>
      <c r="F742" s="318"/>
      <c r="G742" s="318"/>
      <c r="H742" s="318"/>
    </row>
    <row r="743" spans="4:8" ht="13.5" customHeight="1">
      <c r="D743" s="321"/>
      <c r="E743" s="318"/>
      <c r="F743" s="318"/>
      <c r="G743" s="318"/>
      <c r="H743" s="318"/>
    </row>
    <row r="744" spans="4:8" ht="12.75" customHeight="1">
      <c r="D744" s="321"/>
      <c r="E744" s="318"/>
      <c r="F744" s="318"/>
      <c r="G744" s="318"/>
      <c r="H744" s="318"/>
    </row>
    <row r="745" spans="4:8" ht="12.75" customHeight="1">
      <c r="D745" s="321"/>
      <c r="E745" s="318"/>
      <c r="F745" s="318"/>
      <c r="G745" s="318"/>
      <c r="H745" s="318"/>
    </row>
    <row r="746" spans="4:8" ht="12.75" customHeight="1">
      <c r="D746" s="321"/>
      <c r="E746" s="318"/>
      <c r="F746" s="318"/>
      <c r="G746" s="318"/>
      <c r="H746" s="318"/>
    </row>
    <row r="747" spans="4:8" ht="12.75" customHeight="1">
      <c r="D747" s="321"/>
      <c r="E747" s="318"/>
      <c r="F747" s="318"/>
      <c r="G747" s="318"/>
      <c r="H747" s="318"/>
    </row>
    <row r="748" spans="4:8" ht="12.75" customHeight="1">
      <c r="D748" s="321"/>
      <c r="E748" s="318"/>
      <c r="F748" s="318"/>
      <c r="G748" s="318"/>
      <c r="H748" s="318"/>
    </row>
    <row r="749" spans="4:8" ht="12.75" customHeight="1">
      <c r="D749" s="321"/>
      <c r="E749" s="318"/>
      <c r="F749" s="318"/>
      <c r="G749" s="318"/>
      <c r="H749" s="318"/>
    </row>
    <row r="750" spans="4:8" ht="12.75" customHeight="1">
      <c r="D750" s="321"/>
      <c r="E750" s="318"/>
      <c r="F750" s="318"/>
      <c r="G750" s="318"/>
      <c r="H750" s="318"/>
    </row>
    <row r="751" spans="4:8" ht="12.75" customHeight="1">
      <c r="D751" s="321"/>
      <c r="E751" s="318"/>
      <c r="F751" s="318"/>
      <c r="G751" s="318"/>
      <c r="H751" s="318"/>
    </row>
    <row r="752" spans="4:8" ht="12.75" customHeight="1">
      <c r="D752" s="321"/>
      <c r="E752" s="318"/>
      <c r="F752" s="318"/>
      <c r="G752" s="318"/>
      <c r="H752" s="318"/>
    </row>
    <row r="753" spans="4:8" ht="12.75" customHeight="1">
      <c r="D753" s="321"/>
      <c r="E753" s="318"/>
      <c r="F753" s="318"/>
      <c r="G753" s="318"/>
      <c r="H753" s="318"/>
    </row>
    <row r="754" spans="4:8" ht="12.75" customHeight="1">
      <c r="D754" s="321"/>
      <c r="E754" s="318"/>
      <c r="F754" s="318"/>
      <c r="G754" s="318"/>
      <c r="H754" s="318"/>
    </row>
    <row r="755" spans="4:8" ht="12.75" customHeight="1">
      <c r="D755" s="321"/>
      <c r="E755" s="318"/>
      <c r="F755" s="318"/>
      <c r="G755" s="318"/>
      <c r="H755" s="318"/>
    </row>
    <row r="756" spans="4:8" ht="12.75" customHeight="1">
      <c r="D756" s="321"/>
      <c r="E756" s="318"/>
      <c r="F756" s="318"/>
      <c r="G756" s="318"/>
      <c r="H756" s="318"/>
    </row>
    <row r="757" spans="4:8" ht="12.75" customHeight="1">
      <c r="D757" s="321"/>
      <c r="E757" s="318"/>
      <c r="F757" s="318"/>
      <c r="G757" s="318"/>
      <c r="H757" s="318"/>
    </row>
    <row r="758" spans="4:8" ht="12.75" customHeight="1">
      <c r="D758" s="321"/>
      <c r="E758" s="318"/>
      <c r="F758" s="318"/>
      <c r="G758" s="318"/>
      <c r="H758" s="318"/>
    </row>
    <row r="759" spans="4:8" ht="12.75" customHeight="1">
      <c r="D759" s="321"/>
      <c r="E759" s="318"/>
      <c r="F759" s="318"/>
      <c r="G759" s="318"/>
      <c r="H759" s="318"/>
    </row>
    <row r="760" spans="4:8" ht="12.75" customHeight="1">
      <c r="D760" s="321"/>
      <c r="E760" s="318"/>
      <c r="F760" s="318"/>
      <c r="G760" s="318"/>
      <c r="H760" s="318"/>
    </row>
    <row r="761" spans="4:8" ht="12.75" customHeight="1">
      <c r="D761" s="321"/>
      <c r="E761" s="318"/>
      <c r="F761" s="318"/>
      <c r="G761" s="318"/>
      <c r="H761" s="318"/>
    </row>
    <row r="762" spans="4:8" ht="12.75" customHeight="1">
      <c r="D762" s="321"/>
      <c r="E762" s="318"/>
      <c r="F762" s="318"/>
      <c r="G762" s="318"/>
      <c r="H762" s="318"/>
    </row>
    <row r="763" spans="4:8" ht="12.75" customHeight="1">
      <c r="D763" s="321"/>
      <c r="E763" s="318"/>
      <c r="F763" s="318"/>
      <c r="G763" s="318"/>
      <c r="H763" s="318"/>
    </row>
    <row r="764" spans="4:8" ht="12.75" customHeight="1">
      <c r="D764" s="321"/>
      <c r="E764" s="318"/>
      <c r="F764" s="318"/>
      <c r="G764" s="318"/>
      <c r="H764" s="318"/>
    </row>
    <row r="765" spans="4:8" ht="12.75" customHeight="1">
      <c r="D765" s="321"/>
      <c r="E765" s="318"/>
      <c r="F765" s="318"/>
      <c r="G765" s="318"/>
      <c r="H765" s="318"/>
    </row>
    <row r="766" spans="4:8" ht="12.75" customHeight="1">
      <c r="D766" s="321"/>
      <c r="E766" s="318"/>
      <c r="F766" s="318"/>
      <c r="G766" s="318"/>
      <c r="H766" s="318"/>
    </row>
    <row r="767" spans="4:8" ht="12.75" customHeight="1">
      <c r="D767" s="321"/>
      <c r="E767" s="318"/>
      <c r="F767" s="318"/>
      <c r="G767" s="318"/>
      <c r="H767" s="318"/>
    </row>
    <row r="768" spans="4:8" ht="12.75" customHeight="1">
      <c r="D768" s="321"/>
      <c r="E768" s="318"/>
      <c r="F768" s="318"/>
      <c r="G768" s="318"/>
      <c r="H768" s="318"/>
    </row>
    <row r="769" spans="4:30" ht="12.75" customHeight="1">
      <c r="D769" s="321"/>
      <c r="E769" s="318"/>
      <c r="F769" s="318"/>
      <c r="G769" s="318"/>
      <c r="H769" s="318"/>
    </row>
    <row r="770" spans="4:30" ht="12.75" customHeight="1">
      <c r="D770" s="321"/>
      <c r="E770" s="318"/>
      <c r="F770" s="318"/>
      <c r="G770" s="318"/>
      <c r="H770" s="318"/>
      <c r="AD770" s="111">
        <v>1</v>
      </c>
    </row>
    <row r="771" spans="4:30" ht="12.75" customHeight="1">
      <c r="D771" s="321"/>
      <c r="E771" s="318"/>
      <c r="F771" s="318"/>
      <c r="G771" s="318"/>
      <c r="H771" s="318"/>
    </row>
    <row r="772" spans="4:30" ht="12.75" customHeight="1">
      <c r="D772" s="321"/>
      <c r="E772" s="318"/>
      <c r="F772" s="318"/>
      <c r="G772" s="318"/>
      <c r="H772" s="318"/>
    </row>
    <row r="773" spans="4:30" ht="12.75" customHeight="1">
      <c r="D773" s="321"/>
      <c r="E773" s="318"/>
      <c r="F773" s="318"/>
      <c r="G773" s="318"/>
      <c r="H773" s="318"/>
    </row>
    <row r="774" spans="4:30" ht="12.75" customHeight="1">
      <c r="D774" s="321"/>
      <c r="E774" s="318"/>
      <c r="F774" s="318"/>
      <c r="G774" s="318"/>
      <c r="H774" s="318"/>
    </row>
    <row r="775" spans="4:30" ht="12.75" customHeight="1">
      <c r="D775" s="321"/>
      <c r="E775" s="318"/>
      <c r="F775" s="318"/>
      <c r="G775" s="318"/>
      <c r="H775" s="318"/>
    </row>
    <row r="776" spans="4:30" ht="12.75" customHeight="1">
      <c r="D776" s="321"/>
      <c r="E776" s="318"/>
      <c r="F776" s="318"/>
      <c r="G776" s="318"/>
      <c r="H776" s="318"/>
    </row>
    <row r="777" spans="4:30" ht="12.75" customHeight="1">
      <c r="D777" s="321"/>
      <c r="E777" s="318"/>
      <c r="F777" s="318"/>
      <c r="G777" s="318"/>
      <c r="H777" s="318"/>
    </row>
    <row r="778" spans="4:30" ht="12.75" customHeight="1">
      <c r="D778" s="321"/>
      <c r="E778" s="318"/>
      <c r="F778" s="318"/>
      <c r="G778" s="318"/>
      <c r="H778" s="318"/>
    </row>
    <row r="779" spans="4:30" ht="12.75" customHeight="1">
      <c r="D779" s="321"/>
      <c r="E779" s="318"/>
      <c r="F779" s="318"/>
      <c r="G779" s="318"/>
      <c r="H779" s="318"/>
    </row>
    <row r="780" spans="4:30" ht="12.75" customHeight="1">
      <c r="D780" s="321"/>
      <c r="E780" s="318"/>
      <c r="F780" s="318"/>
      <c r="G780" s="318"/>
      <c r="H780" s="318"/>
    </row>
    <row r="781" spans="4:30" ht="12.75" customHeight="1">
      <c r="D781" s="321"/>
      <c r="E781" s="318"/>
      <c r="F781" s="318"/>
      <c r="G781" s="318"/>
      <c r="H781" s="318"/>
    </row>
    <row r="782" spans="4:30" ht="12.75" customHeight="1">
      <c r="D782" s="321"/>
      <c r="E782" s="318"/>
      <c r="F782" s="318"/>
      <c r="G782" s="318"/>
      <c r="H782" s="318"/>
    </row>
    <row r="783" spans="4:30" ht="12.75" customHeight="1">
      <c r="D783" s="321"/>
      <c r="E783" s="318"/>
      <c r="F783" s="318"/>
      <c r="G783" s="318"/>
      <c r="H783" s="318"/>
    </row>
    <row r="784" spans="4:30" ht="12.75" customHeight="1">
      <c r="D784" s="321"/>
      <c r="E784" s="318"/>
      <c r="F784" s="318"/>
      <c r="G784" s="318"/>
      <c r="H784" s="318"/>
    </row>
    <row r="785" spans="4:31" ht="12.75" customHeight="1">
      <c r="D785" s="321"/>
      <c r="E785" s="318"/>
      <c r="F785" s="318"/>
      <c r="G785" s="318"/>
      <c r="H785" s="318"/>
    </row>
    <row r="786" spans="4:31" ht="12.75" customHeight="1">
      <c r="D786" s="321"/>
      <c r="E786" s="318"/>
      <c r="F786" s="318"/>
      <c r="G786" s="318"/>
      <c r="H786" s="318"/>
    </row>
    <row r="787" spans="4:31" ht="12.75" customHeight="1">
      <c r="D787" s="321"/>
      <c r="E787" s="318"/>
      <c r="F787" s="318"/>
      <c r="G787" s="318"/>
      <c r="H787" s="318"/>
    </row>
    <row r="788" spans="4:31" ht="12.75" customHeight="1">
      <c r="D788" s="321"/>
      <c r="E788" s="318"/>
      <c r="F788" s="318"/>
      <c r="G788" s="318"/>
      <c r="H788" s="318"/>
    </row>
    <row r="789" spans="4:31" ht="12.75" customHeight="1">
      <c r="D789" s="321"/>
      <c r="E789" s="318"/>
      <c r="F789" s="318"/>
      <c r="G789" s="318"/>
      <c r="H789" s="318"/>
    </row>
    <row r="790" spans="4:31" ht="12.75" customHeight="1">
      <c r="D790" s="321"/>
      <c r="E790" s="318"/>
      <c r="F790" s="318"/>
      <c r="G790" s="318"/>
      <c r="H790" s="318"/>
    </row>
    <row r="791" spans="4:31" ht="12.75" customHeight="1">
      <c r="D791" s="321"/>
      <c r="E791" s="318"/>
      <c r="F791" s="318"/>
      <c r="G791" s="318"/>
      <c r="H791" s="318"/>
    </row>
    <row r="792" spans="4:31" ht="12.75" customHeight="1">
      <c r="D792" s="321"/>
      <c r="E792" s="318"/>
      <c r="F792" s="318"/>
      <c r="G792" s="318"/>
      <c r="H792" s="318"/>
    </row>
    <row r="793" spans="4:31" ht="12" customHeight="1">
      <c r="D793" s="321"/>
      <c r="E793" s="318"/>
      <c r="F793" s="318"/>
      <c r="G793" s="318"/>
      <c r="H793" s="318"/>
    </row>
    <row r="794" spans="4:31" ht="12.75" customHeight="1">
      <c r="D794" s="321"/>
      <c r="F794" s="318"/>
      <c r="G794" s="318"/>
      <c r="H794" s="318"/>
    </row>
    <row r="795" spans="4:31" ht="12.75" customHeight="1">
      <c r="D795" s="321"/>
      <c r="F795" s="318"/>
      <c r="G795" s="318"/>
      <c r="H795" s="318"/>
    </row>
    <row r="796" spans="4:31" ht="12.75" customHeight="1"/>
    <row r="797" spans="4:31" ht="12.75" customHeight="1"/>
    <row r="798" spans="4:31" ht="12.75" customHeight="1">
      <c r="AE798" s="429"/>
    </row>
    <row r="799" spans="4:31" ht="12.75" customHeight="1"/>
    <row r="800" spans="4:31"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287">
    <mergeCell ref="G2:I2"/>
    <mergeCell ref="B4:I4"/>
    <mergeCell ref="K4:Q4"/>
    <mergeCell ref="E6:I6"/>
    <mergeCell ref="K6:L6"/>
    <mergeCell ref="N6:Q6"/>
    <mergeCell ref="F26:I26"/>
    <mergeCell ref="E9:I9"/>
    <mergeCell ref="K9:L9"/>
    <mergeCell ref="N9:Q9"/>
    <mergeCell ref="E10:I10"/>
    <mergeCell ref="K10:L10"/>
    <mergeCell ref="N10:Q10"/>
    <mergeCell ref="K7:L7"/>
    <mergeCell ref="N7:Q7"/>
    <mergeCell ref="E8:I8"/>
    <mergeCell ref="K8:L8"/>
    <mergeCell ref="N8:Q8"/>
    <mergeCell ref="E11:F11"/>
    <mergeCell ref="H11:I11"/>
    <mergeCell ref="K11:L11"/>
    <mergeCell ref="N11:O11"/>
    <mergeCell ref="P11:Q11"/>
    <mergeCell ref="E12:F12"/>
    <mergeCell ref="H12:I12"/>
    <mergeCell ref="K12:L12"/>
    <mergeCell ref="N12:O12"/>
    <mergeCell ref="P12:Q12"/>
    <mergeCell ref="F16:I16"/>
    <mergeCell ref="F17:I17"/>
    <mergeCell ref="K17:L17"/>
    <mergeCell ref="N17:O17"/>
    <mergeCell ref="P17:Q17"/>
    <mergeCell ref="E13:F13"/>
    <mergeCell ref="H13:I13"/>
    <mergeCell ref="K13:L13"/>
    <mergeCell ref="N13:O13"/>
    <mergeCell ref="P13:Q13"/>
    <mergeCell ref="F15:I15"/>
    <mergeCell ref="K15:L16"/>
    <mergeCell ref="M15:M16"/>
    <mergeCell ref="N15:O16"/>
    <mergeCell ref="P15:Q16"/>
    <mergeCell ref="F20:I20"/>
    <mergeCell ref="K20:L20"/>
    <mergeCell ref="N20:O20"/>
    <mergeCell ref="P20:Q20"/>
    <mergeCell ref="T20:U20"/>
    <mergeCell ref="Y20:Z20"/>
    <mergeCell ref="T18:U18"/>
    <mergeCell ref="Y18:Z18"/>
    <mergeCell ref="F19:I19"/>
    <mergeCell ref="K19:L19"/>
    <mergeCell ref="N19:O19"/>
    <mergeCell ref="P19:Q19"/>
    <mergeCell ref="T19:U19"/>
    <mergeCell ref="Y19:Z19"/>
    <mergeCell ref="K18:L18"/>
    <mergeCell ref="N18:O18"/>
    <mergeCell ref="P18:Q18"/>
    <mergeCell ref="K21:L21"/>
    <mergeCell ref="N21:O21"/>
    <mergeCell ref="P21:Q21"/>
    <mergeCell ref="T21:U21"/>
    <mergeCell ref="F22:I22"/>
    <mergeCell ref="K22:L22"/>
    <mergeCell ref="N22:O22"/>
    <mergeCell ref="P22:Q22"/>
    <mergeCell ref="T22:U22"/>
    <mergeCell ref="K25:L25"/>
    <mergeCell ref="N25:O25"/>
    <mergeCell ref="P25:Q25"/>
    <mergeCell ref="T25:U25"/>
    <mergeCell ref="K23:L23"/>
    <mergeCell ref="N23:O23"/>
    <mergeCell ref="P23:Q23"/>
    <mergeCell ref="T23:U23"/>
    <mergeCell ref="F24:I24"/>
    <mergeCell ref="K24:L24"/>
    <mergeCell ref="N24:O24"/>
    <mergeCell ref="P24:Q24"/>
    <mergeCell ref="T24:U24"/>
    <mergeCell ref="B29:C29"/>
    <mergeCell ref="F29:I29"/>
    <mergeCell ref="K29:L29"/>
    <mergeCell ref="N29:O29"/>
    <mergeCell ref="P29:Q29"/>
    <mergeCell ref="T29:U29"/>
    <mergeCell ref="K26:L26"/>
    <mergeCell ref="N26:O26"/>
    <mergeCell ref="P26:Q26"/>
    <mergeCell ref="T26:U26"/>
    <mergeCell ref="F27:I27"/>
    <mergeCell ref="K27:L27"/>
    <mergeCell ref="N27:O27"/>
    <mergeCell ref="P27:Q27"/>
    <mergeCell ref="T27:U27"/>
    <mergeCell ref="F31:I31"/>
    <mergeCell ref="K31:L31"/>
    <mergeCell ref="N31:O31"/>
    <mergeCell ref="P31:Q31"/>
    <mergeCell ref="T31:U31"/>
    <mergeCell ref="K28:L28"/>
    <mergeCell ref="N28:O28"/>
    <mergeCell ref="P28:Q28"/>
    <mergeCell ref="T28:U28"/>
    <mergeCell ref="K32:L32"/>
    <mergeCell ref="N32:O32"/>
    <mergeCell ref="P32:Q32"/>
    <mergeCell ref="T32:U32"/>
    <mergeCell ref="K33:L33"/>
    <mergeCell ref="N33:O33"/>
    <mergeCell ref="P33:Q33"/>
    <mergeCell ref="T33:U33"/>
    <mergeCell ref="K30:L30"/>
    <mergeCell ref="N30:O30"/>
    <mergeCell ref="P30:Q30"/>
    <mergeCell ref="T30:U30"/>
    <mergeCell ref="K34:L34"/>
    <mergeCell ref="N34:O34"/>
    <mergeCell ref="P34:Q34"/>
    <mergeCell ref="T34:U34"/>
    <mergeCell ref="F35:I35"/>
    <mergeCell ref="K35:L35"/>
    <mergeCell ref="N35:O35"/>
    <mergeCell ref="P35:Q35"/>
    <mergeCell ref="T35:U35"/>
    <mergeCell ref="F36:I36"/>
    <mergeCell ref="K36:L36"/>
    <mergeCell ref="N36:O36"/>
    <mergeCell ref="P36:Q36"/>
    <mergeCell ref="T36:U36"/>
    <mergeCell ref="F37:I37"/>
    <mergeCell ref="K37:L37"/>
    <mergeCell ref="N37:O37"/>
    <mergeCell ref="P37:Q37"/>
    <mergeCell ref="T37:U37"/>
    <mergeCell ref="F38:I38"/>
    <mergeCell ref="K38:L38"/>
    <mergeCell ref="N38:O38"/>
    <mergeCell ref="P38:Q38"/>
    <mergeCell ref="T38:U38"/>
    <mergeCell ref="K39:L39"/>
    <mergeCell ref="N39:O39"/>
    <mergeCell ref="P39:Q39"/>
    <mergeCell ref="T39:U39"/>
    <mergeCell ref="K42:L42"/>
    <mergeCell ref="N42:O42"/>
    <mergeCell ref="P42:Q42"/>
    <mergeCell ref="T42:U42"/>
    <mergeCell ref="K43:L43"/>
    <mergeCell ref="N43:O43"/>
    <mergeCell ref="P43:Q43"/>
    <mergeCell ref="T43:U43"/>
    <mergeCell ref="F39:I39"/>
    <mergeCell ref="F40:G40"/>
    <mergeCell ref="K40:L40"/>
    <mergeCell ref="N40:O40"/>
    <mergeCell ref="P40:Q40"/>
    <mergeCell ref="T40:U40"/>
    <mergeCell ref="K41:L41"/>
    <mergeCell ref="N41:O41"/>
    <mergeCell ref="P41:Q41"/>
    <mergeCell ref="T41:U41"/>
    <mergeCell ref="T50:U50"/>
    <mergeCell ref="K44:L44"/>
    <mergeCell ref="N44:O44"/>
    <mergeCell ref="P44:Q44"/>
    <mergeCell ref="T44:U44"/>
    <mergeCell ref="K45:L45"/>
    <mergeCell ref="N45:O45"/>
    <mergeCell ref="P45:Q45"/>
    <mergeCell ref="T45:U45"/>
    <mergeCell ref="K48:L48"/>
    <mergeCell ref="N48:O48"/>
    <mergeCell ref="P48:Q48"/>
    <mergeCell ref="T48:U48"/>
    <mergeCell ref="K46:L46"/>
    <mergeCell ref="N46:O46"/>
    <mergeCell ref="P46:Q46"/>
    <mergeCell ref="T46:U46"/>
    <mergeCell ref="K59:L59"/>
    <mergeCell ref="B59:C59"/>
    <mergeCell ref="D59:F59"/>
    <mergeCell ref="G59:I59"/>
    <mergeCell ref="K49:L49"/>
    <mergeCell ref="N49:O49"/>
    <mergeCell ref="P49:Q49"/>
    <mergeCell ref="T49:U49"/>
    <mergeCell ref="F47:I47"/>
    <mergeCell ref="F49:I49"/>
    <mergeCell ref="F50:I50"/>
    <mergeCell ref="F51:I51"/>
    <mergeCell ref="F52:I52"/>
    <mergeCell ref="K52:L52"/>
    <mergeCell ref="N52:O52"/>
    <mergeCell ref="P52:Q52"/>
    <mergeCell ref="T52:U52"/>
    <mergeCell ref="K47:L47"/>
    <mergeCell ref="N47:O47"/>
    <mergeCell ref="P47:Q47"/>
    <mergeCell ref="T47:U47"/>
    <mergeCell ref="K50:L50"/>
    <mergeCell ref="N50:O50"/>
    <mergeCell ref="P50:Q50"/>
    <mergeCell ref="K51:L51"/>
    <mergeCell ref="N51:O51"/>
    <mergeCell ref="P51:Q51"/>
    <mergeCell ref="T51:U51"/>
    <mergeCell ref="D62:F63"/>
    <mergeCell ref="G62:I63"/>
    <mergeCell ref="N59:O59"/>
    <mergeCell ref="D60:F61"/>
    <mergeCell ref="G60:I61"/>
    <mergeCell ref="T55:U55"/>
    <mergeCell ref="K55:L55"/>
    <mergeCell ref="N55:O55"/>
    <mergeCell ref="K56:L56"/>
    <mergeCell ref="N56:O56"/>
    <mergeCell ref="K57:L57"/>
    <mergeCell ref="N57:O57"/>
    <mergeCell ref="T54:U54"/>
    <mergeCell ref="F53:I53"/>
    <mergeCell ref="T63:U63"/>
    <mergeCell ref="K53:L53"/>
    <mergeCell ref="N53:O53"/>
    <mergeCell ref="P53:Q53"/>
    <mergeCell ref="T53:U53"/>
    <mergeCell ref="T58:U58"/>
    <mergeCell ref="D70:F71"/>
    <mergeCell ref="G70:I71"/>
    <mergeCell ref="K60:L60"/>
    <mergeCell ref="N60:O60"/>
    <mergeCell ref="K63:L63"/>
    <mergeCell ref="N63:O63"/>
    <mergeCell ref="D66:F67"/>
    <mergeCell ref="G66:I67"/>
    <mergeCell ref="K64:L64"/>
    <mergeCell ref="N64:O64"/>
    <mergeCell ref="P64:Q64"/>
    <mergeCell ref="B64:C65"/>
    <mergeCell ref="D64:F65"/>
    <mergeCell ref="G64:I65"/>
    <mergeCell ref="B62:C63"/>
    <mergeCell ref="B60:C61"/>
    <mergeCell ref="L258:M258"/>
    <mergeCell ref="C83:D83"/>
    <mergeCell ref="F83:H83"/>
    <mergeCell ref="L71:M71"/>
    <mergeCell ref="O71:Q71"/>
    <mergeCell ref="K257:M257"/>
    <mergeCell ref="P257:Q257"/>
    <mergeCell ref="K65:L65"/>
    <mergeCell ref="N65:O65"/>
    <mergeCell ref="B82:D82"/>
    <mergeCell ref="F82:I82"/>
    <mergeCell ref="K70:M70"/>
    <mergeCell ref="O70:Q70"/>
    <mergeCell ref="B68:C69"/>
    <mergeCell ref="D68:F69"/>
    <mergeCell ref="G68:I69"/>
    <mergeCell ref="B66:C67"/>
    <mergeCell ref="B70:C71"/>
    <mergeCell ref="E7:F7"/>
    <mergeCell ref="D73:F73"/>
    <mergeCell ref="K61:L61"/>
    <mergeCell ref="N61:O61"/>
    <mergeCell ref="P61:Q61"/>
    <mergeCell ref="T61:U61"/>
    <mergeCell ref="K62:L62"/>
    <mergeCell ref="N62:O62"/>
    <mergeCell ref="T62:U62"/>
    <mergeCell ref="P59:Q59"/>
    <mergeCell ref="T59:U59"/>
    <mergeCell ref="P60:Q60"/>
    <mergeCell ref="T60:U60"/>
    <mergeCell ref="K58:L58"/>
    <mergeCell ref="N58:O58"/>
    <mergeCell ref="P58:Q58"/>
    <mergeCell ref="P56:Q56"/>
    <mergeCell ref="K54:L54"/>
    <mergeCell ref="N54:O54"/>
    <mergeCell ref="P54:Q54"/>
    <mergeCell ref="P55:Q55"/>
    <mergeCell ref="T56:U56"/>
    <mergeCell ref="P57:Q57"/>
    <mergeCell ref="T57:U57"/>
  </mergeCells>
  <pageMargins left="0.70866141732283472" right="0.70866141732283472" top="0.84406250000000005" bottom="0.74803149606299213" header="0.31496062992125984" footer="0.31496062992125984"/>
  <pageSetup paperSize="10000" scale="65" orientation="portrait" r:id="rId1"/>
  <headerFooter>
    <oddHeader xml:space="preserve">&amp;R&amp;"Century Gothic,Bold"&amp;18ANNEX A: 
SAMPLE PACKAGE COMPUTATION
</oddHeader>
  </headerFooter>
  <colBreaks count="1" manualBreakCount="1">
    <brk id="10" max="85" man="1"/>
  </colBreaks>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4">
    <tabColor rgb="FF92D050"/>
  </sheetPr>
  <dimension ref="A1:BA858"/>
  <sheetViews>
    <sheetView showGridLines="0" showZeros="0" view="pageBreakPreview" topLeftCell="A34" zoomScale="90" zoomScaleNormal="100" zoomScaleSheetLayoutView="90" zoomScalePageLayoutView="85" workbookViewId="0">
      <selection activeCell="K53" sqref="K53:L53"/>
    </sheetView>
  </sheetViews>
  <sheetFormatPr defaultColWidth="8.85546875" defaultRowHeight="15.75" customHeight="1"/>
  <cols>
    <col min="1" max="1" width="1" style="111" customWidth="1"/>
    <col min="2" max="2" width="12.5703125" style="111" customWidth="1"/>
    <col min="3" max="3" width="25.42578125" style="111" customWidth="1"/>
    <col min="4" max="4" width="17.85546875" style="111" customWidth="1"/>
    <col min="5" max="5" width="23.42578125" style="111" customWidth="1"/>
    <col min="6" max="6" width="15.140625" style="111" customWidth="1"/>
    <col min="7" max="7" width="8.140625" style="111" customWidth="1"/>
    <col min="8" max="8" width="4.42578125" style="111" customWidth="1"/>
    <col min="9" max="9" width="17.85546875" style="111" customWidth="1"/>
    <col min="10" max="10" width="2.140625" style="111" customWidth="1"/>
    <col min="11" max="11" width="9.140625" style="111" customWidth="1"/>
    <col min="12" max="12" width="20.140625" style="170" customWidth="1"/>
    <col min="13" max="13" width="18.140625" style="111" customWidth="1"/>
    <col min="14" max="14" width="21.85546875" style="111" customWidth="1"/>
    <col min="15" max="15" width="12.140625" style="111" customWidth="1"/>
    <col min="16" max="16" width="16.85546875" style="111" customWidth="1"/>
    <col min="17" max="17" width="21.42578125" style="111" customWidth="1"/>
    <col min="18" max="18" width="4.85546875" style="111" customWidth="1"/>
    <col min="19" max="19" width="8.85546875" style="111"/>
    <col min="20" max="20" width="19" style="356" hidden="1" customWidth="1"/>
    <col min="21" max="21" width="8.85546875" style="356" hidden="1" customWidth="1"/>
    <col min="22" max="22" width="8.85546875" style="111" hidden="1" customWidth="1"/>
    <col min="23" max="24" width="11.42578125" style="111" hidden="1" customWidth="1"/>
    <col min="25" max="26" width="8.85546875" style="111" hidden="1" customWidth="1"/>
    <col min="27" max="27" width="11.140625" style="111" hidden="1" customWidth="1"/>
    <col min="28" max="28" width="8.85546875" style="111"/>
    <col min="29" max="29" width="13.140625" style="111" customWidth="1"/>
    <col min="30" max="30" width="14.5703125" style="111" customWidth="1"/>
    <col min="31" max="31" width="8.85546875" style="111"/>
    <col min="32" max="32" width="9.140625" style="111" bestFit="1" customWidth="1"/>
    <col min="33" max="33" width="17.140625" style="111" customWidth="1"/>
    <col min="34" max="34" width="17.85546875" style="111" customWidth="1"/>
    <col min="35" max="35" width="9.85546875" style="111" customWidth="1"/>
    <col min="36" max="36" width="10.85546875" style="357" customWidth="1"/>
    <col min="37" max="37" width="13.42578125" style="111" customWidth="1"/>
    <col min="38" max="38" width="12.85546875" style="111" customWidth="1"/>
    <col min="39" max="41" width="13.140625" style="111" customWidth="1"/>
    <col min="42" max="42" width="11.140625" style="111" customWidth="1"/>
    <col min="43" max="43" width="14.85546875" style="111" customWidth="1"/>
    <col min="44" max="44" width="5.85546875" style="111" customWidth="1"/>
    <col min="45" max="45" width="11.85546875" style="111" customWidth="1"/>
    <col min="46" max="46" width="12.85546875" style="111" customWidth="1"/>
    <col min="47" max="47" width="11.85546875" style="111" customWidth="1"/>
    <col min="48" max="48" width="12.85546875" style="111" customWidth="1"/>
    <col min="49" max="49" width="12.85546875" style="358" customWidth="1"/>
    <col min="50" max="50" width="14.5703125" style="359" customWidth="1"/>
    <col min="51" max="55" width="12.85546875" style="111" customWidth="1"/>
    <col min="56" max="16384" width="8.85546875" style="111"/>
  </cols>
  <sheetData>
    <row r="1" spans="1:50" ht="4.5" customHeight="1">
      <c r="B1" s="350"/>
      <c r="C1" s="351" t="e">
        <f>(F15-(F16+#REF!))*12%</f>
        <v>#REF!</v>
      </c>
      <c r="D1" s="322" t="e">
        <f>FORM!#REF!</f>
        <v>#REF!</v>
      </c>
      <c r="E1" s="352"/>
      <c r="F1" s="3"/>
      <c r="G1" s="353"/>
      <c r="H1" s="353"/>
      <c r="J1" s="354">
        <v>0.01</v>
      </c>
      <c r="K1" s="352"/>
      <c r="L1" s="355"/>
      <c r="M1" s="355"/>
      <c r="N1" s="133"/>
    </row>
    <row r="2" spans="1:50" ht="12.6">
      <c r="B2" s="243" t="s">
        <v>783</v>
      </c>
      <c r="C2" s="478">
        <f>FORM!I20</f>
        <v>45901</v>
      </c>
      <c r="D2" s="242"/>
      <c r="F2" s="173" t="s">
        <v>943</v>
      </c>
      <c r="G2" s="1414" t="s">
        <v>785</v>
      </c>
      <c r="H2" s="1414"/>
      <c r="I2" s="1414"/>
      <c r="J2" s="203"/>
      <c r="K2" s="173" t="s">
        <v>783</v>
      </c>
      <c r="L2" s="478">
        <f>C2</f>
        <v>45901</v>
      </c>
      <c r="M2" s="112"/>
      <c r="O2" s="309"/>
      <c r="P2" s="243" t="s">
        <v>944</v>
      </c>
      <c r="Q2" s="360" t="s">
        <v>787</v>
      </c>
    </row>
    <row r="3" spans="1:50" ht="12.6">
      <c r="C3" s="3"/>
      <c r="D3" s="3"/>
      <c r="E3" s="203"/>
      <c r="F3" s="203"/>
      <c r="G3" s="203"/>
      <c r="H3" s="203"/>
      <c r="I3" s="203"/>
      <c r="J3" s="203"/>
      <c r="K3" s="361"/>
      <c r="L3" s="362"/>
      <c r="M3" s="363"/>
      <c r="N3" s="364"/>
      <c r="O3" s="364"/>
      <c r="P3" s="364"/>
      <c r="Q3" s="364"/>
    </row>
    <row r="4" spans="1:50" s="626" customFormat="1" ht="18.75" customHeight="1">
      <c r="A4" s="624"/>
      <c r="B4" s="1597" t="s">
        <v>955</v>
      </c>
      <c r="C4" s="1597"/>
      <c r="D4" s="1597"/>
      <c r="E4" s="1597"/>
      <c r="F4" s="1597"/>
      <c r="G4" s="1597"/>
      <c r="H4" s="1597"/>
      <c r="I4" s="1598"/>
      <c r="J4" s="625"/>
      <c r="K4" s="1415" t="s">
        <v>788</v>
      </c>
      <c r="L4" s="1415"/>
      <c r="M4" s="1415"/>
      <c r="N4" s="1415"/>
      <c r="O4" s="1415"/>
      <c r="P4" s="1415"/>
      <c r="Q4" s="1415"/>
      <c r="T4" s="627"/>
      <c r="U4" s="627"/>
      <c r="AJ4" s="628"/>
      <c r="AW4" s="629"/>
      <c r="AX4" s="630"/>
    </row>
    <row r="5" spans="1:50" ht="12" customHeight="1">
      <c r="A5" s="112"/>
      <c r="B5" s="112"/>
      <c r="C5" s="114"/>
      <c r="D5" s="114"/>
      <c r="E5" s="112"/>
      <c r="F5" s="114"/>
      <c r="G5" s="114"/>
      <c r="H5" s="114"/>
      <c r="I5" s="310"/>
      <c r="J5" s="203"/>
      <c r="K5" s="203"/>
      <c r="L5" s="203"/>
      <c r="M5" s="311"/>
      <c r="N5" s="112"/>
      <c r="O5" s="112"/>
      <c r="P5" s="112"/>
      <c r="Q5" s="112"/>
    </row>
    <row r="6" spans="1:50" ht="12.6">
      <c r="A6" s="112"/>
      <c r="B6" s="365" t="s">
        <v>789</v>
      </c>
      <c r="C6" s="366"/>
      <c r="D6" s="197" t="s">
        <v>741</v>
      </c>
      <c r="E6" s="1416">
        <f>FORM!I26</f>
        <v>0</v>
      </c>
      <c r="F6" s="1417"/>
      <c r="G6" s="1417"/>
      <c r="H6" s="1417"/>
      <c r="I6" s="1418"/>
      <c r="J6" s="203"/>
      <c r="K6" s="1588" t="s">
        <v>789</v>
      </c>
      <c r="L6" s="1588"/>
      <c r="M6" s="197" t="s">
        <v>741</v>
      </c>
      <c r="N6" s="1600">
        <f t="shared" ref="N6:N13" si="0">E6</f>
        <v>0</v>
      </c>
      <c r="O6" s="1600"/>
      <c r="P6" s="1600"/>
      <c r="Q6" s="1600"/>
    </row>
    <row r="7" spans="1:50" ht="12.95" thickBot="1">
      <c r="A7" s="112"/>
      <c r="B7" s="206" t="s">
        <v>740</v>
      </c>
      <c r="C7" s="367"/>
      <c r="D7" s="197" t="s">
        <v>741</v>
      </c>
      <c r="E7" s="1428" t="str">
        <f>FORM!$I$11</f>
        <v>The Southprime Flats</v>
      </c>
      <c r="F7" s="1429"/>
      <c r="G7" s="369" t="str">
        <f>FORM!I14</f>
        <v>B2</v>
      </c>
      <c r="H7" s="369"/>
      <c r="I7" s="217"/>
      <c r="J7" s="203"/>
      <c r="K7" s="1588" t="s">
        <v>740</v>
      </c>
      <c r="L7" s="1588"/>
      <c r="M7" s="368" t="s">
        <v>741</v>
      </c>
      <c r="N7" s="1600" t="str">
        <f t="shared" si="0"/>
        <v>The Southprime Flats</v>
      </c>
      <c r="O7" s="1600"/>
      <c r="P7" s="1600"/>
      <c r="Q7" s="1600"/>
    </row>
    <row r="8" spans="1:50" ht="12.6">
      <c r="A8" s="302"/>
      <c r="B8" s="365" t="s">
        <v>790</v>
      </c>
      <c r="C8" s="366"/>
      <c r="D8" s="197" t="s">
        <v>741</v>
      </c>
      <c r="E8" s="1416" t="str">
        <f>IF(FORM!I17="UNSOLD",FORM!I18,"UNABLE TO PROCESS, PLEASE PICK OTHER UNIT")</f>
        <v>2L</v>
      </c>
      <c r="F8" s="1417"/>
      <c r="G8" s="1417"/>
      <c r="H8" s="1417"/>
      <c r="I8" s="1418"/>
      <c r="J8" s="203"/>
      <c r="K8" s="1588" t="s">
        <v>790</v>
      </c>
      <c r="L8" s="1588"/>
      <c r="M8" s="197" t="s">
        <v>741</v>
      </c>
      <c r="N8" s="1600" t="str">
        <f>E8</f>
        <v>2L</v>
      </c>
      <c r="O8" s="1600"/>
      <c r="P8" s="1600"/>
      <c r="Q8" s="1600"/>
    </row>
    <row r="9" spans="1:50" ht="12.6" hidden="1">
      <c r="A9" s="112"/>
      <c r="B9" s="206" t="s">
        <v>791</v>
      </c>
      <c r="C9" s="367"/>
      <c r="D9" s="197" t="s">
        <v>741</v>
      </c>
      <c r="E9" s="1416" t="e">
        <f>FORM!#REF!</f>
        <v>#REF!</v>
      </c>
      <c r="F9" s="1417"/>
      <c r="G9" s="1417"/>
      <c r="H9" s="1417"/>
      <c r="I9" s="1418"/>
      <c r="J9" s="203"/>
      <c r="K9" s="1588" t="s">
        <v>791</v>
      </c>
      <c r="L9" s="1588"/>
      <c r="M9" s="197" t="s">
        <v>741</v>
      </c>
      <c r="N9" s="1600" t="e">
        <f t="shared" si="0"/>
        <v>#REF!</v>
      </c>
      <c r="O9" s="1600"/>
      <c r="P9" s="1600"/>
      <c r="Q9" s="1600"/>
    </row>
    <row r="10" spans="1:50" ht="12.95" thickBot="1">
      <c r="A10" s="112"/>
      <c r="B10" s="206" t="s">
        <v>792</v>
      </c>
      <c r="C10" s="367"/>
      <c r="D10" s="197" t="s">
        <v>741</v>
      </c>
      <c r="E10" s="1416" t="str">
        <f>VLOOKUP(E8,'Pricelist Link'!A6:AA304,6,FALSE)</f>
        <v>Studio</v>
      </c>
      <c r="F10" s="1417"/>
      <c r="G10" s="1417"/>
      <c r="H10" s="1417"/>
      <c r="I10" s="1418"/>
      <c r="J10" s="203"/>
      <c r="K10" s="1588" t="s">
        <v>792</v>
      </c>
      <c r="L10" s="1588"/>
      <c r="M10" s="368" t="s">
        <v>741</v>
      </c>
      <c r="N10" s="1600" t="str">
        <f t="shared" si="0"/>
        <v>Studio</v>
      </c>
      <c r="O10" s="1600"/>
      <c r="P10" s="1600"/>
      <c r="Q10" s="1600"/>
    </row>
    <row r="11" spans="1:50" ht="12.6">
      <c r="A11" s="112"/>
      <c r="B11" s="206" t="s">
        <v>793</v>
      </c>
      <c r="C11" s="367"/>
      <c r="D11" s="197" t="s">
        <v>741</v>
      </c>
      <c r="E11" s="1601">
        <f>VLOOKUP(E8,'Pricelist Link'!A6:AA304,7,FALSE)</f>
        <v>22</v>
      </c>
      <c r="F11" s="1602"/>
      <c r="G11" s="369" t="s">
        <v>794</v>
      </c>
      <c r="H11" s="1417"/>
      <c r="I11" s="1418"/>
      <c r="J11" s="203"/>
      <c r="K11" s="1588" t="s">
        <v>793</v>
      </c>
      <c r="L11" s="1588"/>
      <c r="M11" s="197" t="s">
        <v>741</v>
      </c>
      <c r="N11" s="1420">
        <f t="shared" si="0"/>
        <v>22</v>
      </c>
      <c r="O11" s="1421"/>
      <c r="P11" s="1422" t="s">
        <v>794</v>
      </c>
      <c r="Q11" s="1423"/>
    </row>
    <row r="12" spans="1:50" ht="12.6">
      <c r="A12" s="302"/>
      <c r="B12" s="370" t="s">
        <v>795</v>
      </c>
      <c r="C12" s="366"/>
      <c r="D12" s="197" t="s">
        <v>741</v>
      </c>
      <c r="E12" s="1601"/>
      <c r="F12" s="1602"/>
      <c r="G12" s="369" t="s">
        <v>794</v>
      </c>
      <c r="H12" s="1422"/>
      <c r="I12" s="1423"/>
      <c r="J12" s="203"/>
      <c r="K12" s="1588" t="s">
        <v>795</v>
      </c>
      <c r="L12" s="1588"/>
      <c r="M12" s="197" t="s">
        <v>741</v>
      </c>
      <c r="N12" s="1589">
        <f t="shared" si="0"/>
        <v>0</v>
      </c>
      <c r="O12" s="1590"/>
      <c r="P12" s="1422" t="s">
        <v>794</v>
      </c>
      <c r="Q12" s="1423"/>
    </row>
    <row r="13" spans="1:50" ht="12.6">
      <c r="A13" s="303"/>
      <c r="B13" s="206" t="s">
        <v>796</v>
      </c>
      <c r="C13" s="367"/>
      <c r="D13" s="197" t="s">
        <v>741</v>
      </c>
      <c r="E13" s="1593">
        <f>VLOOKUP(E8,'Pricelist Link'!A6:AA304,7,FALSE)</f>
        <v>22</v>
      </c>
      <c r="F13" s="1594"/>
      <c r="G13" s="369" t="s">
        <v>794</v>
      </c>
      <c r="H13" s="1422"/>
      <c r="I13" s="1423"/>
      <c r="J13" s="203"/>
      <c r="K13" s="1588" t="s">
        <v>796</v>
      </c>
      <c r="L13" s="1588"/>
      <c r="M13" s="197" t="s">
        <v>741</v>
      </c>
      <c r="N13" s="1589">
        <f t="shared" si="0"/>
        <v>22</v>
      </c>
      <c r="O13" s="1590"/>
      <c r="P13" s="1422" t="s">
        <v>794</v>
      </c>
      <c r="Q13" s="1423"/>
    </row>
    <row r="14" spans="1:50" ht="12.6">
      <c r="A14" s="112"/>
      <c r="B14" s="112"/>
      <c r="C14" s="312"/>
      <c r="D14" s="197"/>
      <c r="E14" s="203"/>
      <c r="F14" s="371"/>
      <c r="G14" s="371"/>
      <c r="H14" s="372"/>
      <c r="I14" s="373"/>
      <c r="J14" s="203"/>
      <c r="K14" s="112"/>
      <c r="L14" s="112"/>
      <c r="M14" s="301"/>
      <c r="N14" s="112"/>
      <c r="O14" s="112"/>
      <c r="P14" s="112"/>
      <c r="Q14" s="112"/>
    </row>
    <row r="15" spans="1:50" ht="15" customHeight="1">
      <c r="A15" s="112"/>
      <c r="B15" s="201" t="s">
        <v>797</v>
      </c>
      <c r="C15" s="201"/>
      <c r="D15" s="374" t="s">
        <v>741</v>
      </c>
      <c r="E15" s="375"/>
      <c r="F15" s="1595">
        <f>VLOOKUP(E8,'Pricelist Link'!A6:AA304,8,FALSE)</f>
        <v>3379693.0676632621</v>
      </c>
      <c r="G15" s="1595"/>
      <c r="H15" s="1595"/>
      <c r="I15" s="1596"/>
      <c r="J15" s="203"/>
      <c r="K15" s="1434" t="s">
        <v>798</v>
      </c>
      <c r="L15" s="1434"/>
      <c r="M15" s="1435" t="s">
        <v>709</v>
      </c>
      <c r="N15" s="1434" t="s">
        <v>712</v>
      </c>
      <c r="O15" s="1434"/>
      <c r="P15" s="1436" t="s">
        <v>458</v>
      </c>
      <c r="Q15" s="1437"/>
    </row>
    <row r="16" spans="1:50" ht="12.6">
      <c r="A16" s="112"/>
      <c r="B16" s="215" t="s">
        <v>799</v>
      </c>
      <c r="C16" s="367"/>
      <c r="D16" s="376" t="s">
        <v>741</v>
      </c>
      <c r="E16" s="377"/>
      <c r="F16" s="1586">
        <f>F15*E16</f>
        <v>0</v>
      </c>
      <c r="G16" s="1586"/>
      <c r="H16" s="1586"/>
      <c r="I16" s="1587"/>
      <c r="J16" s="114"/>
      <c r="K16" s="1434"/>
      <c r="L16" s="1434"/>
      <c r="M16" s="1435"/>
      <c r="N16" s="1434"/>
      <c r="O16" s="1434"/>
      <c r="P16" s="1438"/>
      <c r="Q16" s="1439"/>
    </row>
    <row r="17" spans="1:50" ht="12.6">
      <c r="A17" s="112"/>
      <c r="B17" s="165" t="s">
        <v>800</v>
      </c>
      <c r="C17" s="122"/>
      <c r="D17" s="203" t="s">
        <v>741</v>
      </c>
      <c r="E17" s="375"/>
      <c r="F17" s="1591">
        <f>F15-F16</f>
        <v>3379693.0676632621</v>
      </c>
      <c r="G17" s="1591"/>
      <c r="H17" s="1591"/>
      <c r="I17" s="1592"/>
      <c r="J17" s="114"/>
      <c r="K17" s="1419" t="s">
        <v>758</v>
      </c>
      <c r="L17" s="1419"/>
      <c r="M17" s="378">
        <f>C2</f>
        <v>45901</v>
      </c>
      <c r="N17" s="1441">
        <f>F25</f>
        <v>30000</v>
      </c>
      <c r="O17" s="1441"/>
      <c r="P17" s="1442"/>
      <c r="Q17" s="1443"/>
      <c r="W17" s="380">
        <f>M17</f>
        <v>45901</v>
      </c>
      <c r="X17" s="380">
        <f>EDATE(W17,E28)</f>
        <v>46447</v>
      </c>
    </row>
    <row r="18" spans="1:50" ht="12.95">
      <c r="A18" s="112"/>
      <c r="B18" s="212"/>
      <c r="C18" s="312"/>
      <c r="D18" s="197"/>
      <c r="E18" s="114"/>
      <c r="F18" s="381"/>
      <c r="G18" s="382"/>
      <c r="H18" s="383"/>
      <c r="I18" s="383"/>
      <c r="J18" s="114"/>
      <c r="K18" s="1419" t="str">
        <f t="shared" ref="K18:K63" si="1">IF(N18&gt;1,T18,0)</f>
        <v>1st EQUITY PAYMENT</v>
      </c>
      <c r="L18" s="1419"/>
      <c r="M18" s="378">
        <f t="shared" ref="M18:M63" si="2">IF(N18&gt;1,W18,"")</f>
        <v>45935</v>
      </c>
      <c r="N18" s="1441">
        <f>IF(E28&gt;0,F28,"")</f>
        <v>25030.561558798338</v>
      </c>
      <c r="O18" s="1441"/>
      <c r="P18" s="1442"/>
      <c r="Q18" s="1443"/>
      <c r="T18" s="1549" t="s">
        <v>945</v>
      </c>
      <c r="U18" s="1549"/>
      <c r="W18" s="378">
        <f>IF(DAY(W17)=31,Y20,AA20)</f>
        <v>45935</v>
      </c>
      <c r="X18" s="24"/>
      <c r="Y18" s="1585" t="s">
        <v>805</v>
      </c>
      <c r="Z18" s="1585"/>
      <c r="AA18" s="24"/>
    </row>
    <row r="19" spans="1:50" ht="12.6">
      <c r="A19" s="302"/>
      <c r="B19" s="215" t="s">
        <v>803</v>
      </c>
      <c r="C19" s="367"/>
      <c r="D19" s="376" t="s">
        <v>741</v>
      </c>
      <c r="E19" s="487">
        <v>0.12</v>
      </c>
      <c r="F19" s="1586"/>
      <c r="G19" s="1586"/>
      <c r="H19" s="1586"/>
      <c r="I19" s="1587"/>
      <c r="J19" s="114"/>
      <c r="K19" s="1419" t="str">
        <f t="shared" si="1"/>
        <v>2nd EQUITY PAYMENT</v>
      </c>
      <c r="L19" s="1419"/>
      <c r="M19" s="378">
        <f t="shared" si="2"/>
        <v>45966</v>
      </c>
      <c r="N19" s="1441">
        <f>IF(E28&gt;1,F28,0)</f>
        <v>25030.561558798338</v>
      </c>
      <c r="O19" s="1441"/>
      <c r="P19" s="1442"/>
      <c r="Q19" s="1443"/>
      <c r="T19" s="1549" t="s">
        <v>804</v>
      </c>
      <c r="U19" s="1549"/>
      <c r="W19" s="378">
        <f t="shared" ref="W19:W61" si="3">IF(AND(DAY(W18)&gt;=6,DAY(W18)&lt;=20),DATE(YEAR(W18),MONTH(W18)+1,DAY(20)),IF(AND(DAY(W18)&gt;=21,DAY(W18)&lt;=30),DATE(YEAR(W18),MONTH(W18)+1,IF(DAY(EOMONTH(W18,1))&lt;30,DAY(EOMONTH(W18,1)),DAY(30))),DATE(YEAR(W18),MONTH(W18)+1,DAY(5))))</f>
        <v>45966</v>
      </c>
      <c r="X19" s="60" t="s">
        <v>37</v>
      </c>
      <c r="Y19" s="1583" t="b">
        <f>IF(DAY(W17)=31,DATE(YEAR(X17),MONTH(X17)+2,DAY(5)))</f>
        <v>0</v>
      </c>
      <c r="Z19" s="1584"/>
      <c r="AA19" s="495">
        <f>IF(AND(DAY(X17)&gt;=6,DAY(X17)&lt;=20),DATE(YEAR(X17),MONTH(X17)+1,DAY(20)),IF(AND(DAY(X17)&gt;=21,DAY(X17)&lt;=31),DATE(YEAR(X17),MONTH(X17)+1,IF(DAY(EOMONTH(X17,1))&lt;30,DAY(EOMONTH(X17,1)),DAY(30))),DATE(YEAR(X17),MONTH(X17)+1,DAY(5))))</f>
        <v>46482</v>
      </c>
    </row>
    <row r="20" spans="1:50" ht="12.6">
      <c r="A20" s="303"/>
      <c r="B20" s="384" t="s">
        <v>806</v>
      </c>
      <c r="C20" s="122"/>
      <c r="D20" s="197" t="s">
        <v>741</v>
      </c>
      <c r="E20" s="216"/>
      <c r="F20" s="1580">
        <f>VLOOKUP(E8,'Pricelist Link'!A6:AA304,9,FALSE)</f>
        <v>464707.79680369853</v>
      </c>
      <c r="G20" s="1581"/>
      <c r="H20" s="1581"/>
      <c r="I20" s="1582"/>
      <c r="J20" s="114"/>
      <c r="K20" s="1419" t="str">
        <f t="shared" si="1"/>
        <v>3rd EQUITY PAYMENT</v>
      </c>
      <c r="L20" s="1419"/>
      <c r="M20" s="378">
        <f t="shared" si="2"/>
        <v>45996</v>
      </c>
      <c r="N20" s="1441">
        <f>IF(E28&gt;2,F28,0)</f>
        <v>25030.561558798338</v>
      </c>
      <c r="O20" s="1441"/>
      <c r="P20" s="1442"/>
      <c r="Q20" s="1443"/>
      <c r="T20" s="1549" t="s">
        <v>807</v>
      </c>
      <c r="U20" s="1549"/>
      <c r="W20" s="378">
        <f t="shared" si="3"/>
        <v>45996</v>
      </c>
      <c r="X20" s="60" t="s">
        <v>809</v>
      </c>
      <c r="Y20" s="1583" t="b">
        <f>IF(DAY(W17)=31,DATE(YEAR(W17),MONTH(W17)+2,DAY(5)))</f>
        <v>0</v>
      </c>
      <c r="Z20" s="1584"/>
      <c r="AA20" s="495">
        <f>IF(AND(DAY(W17)&gt;=6,DAY(W17)&lt;=20),DATE(YEAR(W17),MONTH(W17)+1,DAY(20)),IF(AND(DAY(W17)&gt;=21,DAY(W17)&lt;=30),DATE(YEAR(W17),MONTH(W17)+1,IF(DAY(EOMONTH(W17,1))&lt;31,DAY(EOMONTH(W17,1)),DAY(30))),DATE(YEAR(W17),MONTH(W17)+1,DAY(5))))</f>
        <v>45935</v>
      </c>
      <c r="AX20" s="111"/>
    </row>
    <row r="21" spans="1:50" ht="12.6">
      <c r="A21" s="112"/>
      <c r="B21" s="212"/>
      <c r="C21" s="114"/>
      <c r="D21" s="197"/>
      <c r="E21" s="203"/>
      <c r="F21" s="381"/>
      <c r="G21" s="381"/>
      <c r="H21" s="381"/>
      <c r="I21" s="381"/>
      <c r="J21" s="114"/>
      <c r="K21" s="1419" t="str">
        <f t="shared" si="1"/>
        <v>4th EQUITY PAYMENT</v>
      </c>
      <c r="L21" s="1419"/>
      <c r="M21" s="378">
        <f t="shared" si="2"/>
        <v>46027</v>
      </c>
      <c r="N21" s="1441">
        <f>IF(E28&gt;3,F28,0)</f>
        <v>25030.561558798338</v>
      </c>
      <c r="O21" s="1441"/>
      <c r="P21" s="1442"/>
      <c r="Q21" s="1443"/>
      <c r="T21" s="1549" t="s">
        <v>808</v>
      </c>
      <c r="U21" s="1549"/>
      <c r="W21" s="378">
        <f t="shared" si="3"/>
        <v>46027</v>
      </c>
      <c r="AX21" s="111"/>
    </row>
    <row r="22" spans="1:50" ht="12.6">
      <c r="A22" s="112"/>
      <c r="B22" s="165" t="s">
        <v>810</v>
      </c>
      <c r="C22" s="122"/>
      <c r="D22" s="203" t="s">
        <v>741</v>
      </c>
      <c r="E22" s="385"/>
      <c r="F22" s="1474">
        <f>SUM(F20,F19,F17)</f>
        <v>3844400.8644669605</v>
      </c>
      <c r="G22" s="1475"/>
      <c r="H22" s="1475"/>
      <c r="I22" s="1476"/>
      <c r="J22" s="114"/>
      <c r="K22" s="1419" t="str">
        <f t="shared" si="1"/>
        <v>5th EQUITY PAYMENT</v>
      </c>
      <c r="L22" s="1419"/>
      <c r="M22" s="378">
        <f t="shared" si="2"/>
        <v>46058</v>
      </c>
      <c r="N22" s="1441">
        <f>IF(E28&gt;4,F28,0)</f>
        <v>25030.561558798338</v>
      </c>
      <c r="O22" s="1441"/>
      <c r="P22" s="1442"/>
      <c r="Q22" s="1443"/>
      <c r="T22" s="1549" t="s">
        <v>811</v>
      </c>
      <c r="U22" s="1549"/>
      <c r="W22" s="378">
        <f t="shared" si="3"/>
        <v>46058</v>
      </c>
      <c r="AX22" s="111"/>
    </row>
    <row r="23" spans="1:50" ht="12.6">
      <c r="A23" s="112"/>
      <c r="B23" s="212"/>
      <c r="C23" s="114"/>
      <c r="D23" s="197"/>
      <c r="E23" s="203"/>
      <c r="F23" s="381"/>
      <c r="G23" s="386"/>
      <c r="H23" s="386"/>
      <c r="I23" s="386"/>
      <c r="J23" s="114"/>
      <c r="K23" s="1419" t="str">
        <f t="shared" si="1"/>
        <v>6th EQUITY PAYMENT</v>
      </c>
      <c r="L23" s="1419"/>
      <c r="M23" s="378">
        <f t="shared" si="2"/>
        <v>46086</v>
      </c>
      <c r="N23" s="1441">
        <f>IF(E28&gt;5,F28,0)</f>
        <v>25030.561558798338</v>
      </c>
      <c r="O23" s="1441"/>
      <c r="P23" s="1442"/>
      <c r="Q23" s="1443"/>
      <c r="T23" s="1549" t="s">
        <v>812</v>
      </c>
      <c r="U23" s="1549"/>
      <c r="W23" s="378">
        <f t="shared" si="3"/>
        <v>46086</v>
      </c>
      <c r="AX23" s="111"/>
    </row>
    <row r="24" spans="1:50" ht="12.6">
      <c r="A24" s="112"/>
      <c r="B24" s="201" t="s">
        <v>813</v>
      </c>
      <c r="C24" s="366"/>
      <c r="D24" s="374" t="s">
        <v>741</v>
      </c>
      <c r="E24" s="485">
        <f>FORM!I24</f>
        <v>0.125</v>
      </c>
      <c r="F24" s="1474">
        <f>F22*E24</f>
        <v>480550.10805837007</v>
      </c>
      <c r="G24" s="1475"/>
      <c r="H24" s="1475"/>
      <c r="I24" s="1476"/>
      <c r="J24" s="114"/>
      <c r="K24" s="1419" t="str">
        <f t="shared" si="1"/>
        <v>7th EQUITY PAYMENT</v>
      </c>
      <c r="L24" s="1419"/>
      <c r="M24" s="378">
        <f t="shared" si="2"/>
        <v>46117</v>
      </c>
      <c r="N24" s="1441">
        <f>IF(E28&gt;6,F28,0)</f>
        <v>25030.561558798338</v>
      </c>
      <c r="O24" s="1441"/>
      <c r="P24" s="1442"/>
      <c r="Q24" s="1443"/>
      <c r="T24" s="1549" t="s">
        <v>814</v>
      </c>
      <c r="U24" s="1549"/>
      <c r="W24" s="378">
        <f t="shared" si="3"/>
        <v>46117</v>
      </c>
      <c r="AX24" s="111"/>
    </row>
    <row r="25" spans="1:50" ht="12.6">
      <c r="A25" s="112"/>
      <c r="B25" s="206" t="s">
        <v>815</v>
      </c>
      <c r="C25" s="367"/>
      <c r="D25" s="197" t="s">
        <v>741</v>
      </c>
      <c r="E25" s="388"/>
      <c r="F25" s="348">
        <f>FORM!I22</f>
        <v>30000</v>
      </c>
      <c r="G25" s="389"/>
      <c r="H25" s="390"/>
      <c r="I25" s="391"/>
      <c r="J25" s="114"/>
      <c r="K25" s="1419" t="str">
        <f t="shared" si="1"/>
        <v>8th EQUITY PAYMENT</v>
      </c>
      <c r="L25" s="1419"/>
      <c r="M25" s="378">
        <f t="shared" si="2"/>
        <v>46147</v>
      </c>
      <c r="N25" s="1441">
        <f>IF(E28&gt;7,F28,0)</f>
        <v>25030.561558798338</v>
      </c>
      <c r="O25" s="1441"/>
      <c r="P25" s="1442"/>
      <c r="Q25" s="1443"/>
      <c r="T25" s="1549" t="s">
        <v>816</v>
      </c>
      <c r="U25" s="1549"/>
      <c r="W25" s="378">
        <f t="shared" si="3"/>
        <v>46147</v>
      </c>
      <c r="AX25" s="111"/>
    </row>
    <row r="26" spans="1:50" ht="12.6">
      <c r="A26" s="302"/>
      <c r="B26" s="165" t="s">
        <v>946</v>
      </c>
      <c r="C26" s="160"/>
      <c r="D26" s="203" t="s">
        <v>741</v>
      </c>
      <c r="E26" s="388"/>
      <c r="F26" s="1474">
        <f>F24-F25</f>
        <v>450550.10805837007</v>
      </c>
      <c r="G26" s="1475"/>
      <c r="H26" s="1475"/>
      <c r="I26" s="1476"/>
      <c r="J26" s="114"/>
      <c r="K26" s="1419" t="str">
        <f t="shared" si="1"/>
        <v>9th EQUITY PAYMENT</v>
      </c>
      <c r="L26" s="1419"/>
      <c r="M26" s="378">
        <f t="shared" si="2"/>
        <v>46178</v>
      </c>
      <c r="N26" s="1441">
        <f>IF(E28&gt;8,F28,0)</f>
        <v>25030.561558798338</v>
      </c>
      <c r="O26" s="1441"/>
      <c r="P26" s="1442"/>
      <c r="Q26" s="1443"/>
      <c r="T26" s="1549" t="s">
        <v>818</v>
      </c>
      <c r="U26" s="1549"/>
      <c r="W26" s="378">
        <f t="shared" si="3"/>
        <v>46178</v>
      </c>
      <c r="AX26" s="111"/>
    </row>
    <row r="27" spans="1:50" ht="12.6">
      <c r="A27" s="112"/>
      <c r="B27" s="212"/>
      <c r="C27" s="114"/>
      <c r="D27" s="197"/>
      <c r="E27" s="203"/>
      <c r="F27" s="381"/>
      <c r="G27" s="386"/>
      <c r="H27" s="386"/>
      <c r="I27" s="386"/>
      <c r="J27" s="114"/>
      <c r="K27" s="1419" t="str">
        <f t="shared" si="1"/>
        <v>10th EQUITY PAYMENT</v>
      </c>
      <c r="L27" s="1419"/>
      <c r="M27" s="378">
        <f t="shared" si="2"/>
        <v>46208</v>
      </c>
      <c r="N27" s="1441">
        <f>IF(E28&gt;9,F28,0)</f>
        <v>25030.561558798338</v>
      </c>
      <c r="O27" s="1441"/>
      <c r="P27" s="1442"/>
      <c r="Q27" s="1443"/>
      <c r="T27" s="1549" t="s">
        <v>819</v>
      </c>
      <c r="U27" s="1549"/>
      <c r="W27" s="378">
        <f t="shared" si="3"/>
        <v>46208</v>
      </c>
      <c r="AX27" s="111"/>
    </row>
    <row r="28" spans="1:50" ht="12.6">
      <c r="A28" s="112"/>
      <c r="B28" s="1579" t="s">
        <v>947</v>
      </c>
      <c r="C28" s="1579"/>
      <c r="D28" s="203" t="s">
        <v>741</v>
      </c>
      <c r="E28" s="392">
        <f>VLOOKUP(E8,'Pricelist Link'!A6:AA304,15,FALSE)</f>
        <v>18</v>
      </c>
      <c r="F28" s="1474">
        <f>F26/E28</f>
        <v>25030.561558798338</v>
      </c>
      <c r="G28" s="1475"/>
      <c r="H28" s="1475"/>
      <c r="I28" s="1476"/>
      <c r="J28" s="114"/>
      <c r="K28" s="1419" t="str">
        <f t="shared" si="1"/>
        <v>11th EQUITY PAYMENT</v>
      </c>
      <c r="L28" s="1419"/>
      <c r="M28" s="378">
        <f t="shared" si="2"/>
        <v>46239</v>
      </c>
      <c r="N28" s="1441">
        <f>IF(E28&gt;10,F28,0)</f>
        <v>25030.561558798338</v>
      </c>
      <c r="O28" s="1441"/>
      <c r="P28" s="1442"/>
      <c r="Q28" s="1443"/>
      <c r="T28" s="1549" t="s">
        <v>822</v>
      </c>
      <c r="U28" s="1549"/>
      <c r="W28" s="378">
        <f t="shared" si="3"/>
        <v>46239</v>
      </c>
      <c r="AX28" s="111"/>
    </row>
    <row r="29" spans="1:50" ht="12.6">
      <c r="A29" s="304"/>
      <c r="B29" s="112"/>
      <c r="C29" s="312"/>
      <c r="D29" s="197"/>
      <c r="E29" s="393"/>
      <c r="F29" s="381"/>
      <c r="G29" s="381"/>
      <c r="H29" s="381"/>
      <c r="I29" s="381"/>
      <c r="J29" s="114"/>
      <c r="K29" s="1419" t="str">
        <f t="shared" si="1"/>
        <v>12th EQUITY PAYMENT</v>
      </c>
      <c r="L29" s="1419"/>
      <c r="M29" s="378">
        <f t="shared" si="2"/>
        <v>46270</v>
      </c>
      <c r="N29" s="1548">
        <f>IF(E28&gt;11,F28,0)</f>
        <v>25030.561558798338</v>
      </c>
      <c r="O29" s="1548"/>
      <c r="P29" s="1442"/>
      <c r="Q29" s="1443"/>
      <c r="T29" s="1549" t="s">
        <v>823</v>
      </c>
      <c r="U29" s="1549"/>
      <c r="W29" s="378">
        <f t="shared" si="3"/>
        <v>46270</v>
      </c>
      <c r="AX29" s="111"/>
    </row>
    <row r="30" spans="1:50" ht="12.6">
      <c r="A30" s="112"/>
      <c r="B30" s="165" t="s">
        <v>827</v>
      </c>
      <c r="C30" s="165"/>
      <c r="D30" s="203" t="s">
        <v>741</v>
      </c>
      <c r="E30" s="387">
        <f>100%-E24</f>
        <v>0.875</v>
      </c>
      <c r="F30" s="1474">
        <f>F22*E30</f>
        <v>3363850.7564085904</v>
      </c>
      <c r="G30" s="1475"/>
      <c r="H30" s="1475"/>
      <c r="I30" s="1476"/>
      <c r="J30" s="114"/>
      <c r="K30" s="1419" t="str">
        <f t="shared" si="1"/>
        <v>13th EQUITY PAYMENT</v>
      </c>
      <c r="L30" s="1419"/>
      <c r="M30" s="378">
        <f t="shared" si="2"/>
        <v>46300</v>
      </c>
      <c r="N30" s="1548">
        <f>IF(E28&gt;12,F28,0)</f>
        <v>25030.561558798338</v>
      </c>
      <c r="O30" s="1548"/>
      <c r="P30" s="1442"/>
      <c r="Q30" s="1443"/>
      <c r="T30" s="1549" t="s">
        <v>824</v>
      </c>
      <c r="U30" s="1549"/>
      <c r="W30" s="378">
        <f t="shared" si="3"/>
        <v>46300</v>
      </c>
      <c r="AX30" s="111"/>
    </row>
    <row r="31" spans="1:50" ht="12.6">
      <c r="A31" s="112"/>
      <c r="B31" s="112"/>
      <c r="C31" s="312"/>
      <c r="D31" s="393"/>
      <c r="E31" s="393"/>
      <c r="F31" s="393"/>
      <c r="G31" s="394"/>
      <c r="H31" s="394"/>
      <c r="I31" s="394"/>
      <c r="J31" s="114"/>
      <c r="K31" s="1419" t="str">
        <f t="shared" si="1"/>
        <v>14th EQUITY PAYMENT</v>
      </c>
      <c r="L31" s="1419"/>
      <c r="M31" s="378">
        <f t="shared" si="2"/>
        <v>46331</v>
      </c>
      <c r="N31" s="1548">
        <f>IF(E28&gt;13,F28,0)</f>
        <v>25030.561558798338</v>
      </c>
      <c r="O31" s="1548"/>
      <c r="P31" s="1442"/>
      <c r="Q31" s="1443"/>
      <c r="T31" s="1549" t="s">
        <v>825</v>
      </c>
      <c r="U31" s="1549"/>
      <c r="W31" s="378">
        <f t="shared" si="3"/>
        <v>46331</v>
      </c>
      <c r="AX31" s="111"/>
    </row>
    <row r="32" spans="1:50" ht="12.6">
      <c r="A32" s="112"/>
      <c r="B32" s="122" t="s">
        <v>830</v>
      </c>
      <c r="C32" s="384"/>
      <c r="D32" s="395"/>
      <c r="E32" s="396"/>
      <c r="F32" s="393"/>
      <c r="G32" s="394"/>
      <c r="H32" s="394"/>
      <c r="I32" s="394"/>
      <c r="J32" s="313"/>
      <c r="K32" s="1419" t="str">
        <f t="shared" si="1"/>
        <v>15th EQUITY PAYMENT</v>
      </c>
      <c r="L32" s="1419"/>
      <c r="M32" s="378">
        <f t="shared" si="2"/>
        <v>46361</v>
      </c>
      <c r="N32" s="1548">
        <f>IF(E28&gt;14,F28,0)</f>
        <v>25030.561558798338</v>
      </c>
      <c r="O32" s="1548"/>
      <c r="P32" s="1442"/>
      <c r="Q32" s="1443"/>
      <c r="T32" s="1549" t="s">
        <v>826</v>
      </c>
      <c r="U32" s="1549"/>
      <c r="W32" s="378">
        <f t="shared" si="3"/>
        <v>46361</v>
      </c>
      <c r="AX32" s="111"/>
    </row>
    <row r="33" spans="1:50" ht="12.6">
      <c r="A33" s="112"/>
      <c r="B33" s="112"/>
      <c r="C33" s="312"/>
      <c r="D33" s="312"/>
      <c r="E33" s="397"/>
      <c r="F33" s="278"/>
      <c r="G33" s="278"/>
      <c r="H33" s="278"/>
      <c r="I33" s="278"/>
      <c r="J33" s="203"/>
      <c r="K33" s="1419" t="str">
        <f t="shared" si="1"/>
        <v>16th EQUITY PAYMENT</v>
      </c>
      <c r="L33" s="1419"/>
      <c r="M33" s="378">
        <f t="shared" si="2"/>
        <v>46392</v>
      </c>
      <c r="N33" s="1548">
        <f>IF(E28&gt;15,F28,0)</f>
        <v>25030.561558798338</v>
      </c>
      <c r="O33" s="1548"/>
      <c r="P33" s="1442"/>
      <c r="Q33" s="1443"/>
      <c r="T33" s="1549" t="s">
        <v>828</v>
      </c>
      <c r="U33" s="1549"/>
      <c r="W33" s="378">
        <f t="shared" si="3"/>
        <v>46392</v>
      </c>
      <c r="AX33" s="111"/>
    </row>
    <row r="34" spans="1:50" ht="12.6">
      <c r="A34" s="112"/>
      <c r="B34" s="345" t="s">
        <v>833</v>
      </c>
      <c r="C34" s="345" t="s">
        <v>352</v>
      </c>
      <c r="D34" s="345" t="s">
        <v>834</v>
      </c>
      <c r="E34" s="345" t="s">
        <v>835</v>
      </c>
      <c r="F34" s="1434" t="s">
        <v>855</v>
      </c>
      <c r="G34" s="1434"/>
      <c r="H34" s="1434"/>
      <c r="I34" s="1434"/>
      <c r="J34" s="312"/>
      <c r="K34" s="1419" t="str">
        <f t="shared" si="1"/>
        <v>17th EQUITY PAYMENT</v>
      </c>
      <c r="L34" s="1419"/>
      <c r="M34" s="378">
        <f t="shared" si="2"/>
        <v>46423</v>
      </c>
      <c r="N34" s="1548">
        <f>IF(E28&gt;16,F28,0)</f>
        <v>25030.561558798338</v>
      </c>
      <c r="O34" s="1548"/>
      <c r="P34" s="1442"/>
      <c r="Q34" s="1443"/>
      <c r="T34" s="1549" t="s">
        <v>829</v>
      </c>
      <c r="U34" s="1549"/>
      <c r="W34" s="378">
        <f t="shared" si="3"/>
        <v>46423</v>
      </c>
      <c r="AX34" s="111"/>
    </row>
    <row r="35" spans="1:50" ht="12.6">
      <c r="A35" s="112"/>
      <c r="B35" s="398">
        <v>5</v>
      </c>
      <c r="C35" s="699">
        <v>7.0000000000000007E-2</v>
      </c>
      <c r="D35" s="399">
        <f>PMT(C35/12,B35*12,-1)</f>
        <v>1.9801198540349535E-2</v>
      </c>
      <c r="E35" s="400">
        <f>F30*D35</f>
        <v>66608.276687751451</v>
      </c>
      <c r="F35" s="1441">
        <f>E35/0.33</f>
        <v>201843.26269015591</v>
      </c>
      <c r="G35" s="1441"/>
      <c r="H35" s="1441"/>
      <c r="I35" s="1441"/>
      <c r="J35" s="114"/>
      <c r="K35" s="1419" t="str">
        <f t="shared" si="1"/>
        <v>18th EQUITY PAYMENT</v>
      </c>
      <c r="L35" s="1419"/>
      <c r="M35" s="378">
        <f t="shared" si="2"/>
        <v>46451</v>
      </c>
      <c r="N35" s="1548">
        <f>IF(E28&gt;17,F28,0)</f>
        <v>25030.561558798338</v>
      </c>
      <c r="O35" s="1548"/>
      <c r="P35" s="1442"/>
      <c r="Q35" s="1443"/>
      <c r="T35" s="1549" t="s">
        <v>831</v>
      </c>
      <c r="U35" s="1549"/>
      <c r="W35" s="378">
        <f t="shared" si="3"/>
        <v>46451</v>
      </c>
      <c r="AX35" s="111"/>
    </row>
    <row r="36" spans="1:50" ht="12.6">
      <c r="A36" s="112"/>
      <c r="B36" s="398">
        <v>10</v>
      </c>
      <c r="C36" s="699">
        <v>7.0000000000000007E-2</v>
      </c>
      <c r="D36" s="399">
        <f>PMT(C36/12,B36*12,-1)</f>
        <v>1.1610847921862406E-2</v>
      </c>
      <c r="E36" s="400">
        <f>F30*D36</f>
        <v>39057.159564501962</v>
      </c>
      <c r="F36" s="1441">
        <f>E36/0.33</f>
        <v>118355.02898333927</v>
      </c>
      <c r="G36" s="1441"/>
      <c r="H36" s="1441"/>
      <c r="I36" s="1441"/>
      <c r="J36" s="114"/>
      <c r="K36" s="1419">
        <f t="shared" si="1"/>
        <v>0</v>
      </c>
      <c r="L36" s="1419"/>
      <c r="M36" s="378" t="str">
        <f t="shared" si="2"/>
        <v/>
      </c>
      <c r="N36" s="1548">
        <f>IF(E28&gt;18,F28,0)</f>
        <v>0</v>
      </c>
      <c r="O36" s="1548"/>
      <c r="P36" s="1442"/>
      <c r="Q36" s="1443"/>
      <c r="T36" s="1549" t="s">
        <v>832</v>
      </c>
      <c r="U36" s="1549"/>
      <c r="W36" s="378">
        <f t="shared" si="3"/>
        <v>46482</v>
      </c>
      <c r="AX36" s="111"/>
    </row>
    <row r="37" spans="1:50" ht="12.6">
      <c r="A37" s="112"/>
      <c r="B37" s="398">
        <v>15</v>
      </c>
      <c r="C37" s="699">
        <v>7.0000000000000007E-2</v>
      </c>
      <c r="D37" s="399">
        <f>PMT(C37/12,B37*12,-1)</f>
        <v>8.988282708524269E-3</v>
      </c>
      <c r="E37" s="400">
        <f>F30*D37</f>
        <v>30235.241587883615</v>
      </c>
      <c r="F37" s="1441">
        <f>E37/0.33</f>
        <v>91621.944205707914</v>
      </c>
      <c r="G37" s="1441"/>
      <c r="H37" s="1441"/>
      <c r="I37" s="1441"/>
      <c r="J37" s="114"/>
      <c r="K37" s="1419">
        <f t="shared" si="1"/>
        <v>0</v>
      </c>
      <c r="L37" s="1419"/>
      <c r="M37" s="378" t="str">
        <f t="shared" si="2"/>
        <v/>
      </c>
      <c r="N37" s="1548">
        <f>IF(E28&gt;19,F28,0)</f>
        <v>0</v>
      </c>
      <c r="O37" s="1548"/>
      <c r="P37" s="1442"/>
      <c r="Q37" s="1443"/>
      <c r="T37" s="1549" t="s">
        <v>837</v>
      </c>
      <c r="U37" s="1549"/>
      <c r="W37" s="378">
        <f t="shared" si="3"/>
        <v>46512</v>
      </c>
      <c r="AX37" s="111"/>
    </row>
    <row r="38" spans="1:50" ht="12.6">
      <c r="A38" s="112"/>
      <c r="B38" s="398">
        <v>20</v>
      </c>
      <c r="C38" s="699">
        <v>7.0000000000000007E-2</v>
      </c>
      <c r="D38" s="399">
        <f>PMT(C38/12,B38*12,-1)</f>
        <v>7.7529893561887461E-3</v>
      </c>
      <c r="E38" s="400">
        <f>F30*D38</f>
        <v>26079.899110243263</v>
      </c>
      <c r="F38" s="1441">
        <f>E38/0.33</f>
        <v>79029.997303767464</v>
      </c>
      <c r="G38" s="1441"/>
      <c r="H38" s="1441"/>
      <c r="I38" s="1441"/>
      <c r="J38" s="114"/>
      <c r="K38" s="1419">
        <f t="shared" si="1"/>
        <v>0</v>
      </c>
      <c r="L38" s="1419"/>
      <c r="M38" s="378" t="str">
        <f t="shared" si="2"/>
        <v/>
      </c>
      <c r="N38" s="1548">
        <f>IF(E28&gt;20,F28,0)</f>
        <v>0</v>
      </c>
      <c r="O38" s="1548"/>
      <c r="P38" s="1442"/>
      <c r="Q38" s="1443"/>
      <c r="T38" s="1549" t="s">
        <v>838</v>
      </c>
      <c r="U38" s="1549"/>
      <c r="W38" s="378">
        <f t="shared" si="3"/>
        <v>46543</v>
      </c>
      <c r="AX38" s="111"/>
    </row>
    <row r="39" spans="1:50" ht="12.6">
      <c r="A39" s="112"/>
      <c r="B39" s="814" t="s">
        <v>956</v>
      </c>
      <c r="C39" s="305"/>
      <c r="D39" s="306"/>
      <c r="E39" s="307"/>
      <c r="F39" s="1578"/>
      <c r="G39" s="1578"/>
      <c r="H39" s="346"/>
      <c r="I39" s="112"/>
      <c r="J39" s="114"/>
      <c r="K39" s="1419">
        <f t="shared" si="1"/>
        <v>0</v>
      </c>
      <c r="L39" s="1419"/>
      <c r="M39" s="378" t="str">
        <f t="shared" si="2"/>
        <v/>
      </c>
      <c r="N39" s="1548">
        <f>IF(E28&gt;21,F28,0)</f>
        <v>0</v>
      </c>
      <c r="O39" s="1548"/>
      <c r="P39" s="1442"/>
      <c r="Q39" s="1443"/>
      <c r="T39" s="1549" t="s">
        <v>839</v>
      </c>
      <c r="U39" s="1549"/>
      <c r="W39" s="378">
        <f t="shared" si="3"/>
        <v>46573</v>
      </c>
      <c r="AX39" s="111"/>
    </row>
    <row r="40" spans="1:50" ht="12.6">
      <c r="A40" s="112"/>
      <c r="B40" s="814" t="s">
        <v>957</v>
      </c>
      <c r="C40" s="402"/>
      <c r="D40" s="197"/>
      <c r="E40" s="112"/>
      <c r="F40" s="112"/>
      <c r="G40" s="112"/>
      <c r="H40" s="112"/>
      <c r="I40" s="112"/>
      <c r="J40" s="114"/>
      <c r="K40" s="1419">
        <f t="shared" si="1"/>
        <v>0</v>
      </c>
      <c r="L40" s="1419"/>
      <c r="M40" s="378" t="str">
        <f t="shared" si="2"/>
        <v/>
      </c>
      <c r="N40" s="1548">
        <f>IF(E28&gt;22,F28,0)</f>
        <v>0</v>
      </c>
      <c r="O40" s="1548"/>
      <c r="P40" s="1442"/>
      <c r="Q40" s="1443"/>
      <c r="T40" s="1549" t="s">
        <v>840</v>
      </c>
      <c r="U40" s="1549"/>
      <c r="W40" s="378">
        <f t="shared" si="3"/>
        <v>46604</v>
      </c>
      <c r="AN40" s="401">
        <v>3128865.99</v>
      </c>
      <c r="AX40" s="111"/>
    </row>
    <row r="41" spans="1:50" ht="12.6">
      <c r="A41" s="112"/>
      <c r="B41" s="273" t="s">
        <v>844</v>
      </c>
      <c r="C41" s="112"/>
      <c r="D41" s="197"/>
      <c r="E41" s="112"/>
      <c r="F41" s="112"/>
      <c r="G41" s="112"/>
      <c r="H41" s="112"/>
      <c r="I41" s="112"/>
      <c r="J41" s="114"/>
      <c r="K41" s="1419">
        <f t="shared" si="1"/>
        <v>0</v>
      </c>
      <c r="L41" s="1419"/>
      <c r="M41" s="378" t="str">
        <f t="shared" si="2"/>
        <v/>
      </c>
      <c r="N41" s="1548">
        <f>IF(E28&gt;24,F28,0)</f>
        <v>0</v>
      </c>
      <c r="O41" s="1548"/>
      <c r="P41" s="1442"/>
      <c r="Q41" s="1443"/>
      <c r="T41" s="1549" t="s">
        <v>841</v>
      </c>
      <c r="U41" s="1549"/>
      <c r="W41" s="378">
        <f t="shared" si="3"/>
        <v>46635</v>
      </c>
      <c r="AX41" s="111"/>
    </row>
    <row r="42" spans="1:50" ht="12.6">
      <c r="A42" s="112"/>
      <c r="B42" s="273" t="s">
        <v>846</v>
      </c>
      <c r="C42" s="402"/>
      <c r="D42" s="197"/>
      <c r="E42" s="112"/>
      <c r="F42" s="112"/>
      <c r="G42" s="112"/>
      <c r="H42" s="112"/>
      <c r="I42" s="112"/>
      <c r="J42" s="203"/>
      <c r="K42" s="1419">
        <f t="shared" si="1"/>
        <v>0</v>
      </c>
      <c r="L42" s="1419"/>
      <c r="M42" s="378" t="str">
        <f t="shared" si="2"/>
        <v/>
      </c>
      <c r="N42" s="1548">
        <f>IF(E28&gt;24,F28,0)</f>
        <v>0</v>
      </c>
      <c r="O42" s="1548"/>
      <c r="P42" s="1442"/>
      <c r="Q42" s="1443"/>
      <c r="T42" s="1549" t="s">
        <v>842</v>
      </c>
      <c r="U42" s="1549"/>
      <c r="W42" s="378">
        <f t="shared" si="3"/>
        <v>46665</v>
      </c>
      <c r="AX42" s="111"/>
    </row>
    <row r="43" spans="1:50" ht="12.6">
      <c r="A43" s="112"/>
      <c r="B43" s="273"/>
      <c r="C43" s="402"/>
      <c r="D43" s="197"/>
      <c r="E43" s="112"/>
      <c r="F43" s="112"/>
      <c r="G43" s="112"/>
      <c r="H43" s="112"/>
      <c r="I43" s="112"/>
      <c r="J43" s="203"/>
      <c r="K43" s="1419">
        <f t="shared" si="1"/>
        <v>0</v>
      </c>
      <c r="L43" s="1419"/>
      <c r="M43" s="378" t="str">
        <f t="shared" si="2"/>
        <v/>
      </c>
      <c r="N43" s="1548">
        <f>IF(E28&gt;25,F28,0)</f>
        <v>0</v>
      </c>
      <c r="O43" s="1548"/>
      <c r="P43" s="1442"/>
      <c r="Q43" s="1443"/>
      <c r="T43" s="1549" t="s">
        <v>843</v>
      </c>
      <c r="U43" s="1549"/>
      <c r="W43" s="378">
        <f t="shared" si="3"/>
        <v>46696</v>
      </c>
      <c r="AX43" s="111"/>
    </row>
    <row r="44" spans="1:50" ht="12.6">
      <c r="A44" s="112"/>
      <c r="B44" s="122" t="s">
        <v>849</v>
      </c>
      <c r="C44" s="384"/>
      <c r="D44" s="395"/>
      <c r="E44" s="1234"/>
      <c r="F44" s="1062"/>
      <c r="G44" s="276"/>
      <c r="H44" s="276"/>
      <c r="I44" s="276"/>
      <c r="J44" s="203"/>
      <c r="K44" s="1419">
        <f t="shared" si="1"/>
        <v>0</v>
      </c>
      <c r="L44" s="1419"/>
      <c r="M44" s="378" t="str">
        <f t="shared" si="2"/>
        <v/>
      </c>
      <c r="N44" s="1548">
        <f>IF(E28&gt;26,F28,0)</f>
        <v>0</v>
      </c>
      <c r="O44" s="1548"/>
      <c r="P44" s="1442"/>
      <c r="Q44" s="1443"/>
      <c r="T44" s="1549" t="s">
        <v>845</v>
      </c>
      <c r="U44" s="1549"/>
      <c r="W44" s="378">
        <f t="shared" si="3"/>
        <v>46726</v>
      </c>
      <c r="AX44" s="111"/>
    </row>
    <row r="45" spans="1:50" ht="12.6">
      <c r="A45" s="112"/>
      <c r="B45" s="309"/>
      <c r="C45" s="395"/>
      <c r="D45" s="395"/>
      <c r="E45" s="1235"/>
      <c r="F45" s="1236"/>
      <c r="G45" s="1237"/>
      <c r="H45" s="1237"/>
      <c r="I45" s="1237"/>
      <c r="J45" s="203"/>
      <c r="K45" s="1419">
        <f t="shared" si="1"/>
        <v>0</v>
      </c>
      <c r="L45" s="1419"/>
      <c r="M45" s="378" t="str">
        <f t="shared" si="2"/>
        <v/>
      </c>
      <c r="N45" s="1548">
        <f>IF($E$28&gt;27,$F$28,0)</f>
        <v>0</v>
      </c>
      <c r="O45" s="1548"/>
      <c r="P45" s="1442"/>
      <c r="Q45" s="1443"/>
      <c r="T45" s="1549" t="s">
        <v>847</v>
      </c>
      <c r="U45" s="1549"/>
      <c r="W45" s="378">
        <f t="shared" si="3"/>
        <v>46757</v>
      </c>
      <c r="AX45" s="111"/>
    </row>
    <row r="46" spans="1:50" ht="12.6">
      <c r="A46" s="112"/>
      <c r="B46" s="165" t="s">
        <v>852</v>
      </c>
      <c r="C46" s="165"/>
      <c r="D46" s="203" t="s">
        <v>741</v>
      </c>
      <c r="E46" s="387">
        <v>0.8</v>
      </c>
      <c r="F46" s="1474">
        <f>E46*F22</f>
        <v>3075520.6915735686</v>
      </c>
      <c r="G46" s="1475"/>
      <c r="H46" s="1475"/>
      <c r="I46" s="1476"/>
      <c r="J46" s="203"/>
      <c r="K46" s="1419">
        <f t="shared" si="1"/>
        <v>0</v>
      </c>
      <c r="L46" s="1419"/>
      <c r="M46" s="378" t="str">
        <f t="shared" si="2"/>
        <v/>
      </c>
      <c r="N46" s="1548">
        <f>IF($E$28&gt;28,$F$28,0)</f>
        <v>0</v>
      </c>
      <c r="O46" s="1548"/>
      <c r="P46" s="1442"/>
      <c r="Q46" s="1443"/>
      <c r="T46" s="1549" t="s">
        <v>848</v>
      </c>
      <c r="U46" s="1549"/>
      <c r="W46" s="378">
        <f t="shared" si="3"/>
        <v>46788</v>
      </c>
      <c r="AJ46" s="111"/>
      <c r="AW46" s="111"/>
      <c r="AX46" s="111"/>
    </row>
    <row r="47" spans="1:50" ht="12.6">
      <c r="A47" s="112"/>
      <c r="B47" s="112"/>
      <c r="C47" s="312"/>
      <c r="D47" s="312"/>
      <c r="E47" s="1238"/>
      <c r="F47" s="278"/>
      <c r="G47" s="278"/>
      <c r="H47" s="278"/>
      <c r="I47" s="278"/>
      <c r="J47" s="203"/>
      <c r="K47" s="1419">
        <f t="shared" si="1"/>
        <v>0</v>
      </c>
      <c r="L47" s="1419"/>
      <c r="M47" s="378" t="str">
        <f t="shared" si="2"/>
        <v/>
      </c>
      <c r="N47" s="1548">
        <f>IF($E$28&gt;29,$F$28,0)</f>
        <v>0</v>
      </c>
      <c r="O47" s="1548"/>
      <c r="P47" s="1442"/>
      <c r="Q47" s="1443"/>
      <c r="T47" s="1549" t="s">
        <v>850</v>
      </c>
      <c r="U47" s="1549"/>
      <c r="W47" s="378">
        <f t="shared" si="3"/>
        <v>46817</v>
      </c>
      <c r="AJ47" s="111"/>
      <c r="AW47" s="111"/>
      <c r="AX47" s="111"/>
    </row>
    <row r="48" spans="1:50" ht="15" customHeight="1">
      <c r="A48" s="112"/>
      <c r="B48" s="345" t="s">
        <v>833</v>
      </c>
      <c r="C48" s="345" t="s">
        <v>352</v>
      </c>
      <c r="D48" s="345" t="s">
        <v>834</v>
      </c>
      <c r="E48" s="345" t="s">
        <v>835</v>
      </c>
      <c r="F48" s="1434" t="s">
        <v>855</v>
      </c>
      <c r="G48" s="1434"/>
      <c r="H48" s="1434"/>
      <c r="I48" s="1434"/>
      <c r="J48" s="203"/>
      <c r="K48" s="1419">
        <f t="shared" si="1"/>
        <v>0</v>
      </c>
      <c r="L48" s="1419"/>
      <c r="M48" s="378" t="str">
        <f t="shared" si="2"/>
        <v/>
      </c>
      <c r="N48" s="1548">
        <f>IF($E$28&gt;30,$F$28,0)</f>
        <v>0</v>
      </c>
      <c r="O48" s="1548"/>
      <c r="P48" s="1442"/>
      <c r="Q48" s="1443"/>
      <c r="T48" s="1577" t="s">
        <v>851</v>
      </c>
      <c r="U48" s="1577"/>
      <c r="W48" s="378">
        <f t="shared" si="3"/>
        <v>46848</v>
      </c>
      <c r="AJ48" s="111"/>
      <c r="AW48" s="111"/>
      <c r="AX48" s="111"/>
    </row>
    <row r="49" spans="1:50" ht="12.6">
      <c r="A49" s="112"/>
      <c r="B49" s="398">
        <v>1</v>
      </c>
      <c r="C49" s="1239">
        <v>0.12</v>
      </c>
      <c r="D49" s="399">
        <f>PMT(C49/12,B49*12,-1)</f>
        <v>8.88487886783417E-2</v>
      </c>
      <c r="E49" s="400">
        <f>$F$46*D49</f>
        <v>273256.28800148732</v>
      </c>
      <c r="F49" s="1441">
        <f>E49/0.33</f>
        <v>828049.35758026456</v>
      </c>
      <c r="G49" s="1441"/>
      <c r="H49" s="1441"/>
      <c r="I49" s="1441"/>
      <c r="J49" s="203"/>
      <c r="K49" s="1419">
        <f t="shared" si="1"/>
        <v>0</v>
      </c>
      <c r="L49" s="1419"/>
      <c r="M49" s="378" t="str">
        <f t="shared" si="2"/>
        <v/>
      </c>
      <c r="N49" s="1548">
        <f>IF($E$28&gt;31,$F$28,0)</f>
        <v>0</v>
      </c>
      <c r="O49" s="1548"/>
      <c r="P49" s="1442"/>
      <c r="Q49" s="1443"/>
      <c r="T49" s="1577" t="s">
        <v>853</v>
      </c>
      <c r="U49" s="1577"/>
      <c r="W49" s="378">
        <f t="shared" si="3"/>
        <v>46878</v>
      </c>
      <c r="AJ49" s="111"/>
      <c r="AW49" s="111"/>
      <c r="AX49" s="111"/>
    </row>
    <row r="50" spans="1:50" ht="15" customHeight="1">
      <c r="A50" s="112"/>
      <c r="B50" s="398">
        <v>3</v>
      </c>
      <c r="C50" s="1239">
        <v>0.16</v>
      </c>
      <c r="D50" s="399">
        <f>PMT(C50/12,B50*12,-1)</f>
        <v>3.5157033036350094E-2</v>
      </c>
      <c r="E50" s="400">
        <f>$F$46*D50</f>
        <v>108126.18255763024</v>
      </c>
      <c r="F50" s="1441">
        <f>E50/0.33</f>
        <v>327655.09865948552</v>
      </c>
      <c r="G50" s="1441"/>
      <c r="H50" s="1441"/>
      <c r="I50" s="1441"/>
      <c r="J50" s="203"/>
      <c r="K50" s="1419">
        <f t="shared" si="1"/>
        <v>0</v>
      </c>
      <c r="L50" s="1419"/>
      <c r="M50" s="378" t="str">
        <f t="shared" si="2"/>
        <v/>
      </c>
      <c r="N50" s="1548">
        <f>IF($E$28&gt;32,$F$28,0)</f>
        <v>0</v>
      </c>
      <c r="O50" s="1548"/>
      <c r="P50" s="1442"/>
      <c r="Q50" s="1443"/>
      <c r="T50" s="1549" t="s">
        <v>854</v>
      </c>
      <c r="U50" s="1549"/>
      <c r="W50" s="378">
        <f t="shared" si="3"/>
        <v>46909</v>
      </c>
      <c r="AJ50" s="111"/>
      <c r="AW50" s="111"/>
      <c r="AX50" s="111"/>
    </row>
    <row r="51" spans="1:50" ht="12.6">
      <c r="A51" s="112"/>
      <c r="B51" s="398">
        <v>5</v>
      </c>
      <c r="C51" s="1239">
        <v>0.18</v>
      </c>
      <c r="D51" s="399">
        <f>PMT(C51/12,B51*12,-1)</f>
        <v>2.5393427427109084E-2</v>
      </c>
      <c r="E51" s="400">
        <f>$F$46*D51</f>
        <v>78098.011482045753</v>
      </c>
      <c r="F51" s="1441">
        <f>E51/0.33</f>
        <v>236660.64085468408</v>
      </c>
      <c r="G51" s="1441"/>
      <c r="H51" s="1441"/>
      <c r="I51" s="1441"/>
      <c r="J51" s="203"/>
      <c r="K51" s="1419">
        <f t="shared" si="1"/>
        <v>0</v>
      </c>
      <c r="L51" s="1419"/>
      <c r="M51" s="378" t="str">
        <f t="shared" si="2"/>
        <v/>
      </c>
      <c r="N51" s="1548">
        <f>IF($E$28&gt;33,$F$28,0)</f>
        <v>0</v>
      </c>
      <c r="O51" s="1548"/>
      <c r="P51" s="1442"/>
      <c r="Q51" s="1443"/>
      <c r="T51" s="1549" t="s">
        <v>856</v>
      </c>
      <c r="U51" s="1549"/>
      <c r="W51" s="378">
        <f t="shared" si="3"/>
        <v>46939</v>
      </c>
      <c r="AJ51" s="111"/>
      <c r="AW51" s="111"/>
      <c r="AX51" s="111"/>
    </row>
    <row r="52" spans="1:50" ht="15" customHeight="1">
      <c r="A52" s="112"/>
      <c r="B52" s="398">
        <v>10</v>
      </c>
      <c r="C52" s="1239">
        <v>0.2</v>
      </c>
      <c r="D52" s="399">
        <f>PMT(C52/12,B52*12,-1)</f>
        <v>1.9325567219932577E-2</v>
      </c>
      <c r="E52" s="400">
        <f>$F$46*D52</f>
        <v>59436.18186129853</v>
      </c>
      <c r="F52" s="1441">
        <f>E52/0.33</f>
        <v>180109.64200393492</v>
      </c>
      <c r="G52" s="1441"/>
      <c r="H52" s="1441"/>
      <c r="I52" s="1441"/>
      <c r="J52" s="203"/>
      <c r="K52" s="1419">
        <f t="shared" si="1"/>
        <v>0</v>
      </c>
      <c r="L52" s="1419"/>
      <c r="M52" s="378" t="str">
        <f t="shared" si="2"/>
        <v/>
      </c>
      <c r="N52" s="1548">
        <f>IF($E$28&gt;34,$F$28,0)</f>
        <v>0</v>
      </c>
      <c r="O52" s="1548"/>
      <c r="P52" s="1442"/>
      <c r="Q52" s="1443"/>
      <c r="T52" s="1549" t="s">
        <v>857</v>
      </c>
      <c r="U52" s="1549"/>
      <c r="W52" s="378">
        <f t="shared" si="3"/>
        <v>46970</v>
      </c>
      <c r="AJ52" s="111"/>
      <c r="AW52" s="111"/>
      <c r="AX52" s="111"/>
    </row>
    <row r="53" spans="1:50" ht="12.95" thickBot="1">
      <c r="A53" s="112"/>
      <c r="B53" s="1240" t="s">
        <v>861</v>
      </c>
      <c r="C53" s="1241"/>
      <c r="D53" s="1241"/>
      <c r="E53" s="1241"/>
      <c r="F53" s="1241"/>
      <c r="G53" s="1241"/>
      <c r="H53" s="1241"/>
      <c r="I53" s="1241"/>
      <c r="J53" s="203"/>
      <c r="K53" s="1419">
        <f t="shared" si="1"/>
        <v>0</v>
      </c>
      <c r="L53" s="1419"/>
      <c r="M53" s="378" t="str">
        <f t="shared" si="2"/>
        <v/>
      </c>
      <c r="N53" s="1548">
        <f>IF($E$28&gt;35,$F$28,0)</f>
        <v>0</v>
      </c>
      <c r="O53" s="1548"/>
      <c r="P53" s="1442"/>
      <c r="Q53" s="1443"/>
      <c r="T53" s="1549" t="s">
        <v>858</v>
      </c>
      <c r="U53" s="1549"/>
      <c r="W53" s="378">
        <f t="shared" si="3"/>
        <v>47001</v>
      </c>
      <c r="AJ53" s="111"/>
      <c r="AW53" s="111"/>
      <c r="AX53" s="111"/>
    </row>
    <row r="54" spans="1:50" ht="15" customHeight="1">
      <c r="A54" s="112"/>
      <c r="B54" s="250"/>
      <c r="C54" s="112"/>
      <c r="D54" s="112"/>
      <c r="E54" s="112"/>
      <c r="F54" s="112"/>
      <c r="G54" s="112"/>
      <c r="H54" s="112"/>
      <c r="I54" s="112"/>
      <c r="J54" s="197"/>
      <c r="K54" s="1419">
        <f t="shared" si="1"/>
        <v>0</v>
      </c>
      <c r="L54" s="1419"/>
      <c r="M54" s="378" t="str">
        <f t="shared" si="2"/>
        <v/>
      </c>
      <c r="N54" s="1548">
        <f>IF($E$28&gt;36,$F$28,0)</f>
        <v>0</v>
      </c>
      <c r="O54" s="1548"/>
      <c r="P54" s="1442"/>
      <c r="Q54" s="1443"/>
      <c r="T54" s="1549" t="s">
        <v>859</v>
      </c>
      <c r="U54" s="1549"/>
      <c r="W54" s="378">
        <f>IF(AND(DAY(W53)&gt;=6,DAY(W53)&lt;=20),DATE(YEAR(W53),MONTH(W53)+1,DAY(20)),IF(AND(DAY(W53)&gt;=21,DAY(W53)&lt;=30),DATE(YEAR(W53),MONTH(W53)+1,IF(DAY(EOMONTH(W53,1))&lt;30,DAY(EOMONTH(W53,1)),DAY(30))),DATE(YEAR(W53),MONTH(W53)+1,DAY(5))))</f>
        <v>47031</v>
      </c>
      <c r="AJ54" s="111"/>
      <c r="AW54" s="111"/>
      <c r="AX54" s="111"/>
    </row>
    <row r="55" spans="1:50" ht="12.6">
      <c r="A55" s="112"/>
      <c r="B55" s="165" t="s">
        <v>864</v>
      </c>
      <c r="C55" s="165"/>
      <c r="D55" s="312"/>
      <c r="E55" s="312"/>
      <c r="F55" s="312"/>
      <c r="G55" s="312"/>
      <c r="H55" s="312"/>
      <c r="I55" s="312"/>
      <c r="J55" s="197"/>
      <c r="K55" s="1419">
        <f t="shared" si="1"/>
        <v>0</v>
      </c>
      <c r="L55" s="1419"/>
      <c r="M55" s="378" t="str">
        <f t="shared" si="2"/>
        <v/>
      </c>
      <c r="N55" s="1548">
        <f>IF($E$28&gt;37,$F$28,0)</f>
        <v>0</v>
      </c>
      <c r="O55" s="1548"/>
      <c r="P55" s="1442"/>
      <c r="Q55" s="1443"/>
      <c r="T55" s="1549" t="s">
        <v>860</v>
      </c>
      <c r="U55" s="1549"/>
      <c r="W55" s="378">
        <f t="shared" si="3"/>
        <v>47062</v>
      </c>
      <c r="AJ55" s="111"/>
      <c r="AW55" s="111"/>
      <c r="AX55" s="111"/>
    </row>
    <row r="56" spans="1:50" ht="15" customHeight="1">
      <c r="A56" s="112"/>
      <c r="B56" s="312"/>
      <c r="C56" s="312"/>
      <c r="D56" s="312"/>
      <c r="E56" s="312"/>
      <c r="F56" s="312"/>
      <c r="G56" s="312"/>
      <c r="H56" s="312"/>
      <c r="I56" s="312"/>
      <c r="J56" s="197"/>
      <c r="K56" s="1419">
        <f t="shared" si="1"/>
        <v>0</v>
      </c>
      <c r="L56" s="1419"/>
      <c r="M56" s="378" t="str">
        <f t="shared" si="2"/>
        <v/>
      </c>
      <c r="N56" s="1548">
        <f>IF($E$28&gt;38,$F$28,0)</f>
        <v>0</v>
      </c>
      <c r="O56" s="1548"/>
      <c r="P56" s="1442"/>
      <c r="Q56" s="1443"/>
      <c r="T56" s="1549" t="s">
        <v>862</v>
      </c>
      <c r="U56" s="1549"/>
      <c r="W56" s="378">
        <f t="shared" si="3"/>
        <v>47092</v>
      </c>
      <c r="AJ56" s="111"/>
      <c r="AW56" s="111"/>
      <c r="AX56" s="111"/>
    </row>
    <row r="57" spans="1:50" ht="12.6">
      <c r="A57" s="112"/>
      <c r="B57" s="1434" t="s">
        <v>948</v>
      </c>
      <c r="C57" s="1434"/>
      <c r="D57" s="1434" t="s">
        <v>711</v>
      </c>
      <c r="E57" s="1434"/>
      <c r="F57" s="1434"/>
      <c r="G57" s="1434" t="s">
        <v>868</v>
      </c>
      <c r="H57" s="1434"/>
      <c r="I57" s="1434"/>
      <c r="J57" s="197"/>
      <c r="K57" s="1419">
        <f t="shared" si="1"/>
        <v>0</v>
      </c>
      <c r="L57" s="1419"/>
      <c r="M57" s="378" t="str">
        <f t="shared" si="2"/>
        <v/>
      </c>
      <c r="N57" s="1548">
        <f>IF($E$28&gt;39,$F$28,0)</f>
        <v>0</v>
      </c>
      <c r="O57" s="1548"/>
      <c r="P57" s="1442"/>
      <c r="Q57" s="1443"/>
      <c r="T57" s="1549" t="s">
        <v>863</v>
      </c>
      <c r="U57" s="1549"/>
      <c r="W57" s="378">
        <f t="shared" si="3"/>
        <v>47123</v>
      </c>
      <c r="AJ57" s="111"/>
      <c r="AW57" s="111"/>
      <c r="AX57" s="111"/>
    </row>
    <row r="58" spans="1:50" ht="12.75" customHeight="1">
      <c r="A58" s="112"/>
      <c r="B58" s="1552">
        <f>FORM!O19</f>
        <v>0</v>
      </c>
      <c r="C58" s="1553"/>
      <c r="D58" s="1552">
        <f>FORM!S19</f>
        <v>0</v>
      </c>
      <c r="E58" s="1556"/>
      <c r="F58" s="1553"/>
      <c r="G58" s="1558">
        <f>FORM!V19</f>
        <v>0</v>
      </c>
      <c r="H58" s="1559"/>
      <c r="I58" s="1560"/>
      <c r="J58" s="203"/>
      <c r="K58" s="1419">
        <f t="shared" si="1"/>
        <v>0</v>
      </c>
      <c r="L58" s="1419"/>
      <c r="M58" s="378" t="str">
        <f t="shared" si="2"/>
        <v/>
      </c>
      <c r="N58" s="1548">
        <f>IF($E$28&gt;40,$F$28,0)</f>
        <v>0</v>
      </c>
      <c r="O58" s="1548"/>
      <c r="P58" s="1442"/>
      <c r="Q58" s="1443"/>
      <c r="T58" s="1549" t="s">
        <v>865</v>
      </c>
      <c r="U58" s="1549"/>
      <c r="W58" s="378">
        <f t="shared" si="3"/>
        <v>47154</v>
      </c>
      <c r="AJ58" s="111"/>
      <c r="AW58" s="111"/>
      <c r="AX58" s="111"/>
    </row>
    <row r="59" spans="1:50" ht="12.6">
      <c r="A59" s="112"/>
      <c r="B59" s="1554"/>
      <c r="C59" s="1555"/>
      <c r="D59" s="1554"/>
      <c r="E59" s="1557"/>
      <c r="F59" s="1555"/>
      <c r="G59" s="1561"/>
      <c r="H59" s="1562"/>
      <c r="I59" s="1563"/>
      <c r="J59" s="203"/>
      <c r="K59" s="1419">
        <f t="shared" si="1"/>
        <v>0</v>
      </c>
      <c r="L59" s="1419"/>
      <c r="M59" s="378" t="str">
        <f t="shared" si="2"/>
        <v/>
      </c>
      <c r="N59" s="1548">
        <f>IF($E$28&gt;41,$F$28,0)</f>
        <v>0</v>
      </c>
      <c r="O59" s="1548"/>
      <c r="P59" s="1442"/>
      <c r="Q59" s="1443"/>
      <c r="T59" s="1549" t="s">
        <v>867</v>
      </c>
      <c r="U59" s="1549"/>
      <c r="W59" s="378">
        <f t="shared" si="3"/>
        <v>47182</v>
      </c>
      <c r="AJ59" s="111"/>
      <c r="AW59" s="111"/>
      <c r="AX59" s="111"/>
    </row>
    <row r="60" spans="1:50" ht="12.6">
      <c r="A60" s="112"/>
      <c r="B60" s="1552">
        <f>FORM!O21</f>
        <v>0</v>
      </c>
      <c r="C60" s="1553"/>
      <c r="D60" s="1552">
        <f>FORM!S21</f>
        <v>0</v>
      </c>
      <c r="E60" s="1556"/>
      <c r="F60" s="1553"/>
      <c r="G60" s="1558">
        <f>FORM!V21</f>
        <v>0</v>
      </c>
      <c r="H60" s="1559"/>
      <c r="I60" s="1560"/>
      <c r="J60" s="278"/>
      <c r="K60" s="1419">
        <f t="shared" si="1"/>
        <v>0</v>
      </c>
      <c r="L60" s="1419"/>
      <c r="M60" s="378" t="str">
        <f t="shared" si="2"/>
        <v/>
      </c>
      <c r="N60" s="1548">
        <f>IF($E$28&gt;42,$F$28,0)</f>
        <v>0</v>
      </c>
      <c r="O60" s="1548"/>
      <c r="P60" s="1442"/>
      <c r="Q60" s="1443"/>
      <c r="T60" s="1549" t="s">
        <v>949</v>
      </c>
      <c r="U60" s="1549"/>
      <c r="W60" s="378">
        <f t="shared" si="3"/>
        <v>47213</v>
      </c>
      <c r="AJ60" s="111"/>
      <c r="AW60" s="111"/>
      <c r="AX60" s="111"/>
    </row>
    <row r="61" spans="1:50" ht="12.6">
      <c r="A61" s="112"/>
      <c r="B61" s="1554"/>
      <c r="C61" s="1555"/>
      <c r="D61" s="1554"/>
      <c r="E61" s="1557"/>
      <c r="F61" s="1555"/>
      <c r="G61" s="1561"/>
      <c r="H61" s="1562"/>
      <c r="I61" s="1563"/>
      <c r="J61" s="278"/>
      <c r="K61" s="1419">
        <f t="shared" si="1"/>
        <v>0</v>
      </c>
      <c r="L61" s="1419"/>
      <c r="M61" s="378" t="str">
        <f t="shared" si="2"/>
        <v/>
      </c>
      <c r="N61" s="1548">
        <f>IF($E$28&gt;43,$F$28,0)</f>
        <v>0</v>
      </c>
      <c r="O61" s="1548"/>
      <c r="P61" s="1442"/>
      <c r="Q61" s="1443"/>
      <c r="T61" s="1549" t="s">
        <v>950</v>
      </c>
      <c r="U61" s="1549"/>
      <c r="W61" s="378">
        <f t="shared" si="3"/>
        <v>47243</v>
      </c>
      <c r="AJ61" s="111"/>
      <c r="AW61" s="111"/>
      <c r="AX61" s="111"/>
    </row>
    <row r="62" spans="1:50" ht="12.6" hidden="1">
      <c r="A62" s="112"/>
      <c r="B62" s="1552">
        <f>FORM!O25</f>
        <v>0</v>
      </c>
      <c r="C62" s="1553"/>
      <c r="D62" s="1552">
        <f>FORM!S25</f>
        <v>0</v>
      </c>
      <c r="E62" s="1556"/>
      <c r="F62" s="1553"/>
      <c r="G62" s="1558">
        <f>FORM!V25</f>
        <v>0</v>
      </c>
      <c r="H62" s="1559"/>
      <c r="I62" s="1560"/>
      <c r="J62" s="278"/>
      <c r="K62" s="1419">
        <f t="shared" si="1"/>
        <v>0</v>
      </c>
      <c r="L62" s="1419"/>
      <c r="M62" s="378" t="str">
        <f t="shared" si="2"/>
        <v/>
      </c>
      <c r="N62" s="1548">
        <f>IF($E$28&gt;44,$F$28,0)</f>
        <v>0</v>
      </c>
      <c r="O62" s="1548"/>
      <c r="P62" s="379"/>
      <c r="Q62" s="379"/>
      <c r="T62" s="1549" t="s">
        <v>951</v>
      </c>
      <c r="U62" s="1549"/>
      <c r="W62" s="378">
        <f>IF(AND(DAY(W61)&gt;=6,DAY(W61)&lt;=20),DATE(YEAR(W61),MONTH(W61)+1,DAY(20)),IF(AND(DAY(W61)&gt;=21,DAY(W61)&lt;=30),DATE(YEAR(W61),MONTH(W61)+1,IF(DAY(EOMONTH(W61,1))&lt;30,DAY(EOMONTH(W61,1)),DAY(30))),DATE(YEAR(W61),MONTH(W61)+1,DAY(5))))</f>
        <v>47274</v>
      </c>
      <c r="AJ62" s="111"/>
      <c r="AW62" s="111"/>
      <c r="AX62" s="111"/>
    </row>
    <row r="63" spans="1:50" ht="12.6" hidden="1">
      <c r="A63" s="112"/>
      <c r="B63" s="1554"/>
      <c r="C63" s="1555"/>
      <c r="D63" s="1554"/>
      <c r="E63" s="1557"/>
      <c r="F63" s="1555"/>
      <c r="G63" s="1561"/>
      <c r="H63" s="1562"/>
      <c r="I63" s="1563"/>
      <c r="J63" s="112"/>
      <c r="K63" s="1442">
        <f t="shared" si="1"/>
        <v>0</v>
      </c>
      <c r="L63" s="1443"/>
      <c r="M63" s="378" t="str">
        <f t="shared" si="2"/>
        <v/>
      </c>
      <c r="N63" s="1573">
        <f>IF($E$28&gt;45,$F$28,0)</f>
        <v>0</v>
      </c>
      <c r="O63" s="1574"/>
      <c r="P63" s="379"/>
      <c r="Q63" s="379"/>
      <c r="T63" s="1549" t="s">
        <v>952</v>
      </c>
      <c r="U63" s="1549"/>
      <c r="AJ63" s="111"/>
      <c r="AW63" s="111"/>
      <c r="AX63" s="111"/>
    </row>
    <row r="64" spans="1:50" ht="12.6">
      <c r="A64" s="112"/>
      <c r="B64" s="1552">
        <f>FORM!O27</f>
        <v>0</v>
      </c>
      <c r="C64" s="1553"/>
      <c r="D64" s="1552">
        <f>FORM!S27</f>
        <v>0</v>
      </c>
      <c r="E64" s="1556"/>
      <c r="F64" s="1553"/>
      <c r="G64" s="1558">
        <f>FORM!V27</f>
        <v>0</v>
      </c>
      <c r="H64" s="1559"/>
      <c r="I64" s="1560"/>
      <c r="J64" s="112"/>
      <c r="K64" s="1575" t="s">
        <v>866</v>
      </c>
      <c r="L64" s="1575"/>
      <c r="M64" s="404">
        <f>IF(DAY(W17)=31,Y19,AA19)</f>
        <v>46482</v>
      </c>
      <c r="N64" s="1576">
        <f>F30</f>
        <v>3363850.7564085904</v>
      </c>
      <c r="O64" s="1576"/>
      <c r="P64" s="1550"/>
      <c r="Q64" s="1551"/>
      <c r="AJ64" s="111"/>
      <c r="AW64" s="111"/>
      <c r="AX64" s="111"/>
    </row>
    <row r="65" spans="1:50" ht="12.6" hidden="1">
      <c r="A65" s="112"/>
      <c r="B65" s="1554"/>
      <c r="C65" s="1555"/>
      <c r="D65" s="1554"/>
      <c r="E65" s="1557"/>
      <c r="F65" s="1555"/>
      <c r="G65" s="1561"/>
      <c r="H65" s="1562"/>
      <c r="I65" s="1563"/>
      <c r="J65" s="112"/>
      <c r="K65" s="1569"/>
      <c r="L65" s="1569"/>
      <c r="M65" s="405"/>
      <c r="N65" s="1570"/>
      <c r="O65" s="1570"/>
      <c r="P65" s="406"/>
      <c r="Q65" s="114"/>
      <c r="AJ65" s="111"/>
      <c r="AW65" s="111"/>
      <c r="AX65" s="111"/>
    </row>
    <row r="66" spans="1:50" ht="12.6">
      <c r="A66" s="112"/>
      <c r="B66" s="1552">
        <f>FORM!O31</f>
        <v>0</v>
      </c>
      <c r="C66" s="1553"/>
      <c r="D66" s="1552">
        <f>FORM!S31</f>
        <v>0</v>
      </c>
      <c r="E66" s="1556"/>
      <c r="F66" s="1553"/>
      <c r="G66" s="1558">
        <f>FORM!V31</f>
        <v>0</v>
      </c>
      <c r="H66" s="1559"/>
      <c r="I66" s="1560"/>
      <c r="J66" s="112"/>
      <c r="AJ66" s="111"/>
      <c r="AW66" s="111"/>
      <c r="AX66" s="111"/>
    </row>
    <row r="67" spans="1:50" ht="12" customHeight="1">
      <c r="A67" s="112"/>
      <c r="B67" s="1554"/>
      <c r="C67" s="1555"/>
      <c r="D67" s="1554"/>
      <c r="E67" s="1557"/>
      <c r="F67" s="1555"/>
      <c r="G67" s="1561"/>
      <c r="H67" s="1562"/>
      <c r="I67" s="1563"/>
      <c r="J67" s="112"/>
      <c r="K67" s="114" t="s">
        <v>869</v>
      </c>
      <c r="L67" s="112"/>
      <c r="M67" s="112"/>
      <c r="N67" s="112"/>
      <c r="O67" s="114" t="s">
        <v>870</v>
      </c>
      <c r="P67" s="112"/>
      <c r="Q67" s="112"/>
      <c r="AJ67" s="111"/>
      <c r="AW67" s="111"/>
      <c r="AX67" s="111"/>
    </row>
    <row r="68" spans="1:50" ht="12" customHeight="1">
      <c r="A68" s="112"/>
      <c r="B68" s="1552">
        <f>FORM!O33</f>
        <v>0</v>
      </c>
      <c r="C68" s="1553"/>
      <c r="D68" s="1552">
        <f>FORM!S33</f>
        <v>0</v>
      </c>
      <c r="E68" s="1556"/>
      <c r="F68" s="1553"/>
      <c r="G68" s="1558">
        <f>FORM!V33</f>
        <v>0</v>
      </c>
      <c r="H68" s="1559"/>
      <c r="I68" s="1560"/>
      <c r="J68" s="278"/>
      <c r="K68" s="112"/>
      <c r="L68" s="112"/>
      <c r="M68" s="197"/>
      <c r="N68" s="112"/>
      <c r="O68" s="112"/>
      <c r="P68" s="112"/>
      <c r="Q68" s="112"/>
      <c r="AJ68" s="111"/>
      <c r="AW68" s="111"/>
      <c r="AX68" s="111"/>
    </row>
    <row r="69" spans="1:50" ht="12" customHeight="1">
      <c r="A69" s="112"/>
      <c r="B69" s="1554"/>
      <c r="C69" s="1555"/>
      <c r="D69" s="1554"/>
      <c r="E69" s="1557"/>
      <c r="F69" s="1555"/>
      <c r="G69" s="1561"/>
      <c r="H69" s="1562"/>
      <c r="I69" s="1563"/>
      <c r="J69" s="278"/>
      <c r="K69" s="112"/>
      <c r="L69" s="112"/>
      <c r="M69" s="197"/>
      <c r="N69" s="112"/>
      <c r="O69" s="112"/>
      <c r="P69" s="112"/>
      <c r="Q69" s="112"/>
      <c r="AJ69" s="111"/>
      <c r="AW69" s="111"/>
      <c r="AX69" s="111"/>
    </row>
    <row r="70" spans="1:50" ht="12" customHeight="1">
      <c r="A70" s="112"/>
      <c r="B70" s="250"/>
      <c r="C70" s="112"/>
      <c r="D70" s="112" t="s">
        <v>757</v>
      </c>
      <c r="E70" s="112"/>
      <c r="F70" s="112"/>
      <c r="G70" s="112"/>
      <c r="H70" s="112"/>
      <c r="I70" s="112"/>
      <c r="J70" s="278"/>
      <c r="K70" s="1571">
        <f>FORM!I28</f>
        <v>0</v>
      </c>
      <c r="L70" s="1571"/>
      <c r="M70" s="1571"/>
      <c r="N70" s="114"/>
      <c r="O70" s="1572">
        <f>FORM!I26</f>
        <v>0</v>
      </c>
      <c r="P70" s="1572"/>
      <c r="Q70" s="1572"/>
      <c r="AJ70" s="111"/>
      <c r="AW70" s="111"/>
      <c r="AX70" s="111"/>
    </row>
    <row r="71" spans="1:50" ht="12" customHeight="1">
      <c r="A71" s="112"/>
      <c r="C71" s="403" t="s">
        <v>954</v>
      </c>
      <c r="D71" s="1547"/>
      <c r="E71" s="1547"/>
      <c r="F71" s="1547"/>
      <c r="G71" s="112"/>
      <c r="H71" s="112"/>
      <c r="I71" s="112"/>
      <c r="J71" s="278"/>
      <c r="K71" s="126" t="s">
        <v>953</v>
      </c>
      <c r="L71" s="1565"/>
      <c r="M71" s="1565"/>
      <c r="N71" s="112"/>
      <c r="O71" s="1567" t="s">
        <v>871</v>
      </c>
      <c r="P71" s="1567"/>
      <c r="Q71" s="1567"/>
      <c r="AJ71" s="111"/>
      <c r="AW71" s="111"/>
      <c r="AX71" s="111"/>
    </row>
    <row r="72" spans="1:50" ht="12" customHeight="1">
      <c r="A72" s="112"/>
      <c r="B72" s="403"/>
      <c r="C72" s="112"/>
      <c r="D72" s="13"/>
      <c r="E72" s="13"/>
      <c r="F72" s="112"/>
      <c r="G72" s="112"/>
      <c r="H72" s="112"/>
      <c r="I72" s="112"/>
      <c r="J72" s="278"/>
      <c r="L72" s="111"/>
      <c r="AJ72" s="111"/>
      <c r="AW72" s="111"/>
      <c r="AX72" s="111"/>
    </row>
    <row r="73" spans="1:50" ht="12" customHeight="1">
      <c r="A73" s="112"/>
      <c r="B73" s="403"/>
      <c r="C73" s="112"/>
      <c r="D73" s="13"/>
      <c r="E73" s="13"/>
      <c r="F73" s="112"/>
      <c r="G73" s="112"/>
      <c r="H73" s="112"/>
      <c r="I73" s="112"/>
      <c r="J73" s="278"/>
      <c r="K73" s="235"/>
      <c r="L73" s="112"/>
      <c r="M73" s="301"/>
      <c r="N73" s="112"/>
      <c r="O73" s="112"/>
      <c r="P73" s="112"/>
      <c r="Q73" s="112"/>
      <c r="AJ73" s="111"/>
      <c r="AW73" s="111"/>
      <c r="AX73" s="111"/>
    </row>
    <row r="74" spans="1:50" ht="12" customHeight="1">
      <c r="A74" s="112"/>
      <c r="B74" s="403"/>
      <c r="C74" s="112"/>
      <c r="D74" s="13"/>
      <c r="E74" s="13"/>
      <c r="F74" s="112"/>
      <c r="G74" s="112"/>
      <c r="H74" s="112"/>
      <c r="I74" s="112"/>
      <c r="J74" s="278"/>
      <c r="K74" s="235"/>
      <c r="L74" s="112"/>
      <c r="M74" s="301"/>
      <c r="N74" s="112"/>
      <c r="O74" s="112"/>
      <c r="P74" s="112"/>
      <c r="Q74" s="112"/>
      <c r="AJ74" s="111"/>
      <c r="AW74" s="111"/>
      <c r="AX74" s="111"/>
    </row>
    <row r="75" spans="1:50" ht="12" customHeight="1">
      <c r="A75" s="112"/>
      <c r="B75" s="403"/>
      <c r="C75" s="112"/>
      <c r="D75" s="13"/>
      <c r="E75" s="13"/>
      <c r="F75" s="112"/>
      <c r="G75" s="112"/>
      <c r="H75" s="112"/>
      <c r="I75" s="112"/>
      <c r="J75" s="278"/>
      <c r="K75" s="235"/>
      <c r="L75" s="112"/>
      <c r="M75" s="301"/>
      <c r="N75" s="112"/>
      <c r="O75" s="112"/>
      <c r="P75" s="112"/>
      <c r="Q75" s="112"/>
      <c r="AJ75" s="111"/>
      <c r="AW75" s="111"/>
      <c r="AX75" s="111"/>
    </row>
    <row r="76" spans="1:50" ht="12" customHeight="1">
      <c r="A76" s="112"/>
      <c r="B76" s="403"/>
      <c r="C76" s="112"/>
      <c r="D76" s="13"/>
      <c r="E76" s="13"/>
      <c r="F76" s="112"/>
      <c r="G76" s="112"/>
      <c r="H76" s="112"/>
      <c r="I76" s="112"/>
      <c r="J76" s="278"/>
      <c r="K76" s="235"/>
      <c r="L76" s="112"/>
      <c r="M76" s="301"/>
      <c r="N76" s="112"/>
      <c r="O76" s="112"/>
      <c r="P76" s="112"/>
      <c r="Q76" s="112"/>
      <c r="AJ76" s="111"/>
      <c r="AW76" s="111"/>
      <c r="AX76" s="111"/>
    </row>
    <row r="77" spans="1:50" ht="12" customHeight="1">
      <c r="A77" s="112"/>
      <c r="B77" s="114" t="s">
        <v>869</v>
      </c>
      <c r="C77" s="112"/>
      <c r="D77" s="112"/>
      <c r="E77" s="112"/>
      <c r="F77" s="114" t="s">
        <v>870</v>
      </c>
      <c r="G77" s="112"/>
      <c r="H77" s="112"/>
      <c r="I77" s="112"/>
      <c r="J77" s="278"/>
      <c r="K77" s="235"/>
      <c r="L77" s="112"/>
      <c r="M77" s="301"/>
      <c r="N77" s="112"/>
      <c r="O77" s="112"/>
      <c r="P77" s="112"/>
      <c r="Q77" s="112"/>
      <c r="AJ77" s="111"/>
      <c r="AW77" s="111"/>
      <c r="AX77" s="111"/>
    </row>
    <row r="78" spans="1:50" ht="12" customHeight="1">
      <c r="A78" s="112"/>
      <c r="B78" s="112"/>
      <c r="C78" s="112"/>
      <c r="D78" s="197"/>
      <c r="E78" s="112"/>
      <c r="F78" s="112"/>
      <c r="G78" s="112"/>
      <c r="H78" s="112"/>
      <c r="I78" s="112"/>
      <c r="J78" s="278"/>
      <c r="K78" s="235"/>
      <c r="L78" s="112"/>
      <c r="M78" s="301"/>
      <c r="N78" s="112"/>
      <c r="O78" s="112"/>
      <c r="P78" s="112"/>
      <c r="Q78" s="112"/>
      <c r="AJ78" s="111"/>
      <c r="AW78" s="111"/>
      <c r="AX78" s="111"/>
    </row>
    <row r="79" spans="1:50" ht="12" customHeight="1">
      <c r="A79" s="112"/>
      <c r="B79" s="112"/>
      <c r="C79" s="112"/>
      <c r="D79" s="197"/>
      <c r="E79" s="112"/>
      <c r="F79" s="112"/>
      <c r="G79" s="112"/>
      <c r="H79" s="112"/>
      <c r="I79" s="112"/>
      <c r="J79" s="278"/>
      <c r="K79" s="235"/>
      <c r="L79" s="112"/>
      <c r="M79" s="301"/>
      <c r="N79" s="112"/>
      <c r="O79" s="112"/>
      <c r="P79" s="112"/>
      <c r="Q79" s="112"/>
      <c r="AJ79" s="111"/>
      <c r="AW79" s="111"/>
      <c r="AX79" s="111"/>
    </row>
    <row r="80" spans="1:50" ht="12" customHeight="1">
      <c r="A80" s="112"/>
      <c r="B80" s="1571">
        <f>FORM!I28</f>
        <v>0</v>
      </c>
      <c r="C80" s="1571"/>
      <c r="D80" s="1571"/>
      <c r="E80" s="114"/>
      <c r="F80" s="1571">
        <f>FORM!I26</f>
        <v>0</v>
      </c>
      <c r="G80" s="1571"/>
      <c r="H80" s="1571"/>
      <c r="I80" s="1571"/>
      <c r="J80" s="278"/>
      <c r="K80" s="235"/>
      <c r="L80" s="112"/>
      <c r="M80" s="301"/>
      <c r="N80" s="112"/>
      <c r="O80" s="112"/>
      <c r="P80" s="112"/>
      <c r="Q80" s="112"/>
      <c r="AJ80" s="111"/>
      <c r="AW80" s="111"/>
      <c r="AX80" s="111"/>
    </row>
    <row r="81" spans="1:50" ht="12" customHeight="1">
      <c r="A81" s="112"/>
      <c r="B81" s="126" t="s">
        <v>953</v>
      </c>
      <c r="C81" s="1565"/>
      <c r="D81" s="1565"/>
      <c r="E81" s="112"/>
      <c r="F81" s="1566" t="s">
        <v>871</v>
      </c>
      <c r="G81" s="1566"/>
      <c r="H81" s="1566"/>
      <c r="I81" s="277"/>
      <c r="J81" s="278"/>
      <c r="K81" s="235"/>
      <c r="L81" s="112"/>
      <c r="M81" s="301"/>
      <c r="N81" s="112"/>
      <c r="O81" s="112"/>
      <c r="P81" s="112"/>
      <c r="Q81" s="112"/>
      <c r="AJ81" s="111"/>
      <c r="AW81" s="111"/>
      <c r="AX81" s="111"/>
    </row>
    <row r="82" spans="1:50" ht="12" customHeight="1">
      <c r="A82" s="112"/>
      <c r="B82" s="250"/>
      <c r="C82" s="112"/>
      <c r="D82" s="112"/>
      <c r="E82" s="112"/>
      <c r="F82" s="112"/>
      <c r="G82" s="112"/>
      <c r="H82" s="112"/>
      <c r="I82" s="112"/>
      <c r="J82" s="278"/>
      <c r="K82" s="235"/>
      <c r="L82" s="112"/>
      <c r="M82" s="301"/>
      <c r="N82" s="112"/>
      <c r="O82" s="112"/>
      <c r="P82" s="112"/>
      <c r="Q82" s="112"/>
      <c r="AJ82" s="111"/>
      <c r="AW82" s="111"/>
      <c r="AX82" s="111"/>
    </row>
    <row r="83" spans="1:50" ht="12" customHeight="1">
      <c r="A83" s="112"/>
      <c r="B83" s="250"/>
      <c r="C83" s="112"/>
      <c r="D83" s="112"/>
      <c r="E83" s="112"/>
      <c r="F83" s="112"/>
      <c r="G83" s="112"/>
      <c r="H83" s="112"/>
      <c r="I83" s="112"/>
      <c r="J83" s="278"/>
      <c r="K83" s="235"/>
      <c r="L83" s="112"/>
      <c r="M83" s="301"/>
      <c r="N83" s="112"/>
      <c r="O83" s="112"/>
      <c r="P83" s="112"/>
      <c r="Q83" s="112"/>
      <c r="AJ83" s="111"/>
      <c r="AW83" s="111"/>
      <c r="AX83" s="111"/>
    </row>
    <row r="84" spans="1:50" ht="12" customHeight="1">
      <c r="A84" s="112"/>
      <c r="B84" s="250"/>
      <c r="C84" s="112"/>
      <c r="D84" s="112"/>
      <c r="E84" s="112"/>
      <c r="F84" s="112"/>
      <c r="G84" s="112"/>
      <c r="H84" s="112"/>
      <c r="I84" s="112"/>
      <c r="J84" s="278"/>
      <c r="K84" s="235"/>
      <c r="L84" s="112"/>
      <c r="M84" s="301"/>
      <c r="N84" s="112"/>
      <c r="O84" s="112"/>
      <c r="P84" s="112"/>
      <c r="Q84" s="112"/>
      <c r="AJ84" s="111"/>
      <c r="AW84" s="111"/>
      <c r="AX84" s="111"/>
    </row>
    <row r="85" spans="1:50" ht="12" customHeight="1">
      <c r="A85" s="112"/>
      <c r="B85" s="250"/>
      <c r="C85" s="112"/>
      <c r="D85" s="112"/>
      <c r="E85" s="112"/>
      <c r="F85" s="112"/>
      <c r="G85" s="112"/>
      <c r="H85" s="112"/>
      <c r="I85" s="112"/>
      <c r="J85" s="278"/>
      <c r="K85" s="235"/>
      <c r="L85" s="112"/>
      <c r="M85" s="301"/>
      <c r="N85" s="112"/>
      <c r="O85" s="112"/>
      <c r="P85" s="112"/>
      <c r="Q85" s="112"/>
      <c r="AJ85" s="111"/>
      <c r="AW85" s="111"/>
      <c r="AX85" s="111"/>
    </row>
    <row r="86" spans="1:50" ht="12" customHeight="1">
      <c r="A86" s="112"/>
      <c r="B86" s="250"/>
      <c r="C86" s="112"/>
      <c r="D86" s="112"/>
      <c r="E86" s="112"/>
      <c r="F86" s="112"/>
      <c r="G86" s="112"/>
      <c r="H86" s="112"/>
      <c r="I86" s="112"/>
      <c r="J86" s="278"/>
      <c r="K86" s="235"/>
      <c r="L86" s="112"/>
      <c r="M86" s="301"/>
      <c r="N86" s="112"/>
      <c r="O86" s="112"/>
      <c r="P86" s="112"/>
      <c r="Q86" s="112"/>
      <c r="AJ86" s="111"/>
      <c r="AW86" s="111"/>
      <c r="AX86" s="111"/>
    </row>
    <row r="87" spans="1:50" ht="12" customHeight="1">
      <c r="A87" s="112"/>
      <c r="B87" s="250"/>
      <c r="C87" s="112"/>
      <c r="D87" s="197"/>
      <c r="E87" s="112"/>
      <c r="F87" s="112"/>
      <c r="G87" s="112"/>
      <c r="H87" s="112"/>
      <c r="I87" s="112"/>
      <c r="J87" s="278"/>
      <c r="K87" s="235"/>
      <c r="L87" s="112"/>
      <c r="M87" s="301"/>
      <c r="N87" s="112"/>
      <c r="O87" s="112"/>
      <c r="P87" s="112"/>
      <c r="Q87" s="112"/>
      <c r="AJ87" s="111"/>
      <c r="AW87" s="111"/>
      <c r="AX87" s="111"/>
    </row>
    <row r="88" spans="1:50" ht="12.6">
      <c r="A88" s="112"/>
      <c r="B88" s="250"/>
      <c r="C88" s="112"/>
      <c r="D88" s="197"/>
      <c r="E88" s="112"/>
      <c r="F88" s="112"/>
      <c r="G88" s="112"/>
      <c r="H88" s="112"/>
      <c r="I88" s="112"/>
      <c r="J88" s="278"/>
      <c r="K88" s="235"/>
      <c r="L88" s="112"/>
      <c r="M88" s="301"/>
      <c r="N88" s="112"/>
      <c r="O88" s="112"/>
      <c r="P88" s="112"/>
      <c r="Q88" s="112"/>
      <c r="AJ88" s="111"/>
      <c r="AW88" s="111"/>
      <c r="AX88" s="111"/>
    </row>
    <row r="89" spans="1:50" ht="12" customHeight="1">
      <c r="A89" s="112"/>
      <c r="B89" s="250"/>
      <c r="C89" s="112"/>
      <c r="D89" s="197"/>
      <c r="E89" s="112"/>
      <c r="F89" s="112"/>
      <c r="G89" s="112"/>
      <c r="H89" s="112"/>
      <c r="I89" s="112"/>
      <c r="J89" s="278"/>
      <c r="K89" s="235"/>
      <c r="L89" s="112"/>
      <c r="M89" s="301"/>
      <c r="N89" s="112"/>
      <c r="O89" s="112"/>
      <c r="P89" s="112"/>
      <c r="Q89" s="112"/>
      <c r="AJ89" s="111"/>
      <c r="AW89" s="111"/>
      <c r="AX89" s="111"/>
    </row>
    <row r="90" spans="1:50" ht="12" customHeight="1">
      <c r="A90" s="112"/>
      <c r="B90" s="250"/>
      <c r="C90" s="112"/>
      <c r="D90" s="112"/>
      <c r="E90" s="112"/>
      <c r="F90" s="112"/>
      <c r="G90" s="112"/>
      <c r="H90" s="112"/>
      <c r="I90" s="112"/>
      <c r="J90" s="278"/>
      <c r="K90" s="235"/>
      <c r="L90" s="112"/>
      <c r="M90" s="301"/>
      <c r="N90" s="112"/>
      <c r="O90" s="112"/>
      <c r="P90" s="112"/>
      <c r="Q90" s="112"/>
      <c r="AJ90" s="111"/>
      <c r="AW90" s="111"/>
      <c r="AX90" s="111"/>
    </row>
    <row r="91" spans="1:50" ht="12" customHeight="1">
      <c r="A91" s="112"/>
      <c r="B91" s="250"/>
      <c r="C91" s="112"/>
      <c r="D91" s="112"/>
      <c r="E91" s="112"/>
      <c r="F91" s="112"/>
      <c r="G91" s="112"/>
      <c r="H91" s="112"/>
      <c r="I91" s="112"/>
      <c r="J91" s="278"/>
      <c r="K91" s="235"/>
      <c r="L91" s="112"/>
      <c r="M91" s="301"/>
      <c r="N91" s="112"/>
      <c r="O91" s="112"/>
      <c r="P91" s="112"/>
      <c r="Q91" s="112"/>
      <c r="AJ91" s="111"/>
      <c r="AW91" s="111"/>
      <c r="AX91" s="111"/>
    </row>
    <row r="92" spans="1:50" ht="12" customHeight="1">
      <c r="A92" s="112"/>
      <c r="B92" s="250"/>
      <c r="C92" s="112"/>
      <c r="D92" s="112"/>
      <c r="E92" s="112"/>
      <c r="F92" s="112"/>
      <c r="G92" s="112"/>
      <c r="H92" s="112"/>
      <c r="I92" s="112"/>
      <c r="J92" s="278"/>
      <c r="K92" s="235"/>
      <c r="L92" s="112"/>
      <c r="M92" s="301"/>
      <c r="N92" s="112"/>
      <c r="O92" s="112"/>
      <c r="P92" s="112"/>
      <c r="Q92" s="112"/>
      <c r="AJ92" s="111"/>
      <c r="AW92" s="111"/>
      <c r="AX92" s="111"/>
    </row>
    <row r="93" spans="1:50" ht="12" customHeight="1">
      <c r="A93" s="112"/>
      <c r="B93" s="250"/>
      <c r="C93" s="112"/>
      <c r="D93" s="112"/>
      <c r="E93" s="112"/>
      <c r="F93" s="112"/>
      <c r="G93" s="112"/>
      <c r="H93" s="112"/>
      <c r="I93" s="112"/>
      <c r="J93" s="278"/>
      <c r="K93" s="235"/>
      <c r="L93" s="112"/>
      <c r="M93" s="301"/>
      <c r="N93" s="112"/>
      <c r="O93" s="112"/>
      <c r="P93" s="112"/>
      <c r="Q93" s="112"/>
      <c r="AJ93" s="111"/>
      <c r="AW93" s="111"/>
      <c r="AX93" s="111"/>
    </row>
    <row r="94" spans="1:50" ht="12" customHeight="1">
      <c r="A94" s="112"/>
      <c r="B94" s="250"/>
      <c r="C94" s="112"/>
      <c r="D94" s="112"/>
      <c r="E94" s="112"/>
      <c r="F94" s="112"/>
      <c r="G94" s="112"/>
      <c r="H94" s="112"/>
      <c r="I94" s="112"/>
      <c r="J94" s="278"/>
      <c r="K94" s="235"/>
      <c r="L94" s="112"/>
      <c r="M94" s="301"/>
      <c r="N94" s="112"/>
      <c r="O94" s="112"/>
      <c r="P94" s="112"/>
      <c r="Q94" s="112"/>
      <c r="AJ94" s="111"/>
      <c r="AW94" s="111"/>
      <c r="AX94" s="111"/>
    </row>
    <row r="95" spans="1:50" ht="12" customHeight="1">
      <c r="A95" s="112"/>
      <c r="B95" s="250"/>
      <c r="C95" s="112"/>
      <c r="D95" s="112"/>
      <c r="E95" s="112"/>
      <c r="F95" s="112"/>
      <c r="G95" s="112"/>
      <c r="H95" s="112"/>
      <c r="I95" s="112"/>
      <c r="J95" s="278"/>
      <c r="K95" s="235"/>
      <c r="L95" s="112"/>
      <c r="M95" s="301"/>
      <c r="N95" s="112"/>
      <c r="O95" s="112"/>
      <c r="P95" s="112"/>
      <c r="Q95" s="112"/>
      <c r="AJ95" s="111"/>
      <c r="AW95" s="111"/>
      <c r="AX95" s="111"/>
    </row>
    <row r="96" spans="1:50" ht="12" customHeight="1">
      <c r="A96" s="112"/>
      <c r="B96" s="250"/>
      <c r="C96" s="112"/>
      <c r="D96" s="112"/>
      <c r="E96" s="112"/>
      <c r="F96" s="112"/>
      <c r="G96" s="112"/>
      <c r="H96" s="112"/>
      <c r="I96" s="112"/>
      <c r="J96" s="278"/>
      <c r="K96" s="235"/>
      <c r="L96" s="112"/>
      <c r="M96" s="301"/>
      <c r="N96" s="112"/>
      <c r="O96" s="112"/>
      <c r="P96" s="112"/>
      <c r="Q96" s="112"/>
      <c r="AJ96" s="111"/>
      <c r="AW96" s="111"/>
      <c r="AX96" s="111"/>
    </row>
    <row r="97" spans="1:50" ht="12" customHeight="1">
      <c r="A97" s="112"/>
      <c r="B97" s="250"/>
      <c r="C97" s="112"/>
      <c r="D97" s="112"/>
      <c r="E97" s="112"/>
      <c r="F97" s="112"/>
      <c r="G97" s="112"/>
      <c r="H97" s="112"/>
      <c r="I97" s="112"/>
      <c r="J97" s="278"/>
      <c r="K97" s="235"/>
      <c r="L97" s="112"/>
      <c r="M97" s="301"/>
      <c r="N97" s="112"/>
      <c r="O97" s="112"/>
      <c r="P97" s="112"/>
      <c r="Q97" s="112"/>
      <c r="AJ97" s="111"/>
      <c r="AW97" s="111"/>
      <c r="AX97" s="111"/>
    </row>
    <row r="98" spans="1:50" ht="12" customHeight="1">
      <c r="A98" s="112"/>
      <c r="B98" s="250"/>
      <c r="C98" s="112"/>
      <c r="D98" s="112"/>
      <c r="E98" s="112"/>
      <c r="F98" s="112"/>
      <c r="G98" s="112"/>
      <c r="H98" s="112"/>
      <c r="I98" s="112"/>
      <c r="J98" s="278"/>
      <c r="K98" s="235"/>
      <c r="L98" s="112"/>
      <c r="M98" s="301"/>
      <c r="N98" s="112"/>
      <c r="O98" s="112"/>
      <c r="P98" s="112"/>
      <c r="Q98" s="112"/>
      <c r="AJ98" s="111"/>
      <c r="AW98" s="111"/>
      <c r="AX98" s="111"/>
    </row>
    <row r="99" spans="1:50" ht="12" customHeight="1">
      <c r="A99" s="112"/>
      <c r="B99" s="250"/>
      <c r="C99" s="112"/>
      <c r="D99" s="112"/>
      <c r="E99" s="112"/>
      <c r="F99" s="112"/>
      <c r="G99" s="112"/>
      <c r="H99" s="112"/>
      <c r="I99" s="112"/>
      <c r="J99" s="278"/>
      <c r="K99" s="235"/>
      <c r="L99" s="112"/>
      <c r="M99" s="301"/>
      <c r="N99" s="112"/>
      <c r="O99" s="112"/>
      <c r="P99" s="112"/>
      <c r="Q99" s="112"/>
      <c r="AJ99" s="111"/>
      <c r="AW99" s="111"/>
      <c r="AX99" s="111"/>
    </row>
    <row r="100" spans="1:50" ht="12" customHeight="1">
      <c r="A100" s="112"/>
      <c r="B100" s="250"/>
      <c r="C100" s="112"/>
      <c r="D100" s="112"/>
      <c r="E100" s="112"/>
      <c r="F100" s="112"/>
      <c r="G100" s="112"/>
      <c r="H100" s="112"/>
      <c r="I100" s="112"/>
      <c r="J100" s="278"/>
      <c r="K100" s="235"/>
      <c r="L100" s="112"/>
      <c r="M100" s="301"/>
      <c r="N100" s="112"/>
      <c r="O100" s="112"/>
      <c r="P100" s="112"/>
      <c r="Q100" s="112"/>
      <c r="AJ100" s="111"/>
      <c r="AW100" s="111"/>
      <c r="AX100" s="111"/>
    </row>
    <row r="101" spans="1:50" ht="12" customHeight="1">
      <c r="A101" s="112"/>
      <c r="B101" s="250"/>
      <c r="C101" s="112"/>
      <c r="D101" s="112"/>
      <c r="E101" s="112"/>
      <c r="F101" s="112"/>
      <c r="G101" s="112"/>
      <c r="H101" s="112"/>
      <c r="I101" s="112"/>
      <c r="J101" s="278"/>
      <c r="K101" s="235"/>
      <c r="L101" s="112"/>
      <c r="M101" s="301"/>
      <c r="N101" s="112"/>
      <c r="O101" s="112"/>
      <c r="P101" s="112"/>
      <c r="Q101" s="112"/>
      <c r="AJ101" s="111"/>
      <c r="AW101" s="111"/>
      <c r="AX101" s="111"/>
    </row>
    <row r="102" spans="1:50" ht="12" customHeight="1">
      <c r="A102" s="112"/>
      <c r="B102" s="250"/>
      <c r="C102" s="112"/>
      <c r="D102" s="112"/>
      <c r="E102" s="112"/>
      <c r="F102" s="112"/>
      <c r="G102" s="112"/>
      <c r="H102" s="112"/>
      <c r="I102" s="112"/>
      <c r="J102" s="278"/>
      <c r="K102" s="235"/>
      <c r="L102" s="112"/>
      <c r="M102" s="301"/>
      <c r="N102" s="112"/>
      <c r="O102" s="112"/>
      <c r="P102" s="112"/>
      <c r="Q102" s="112"/>
      <c r="AJ102" s="111"/>
      <c r="AW102" s="111"/>
      <c r="AX102" s="111"/>
    </row>
    <row r="103" spans="1:50" ht="12" customHeight="1">
      <c r="A103" s="112"/>
      <c r="B103" s="250"/>
      <c r="C103" s="112"/>
      <c r="D103" s="112"/>
      <c r="E103" s="112"/>
      <c r="F103" s="112"/>
      <c r="G103" s="112"/>
      <c r="H103" s="112"/>
      <c r="I103" s="112"/>
      <c r="J103" s="278"/>
      <c r="K103" s="235"/>
      <c r="L103" s="112"/>
      <c r="M103" s="301"/>
      <c r="N103" s="112"/>
      <c r="O103" s="112"/>
      <c r="P103" s="112"/>
      <c r="Q103" s="112"/>
      <c r="AJ103" s="111"/>
      <c r="AW103" s="111"/>
      <c r="AX103" s="111"/>
    </row>
    <row r="104" spans="1:50" ht="12" customHeight="1">
      <c r="A104" s="112"/>
      <c r="B104" s="250"/>
      <c r="C104" s="112"/>
      <c r="D104" s="112"/>
      <c r="E104" s="112"/>
      <c r="F104" s="112"/>
      <c r="G104" s="112"/>
      <c r="H104" s="112"/>
      <c r="I104" s="112"/>
      <c r="J104" s="278"/>
      <c r="K104" s="235"/>
      <c r="L104" s="112"/>
      <c r="M104" s="301"/>
      <c r="N104" s="112"/>
      <c r="O104" s="112"/>
      <c r="P104" s="112"/>
      <c r="Q104" s="112"/>
      <c r="AJ104" s="111"/>
      <c r="AW104" s="111"/>
      <c r="AX104" s="111"/>
    </row>
    <row r="105" spans="1:50" ht="12" customHeight="1">
      <c r="A105" s="112"/>
      <c r="B105" s="250"/>
      <c r="C105" s="112"/>
      <c r="D105" s="112"/>
      <c r="E105" s="112"/>
      <c r="F105" s="112"/>
      <c r="G105" s="112"/>
      <c r="H105" s="112"/>
      <c r="I105" s="112"/>
      <c r="J105" s="278"/>
      <c r="K105" s="235"/>
      <c r="L105" s="112"/>
      <c r="M105" s="301"/>
      <c r="N105" s="112"/>
      <c r="O105" s="112"/>
      <c r="P105" s="112"/>
      <c r="Q105" s="112"/>
      <c r="AJ105" s="111"/>
      <c r="AW105" s="111"/>
      <c r="AX105" s="111"/>
    </row>
    <row r="106" spans="1:50" ht="12" customHeight="1">
      <c r="A106" s="112"/>
      <c r="B106" s="250"/>
      <c r="C106" s="112"/>
      <c r="D106" s="112"/>
      <c r="E106" s="112"/>
      <c r="F106" s="112"/>
      <c r="G106" s="112"/>
      <c r="H106" s="112"/>
      <c r="I106" s="112"/>
      <c r="J106" s="278"/>
      <c r="K106" s="235"/>
      <c r="L106" s="112"/>
      <c r="M106" s="301"/>
      <c r="N106" s="112"/>
      <c r="O106" s="112"/>
      <c r="P106" s="112"/>
      <c r="Q106" s="112"/>
      <c r="AJ106" s="111"/>
      <c r="AW106" s="111"/>
      <c r="AX106" s="111"/>
    </row>
    <row r="107" spans="1:50" ht="12" customHeight="1">
      <c r="A107" s="112"/>
      <c r="B107" s="250"/>
      <c r="C107" s="112"/>
      <c r="D107" s="112"/>
      <c r="E107" s="112"/>
      <c r="F107" s="112"/>
      <c r="G107" s="112"/>
      <c r="H107" s="112"/>
      <c r="I107" s="112"/>
      <c r="J107" s="278"/>
      <c r="K107" s="235"/>
      <c r="L107" s="112"/>
      <c r="M107" s="301"/>
      <c r="N107" s="112"/>
      <c r="O107" s="112"/>
      <c r="P107" s="112"/>
      <c r="Q107" s="112"/>
      <c r="AJ107" s="111"/>
      <c r="AW107" s="111"/>
      <c r="AX107" s="111"/>
    </row>
    <row r="108" spans="1:50" ht="12" customHeight="1">
      <c r="A108" s="112"/>
      <c r="B108" s="250"/>
      <c r="C108" s="112"/>
      <c r="D108" s="112"/>
      <c r="E108" s="112"/>
      <c r="F108" s="112"/>
      <c r="G108" s="112"/>
      <c r="H108" s="112"/>
      <c r="I108" s="112"/>
      <c r="J108" s="278"/>
      <c r="K108" s="235"/>
      <c r="L108" s="112"/>
      <c r="M108" s="301"/>
      <c r="N108" s="112"/>
      <c r="O108" s="112"/>
      <c r="P108" s="112"/>
      <c r="Q108" s="112"/>
      <c r="AJ108" s="111"/>
      <c r="AW108" s="111"/>
      <c r="AX108" s="111"/>
    </row>
    <row r="109" spans="1:50" ht="12" customHeight="1">
      <c r="A109" s="112"/>
      <c r="B109" s="250"/>
      <c r="C109" s="112"/>
      <c r="D109" s="112"/>
      <c r="E109" s="112"/>
      <c r="F109" s="112"/>
      <c r="G109" s="112"/>
      <c r="H109" s="112"/>
      <c r="I109" s="112"/>
      <c r="J109" s="278"/>
      <c r="K109" s="235"/>
      <c r="L109" s="112"/>
      <c r="M109" s="301"/>
      <c r="N109" s="112"/>
      <c r="O109" s="112"/>
      <c r="P109" s="112"/>
      <c r="Q109" s="112"/>
      <c r="AJ109" s="111"/>
      <c r="AW109" s="111"/>
      <c r="AX109" s="111"/>
    </row>
    <row r="110" spans="1:50" ht="12" customHeight="1">
      <c r="A110" s="112"/>
      <c r="B110" s="250"/>
      <c r="C110" s="112"/>
      <c r="D110" s="112"/>
      <c r="E110" s="112"/>
      <c r="F110" s="112"/>
      <c r="G110" s="112"/>
      <c r="H110" s="112"/>
      <c r="I110" s="112"/>
      <c r="J110" s="278"/>
      <c r="K110" s="235"/>
      <c r="L110" s="112"/>
      <c r="M110" s="301"/>
      <c r="N110" s="112"/>
      <c r="O110" s="112"/>
      <c r="P110" s="112"/>
      <c r="Q110" s="112"/>
      <c r="AJ110" s="111"/>
      <c r="AW110" s="111"/>
      <c r="AX110" s="111"/>
    </row>
    <row r="111" spans="1:50" ht="12" customHeight="1">
      <c r="A111" s="112"/>
      <c r="B111" s="250"/>
      <c r="C111" s="112"/>
      <c r="D111" s="112"/>
      <c r="E111" s="112"/>
      <c r="F111" s="112"/>
      <c r="G111" s="112"/>
      <c r="H111" s="112"/>
      <c r="I111" s="112"/>
      <c r="J111" s="278"/>
      <c r="K111" s="235"/>
      <c r="L111" s="112"/>
      <c r="M111" s="301"/>
      <c r="N111" s="112"/>
      <c r="O111" s="112"/>
      <c r="P111" s="112"/>
      <c r="Q111" s="112"/>
      <c r="AJ111" s="111"/>
      <c r="AW111" s="111"/>
      <c r="AX111" s="111"/>
    </row>
    <row r="112" spans="1:50" ht="12" customHeight="1">
      <c r="A112" s="112"/>
      <c r="B112" s="250"/>
      <c r="C112" s="112"/>
      <c r="D112" s="112"/>
      <c r="E112" s="112"/>
      <c r="F112" s="112"/>
      <c r="G112" s="112"/>
      <c r="H112" s="112"/>
      <c r="I112" s="112"/>
      <c r="J112" s="278"/>
      <c r="K112" s="235"/>
      <c r="L112" s="112"/>
      <c r="M112" s="301"/>
      <c r="N112" s="112"/>
      <c r="O112" s="112"/>
      <c r="P112" s="112"/>
      <c r="Q112" s="112"/>
      <c r="AJ112" s="111"/>
      <c r="AW112" s="111"/>
      <c r="AX112" s="111"/>
    </row>
    <row r="113" spans="1:50" ht="12" customHeight="1">
      <c r="A113" s="112"/>
      <c r="B113" s="250"/>
      <c r="C113" s="112"/>
      <c r="D113" s="112"/>
      <c r="E113" s="112"/>
      <c r="F113" s="112"/>
      <c r="G113" s="112"/>
      <c r="H113" s="112"/>
      <c r="I113" s="112"/>
      <c r="J113" s="278"/>
      <c r="K113" s="235"/>
      <c r="L113" s="112"/>
      <c r="M113" s="301"/>
      <c r="N113" s="112"/>
      <c r="O113" s="112"/>
      <c r="P113" s="112"/>
      <c r="Q113" s="112"/>
      <c r="AJ113" s="111"/>
      <c r="AW113" s="111"/>
      <c r="AX113" s="111"/>
    </row>
    <row r="114" spans="1:50" ht="12" customHeight="1">
      <c r="A114" s="112"/>
      <c r="B114" s="250"/>
      <c r="C114" s="112"/>
      <c r="D114" s="112"/>
      <c r="E114" s="112"/>
      <c r="F114" s="112"/>
      <c r="G114" s="112"/>
      <c r="H114" s="112"/>
      <c r="I114" s="112"/>
      <c r="J114" s="278"/>
      <c r="K114" s="235"/>
      <c r="L114" s="112"/>
      <c r="M114" s="301"/>
      <c r="N114" s="112"/>
      <c r="O114" s="112"/>
      <c r="P114" s="112"/>
      <c r="Q114" s="112"/>
      <c r="AJ114" s="111"/>
      <c r="AW114" s="111"/>
      <c r="AX114" s="111"/>
    </row>
    <row r="115" spans="1:50" ht="12" customHeight="1">
      <c r="A115" s="112"/>
      <c r="B115" s="250"/>
      <c r="C115" s="112"/>
      <c r="D115" s="112"/>
      <c r="E115" s="112"/>
      <c r="F115" s="112"/>
      <c r="G115" s="112"/>
      <c r="H115" s="112"/>
      <c r="I115" s="112"/>
      <c r="J115" s="278"/>
      <c r="K115" s="235"/>
      <c r="L115" s="112"/>
      <c r="M115" s="301"/>
      <c r="N115" s="112"/>
      <c r="O115" s="112"/>
      <c r="P115" s="112"/>
      <c r="Q115" s="112"/>
      <c r="AJ115" s="111"/>
      <c r="AW115" s="111"/>
      <c r="AX115" s="111"/>
    </row>
    <row r="116" spans="1:50" ht="12" customHeight="1">
      <c r="A116" s="112"/>
      <c r="B116" s="250"/>
      <c r="C116" s="112"/>
      <c r="D116" s="112"/>
      <c r="E116" s="112"/>
      <c r="F116" s="112"/>
      <c r="G116" s="112"/>
      <c r="H116" s="112"/>
      <c r="I116" s="112"/>
      <c r="J116" s="278"/>
      <c r="K116" s="235"/>
      <c r="L116" s="112"/>
      <c r="M116" s="301"/>
      <c r="N116" s="112"/>
      <c r="O116" s="112"/>
      <c r="P116" s="112"/>
      <c r="Q116" s="112"/>
      <c r="AJ116" s="111"/>
      <c r="AW116" s="111"/>
      <c r="AX116" s="111"/>
    </row>
    <row r="117" spans="1:50" ht="12" customHeight="1">
      <c r="A117" s="112"/>
      <c r="B117" s="250"/>
      <c r="C117" s="112"/>
      <c r="D117" s="112"/>
      <c r="E117" s="112"/>
      <c r="F117" s="112"/>
      <c r="G117" s="112"/>
      <c r="H117" s="112"/>
      <c r="I117" s="112"/>
      <c r="J117" s="278"/>
      <c r="K117" s="235"/>
      <c r="L117" s="112"/>
      <c r="M117" s="301"/>
      <c r="N117" s="112"/>
      <c r="O117" s="112"/>
      <c r="P117" s="112"/>
      <c r="Q117" s="112"/>
      <c r="AJ117" s="111"/>
      <c r="AW117" s="111"/>
      <c r="AX117" s="111"/>
    </row>
    <row r="118" spans="1:50" ht="12" customHeight="1">
      <c r="A118" s="112"/>
      <c r="B118" s="250"/>
      <c r="C118" s="112"/>
      <c r="D118" s="112"/>
      <c r="E118" s="112"/>
      <c r="F118" s="112"/>
      <c r="G118" s="112"/>
      <c r="H118" s="112"/>
      <c r="I118" s="112"/>
      <c r="J118" s="278"/>
      <c r="K118" s="235"/>
      <c r="L118" s="112"/>
      <c r="M118" s="301"/>
      <c r="N118" s="112"/>
      <c r="O118" s="112"/>
      <c r="P118" s="112"/>
      <c r="Q118" s="112"/>
      <c r="AJ118" s="111"/>
      <c r="AW118" s="111"/>
      <c r="AX118" s="111"/>
    </row>
    <row r="119" spans="1:50" ht="12" customHeight="1">
      <c r="A119" s="112"/>
      <c r="B119" s="250"/>
      <c r="C119" s="112"/>
      <c r="D119" s="112"/>
      <c r="E119" s="112"/>
      <c r="F119" s="112"/>
      <c r="G119" s="112"/>
      <c r="H119" s="112"/>
      <c r="I119" s="112"/>
      <c r="J119" s="278"/>
      <c r="K119" s="235"/>
      <c r="L119" s="112"/>
      <c r="M119" s="301"/>
      <c r="N119" s="112"/>
      <c r="O119" s="112"/>
      <c r="P119" s="112"/>
      <c r="Q119" s="112"/>
      <c r="AJ119" s="111"/>
      <c r="AW119" s="111"/>
      <c r="AX119" s="111"/>
    </row>
    <row r="120" spans="1:50" ht="12" customHeight="1">
      <c r="A120" s="112"/>
      <c r="B120" s="250"/>
      <c r="C120" s="112"/>
      <c r="D120" s="112"/>
      <c r="E120" s="112"/>
      <c r="F120" s="112"/>
      <c r="G120" s="112"/>
      <c r="H120" s="112"/>
      <c r="I120" s="112"/>
      <c r="J120" s="278"/>
      <c r="K120" s="235"/>
      <c r="L120" s="112"/>
      <c r="M120" s="301"/>
      <c r="N120" s="112"/>
      <c r="O120" s="112"/>
      <c r="P120" s="112"/>
      <c r="Q120" s="112"/>
      <c r="AJ120" s="111"/>
      <c r="AW120" s="111"/>
      <c r="AX120" s="111"/>
    </row>
    <row r="121" spans="1:50" ht="12" customHeight="1">
      <c r="A121" s="112"/>
      <c r="B121" s="250"/>
      <c r="C121" s="112"/>
      <c r="D121" s="112"/>
      <c r="E121" s="112"/>
      <c r="F121" s="112"/>
      <c r="G121" s="112"/>
      <c r="H121" s="112"/>
      <c r="I121" s="112"/>
      <c r="J121" s="278"/>
      <c r="K121" s="235"/>
      <c r="L121" s="112"/>
      <c r="M121" s="301"/>
      <c r="N121" s="112"/>
      <c r="O121" s="112"/>
      <c r="P121" s="112"/>
      <c r="Q121" s="112"/>
      <c r="AJ121" s="111"/>
      <c r="AW121" s="111"/>
      <c r="AX121" s="111"/>
    </row>
    <row r="122" spans="1:50" ht="12" customHeight="1">
      <c r="A122" s="112"/>
      <c r="B122" s="250"/>
      <c r="C122" s="112"/>
      <c r="D122" s="112"/>
      <c r="E122" s="112"/>
      <c r="F122" s="112"/>
      <c r="G122" s="112"/>
      <c r="H122" s="112"/>
      <c r="I122" s="112"/>
      <c r="J122" s="278"/>
      <c r="K122" s="235"/>
      <c r="L122" s="112"/>
      <c r="M122" s="301"/>
      <c r="N122" s="112"/>
      <c r="O122" s="112"/>
      <c r="P122" s="112"/>
      <c r="Q122" s="112"/>
      <c r="AJ122" s="111"/>
      <c r="AW122" s="111"/>
      <c r="AX122" s="111"/>
    </row>
    <row r="123" spans="1:50" ht="12" customHeight="1">
      <c r="A123" s="112"/>
      <c r="B123" s="250"/>
      <c r="C123" s="112"/>
      <c r="D123" s="112"/>
      <c r="E123" s="112"/>
      <c r="F123" s="112"/>
      <c r="G123" s="112"/>
      <c r="H123" s="112"/>
      <c r="I123" s="112"/>
      <c r="J123" s="278"/>
      <c r="K123" s="235"/>
      <c r="L123" s="112"/>
      <c r="M123" s="301"/>
      <c r="N123" s="112"/>
      <c r="O123" s="112"/>
      <c r="P123" s="112"/>
      <c r="Q123" s="112"/>
      <c r="AJ123" s="111"/>
      <c r="AW123" s="111"/>
      <c r="AX123" s="111"/>
    </row>
    <row r="124" spans="1:50" ht="12" customHeight="1">
      <c r="A124" s="112"/>
      <c r="B124" s="250"/>
      <c r="C124" s="112"/>
      <c r="D124" s="112"/>
      <c r="E124" s="112"/>
      <c r="F124" s="112"/>
      <c r="G124" s="112"/>
      <c r="H124" s="112"/>
      <c r="I124" s="112"/>
      <c r="J124" s="278"/>
      <c r="K124" s="235"/>
      <c r="L124" s="112"/>
      <c r="M124" s="301"/>
      <c r="N124" s="112"/>
      <c r="O124" s="112"/>
      <c r="P124" s="112"/>
      <c r="Q124" s="112"/>
      <c r="AJ124" s="111"/>
      <c r="AW124" s="111"/>
      <c r="AX124" s="111"/>
    </row>
    <row r="125" spans="1:50" ht="12" customHeight="1">
      <c r="A125" s="112"/>
      <c r="B125" s="250"/>
      <c r="C125" s="112"/>
      <c r="D125" s="112"/>
      <c r="E125" s="112"/>
      <c r="F125" s="112"/>
      <c r="G125" s="112"/>
      <c r="H125" s="112"/>
      <c r="I125" s="112"/>
      <c r="J125" s="278"/>
      <c r="K125" s="235"/>
      <c r="L125" s="112"/>
      <c r="M125" s="301"/>
      <c r="N125" s="112"/>
      <c r="O125" s="112"/>
      <c r="P125" s="112"/>
      <c r="Q125" s="112"/>
      <c r="AJ125" s="111"/>
      <c r="AW125" s="111"/>
      <c r="AX125" s="111"/>
    </row>
    <row r="126" spans="1:50" ht="12" customHeight="1">
      <c r="A126" s="112"/>
      <c r="B126" s="250"/>
      <c r="C126" s="112"/>
      <c r="D126" s="112"/>
      <c r="E126" s="112"/>
      <c r="F126" s="112"/>
      <c r="G126" s="112"/>
      <c r="H126" s="112"/>
      <c r="I126" s="112"/>
      <c r="J126" s="278"/>
      <c r="K126" s="235"/>
      <c r="L126" s="112"/>
      <c r="M126" s="301"/>
      <c r="N126" s="112"/>
      <c r="O126" s="112"/>
      <c r="P126" s="112"/>
      <c r="Q126" s="112"/>
      <c r="AJ126" s="111"/>
      <c r="AW126" s="111"/>
      <c r="AX126" s="111"/>
    </row>
    <row r="127" spans="1:50" ht="12" customHeight="1">
      <c r="A127" s="112"/>
      <c r="B127" s="250"/>
      <c r="C127" s="112"/>
      <c r="D127" s="112"/>
      <c r="E127" s="112"/>
      <c r="F127" s="112"/>
      <c r="G127" s="112"/>
      <c r="H127" s="112"/>
      <c r="I127" s="112"/>
      <c r="J127" s="278"/>
      <c r="K127" s="235"/>
      <c r="L127" s="112"/>
      <c r="M127" s="301"/>
      <c r="N127" s="112"/>
      <c r="O127" s="112"/>
      <c r="P127" s="112"/>
      <c r="Q127" s="112"/>
      <c r="AJ127" s="111"/>
      <c r="AW127" s="111"/>
      <c r="AX127" s="111"/>
    </row>
    <row r="128" spans="1:50" ht="12" customHeight="1">
      <c r="A128" s="112"/>
      <c r="B128" s="250"/>
      <c r="C128" s="112"/>
      <c r="D128" s="112"/>
      <c r="E128" s="112"/>
      <c r="F128" s="112"/>
      <c r="G128" s="112"/>
      <c r="H128" s="112"/>
      <c r="I128" s="112"/>
      <c r="J128" s="278"/>
      <c r="K128" s="235"/>
      <c r="L128" s="112"/>
      <c r="M128" s="301"/>
      <c r="N128" s="112"/>
      <c r="O128" s="112"/>
      <c r="P128" s="112"/>
      <c r="Q128" s="112"/>
      <c r="AJ128" s="111"/>
      <c r="AW128" s="111"/>
      <c r="AX128" s="111"/>
    </row>
    <row r="129" spans="1:50" ht="12" customHeight="1">
      <c r="A129" s="112"/>
      <c r="B129" s="250"/>
      <c r="C129" s="112"/>
      <c r="D129" s="112"/>
      <c r="E129" s="112"/>
      <c r="F129" s="112"/>
      <c r="G129" s="112"/>
      <c r="H129" s="112"/>
      <c r="I129" s="112"/>
      <c r="J129" s="278"/>
      <c r="K129" s="235"/>
      <c r="L129" s="112"/>
      <c r="M129" s="301"/>
      <c r="N129" s="112"/>
      <c r="O129" s="112"/>
      <c r="P129" s="112"/>
      <c r="Q129" s="112"/>
      <c r="AJ129" s="111"/>
      <c r="AW129" s="111"/>
      <c r="AX129" s="111"/>
    </row>
    <row r="130" spans="1:50" ht="12" customHeight="1">
      <c r="A130" s="112"/>
      <c r="B130" s="250"/>
      <c r="C130" s="112"/>
      <c r="D130" s="112"/>
      <c r="E130" s="112"/>
      <c r="F130" s="112"/>
      <c r="G130" s="112"/>
      <c r="H130" s="112"/>
      <c r="I130" s="112"/>
      <c r="J130" s="278"/>
      <c r="K130" s="235"/>
      <c r="L130" s="112"/>
      <c r="M130" s="301"/>
      <c r="N130" s="112"/>
      <c r="O130" s="112"/>
      <c r="P130" s="112"/>
      <c r="Q130" s="112"/>
      <c r="AJ130" s="111"/>
      <c r="AW130" s="111"/>
      <c r="AX130" s="111"/>
    </row>
    <row r="131" spans="1:50" ht="12" customHeight="1">
      <c r="A131" s="112"/>
      <c r="B131" s="250"/>
      <c r="C131" s="112"/>
      <c r="D131" s="112"/>
      <c r="E131" s="112"/>
      <c r="F131" s="112"/>
      <c r="G131" s="112"/>
      <c r="H131" s="112"/>
      <c r="I131" s="112"/>
      <c r="J131" s="278"/>
      <c r="K131" s="235"/>
      <c r="L131" s="112"/>
      <c r="M131" s="301"/>
      <c r="N131" s="112"/>
      <c r="O131" s="112"/>
      <c r="P131" s="112"/>
      <c r="Q131" s="112"/>
      <c r="AJ131" s="111"/>
      <c r="AW131" s="111"/>
      <c r="AX131" s="111"/>
    </row>
    <row r="132" spans="1:50" ht="12" customHeight="1">
      <c r="A132" s="112"/>
      <c r="B132" s="250"/>
      <c r="C132" s="112"/>
      <c r="D132" s="112"/>
      <c r="E132" s="112"/>
      <c r="F132" s="112"/>
      <c r="G132" s="112"/>
      <c r="H132" s="112"/>
      <c r="I132" s="112"/>
      <c r="J132" s="278"/>
      <c r="K132" s="235"/>
      <c r="L132" s="112"/>
      <c r="M132" s="301"/>
      <c r="N132" s="112"/>
      <c r="O132" s="112"/>
      <c r="P132" s="112"/>
      <c r="Q132" s="112"/>
      <c r="AJ132" s="111"/>
      <c r="AW132" s="111"/>
      <c r="AX132" s="111"/>
    </row>
    <row r="133" spans="1:50" ht="12" customHeight="1">
      <c r="A133" s="112"/>
      <c r="B133" s="250"/>
      <c r="C133" s="112"/>
      <c r="D133" s="112"/>
      <c r="E133" s="112"/>
      <c r="F133" s="112"/>
      <c r="G133" s="112"/>
      <c r="H133" s="112"/>
      <c r="I133" s="112"/>
      <c r="J133" s="278"/>
      <c r="K133" s="235"/>
      <c r="L133" s="112"/>
      <c r="M133" s="301"/>
      <c r="N133" s="112"/>
      <c r="O133" s="112"/>
      <c r="P133" s="112"/>
      <c r="Q133" s="112"/>
      <c r="AJ133" s="111"/>
      <c r="AW133" s="111"/>
      <c r="AX133" s="111"/>
    </row>
    <row r="134" spans="1:50" ht="12" customHeight="1">
      <c r="A134" s="112"/>
      <c r="B134" s="250"/>
      <c r="C134" s="112"/>
      <c r="D134" s="112"/>
      <c r="E134" s="112"/>
      <c r="F134" s="112"/>
      <c r="G134" s="112"/>
      <c r="H134" s="112"/>
      <c r="I134" s="112"/>
      <c r="J134" s="278"/>
      <c r="K134" s="235"/>
      <c r="L134" s="112"/>
      <c r="M134" s="301"/>
      <c r="N134" s="112"/>
      <c r="O134" s="112"/>
      <c r="P134" s="112"/>
      <c r="Q134" s="112"/>
      <c r="AJ134" s="111"/>
      <c r="AW134" s="111"/>
      <c r="AX134" s="111"/>
    </row>
    <row r="135" spans="1:50" ht="12" customHeight="1">
      <c r="A135" s="112"/>
      <c r="B135" s="250"/>
      <c r="C135" s="112"/>
      <c r="D135" s="112"/>
      <c r="E135" s="112"/>
      <c r="F135" s="112"/>
      <c r="G135" s="112"/>
      <c r="H135" s="112"/>
      <c r="I135" s="112"/>
      <c r="J135" s="278"/>
      <c r="K135" s="235"/>
      <c r="L135" s="112"/>
      <c r="M135" s="301"/>
      <c r="N135" s="112"/>
      <c r="O135" s="112"/>
      <c r="P135" s="112"/>
      <c r="Q135" s="112"/>
      <c r="AJ135" s="111"/>
      <c r="AW135" s="111"/>
      <c r="AX135" s="111"/>
    </row>
    <row r="136" spans="1:50" ht="12" customHeight="1">
      <c r="A136" s="112"/>
      <c r="B136" s="250"/>
      <c r="C136" s="112"/>
      <c r="D136" s="112"/>
      <c r="E136" s="112"/>
      <c r="F136" s="112"/>
      <c r="G136" s="112"/>
      <c r="H136" s="112"/>
      <c r="I136" s="112"/>
      <c r="J136" s="278"/>
      <c r="K136" s="235"/>
      <c r="L136" s="112"/>
      <c r="M136" s="301"/>
      <c r="N136" s="112"/>
      <c r="O136" s="112"/>
      <c r="P136" s="112"/>
      <c r="Q136" s="112"/>
      <c r="AJ136" s="111"/>
      <c r="AW136" s="111"/>
      <c r="AX136" s="111"/>
    </row>
    <row r="137" spans="1:50" ht="12" customHeight="1">
      <c r="A137" s="112"/>
      <c r="B137" s="250"/>
      <c r="C137" s="112"/>
      <c r="D137" s="112"/>
      <c r="E137" s="112"/>
      <c r="F137" s="112"/>
      <c r="G137" s="112"/>
      <c r="H137" s="112"/>
      <c r="I137" s="112"/>
      <c r="J137" s="278"/>
      <c r="K137" s="235"/>
      <c r="L137" s="112"/>
      <c r="M137" s="301"/>
      <c r="N137" s="112"/>
      <c r="O137" s="112"/>
      <c r="P137" s="112"/>
      <c r="Q137" s="112"/>
      <c r="AJ137" s="111"/>
      <c r="AW137" s="111"/>
      <c r="AX137" s="111"/>
    </row>
    <row r="138" spans="1:50" ht="12" customHeight="1">
      <c r="A138" s="112"/>
      <c r="B138" s="250"/>
      <c r="C138" s="112"/>
      <c r="D138" s="112"/>
      <c r="E138" s="112"/>
      <c r="F138" s="112"/>
      <c r="G138" s="112"/>
      <c r="H138" s="112"/>
      <c r="I138" s="112"/>
      <c r="J138" s="278"/>
      <c r="K138" s="235"/>
      <c r="L138" s="112"/>
      <c r="M138" s="301"/>
      <c r="N138" s="112"/>
      <c r="O138" s="112"/>
      <c r="P138" s="112"/>
      <c r="Q138" s="112"/>
      <c r="AJ138" s="111"/>
      <c r="AW138" s="111"/>
      <c r="AX138" s="111"/>
    </row>
    <row r="139" spans="1:50" ht="12" customHeight="1">
      <c r="A139" s="112"/>
      <c r="B139" s="250"/>
      <c r="C139" s="112"/>
      <c r="D139" s="112"/>
      <c r="E139" s="112"/>
      <c r="F139" s="112"/>
      <c r="G139" s="112"/>
      <c r="H139" s="112"/>
      <c r="I139" s="112"/>
      <c r="J139" s="278"/>
      <c r="K139" s="235"/>
      <c r="L139" s="112"/>
      <c r="M139" s="301"/>
      <c r="N139" s="112"/>
      <c r="O139" s="112"/>
      <c r="P139" s="112"/>
      <c r="Q139" s="112"/>
      <c r="AJ139" s="111"/>
      <c r="AW139" s="111"/>
      <c r="AX139" s="111"/>
    </row>
    <row r="140" spans="1:50" ht="12" customHeight="1">
      <c r="A140" s="112"/>
      <c r="B140" s="250"/>
      <c r="C140" s="112"/>
      <c r="D140" s="112"/>
      <c r="E140" s="112"/>
      <c r="F140" s="112"/>
      <c r="G140" s="112"/>
      <c r="H140" s="112"/>
      <c r="I140" s="112"/>
      <c r="J140" s="278"/>
      <c r="K140" s="235"/>
      <c r="L140" s="112"/>
      <c r="M140" s="301"/>
      <c r="N140" s="112"/>
      <c r="O140" s="112"/>
      <c r="P140" s="112"/>
      <c r="Q140" s="112"/>
      <c r="AJ140" s="111"/>
      <c r="AW140" s="111"/>
      <c r="AX140" s="111"/>
    </row>
    <row r="141" spans="1:50" ht="12" customHeight="1">
      <c r="A141" s="112"/>
      <c r="B141" s="250"/>
      <c r="C141" s="112"/>
      <c r="D141" s="112"/>
      <c r="E141" s="112"/>
      <c r="F141" s="112"/>
      <c r="G141" s="112"/>
      <c r="H141" s="112"/>
      <c r="I141" s="112"/>
      <c r="J141" s="278"/>
      <c r="K141" s="235"/>
      <c r="L141" s="112"/>
      <c r="M141" s="301"/>
      <c r="N141" s="112"/>
      <c r="O141" s="112"/>
      <c r="P141" s="112"/>
      <c r="Q141" s="112"/>
      <c r="AJ141" s="111"/>
      <c r="AW141" s="111"/>
      <c r="AX141" s="111"/>
    </row>
    <row r="142" spans="1:50" ht="12" customHeight="1">
      <c r="A142" s="112"/>
      <c r="B142" s="250"/>
      <c r="C142" s="112"/>
      <c r="D142" s="112"/>
      <c r="E142" s="112"/>
      <c r="F142" s="112"/>
      <c r="G142" s="112"/>
      <c r="H142" s="112"/>
      <c r="I142" s="112"/>
      <c r="J142" s="278"/>
      <c r="K142" s="235"/>
      <c r="L142" s="112"/>
      <c r="M142" s="301"/>
      <c r="N142" s="112"/>
      <c r="O142" s="112"/>
      <c r="P142" s="112"/>
      <c r="Q142" s="112"/>
      <c r="AJ142" s="111"/>
      <c r="AW142" s="111"/>
      <c r="AX142" s="111"/>
    </row>
    <row r="143" spans="1:50" ht="12" customHeight="1">
      <c r="A143" s="112"/>
      <c r="B143" s="250"/>
      <c r="C143" s="112"/>
      <c r="D143" s="112"/>
      <c r="E143" s="112"/>
      <c r="F143" s="112"/>
      <c r="G143" s="112"/>
      <c r="H143" s="112"/>
      <c r="I143" s="112"/>
      <c r="J143" s="278"/>
      <c r="K143" s="235"/>
      <c r="L143" s="112"/>
      <c r="M143" s="301"/>
      <c r="N143" s="112"/>
      <c r="O143" s="112"/>
      <c r="P143" s="112"/>
      <c r="Q143" s="112"/>
      <c r="AJ143" s="111"/>
      <c r="AW143" s="111"/>
      <c r="AX143" s="111"/>
    </row>
    <row r="144" spans="1:50" ht="12" customHeight="1">
      <c r="A144" s="112"/>
      <c r="B144" s="250"/>
      <c r="C144" s="112"/>
      <c r="D144" s="112"/>
      <c r="E144" s="112"/>
      <c r="F144" s="112"/>
      <c r="G144" s="112"/>
      <c r="H144" s="112"/>
      <c r="I144" s="112"/>
      <c r="J144" s="278"/>
      <c r="K144" s="235"/>
      <c r="L144" s="112"/>
      <c r="M144" s="301"/>
      <c r="N144" s="112"/>
      <c r="O144" s="112"/>
      <c r="P144" s="112"/>
      <c r="Q144" s="112"/>
      <c r="AJ144" s="111"/>
      <c r="AW144" s="111"/>
      <c r="AX144" s="111"/>
    </row>
    <row r="145" spans="1:50" ht="12" customHeight="1">
      <c r="A145" s="112"/>
      <c r="B145" s="250"/>
      <c r="C145" s="112"/>
      <c r="D145" s="112"/>
      <c r="E145" s="112"/>
      <c r="F145" s="112"/>
      <c r="G145" s="112"/>
      <c r="H145" s="112"/>
      <c r="I145" s="112"/>
      <c r="J145" s="278"/>
      <c r="K145" s="235"/>
      <c r="L145" s="112"/>
      <c r="M145" s="301"/>
      <c r="N145" s="112"/>
      <c r="O145" s="112"/>
      <c r="P145" s="112"/>
      <c r="Q145" s="112"/>
      <c r="AJ145" s="111"/>
      <c r="AW145" s="111"/>
      <c r="AX145" s="111"/>
    </row>
    <row r="146" spans="1:50" ht="12" customHeight="1">
      <c r="A146" s="112"/>
      <c r="B146" s="250"/>
      <c r="C146" s="112"/>
      <c r="D146" s="112"/>
      <c r="E146" s="112"/>
      <c r="F146" s="112"/>
      <c r="G146" s="112"/>
      <c r="H146" s="112"/>
      <c r="I146" s="112"/>
      <c r="J146" s="278"/>
      <c r="K146" s="235"/>
      <c r="L146" s="112"/>
      <c r="M146" s="301"/>
      <c r="N146" s="112"/>
      <c r="O146" s="112"/>
      <c r="P146" s="112"/>
      <c r="Q146" s="112"/>
      <c r="AJ146" s="111"/>
      <c r="AW146" s="111"/>
      <c r="AX146" s="111"/>
    </row>
    <row r="147" spans="1:50" ht="12" customHeight="1">
      <c r="A147" s="112"/>
      <c r="B147" s="250"/>
      <c r="C147" s="112"/>
      <c r="D147" s="112"/>
      <c r="E147" s="112"/>
      <c r="F147" s="112"/>
      <c r="G147" s="112"/>
      <c r="H147" s="112"/>
      <c r="I147" s="112"/>
      <c r="J147" s="278"/>
      <c r="K147" s="235"/>
      <c r="L147" s="112"/>
      <c r="M147" s="301"/>
      <c r="N147" s="112"/>
      <c r="O147" s="112"/>
      <c r="P147" s="112"/>
      <c r="Q147" s="112"/>
      <c r="AJ147" s="111"/>
      <c r="AW147" s="111"/>
      <c r="AX147" s="111"/>
    </row>
    <row r="148" spans="1:50" ht="12" customHeight="1">
      <c r="A148" s="112"/>
      <c r="B148" s="250"/>
      <c r="C148" s="112"/>
      <c r="D148" s="112"/>
      <c r="E148" s="112"/>
      <c r="F148" s="112"/>
      <c r="G148" s="112"/>
      <c r="H148" s="112"/>
      <c r="I148" s="112"/>
      <c r="J148" s="278"/>
      <c r="K148" s="235"/>
      <c r="L148" s="112"/>
      <c r="M148" s="301"/>
      <c r="N148" s="112"/>
      <c r="O148" s="112"/>
      <c r="P148" s="112"/>
      <c r="Q148" s="112"/>
      <c r="AJ148" s="111"/>
      <c r="AW148" s="111"/>
      <c r="AX148" s="111"/>
    </row>
    <row r="149" spans="1:50" ht="12" customHeight="1">
      <c r="A149" s="112"/>
      <c r="B149" s="250"/>
      <c r="C149" s="112"/>
      <c r="D149" s="112"/>
      <c r="E149" s="112"/>
      <c r="F149" s="112"/>
      <c r="G149" s="112"/>
      <c r="H149" s="112"/>
      <c r="I149" s="112"/>
      <c r="J149" s="278"/>
      <c r="K149" s="235"/>
      <c r="L149" s="112"/>
      <c r="M149" s="301"/>
      <c r="N149" s="112"/>
      <c r="O149" s="112"/>
      <c r="P149" s="112"/>
      <c r="Q149" s="112"/>
      <c r="AJ149" s="111"/>
      <c r="AW149" s="111"/>
      <c r="AX149" s="111"/>
    </row>
    <row r="150" spans="1:50" ht="12" customHeight="1">
      <c r="A150" s="112"/>
      <c r="B150" s="250"/>
      <c r="C150" s="112"/>
      <c r="D150" s="112"/>
      <c r="E150" s="112"/>
      <c r="F150" s="112"/>
      <c r="G150" s="112"/>
      <c r="H150" s="112"/>
      <c r="I150" s="112"/>
      <c r="J150" s="278"/>
      <c r="K150" s="235"/>
      <c r="L150" s="112"/>
      <c r="M150" s="301"/>
      <c r="N150" s="112"/>
      <c r="O150" s="112"/>
      <c r="P150" s="112"/>
      <c r="Q150" s="112"/>
      <c r="AJ150" s="111"/>
      <c r="AW150" s="111"/>
      <c r="AX150" s="111"/>
    </row>
    <row r="151" spans="1:50" ht="12" customHeight="1">
      <c r="A151" s="112"/>
      <c r="B151" s="250"/>
      <c r="C151" s="112"/>
      <c r="D151" s="112"/>
      <c r="E151" s="112"/>
      <c r="F151" s="112"/>
      <c r="G151" s="112"/>
      <c r="H151" s="112"/>
      <c r="I151" s="112"/>
      <c r="J151" s="278"/>
      <c r="K151" s="235"/>
      <c r="L151" s="112"/>
      <c r="M151" s="301"/>
      <c r="N151" s="112"/>
      <c r="O151" s="112"/>
      <c r="P151" s="112"/>
      <c r="Q151" s="112"/>
      <c r="AJ151" s="111"/>
      <c r="AW151" s="111"/>
      <c r="AX151" s="111"/>
    </row>
    <row r="152" spans="1:50" ht="12" customHeight="1">
      <c r="A152" s="112"/>
      <c r="B152" s="250"/>
      <c r="C152" s="112"/>
      <c r="D152" s="112"/>
      <c r="E152" s="112"/>
      <c r="F152" s="112"/>
      <c r="G152" s="112"/>
      <c r="H152" s="112"/>
      <c r="I152" s="112"/>
      <c r="J152" s="278"/>
      <c r="K152" s="235"/>
      <c r="L152" s="112"/>
      <c r="M152" s="301"/>
      <c r="N152" s="112"/>
      <c r="O152" s="112"/>
      <c r="P152" s="112"/>
      <c r="Q152" s="112"/>
      <c r="AJ152" s="111"/>
      <c r="AW152" s="111"/>
      <c r="AX152" s="111"/>
    </row>
    <row r="153" spans="1:50" ht="12" customHeight="1">
      <c r="A153" s="112"/>
      <c r="B153" s="250"/>
      <c r="C153" s="112"/>
      <c r="D153" s="112"/>
      <c r="E153" s="112"/>
      <c r="F153" s="112"/>
      <c r="G153" s="112"/>
      <c r="H153" s="112"/>
      <c r="I153" s="112"/>
      <c r="J153" s="278"/>
      <c r="K153" s="235"/>
      <c r="L153" s="112"/>
      <c r="M153" s="301"/>
      <c r="N153" s="112"/>
      <c r="O153" s="112"/>
      <c r="P153" s="112"/>
      <c r="Q153" s="112"/>
      <c r="AJ153" s="111"/>
      <c r="AW153" s="111"/>
      <c r="AX153" s="111"/>
    </row>
    <row r="154" spans="1:50" ht="12" customHeight="1">
      <c r="A154" s="112"/>
      <c r="B154" s="250"/>
      <c r="C154" s="112"/>
      <c r="D154" s="112"/>
      <c r="E154" s="112"/>
      <c r="F154" s="112"/>
      <c r="G154" s="112"/>
      <c r="H154" s="112"/>
      <c r="I154" s="112"/>
      <c r="J154" s="278"/>
      <c r="K154" s="235"/>
      <c r="L154" s="112"/>
      <c r="M154" s="301"/>
      <c r="N154" s="112"/>
      <c r="O154" s="112"/>
      <c r="P154" s="112"/>
      <c r="Q154" s="112"/>
      <c r="AJ154" s="111"/>
      <c r="AW154" s="111"/>
      <c r="AX154" s="111"/>
    </row>
    <row r="155" spans="1:50" ht="12" customHeight="1">
      <c r="A155" s="112"/>
      <c r="B155" s="250"/>
      <c r="C155" s="112"/>
      <c r="D155" s="112"/>
      <c r="E155" s="112"/>
      <c r="F155" s="112"/>
      <c r="G155" s="112"/>
      <c r="H155" s="112"/>
      <c r="I155" s="112"/>
      <c r="J155" s="278"/>
      <c r="K155" s="235"/>
      <c r="L155" s="112"/>
      <c r="M155" s="301"/>
      <c r="N155" s="112"/>
      <c r="O155" s="112"/>
      <c r="P155" s="112"/>
      <c r="Q155" s="112"/>
      <c r="AJ155" s="111"/>
      <c r="AW155" s="111"/>
      <c r="AX155" s="111"/>
    </row>
    <row r="156" spans="1:50" ht="12" customHeight="1">
      <c r="A156" s="112"/>
      <c r="B156" s="250"/>
      <c r="C156" s="112"/>
      <c r="D156" s="112"/>
      <c r="E156" s="112"/>
      <c r="F156" s="112"/>
      <c r="G156" s="112"/>
      <c r="H156" s="112"/>
      <c r="I156" s="112"/>
      <c r="J156" s="278"/>
      <c r="K156" s="235"/>
      <c r="L156" s="112"/>
      <c r="M156" s="301"/>
      <c r="N156" s="112"/>
      <c r="O156" s="112"/>
      <c r="P156" s="112"/>
      <c r="Q156" s="112"/>
      <c r="AJ156" s="111"/>
      <c r="AW156" s="111"/>
      <c r="AX156" s="111"/>
    </row>
    <row r="157" spans="1:50" ht="12" customHeight="1">
      <c r="A157" s="112"/>
      <c r="B157" s="250"/>
      <c r="C157" s="112"/>
      <c r="D157" s="112"/>
      <c r="E157" s="112"/>
      <c r="F157" s="112"/>
      <c r="G157" s="112"/>
      <c r="H157" s="112"/>
      <c r="I157" s="112"/>
      <c r="J157" s="278"/>
      <c r="K157" s="235"/>
      <c r="L157" s="112"/>
      <c r="M157" s="301"/>
      <c r="N157" s="112"/>
      <c r="O157" s="112"/>
      <c r="P157" s="112"/>
      <c r="Q157" s="112"/>
      <c r="AJ157" s="111"/>
      <c r="AW157" s="111"/>
      <c r="AX157" s="111"/>
    </row>
    <row r="158" spans="1:50" ht="12" customHeight="1">
      <c r="A158" s="112"/>
      <c r="B158" s="250"/>
      <c r="C158" s="112"/>
      <c r="D158" s="112"/>
      <c r="E158" s="112"/>
      <c r="F158" s="112"/>
      <c r="G158" s="112"/>
      <c r="H158" s="112"/>
      <c r="I158" s="112"/>
      <c r="J158" s="278"/>
      <c r="K158" s="235"/>
      <c r="L158" s="112"/>
      <c r="M158" s="301"/>
      <c r="N158" s="112"/>
      <c r="O158" s="112"/>
      <c r="P158" s="112"/>
      <c r="Q158" s="112"/>
      <c r="AJ158" s="111"/>
      <c r="AW158" s="111"/>
      <c r="AX158" s="111"/>
    </row>
    <row r="159" spans="1:50" ht="12" customHeight="1">
      <c r="A159" s="112"/>
      <c r="B159" s="250"/>
      <c r="C159" s="112"/>
      <c r="D159" s="112"/>
      <c r="E159" s="112"/>
      <c r="F159" s="112"/>
      <c r="G159" s="112"/>
      <c r="H159" s="112"/>
      <c r="I159" s="112"/>
      <c r="J159" s="278"/>
      <c r="K159" s="235"/>
      <c r="L159" s="112"/>
      <c r="M159" s="301"/>
      <c r="N159" s="112"/>
      <c r="O159" s="112"/>
      <c r="P159" s="112"/>
      <c r="Q159" s="112"/>
      <c r="AJ159" s="111"/>
      <c r="AW159" s="111"/>
      <c r="AX159" s="111"/>
    </row>
    <row r="160" spans="1:50" ht="12" customHeight="1">
      <c r="A160" s="112"/>
      <c r="B160" s="250"/>
      <c r="C160" s="112"/>
      <c r="D160" s="112"/>
      <c r="E160" s="112"/>
      <c r="F160" s="112"/>
      <c r="G160" s="112"/>
      <c r="H160" s="112"/>
      <c r="I160" s="112"/>
      <c r="J160" s="278"/>
      <c r="K160" s="235"/>
      <c r="L160" s="112"/>
      <c r="M160" s="301"/>
      <c r="N160" s="112"/>
      <c r="O160" s="112"/>
      <c r="P160" s="112"/>
      <c r="Q160" s="112"/>
      <c r="AJ160" s="111"/>
      <c r="AW160" s="111"/>
      <c r="AX160" s="111"/>
    </row>
    <row r="161" spans="1:50" ht="12" customHeight="1">
      <c r="A161" s="112"/>
      <c r="B161" s="250"/>
      <c r="C161" s="112"/>
      <c r="D161" s="112"/>
      <c r="E161" s="112"/>
      <c r="F161" s="112"/>
      <c r="G161" s="112"/>
      <c r="H161" s="112"/>
      <c r="I161" s="112"/>
      <c r="J161" s="278"/>
      <c r="K161" s="235"/>
      <c r="L161" s="112"/>
      <c r="M161" s="301"/>
      <c r="N161" s="112"/>
      <c r="O161" s="112"/>
      <c r="P161" s="112"/>
      <c r="Q161" s="112"/>
      <c r="AJ161" s="111"/>
      <c r="AW161" s="111"/>
      <c r="AX161" s="111"/>
    </row>
    <row r="162" spans="1:50" ht="12" customHeight="1">
      <c r="A162" s="112"/>
      <c r="B162" s="250"/>
      <c r="C162" s="112"/>
      <c r="D162" s="112"/>
      <c r="E162" s="112"/>
      <c r="F162" s="112"/>
      <c r="G162" s="112"/>
      <c r="H162" s="112"/>
      <c r="I162" s="112"/>
      <c r="J162" s="278"/>
      <c r="K162" s="235"/>
      <c r="L162" s="112"/>
      <c r="M162" s="301"/>
      <c r="N162" s="112"/>
      <c r="O162" s="112"/>
      <c r="P162" s="112"/>
      <c r="Q162" s="112"/>
      <c r="AJ162" s="111"/>
      <c r="AW162" s="111"/>
      <c r="AX162" s="111"/>
    </row>
    <row r="163" spans="1:50" ht="12" customHeight="1">
      <c r="A163" s="112"/>
      <c r="B163" s="250"/>
      <c r="C163" s="112"/>
      <c r="D163" s="112"/>
      <c r="E163" s="112"/>
      <c r="F163" s="112"/>
      <c r="G163" s="112"/>
      <c r="H163" s="112"/>
      <c r="I163" s="112"/>
      <c r="J163" s="278"/>
      <c r="K163" s="235"/>
      <c r="L163" s="112"/>
      <c r="M163" s="301"/>
      <c r="N163" s="112"/>
      <c r="O163" s="112"/>
      <c r="P163" s="112"/>
      <c r="Q163" s="112"/>
      <c r="AJ163" s="111"/>
      <c r="AW163" s="111"/>
      <c r="AX163" s="111"/>
    </row>
    <row r="164" spans="1:50" ht="12" customHeight="1">
      <c r="A164" s="112"/>
      <c r="B164" s="250"/>
      <c r="C164" s="112"/>
      <c r="D164" s="112"/>
      <c r="E164" s="112"/>
      <c r="F164" s="112"/>
      <c r="G164" s="112"/>
      <c r="H164" s="112"/>
      <c r="I164" s="112"/>
      <c r="J164" s="278"/>
      <c r="K164" s="235"/>
      <c r="L164" s="112"/>
      <c r="M164" s="301"/>
      <c r="N164" s="112"/>
      <c r="O164" s="112"/>
      <c r="P164" s="112"/>
      <c r="Q164" s="112"/>
      <c r="AJ164" s="111"/>
      <c r="AW164" s="111"/>
      <c r="AX164" s="111"/>
    </row>
    <row r="165" spans="1:50" ht="12" customHeight="1">
      <c r="A165" s="112"/>
      <c r="B165" s="250"/>
      <c r="C165" s="112"/>
      <c r="D165" s="112"/>
      <c r="E165" s="112"/>
      <c r="F165" s="112"/>
      <c r="G165" s="112"/>
      <c r="H165" s="112"/>
      <c r="I165" s="112"/>
      <c r="J165" s="278"/>
      <c r="K165" s="235"/>
      <c r="L165" s="112"/>
      <c r="M165" s="301"/>
      <c r="N165" s="112"/>
      <c r="O165" s="112"/>
      <c r="P165" s="112"/>
      <c r="Q165" s="112"/>
      <c r="AJ165" s="111"/>
      <c r="AW165" s="111"/>
      <c r="AX165" s="111"/>
    </row>
    <row r="166" spans="1:50" ht="12" customHeight="1">
      <c r="A166" s="112"/>
      <c r="B166" s="250"/>
      <c r="C166" s="112"/>
      <c r="D166" s="112"/>
      <c r="E166" s="112"/>
      <c r="F166" s="112"/>
      <c r="G166" s="112"/>
      <c r="H166" s="112"/>
      <c r="I166" s="112"/>
      <c r="J166" s="278"/>
      <c r="K166" s="235"/>
      <c r="L166" s="112"/>
      <c r="M166" s="301"/>
      <c r="N166" s="112"/>
      <c r="O166" s="112"/>
      <c r="P166" s="112"/>
      <c r="Q166" s="112"/>
      <c r="AJ166" s="111"/>
      <c r="AW166" s="111"/>
      <c r="AX166" s="111"/>
    </row>
    <row r="167" spans="1:50" ht="10.5" customHeight="1">
      <c r="A167" s="112"/>
      <c r="B167" s="250"/>
      <c r="C167" s="112"/>
      <c r="D167" s="112"/>
      <c r="E167" s="112"/>
      <c r="F167" s="112"/>
      <c r="G167" s="112"/>
      <c r="H167" s="112"/>
      <c r="I167" s="112"/>
      <c r="J167" s="278"/>
      <c r="K167" s="235"/>
      <c r="L167" s="112"/>
      <c r="M167" s="301"/>
      <c r="N167" s="112"/>
      <c r="O167" s="112"/>
      <c r="P167" s="112"/>
      <c r="Q167" s="112"/>
      <c r="AJ167" s="111"/>
      <c r="AW167" s="111"/>
      <c r="AX167" s="111"/>
    </row>
    <row r="168" spans="1:50" ht="12" customHeight="1">
      <c r="A168" s="112"/>
      <c r="B168" s="250"/>
      <c r="C168" s="112"/>
      <c r="D168" s="112"/>
      <c r="E168" s="112"/>
      <c r="F168" s="112"/>
      <c r="G168" s="112"/>
      <c r="H168" s="112"/>
      <c r="I168" s="112"/>
      <c r="J168" s="278"/>
      <c r="K168" s="235"/>
      <c r="L168" s="112"/>
      <c r="M168" s="301"/>
      <c r="N168" s="112"/>
      <c r="O168" s="112"/>
      <c r="P168" s="112"/>
      <c r="Q168" s="112"/>
      <c r="AJ168" s="111"/>
      <c r="AW168" s="111"/>
      <c r="AX168" s="111"/>
    </row>
    <row r="169" spans="1:50" ht="12" customHeight="1">
      <c r="A169" s="112"/>
      <c r="B169" s="250"/>
      <c r="C169" s="112"/>
      <c r="D169" s="112"/>
      <c r="E169" s="112"/>
      <c r="F169" s="112"/>
      <c r="G169" s="112"/>
      <c r="H169" s="112"/>
      <c r="I169" s="112"/>
      <c r="J169" s="278"/>
      <c r="K169" s="235"/>
      <c r="L169" s="112"/>
      <c r="M169" s="301"/>
      <c r="N169" s="112"/>
      <c r="O169" s="112"/>
      <c r="P169" s="112"/>
      <c r="Q169" s="112"/>
      <c r="AJ169" s="111"/>
      <c r="AW169" s="111"/>
      <c r="AX169" s="111"/>
    </row>
    <row r="170" spans="1:50" ht="12" customHeight="1">
      <c r="A170" s="112"/>
      <c r="B170" s="250"/>
      <c r="C170" s="112"/>
      <c r="D170" s="112"/>
      <c r="E170" s="112"/>
      <c r="F170" s="112"/>
      <c r="G170" s="112"/>
      <c r="H170" s="112"/>
      <c r="I170" s="112"/>
      <c r="J170" s="278"/>
      <c r="K170" s="235"/>
      <c r="L170" s="112"/>
      <c r="M170" s="301"/>
      <c r="N170" s="112"/>
      <c r="O170" s="112"/>
      <c r="P170" s="112"/>
      <c r="Q170" s="112"/>
      <c r="AJ170" s="111"/>
      <c r="AW170" s="111"/>
      <c r="AX170" s="111"/>
    </row>
    <row r="171" spans="1:50" ht="12" customHeight="1">
      <c r="A171" s="112"/>
      <c r="B171" s="250"/>
      <c r="C171" s="112"/>
      <c r="D171" s="112"/>
      <c r="E171" s="112"/>
      <c r="F171" s="112"/>
      <c r="G171" s="112"/>
      <c r="H171" s="112"/>
      <c r="I171" s="112"/>
      <c r="J171" s="278"/>
      <c r="K171" s="235"/>
      <c r="L171" s="112"/>
      <c r="M171" s="301"/>
      <c r="N171" s="112"/>
      <c r="O171" s="112"/>
      <c r="P171" s="112"/>
      <c r="Q171" s="112"/>
      <c r="AJ171" s="111"/>
      <c r="AW171" s="111"/>
      <c r="AX171" s="111"/>
    </row>
    <row r="172" spans="1:50" ht="12" customHeight="1">
      <c r="A172" s="112"/>
      <c r="B172" s="250"/>
      <c r="C172" s="112"/>
      <c r="D172" s="112"/>
      <c r="E172" s="112"/>
      <c r="F172" s="112"/>
      <c r="G172" s="112"/>
      <c r="H172" s="112"/>
      <c r="I172" s="112"/>
      <c r="J172" s="278"/>
      <c r="K172" s="235"/>
      <c r="L172" s="112"/>
      <c r="M172" s="301"/>
      <c r="N172" s="112"/>
      <c r="O172" s="112"/>
      <c r="P172" s="112"/>
      <c r="Q172" s="112"/>
      <c r="AJ172" s="111"/>
      <c r="AW172" s="111"/>
      <c r="AX172" s="111"/>
    </row>
    <row r="173" spans="1:50" ht="12" customHeight="1">
      <c r="A173" s="112"/>
      <c r="B173" s="250"/>
      <c r="C173" s="112"/>
      <c r="D173" s="112"/>
      <c r="E173" s="112"/>
      <c r="F173" s="112"/>
      <c r="G173" s="112"/>
      <c r="H173" s="112"/>
      <c r="I173" s="112"/>
      <c r="J173" s="278"/>
      <c r="K173" s="235"/>
      <c r="L173" s="112"/>
      <c r="M173" s="301"/>
      <c r="N173" s="112"/>
      <c r="O173" s="112"/>
      <c r="P173" s="112"/>
      <c r="Q173" s="112"/>
      <c r="AJ173" s="111"/>
      <c r="AW173" s="111"/>
      <c r="AX173" s="111"/>
    </row>
    <row r="174" spans="1:50" ht="12" customHeight="1">
      <c r="A174" s="112"/>
      <c r="B174" s="250"/>
      <c r="C174" s="112"/>
      <c r="D174" s="112"/>
      <c r="E174" s="112"/>
      <c r="F174" s="112"/>
      <c r="G174" s="112"/>
      <c r="H174" s="112"/>
      <c r="I174" s="112"/>
      <c r="J174" s="278"/>
      <c r="K174" s="235"/>
      <c r="L174" s="112"/>
      <c r="M174" s="301"/>
      <c r="N174" s="112"/>
      <c r="O174" s="112"/>
      <c r="P174" s="112"/>
      <c r="Q174" s="112"/>
      <c r="AJ174" s="111"/>
      <c r="AW174" s="111"/>
      <c r="AX174" s="111"/>
    </row>
    <row r="175" spans="1:50" ht="12" customHeight="1">
      <c r="A175" s="112"/>
      <c r="B175" s="250"/>
      <c r="C175" s="112"/>
      <c r="D175" s="112"/>
      <c r="E175" s="112"/>
      <c r="F175" s="112"/>
      <c r="G175" s="112"/>
      <c r="H175" s="112"/>
      <c r="I175" s="112"/>
      <c r="J175" s="278"/>
      <c r="K175" s="235"/>
      <c r="L175" s="112"/>
      <c r="M175" s="301"/>
      <c r="N175" s="112"/>
      <c r="O175" s="112"/>
      <c r="P175" s="112"/>
      <c r="Q175" s="112"/>
      <c r="AJ175" s="111"/>
      <c r="AW175" s="111"/>
      <c r="AX175" s="111"/>
    </row>
    <row r="176" spans="1:50" ht="12" customHeight="1">
      <c r="A176" s="112"/>
      <c r="B176" s="250"/>
      <c r="C176" s="112"/>
      <c r="D176" s="112"/>
      <c r="E176" s="112"/>
      <c r="F176" s="112"/>
      <c r="G176" s="112"/>
      <c r="H176" s="112"/>
      <c r="I176" s="112"/>
      <c r="J176" s="278"/>
      <c r="K176" s="235"/>
      <c r="L176" s="112"/>
      <c r="M176" s="301"/>
      <c r="N176" s="112"/>
      <c r="O176" s="112"/>
      <c r="P176" s="112"/>
      <c r="Q176" s="112"/>
      <c r="AJ176" s="111"/>
      <c r="AW176" s="111"/>
      <c r="AX176" s="111"/>
    </row>
    <row r="177" spans="1:50" ht="12" customHeight="1">
      <c r="A177" s="112"/>
      <c r="B177" s="250"/>
      <c r="C177" s="112"/>
      <c r="D177" s="112"/>
      <c r="E177" s="112"/>
      <c r="F177" s="112"/>
      <c r="G177" s="112"/>
      <c r="H177" s="112"/>
      <c r="I177" s="112"/>
      <c r="J177" s="278"/>
      <c r="K177" s="235"/>
      <c r="L177" s="112"/>
      <c r="M177" s="301"/>
      <c r="N177" s="112"/>
      <c r="O177" s="112"/>
      <c r="P177" s="112"/>
      <c r="Q177" s="112"/>
      <c r="AJ177" s="111"/>
      <c r="AW177" s="111"/>
      <c r="AX177" s="111"/>
    </row>
    <row r="178" spans="1:50" ht="12" customHeight="1">
      <c r="A178" s="112"/>
      <c r="B178" s="250"/>
      <c r="C178" s="112"/>
      <c r="D178" s="112"/>
      <c r="E178" s="112"/>
      <c r="F178" s="112"/>
      <c r="G178" s="112"/>
      <c r="H178" s="112"/>
      <c r="I178" s="112"/>
      <c r="J178" s="278"/>
      <c r="K178" s="235"/>
      <c r="L178" s="112"/>
      <c r="M178" s="301"/>
      <c r="N178" s="112"/>
      <c r="O178" s="112"/>
      <c r="P178" s="112"/>
      <c r="Q178" s="112"/>
      <c r="AJ178" s="111"/>
      <c r="AW178" s="111"/>
      <c r="AX178" s="111"/>
    </row>
    <row r="179" spans="1:50" ht="12" customHeight="1">
      <c r="A179" s="112"/>
      <c r="B179" s="250"/>
      <c r="C179" s="112"/>
      <c r="D179" s="112"/>
      <c r="E179" s="112"/>
      <c r="F179" s="112"/>
      <c r="G179" s="112"/>
      <c r="H179" s="112"/>
      <c r="I179" s="112"/>
      <c r="J179" s="278"/>
      <c r="K179" s="235"/>
      <c r="L179" s="112"/>
      <c r="M179" s="301"/>
      <c r="N179" s="112"/>
      <c r="O179" s="112"/>
      <c r="P179" s="112"/>
      <c r="Q179" s="112"/>
      <c r="AJ179" s="111"/>
      <c r="AW179" s="111"/>
      <c r="AX179" s="111"/>
    </row>
    <row r="180" spans="1:50" ht="12" customHeight="1">
      <c r="A180" s="112"/>
      <c r="B180" s="250"/>
      <c r="C180" s="112"/>
      <c r="D180" s="112"/>
      <c r="E180" s="112"/>
      <c r="F180" s="112"/>
      <c r="G180" s="112"/>
      <c r="H180" s="112"/>
      <c r="I180" s="112"/>
      <c r="J180" s="278"/>
      <c r="K180" s="235"/>
      <c r="L180" s="112"/>
      <c r="M180" s="301"/>
      <c r="N180" s="112"/>
      <c r="O180" s="112"/>
      <c r="P180" s="112"/>
      <c r="Q180" s="112"/>
      <c r="AJ180" s="111"/>
      <c r="AW180" s="111"/>
      <c r="AX180" s="111"/>
    </row>
    <row r="181" spans="1:50" ht="12" customHeight="1">
      <c r="A181" s="112"/>
      <c r="B181" s="250"/>
      <c r="C181" s="112"/>
      <c r="D181" s="112"/>
      <c r="E181" s="112"/>
      <c r="F181" s="112"/>
      <c r="G181" s="112"/>
      <c r="H181" s="112"/>
      <c r="I181" s="112"/>
      <c r="J181" s="278"/>
      <c r="K181" s="235"/>
      <c r="L181" s="112"/>
      <c r="M181" s="301"/>
      <c r="N181" s="112"/>
      <c r="O181" s="112"/>
      <c r="P181" s="112"/>
      <c r="Q181" s="112"/>
      <c r="AJ181" s="111"/>
      <c r="AW181" s="111"/>
      <c r="AX181" s="111"/>
    </row>
    <row r="182" spans="1:50" ht="12" customHeight="1">
      <c r="A182" s="112"/>
      <c r="B182" s="250"/>
      <c r="C182" s="112"/>
      <c r="D182" s="112"/>
      <c r="E182" s="112"/>
      <c r="F182" s="112"/>
      <c r="G182" s="112"/>
      <c r="H182" s="112"/>
      <c r="I182" s="112"/>
      <c r="J182" s="278"/>
      <c r="K182" s="235"/>
      <c r="L182" s="112"/>
      <c r="M182" s="301"/>
      <c r="N182" s="112"/>
      <c r="O182" s="112"/>
      <c r="P182" s="112"/>
      <c r="Q182" s="112"/>
      <c r="AJ182" s="111"/>
      <c r="AW182" s="111"/>
      <c r="AX182" s="111"/>
    </row>
    <row r="183" spans="1:50" ht="12" customHeight="1">
      <c r="A183" s="112"/>
      <c r="B183" s="250"/>
      <c r="C183" s="112"/>
      <c r="D183" s="112"/>
      <c r="E183" s="112"/>
      <c r="F183" s="112"/>
      <c r="G183" s="112"/>
      <c r="H183" s="112"/>
      <c r="I183" s="112"/>
      <c r="J183" s="278"/>
      <c r="K183" s="235"/>
      <c r="L183" s="112"/>
      <c r="M183" s="301"/>
      <c r="N183" s="112"/>
      <c r="O183" s="112"/>
      <c r="P183" s="112"/>
      <c r="Q183" s="112"/>
      <c r="AJ183" s="111"/>
      <c r="AW183" s="111"/>
      <c r="AX183" s="111"/>
    </row>
    <row r="184" spans="1:50" ht="12" customHeight="1">
      <c r="A184" s="112"/>
      <c r="B184" s="250"/>
      <c r="C184" s="112"/>
      <c r="D184" s="112"/>
      <c r="E184" s="112"/>
      <c r="F184" s="112"/>
      <c r="G184" s="112"/>
      <c r="H184" s="112"/>
      <c r="I184" s="112"/>
      <c r="J184" s="278"/>
      <c r="K184" s="235"/>
      <c r="L184" s="112"/>
      <c r="M184" s="301"/>
      <c r="N184" s="112"/>
      <c r="O184" s="112"/>
      <c r="P184" s="112"/>
      <c r="Q184" s="112"/>
      <c r="AJ184" s="111"/>
      <c r="AW184" s="111"/>
      <c r="AX184" s="111"/>
    </row>
    <row r="185" spans="1:50" ht="12" customHeight="1">
      <c r="A185" s="112"/>
      <c r="B185" s="250"/>
      <c r="C185" s="112"/>
      <c r="D185" s="112"/>
      <c r="E185" s="112"/>
      <c r="F185" s="112"/>
      <c r="G185" s="112"/>
      <c r="H185" s="112"/>
      <c r="I185" s="112"/>
      <c r="J185" s="278"/>
      <c r="K185" s="235"/>
      <c r="L185" s="112"/>
      <c r="M185" s="301"/>
      <c r="N185" s="112"/>
      <c r="O185" s="112"/>
      <c r="P185" s="112"/>
      <c r="Q185" s="112"/>
      <c r="AJ185" s="111"/>
      <c r="AW185" s="111"/>
      <c r="AX185" s="111"/>
    </row>
    <row r="186" spans="1:50" ht="12" customHeight="1">
      <c r="A186" s="112"/>
      <c r="B186" s="250"/>
      <c r="C186" s="112"/>
      <c r="D186" s="112"/>
      <c r="E186" s="112"/>
      <c r="F186" s="112"/>
      <c r="G186" s="112"/>
      <c r="H186" s="112"/>
      <c r="I186" s="112"/>
      <c r="J186" s="278"/>
      <c r="K186" s="235"/>
      <c r="L186" s="112"/>
      <c r="M186" s="301"/>
      <c r="N186" s="112"/>
      <c r="O186" s="112"/>
      <c r="P186" s="112"/>
      <c r="Q186" s="112"/>
      <c r="AJ186" s="111"/>
      <c r="AW186" s="111"/>
      <c r="AX186" s="111"/>
    </row>
    <row r="187" spans="1:50" ht="12" customHeight="1">
      <c r="A187" s="112"/>
      <c r="B187" s="250"/>
      <c r="C187" s="112"/>
      <c r="D187" s="112"/>
      <c r="E187" s="112"/>
      <c r="F187" s="112"/>
      <c r="G187" s="112"/>
      <c r="H187" s="112"/>
      <c r="I187" s="112"/>
      <c r="J187" s="278"/>
      <c r="K187" s="235"/>
      <c r="L187" s="112"/>
      <c r="M187" s="301"/>
      <c r="N187" s="112"/>
      <c r="O187" s="112"/>
      <c r="P187" s="112"/>
      <c r="Q187" s="112"/>
      <c r="AJ187" s="111"/>
      <c r="AW187" s="111"/>
      <c r="AX187" s="111"/>
    </row>
    <row r="188" spans="1:50" ht="12" customHeight="1">
      <c r="A188" s="112"/>
      <c r="B188" s="250"/>
      <c r="C188" s="112"/>
      <c r="D188" s="112"/>
      <c r="E188" s="112"/>
      <c r="F188" s="112"/>
      <c r="G188" s="112"/>
      <c r="H188" s="112"/>
      <c r="I188" s="112"/>
      <c r="J188" s="278"/>
      <c r="K188" s="235"/>
      <c r="L188" s="112"/>
      <c r="M188" s="301"/>
      <c r="N188" s="112"/>
      <c r="O188" s="112"/>
      <c r="P188" s="112"/>
      <c r="Q188" s="112"/>
      <c r="AJ188" s="111"/>
      <c r="AW188" s="111"/>
      <c r="AX188" s="111"/>
    </row>
    <row r="189" spans="1:50" ht="12" customHeight="1">
      <c r="A189" s="112"/>
      <c r="B189" s="250"/>
      <c r="C189" s="112"/>
      <c r="D189" s="112"/>
      <c r="E189" s="112"/>
      <c r="F189" s="112"/>
      <c r="G189" s="112"/>
      <c r="H189" s="112"/>
      <c r="I189" s="112"/>
      <c r="J189" s="278"/>
      <c r="K189" s="235"/>
      <c r="L189" s="112"/>
      <c r="M189" s="301"/>
      <c r="N189" s="112"/>
      <c r="O189" s="112"/>
      <c r="P189" s="112"/>
      <c r="Q189" s="112"/>
      <c r="AJ189" s="111"/>
      <c r="AW189" s="111"/>
      <c r="AX189" s="111"/>
    </row>
    <row r="190" spans="1:50" ht="12" customHeight="1">
      <c r="A190" s="112"/>
      <c r="B190" s="250"/>
      <c r="C190" s="112"/>
      <c r="D190" s="112"/>
      <c r="E190" s="112"/>
      <c r="F190" s="112"/>
      <c r="G190" s="112"/>
      <c r="H190" s="112"/>
      <c r="I190" s="112"/>
      <c r="J190" s="278"/>
      <c r="K190" s="235"/>
      <c r="L190" s="112"/>
      <c r="M190" s="301"/>
      <c r="N190" s="112"/>
      <c r="O190" s="112"/>
      <c r="P190" s="112"/>
      <c r="Q190" s="112"/>
      <c r="AJ190" s="111"/>
      <c r="AW190" s="111"/>
      <c r="AX190" s="111"/>
    </row>
    <row r="191" spans="1:50" ht="12" customHeight="1">
      <c r="A191" s="112"/>
      <c r="B191" s="250"/>
      <c r="C191" s="112"/>
      <c r="D191" s="112"/>
      <c r="E191" s="112"/>
      <c r="F191" s="112"/>
      <c r="G191" s="112"/>
      <c r="H191" s="112"/>
      <c r="I191" s="112"/>
      <c r="J191" s="278"/>
      <c r="K191" s="235"/>
      <c r="L191" s="112"/>
      <c r="M191" s="301"/>
      <c r="N191" s="112"/>
      <c r="O191" s="112"/>
      <c r="P191" s="112"/>
      <c r="Q191" s="112"/>
      <c r="AJ191" s="111"/>
      <c r="AW191" s="111"/>
      <c r="AX191" s="111"/>
    </row>
    <row r="192" spans="1:50" ht="12" customHeight="1">
      <c r="A192" s="112"/>
      <c r="B192" s="250"/>
      <c r="C192" s="112"/>
      <c r="D192" s="112"/>
      <c r="E192" s="112"/>
      <c r="F192" s="112"/>
      <c r="G192" s="112"/>
      <c r="H192" s="112"/>
      <c r="I192" s="112"/>
      <c r="J192" s="278"/>
      <c r="K192" s="235"/>
      <c r="L192" s="112"/>
      <c r="M192" s="301"/>
      <c r="N192" s="112"/>
      <c r="O192" s="112"/>
      <c r="P192" s="112"/>
      <c r="Q192" s="112"/>
      <c r="AJ192" s="111"/>
      <c r="AW192" s="111"/>
      <c r="AX192" s="111"/>
    </row>
    <row r="193" spans="1:50" ht="12" customHeight="1">
      <c r="A193" s="112"/>
      <c r="B193" s="250"/>
      <c r="C193" s="112"/>
      <c r="D193" s="112"/>
      <c r="E193" s="112"/>
      <c r="F193" s="112"/>
      <c r="G193" s="112"/>
      <c r="H193" s="112"/>
      <c r="I193" s="112"/>
      <c r="J193" s="278"/>
      <c r="K193" s="235"/>
      <c r="L193" s="112"/>
      <c r="M193" s="301"/>
      <c r="N193" s="112"/>
      <c r="O193" s="112"/>
      <c r="P193" s="112"/>
      <c r="Q193" s="112"/>
      <c r="AJ193" s="111"/>
      <c r="AW193" s="111"/>
      <c r="AX193" s="111"/>
    </row>
    <row r="194" spans="1:50" ht="12" customHeight="1">
      <c r="A194" s="112"/>
      <c r="B194" s="250"/>
      <c r="C194" s="112"/>
      <c r="D194" s="112"/>
      <c r="E194" s="112"/>
      <c r="F194" s="112"/>
      <c r="G194" s="112"/>
      <c r="H194" s="112"/>
      <c r="I194" s="112"/>
      <c r="J194" s="278"/>
      <c r="K194" s="235"/>
      <c r="L194" s="112"/>
      <c r="M194" s="301"/>
      <c r="N194" s="112"/>
      <c r="O194" s="112"/>
      <c r="P194" s="112"/>
      <c r="Q194" s="112"/>
      <c r="AJ194" s="111"/>
      <c r="AW194" s="111"/>
      <c r="AX194" s="111"/>
    </row>
    <row r="195" spans="1:50" ht="12" customHeight="1">
      <c r="A195" s="112"/>
      <c r="B195" s="250"/>
      <c r="C195" s="112"/>
      <c r="D195" s="112"/>
      <c r="E195" s="112"/>
      <c r="F195" s="112"/>
      <c r="G195" s="112"/>
      <c r="H195" s="112"/>
      <c r="I195" s="112"/>
      <c r="J195" s="278"/>
      <c r="K195" s="235"/>
      <c r="L195" s="112"/>
      <c r="M195" s="301"/>
      <c r="N195" s="112"/>
      <c r="O195" s="112"/>
      <c r="P195" s="112"/>
      <c r="Q195" s="112"/>
      <c r="AJ195" s="111"/>
      <c r="AW195" s="111"/>
      <c r="AX195" s="111"/>
    </row>
    <row r="196" spans="1:50" ht="12" customHeight="1">
      <c r="A196" s="112"/>
      <c r="B196" s="250"/>
      <c r="C196" s="112"/>
      <c r="D196" s="112"/>
      <c r="E196" s="112"/>
      <c r="F196" s="112"/>
      <c r="G196" s="112"/>
      <c r="H196" s="112"/>
      <c r="I196" s="112"/>
      <c r="J196" s="278"/>
      <c r="K196" s="235"/>
      <c r="L196" s="112"/>
      <c r="M196" s="301"/>
      <c r="N196" s="112"/>
      <c r="O196" s="112"/>
      <c r="P196" s="112"/>
      <c r="Q196" s="112"/>
      <c r="AJ196" s="111"/>
      <c r="AW196" s="111"/>
      <c r="AX196" s="111"/>
    </row>
    <row r="197" spans="1:50" ht="12" customHeight="1">
      <c r="A197" s="112"/>
      <c r="B197" s="250"/>
      <c r="C197" s="112"/>
      <c r="D197" s="112"/>
      <c r="E197" s="112"/>
      <c r="F197" s="112"/>
      <c r="G197" s="112"/>
      <c r="H197" s="112"/>
      <c r="I197" s="112"/>
      <c r="J197" s="278"/>
      <c r="K197" s="235"/>
      <c r="L197" s="112"/>
      <c r="M197" s="301"/>
      <c r="N197" s="112"/>
      <c r="O197" s="112"/>
      <c r="P197" s="112"/>
      <c r="Q197" s="112"/>
      <c r="AJ197" s="111"/>
      <c r="AW197" s="111"/>
      <c r="AX197" s="111"/>
    </row>
    <row r="198" spans="1:50" ht="12" customHeight="1">
      <c r="A198" s="112"/>
      <c r="B198" s="250"/>
      <c r="C198" s="112"/>
      <c r="D198" s="112"/>
      <c r="E198" s="112"/>
      <c r="F198" s="112"/>
      <c r="G198" s="112"/>
      <c r="H198" s="112"/>
      <c r="I198" s="112"/>
      <c r="J198" s="278"/>
      <c r="K198" s="235"/>
      <c r="L198" s="112"/>
      <c r="M198" s="301"/>
      <c r="N198" s="112"/>
      <c r="O198" s="112"/>
      <c r="P198" s="112"/>
      <c r="Q198" s="112"/>
      <c r="AJ198" s="111"/>
      <c r="AW198" s="111"/>
      <c r="AX198" s="111"/>
    </row>
    <row r="199" spans="1:50" ht="12" customHeight="1">
      <c r="A199" s="112"/>
      <c r="B199" s="250"/>
      <c r="C199" s="112"/>
      <c r="D199" s="112"/>
      <c r="E199" s="112"/>
      <c r="F199" s="112"/>
      <c r="G199" s="112"/>
      <c r="H199" s="112"/>
      <c r="I199" s="112"/>
      <c r="J199" s="278"/>
      <c r="K199" s="235"/>
      <c r="L199" s="112"/>
      <c r="M199" s="301"/>
      <c r="N199" s="112"/>
      <c r="O199" s="112"/>
      <c r="P199" s="112"/>
      <c r="Q199" s="112"/>
      <c r="AJ199" s="111"/>
      <c r="AW199" s="111"/>
      <c r="AX199" s="111"/>
    </row>
    <row r="200" spans="1:50" ht="12" customHeight="1">
      <c r="A200" s="112"/>
      <c r="B200" s="250"/>
      <c r="C200" s="112"/>
      <c r="D200" s="112"/>
      <c r="E200" s="112"/>
      <c r="F200" s="112"/>
      <c r="G200" s="112"/>
      <c r="H200" s="112"/>
      <c r="I200" s="112"/>
      <c r="J200" s="278"/>
      <c r="K200" s="235"/>
      <c r="L200" s="112"/>
      <c r="M200" s="301"/>
      <c r="N200" s="112"/>
      <c r="O200" s="112"/>
      <c r="P200" s="112"/>
      <c r="Q200" s="112"/>
      <c r="AJ200" s="111"/>
      <c r="AW200" s="111"/>
      <c r="AX200" s="111"/>
    </row>
    <row r="201" spans="1:50" ht="12" customHeight="1">
      <c r="A201" s="112"/>
      <c r="B201" s="250"/>
      <c r="C201" s="112"/>
      <c r="D201" s="112"/>
      <c r="E201" s="112"/>
      <c r="F201" s="112"/>
      <c r="G201" s="112"/>
      <c r="H201" s="112"/>
      <c r="I201" s="112"/>
      <c r="J201" s="278"/>
      <c r="K201" s="235"/>
      <c r="L201" s="112"/>
      <c r="M201" s="301"/>
      <c r="N201" s="112"/>
      <c r="O201" s="112"/>
      <c r="P201" s="112"/>
      <c r="Q201" s="112"/>
      <c r="AJ201" s="111"/>
      <c r="AW201" s="111"/>
      <c r="AX201" s="111"/>
    </row>
    <row r="202" spans="1:50" ht="12" customHeight="1">
      <c r="A202" s="112"/>
      <c r="B202" s="250"/>
      <c r="C202" s="112"/>
      <c r="D202" s="112"/>
      <c r="E202" s="112"/>
      <c r="F202" s="112"/>
      <c r="G202" s="112"/>
      <c r="H202" s="112"/>
      <c r="I202" s="112"/>
      <c r="J202" s="278"/>
      <c r="K202" s="235"/>
      <c r="L202" s="112"/>
      <c r="M202" s="301"/>
      <c r="N202" s="112"/>
      <c r="O202" s="112"/>
      <c r="P202" s="112"/>
      <c r="Q202" s="112"/>
      <c r="AJ202" s="111"/>
      <c r="AW202" s="111"/>
      <c r="AX202" s="111"/>
    </row>
    <row r="203" spans="1:50" ht="12" customHeight="1">
      <c r="A203" s="112"/>
      <c r="B203" s="250"/>
      <c r="C203" s="112"/>
      <c r="D203" s="112"/>
      <c r="E203" s="112"/>
      <c r="F203" s="112"/>
      <c r="G203" s="112"/>
      <c r="H203" s="112"/>
      <c r="I203" s="112"/>
      <c r="J203" s="278"/>
      <c r="K203" s="235"/>
      <c r="L203" s="112"/>
      <c r="M203" s="301"/>
      <c r="N203" s="112"/>
      <c r="O203" s="112"/>
      <c r="P203" s="112"/>
      <c r="Q203" s="112"/>
      <c r="AJ203" s="111"/>
      <c r="AW203" s="111"/>
      <c r="AX203" s="111"/>
    </row>
    <row r="204" spans="1:50" ht="12" customHeight="1">
      <c r="A204" s="112"/>
      <c r="B204" s="250"/>
      <c r="C204" s="112"/>
      <c r="D204" s="112"/>
      <c r="E204" s="112"/>
      <c r="F204" s="112"/>
      <c r="G204" s="112"/>
      <c r="H204" s="112"/>
      <c r="I204" s="112"/>
      <c r="J204" s="278"/>
      <c r="K204" s="235"/>
      <c r="L204" s="112"/>
      <c r="M204" s="301"/>
      <c r="N204" s="112"/>
      <c r="O204" s="112"/>
      <c r="P204" s="112"/>
      <c r="Q204" s="112"/>
      <c r="AJ204" s="111"/>
      <c r="AW204" s="111"/>
      <c r="AX204" s="111"/>
    </row>
    <row r="205" spans="1:50" ht="12" customHeight="1">
      <c r="A205" s="112"/>
      <c r="B205" s="250"/>
      <c r="C205" s="112"/>
      <c r="D205" s="112"/>
      <c r="E205" s="112"/>
      <c r="F205" s="112"/>
      <c r="G205" s="112"/>
      <c r="H205" s="112"/>
      <c r="I205" s="112"/>
      <c r="J205" s="278"/>
      <c r="K205" s="235"/>
      <c r="L205" s="112"/>
      <c r="M205" s="301"/>
      <c r="N205" s="112"/>
      <c r="O205" s="112"/>
      <c r="P205" s="112"/>
      <c r="Q205" s="112"/>
      <c r="AJ205" s="111"/>
      <c r="AW205" s="111"/>
      <c r="AX205" s="111"/>
    </row>
    <row r="206" spans="1:50" ht="12" customHeight="1">
      <c r="A206" s="112"/>
      <c r="B206" s="250"/>
      <c r="C206" s="112"/>
      <c r="D206" s="112"/>
      <c r="E206" s="112"/>
      <c r="F206" s="112"/>
      <c r="G206" s="112"/>
      <c r="H206" s="112"/>
      <c r="I206" s="112"/>
      <c r="J206" s="278"/>
      <c r="K206" s="235"/>
      <c r="L206" s="112"/>
      <c r="M206" s="301"/>
      <c r="N206" s="112"/>
      <c r="O206" s="112"/>
      <c r="P206" s="112"/>
      <c r="Q206" s="112"/>
      <c r="AJ206" s="111"/>
      <c r="AW206" s="111"/>
      <c r="AX206" s="111"/>
    </row>
    <row r="207" spans="1:50" ht="12" customHeight="1">
      <c r="A207" s="112"/>
      <c r="B207" s="250"/>
      <c r="C207" s="112"/>
      <c r="D207" s="112"/>
      <c r="E207" s="112"/>
      <c r="F207" s="112"/>
      <c r="G207" s="112"/>
      <c r="H207" s="112"/>
      <c r="I207" s="112"/>
      <c r="J207" s="278"/>
      <c r="K207" s="235"/>
      <c r="L207" s="112"/>
      <c r="M207" s="301"/>
      <c r="N207" s="112"/>
      <c r="O207" s="112"/>
      <c r="P207" s="112"/>
      <c r="Q207" s="112"/>
      <c r="AJ207" s="111"/>
      <c r="AW207" s="111"/>
      <c r="AX207" s="111"/>
    </row>
    <row r="208" spans="1:50" ht="12" customHeight="1">
      <c r="A208" s="112"/>
      <c r="B208" s="250"/>
      <c r="C208" s="112"/>
      <c r="D208" s="112"/>
      <c r="E208" s="112"/>
      <c r="F208" s="112"/>
      <c r="G208" s="112"/>
      <c r="H208" s="112"/>
      <c r="I208" s="112"/>
      <c r="J208" s="278"/>
      <c r="K208" s="235"/>
      <c r="L208" s="112"/>
      <c r="M208" s="301"/>
      <c r="N208" s="112"/>
      <c r="O208" s="112"/>
      <c r="P208" s="112"/>
      <c r="Q208" s="112"/>
      <c r="AJ208" s="111"/>
      <c r="AW208" s="111"/>
      <c r="AX208" s="111"/>
    </row>
    <row r="209" spans="1:50" ht="12" customHeight="1">
      <c r="A209" s="112"/>
      <c r="B209" s="250"/>
      <c r="C209" s="112"/>
      <c r="D209" s="112"/>
      <c r="E209" s="112"/>
      <c r="F209" s="112"/>
      <c r="G209" s="112"/>
      <c r="H209" s="112"/>
      <c r="I209" s="112"/>
      <c r="J209" s="278"/>
      <c r="K209" s="235"/>
      <c r="L209" s="112"/>
      <c r="M209" s="301"/>
      <c r="N209" s="112"/>
      <c r="O209" s="112"/>
      <c r="P209" s="112"/>
      <c r="Q209" s="112"/>
      <c r="AJ209" s="111"/>
      <c r="AW209" s="111"/>
      <c r="AX209" s="111"/>
    </row>
    <row r="210" spans="1:50" ht="12" customHeight="1">
      <c r="A210" s="112"/>
      <c r="B210" s="250"/>
      <c r="C210" s="112"/>
      <c r="D210" s="112"/>
      <c r="E210" s="112"/>
      <c r="F210" s="112"/>
      <c r="G210" s="112"/>
      <c r="H210" s="112"/>
      <c r="I210" s="112"/>
      <c r="J210" s="278"/>
      <c r="K210" s="235"/>
      <c r="L210" s="112"/>
      <c r="M210" s="301"/>
      <c r="N210" s="112"/>
      <c r="O210" s="112"/>
      <c r="P210" s="112"/>
      <c r="Q210" s="112"/>
      <c r="AJ210" s="111"/>
      <c r="AW210" s="111"/>
      <c r="AX210" s="111"/>
    </row>
    <row r="211" spans="1:50" ht="12" customHeight="1">
      <c r="A211" s="112"/>
      <c r="B211" s="250"/>
      <c r="C211" s="112"/>
      <c r="D211" s="112"/>
      <c r="E211" s="112"/>
      <c r="F211" s="112"/>
      <c r="G211" s="112"/>
      <c r="H211" s="112"/>
      <c r="I211" s="112"/>
      <c r="J211" s="278"/>
      <c r="K211" s="235"/>
      <c r="L211" s="112"/>
      <c r="M211" s="301"/>
      <c r="N211" s="112"/>
      <c r="O211" s="112"/>
      <c r="P211" s="112"/>
      <c r="Q211" s="112"/>
      <c r="AJ211" s="111"/>
      <c r="AW211" s="111"/>
      <c r="AX211" s="111"/>
    </row>
    <row r="212" spans="1:50" ht="12" customHeight="1">
      <c r="A212" s="112"/>
      <c r="B212" s="250"/>
      <c r="C212" s="112"/>
      <c r="D212" s="112"/>
      <c r="E212" s="112"/>
      <c r="F212" s="112"/>
      <c r="G212" s="112"/>
      <c r="H212" s="112"/>
      <c r="I212" s="112"/>
      <c r="J212" s="278"/>
      <c r="K212" s="235"/>
      <c r="L212" s="112"/>
      <c r="M212" s="301"/>
      <c r="N212" s="112"/>
      <c r="O212" s="112"/>
      <c r="P212" s="112"/>
      <c r="Q212" s="112"/>
      <c r="AJ212" s="111"/>
      <c r="AW212" s="111"/>
      <c r="AX212" s="111"/>
    </row>
    <row r="213" spans="1:50" ht="12" customHeight="1">
      <c r="A213" s="112"/>
      <c r="B213" s="250"/>
      <c r="C213" s="112"/>
      <c r="D213" s="112"/>
      <c r="E213" s="112"/>
      <c r="F213" s="112"/>
      <c r="G213" s="112"/>
      <c r="H213" s="112"/>
      <c r="I213" s="112"/>
      <c r="J213" s="278"/>
      <c r="K213" s="235"/>
      <c r="L213" s="112"/>
      <c r="M213" s="301"/>
      <c r="N213" s="112"/>
      <c r="O213" s="112"/>
      <c r="P213" s="112"/>
      <c r="Q213" s="112"/>
      <c r="AJ213" s="111"/>
      <c r="AW213" s="111"/>
      <c r="AX213" s="111"/>
    </row>
    <row r="214" spans="1:50" ht="12" customHeight="1">
      <c r="A214" s="112"/>
      <c r="B214" s="250"/>
      <c r="C214" s="112"/>
      <c r="D214" s="112"/>
      <c r="E214" s="112"/>
      <c r="F214" s="112"/>
      <c r="G214" s="112"/>
      <c r="H214" s="112"/>
      <c r="I214" s="112"/>
      <c r="J214" s="278"/>
      <c r="K214" s="235"/>
      <c r="L214" s="112"/>
      <c r="M214" s="301"/>
      <c r="N214" s="112"/>
      <c r="O214" s="112"/>
      <c r="P214" s="112"/>
      <c r="Q214" s="112"/>
      <c r="AJ214" s="111"/>
      <c r="AW214" s="111"/>
      <c r="AX214" s="111"/>
    </row>
    <row r="215" spans="1:50" ht="12" customHeight="1">
      <c r="A215" s="112"/>
      <c r="B215" s="250"/>
      <c r="C215" s="112"/>
      <c r="D215" s="112"/>
      <c r="E215" s="112"/>
      <c r="F215" s="112"/>
      <c r="G215" s="112"/>
      <c r="H215" s="112"/>
      <c r="I215" s="112"/>
      <c r="J215" s="278"/>
      <c r="K215" s="235"/>
      <c r="L215" s="112"/>
      <c r="M215" s="301"/>
      <c r="N215" s="112"/>
      <c r="O215" s="112"/>
      <c r="P215" s="112"/>
      <c r="Q215" s="112"/>
      <c r="AJ215" s="111"/>
      <c r="AW215" s="111"/>
      <c r="AX215" s="111"/>
    </row>
    <row r="216" spans="1:50" ht="12" customHeight="1">
      <c r="A216" s="112"/>
      <c r="B216" s="250"/>
      <c r="C216" s="112"/>
      <c r="D216" s="112"/>
      <c r="E216" s="112"/>
      <c r="F216" s="112"/>
      <c r="G216" s="112"/>
      <c r="H216" s="112"/>
      <c r="I216" s="112"/>
      <c r="J216" s="278"/>
      <c r="K216" s="235"/>
      <c r="L216" s="112"/>
      <c r="M216" s="301"/>
      <c r="N216" s="112"/>
      <c r="O216" s="112"/>
      <c r="P216" s="112"/>
      <c r="Q216" s="112"/>
      <c r="AJ216" s="111"/>
      <c r="AW216" s="111"/>
      <c r="AX216" s="111"/>
    </row>
    <row r="217" spans="1:50" ht="12" customHeight="1">
      <c r="A217" s="112"/>
      <c r="B217" s="250"/>
      <c r="C217" s="112"/>
      <c r="D217" s="112"/>
      <c r="E217" s="112"/>
      <c r="F217" s="112"/>
      <c r="G217" s="112"/>
      <c r="H217" s="112"/>
      <c r="I217" s="112"/>
      <c r="J217" s="278"/>
      <c r="K217" s="235"/>
      <c r="L217" s="112"/>
      <c r="M217" s="301"/>
      <c r="N217" s="112"/>
      <c r="O217" s="112"/>
      <c r="P217" s="112"/>
      <c r="Q217" s="112"/>
      <c r="AJ217" s="111"/>
      <c r="AW217" s="111"/>
      <c r="AX217" s="111"/>
    </row>
    <row r="218" spans="1:50" ht="12" customHeight="1">
      <c r="A218" s="112"/>
      <c r="B218" s="250"/>
      <c r="C218" s="112"/>
      <c r="D218" s="112"/>
      <c r="E218" s="112"/>
      <c r="F218" s="112"/>
      <c r="G218" s="112"/>
      <c r="H218" s="112"/>
      <c r="I218" s="112"/>
      <c r="J218" s="278"/>
      <c r="K218" s="235"/>
      <c r="L218" s="112"/>
      <c r="M218" s="301"/>
      <c r="N218" s="112"/>
      <c r="O218" s="112"/>
      <c r="P218" s="112"/>
      <c r="Q218" s="112"/>
      <c r="AJ218" s="111"/>
      <c r="AW218" s="111"/>
      <c r="AX218" s="111"/>
    </row>
    <row r="219" spans="1:50" ht="13.5" customHeight="1">
      <c r="A219" s="112"/>
      <c r="B219" s="250"/>
      <c r="C219" s="112"/>
      <c r="D219" s="112"/>
      <c r="E219" s="112"/>
      <c r="F219" s="112"/>
      <c r="G219" s="112"/>
      <c r="H219" s="112"/>
      <c r="I219" s="112"/>
      <c r="J219" s="278"/>
      <c r="K219" s="235"/>
      <c r="L219" s="112"/>
      <c r="M219" s="301"/>
      <c r="N219" s="112"/>
      <c r="O219" s="112"/>
      <c r="P219" s="112"/>
      <c r="Q219" s="112"/>
      <c r="AJ219" s="111"/>
      <c r="AW219" s="111"/>
      <c r="AX219" s="111"/>
    </row>
    <row r="220" spans="1:50" ht="12" customHeight="1">
      <c r="A220" s="112"/>
      <c r="B220" s="250"/>
      <c r="C220" s="112"/>
      <c r="D220" s="112"/>
      <c r="E220" s="112"/>
      <c r="F220" s="112"/>
      <c r="G220" s="112"/>
      <c r="H220" s="112"/>
      <c r="I220" s="112"/>
      <c r="J220" s="278"/>
      <c r="K220" s="235"/>
      <c r="L220" s="112"/>
      <c r="M220" s="301"/>
      <c r="N220" s="112"/>
      <c r="O220" s="112"/>
      <c r="P220" s="112"/>
      <c r="Q220" s="112"/>
      <c r="AJ220" s="111"/>
      <c r="AW220" s="111"/>
      <c r="AX220" s="111"/>
    </row>
    <row r="221" spans="1:50" ht="12" customHeight="1">
      <c r="A221" s="112"/>
      <c r="B221" s="250"/>
      <c r="C221" s="112"/>
      <c r="D221" s="112"/>
      <c r="E221" s="112"/>
      <c r="F221" s="112"/>
      <c r="G221" s="112"/>
      <c r="H221" s="112"/>
      <c r="I221" s="112"/>
      <c r="J221" s="278"/>
      <c r="K221" s="235"/>
      <c r="L221" s="112"/>
      <c r="M221" s="301"/>
      <c r="N221" s="112"/>
      <c r="O221" s="112"/>
      <c r="P221" s="112"/>
      <c r="Q221" s="112"/>
      <c r="AJ221" s="111"/>
      <c r="AW221" s="111"/>
      <c r="AX221" s="111"/>
    </row>
    <row r="222" spans="1:50" ht="12" customHeight="1">
      <c r="A222" s="112"/>
      <c r="B222" s="250"/>
      <c r="C222" s="112"/>
      <c r="D222" s="112"/>
      <c r="E222" s="112"/>
      <c r="F222" s="112"/>
      <c r="G222" s="112"/>
      <c r="H222" s="112"/>
      <c r="I222" s="112"/>
      <c r="J222" s="278"/>
      <c r="K222" s="235"/>
      <c r="L222" s="112"/>
      <c r="M222" s="301"/>
      <c r="N222" s="112"/>
      <c r="O222" s="112"/>
      <c r="P222" s="112"/>
      <c r="Q222" s="112"/>
      <c r="AJ222" s="111"/>
      <c r="AW222" s="111"/>
      <c r="AX222" s="111"/>
    </row>
    <row r="223" spans="1:50" ht="12" customHeight="1">
      <c r="A223" s="112"/>
      <c r="B223" s="250"/>
      <c r="C223" s="112"/>
      <c r="D223" s="112"/>
      <c r="E223" s="112"/>
      <c r="F223" s="112"/>
      <c r="G223" s="112"/>
      <c r="H223" s="112"/>
      <c r="I223" s="112"/>
      <c r="J223" s="278"/>
      <c r="K223" s="235"/>
      <c r="L223" s="112"/>
      <c r="M223" s="301"/>
      <c r="N223" s="112"/>
      <c r="O223" s="112"/>
      <c r="P223" s="112"/>
      <c r="Q223" s="112"/>
      <c r="AJ223" s="111"/>
      <c r="AW223" s="111"/>
      <c r="AX223" s="111"/>
    </row>
    <row r="224" spans="1:50" ht="12" customHeight="1">
      <c r="A224" s="112"/>
      <c r="B224" s="250"/>
      <c r="C224" s="112"/>
      <c r="D224" s="112"/>
      <c r="E224" s="112"/>
      <c r="F224" s="112"/>
      <c r="G224" s="112"/>
      <c r="H224" s="112"/>
      <c r="I224" s="112"/>
      <c r="J224" s="278"/>
      <c r="K224" s="235"/>
      <c r="L224" s="112"/>
      <c r="M224" s="301"/>
      <c r="N224" s="112"/>
      <c r="O224" s="112"/>
      <c r="P224" s="112"/>
      <c r="Q224" s="112"/>
      <c r="AJ224" s="111"/>
      <c r="AW224" s="111"/>
      <c r="AX224" s="111"/>
    </row>
    <row r="225" spans="1:50" ht="12" customHeight="1">
      <c r="A225" s="112"/>
      <c r="B225" s="250"/>
      <c r="C225" s="112"/>
      <c r="D225" s="112"/>
      <c r="E225" s="112"/>
      <c r="F225" s="112"/>
      <c r="G225" s="112"/>
      <c r="H225" s="112"/>
      <c r="I225" s="112"/>
      <c r="J225" s="278"/>
      <c r="K225" s="235"/>
      <c r="L225" s="112"/>
      <c r="M225" s="301"/>
      <c r="N225" s="112"/>
      <c r="O225" s="112"/>
      <c r="P225" s="112"/>
      <c r="Q225" s="112"/>
      <c r="AJ225" s="111"/>
      <c r="AW225" s="111"/>
      <c r="AX225" s="111"/>
    </row>
    <row r="226" spans="1:50" ht="12" customHeight="1">
      <c r="A226" s="112"/>
      <c r="B226" s="250"/>
      <c r="C226" s="112"/>
      <c r="D226" s="112"/>
      <c r="E226" s="112"/>
      <c r="F226" s="112"/>
      <c r="G226" s="112"/>
      <c r="H226" s="112"/>
      <c r="I226" s="112"/>
      <c r="J226" s="278"/>
      <c r="K226" s="235"/>
      <c r="L226" s="112"/>
      <c r="M226" s="301"/>
      <c r="N226" s="112"/>
      <c r="O226" s="112"/>
      <c r="P226" s="112"/>
      <c r="Q226" s="112"/>
      <c r="AJ226" s="111"/>
      <c r="AW226" s="111"/>
      <c r="AX226" s="111"/>
    </row>
    <row r="227" spans="1:50" ht="12" customHeight="1">
      <c r="A227" s="112"/>
      <c r="B227" s="250"/>
      <c r="C227" s="112"/>
      <c r="D227" s="112"/>
      <c r="E227" s="112"/>
      <c r="F227" s="112"/>
      <c r="G227" s="112"/>
      <c r="H227" s="112"/>
      <c r="I227" s="112"/>
      <c r="J227" s="278"/>
      <c r="K227" s="235"/>
      <c r="L227" s="112"/>
      <c r="M227" s="301"/>
      <c r="N227" s="112"/>
      <c r="O227" s="112"/>
      <c r="P227" s="112"/>
      <c r="Q227" s="112"/>
      <c r="AJ227" s="111"/>
      <c r="AW227" s="111"/>
      <c r="AX227" s="111"/>
    </row>
    <row r="228" spans="1:50" ht="12" customHeight="1">
      <c r="A228" s="112"/>
      <c r="B228" s="250"/>
      <c r="C228" s="112"/>
      <c r="D228" s="112"/>
      <c r="E228" s="112"/>
      <c r="F228" s="112"/>
      <c r="G228" s="112"/>
      <c r="H228" s="112"/>
      <c r="I228" s="112"/>
      <c r="J228" s="278"/>
      <c r="K228" s="235"/>
      <c r="L228" s="112"/>
      <c r="M228" s="301"/>
      <c r="N228" s="112"/>
      <c r="O228" s="112"/>
      <c r="P228" s="112"/>
      <c r="Q228" s="112"/>
      <c r="AJ228" s="111"/>
      <c r="AW228" s="111"/>
      <c r="AX228" s="111"/>
    </row>
    <row r="229" spans="1:50" ht="12" customHeight="1">
      <c r="A229" s="112"/>
      <c r="B229" s="250"/>
      <c r="C229" s="112"/>
      <c r="D229" s="112"/>
      <c r="E229" s="112"/>
      <c r="F229" s="112"/>
      <c r="G229" s="112"/>
      <c r="H229" s="112"/>
      <c r="I229" s="112"/>
      <c r="J229" s="278"/>
      <c r="K229" s="235"/>
      <c r="L229" s="112"/>
      <c r="M229" s="301"/>
      <c r="N229" s="112"/>
      <c r="O229" s="112"/>
      <c r="P229" s="112"/>
      <c r="Q229" s="112"/>
      <c r="AJ229" s="111"/>
      <c r="AW229" s="111"/>
      <c r="AX229" s="111"/>
    </row>
    <row r="230" spans="1:50" ht="12" customHeight="1">
      <c r="A230" s="112"/>
      <c r="B230" s="250"/>
      <c r="C230" s="112"/>
      <c r="D230" s="112"/>
      <c r="E230" s="112"/>
      <c r="F230" s="112"/>
      <c r="G230" s="112"/>
      <c r="H230" s="112"/>
      <c r="I230" s="112"/>
      <c r="J230" s="278"/>
      <c r="K230" s="235"/>
      <c r="L230" s="112"/>
      <c r="M230" s="301"/>
      <c r="N230" s="112"/>
      <c r="O230" s="112"/>
      <c r="P230" s="112"/>
      <c r="Q230" s="112"/>
      <c r="AJ230" s="111"/>
      <c r="AW230" s="111"/>
      <c r="AX230" s="111"/>
    </row>
    <row r="231" spans="1:50" ht="12" customHeight="1">
      <c r="A231" s="112"/>
      <c r="B231" s="250"/>
      <c r="C231" s="112"/>
      <c r="D231" s="112"/>
      <c r="E231" s="112"/>
      <c r="F231" s="112"/>
      <c r="G231" s="112"/>
      <c r="H231" s="112"/>
      <c r="I231" s="112"/>
      <c r="J231" s="278"/>
      <c r="K231" s="235"/>
      <c r="L231" s="112"/>
      <c r="M231" s="301"/>
      <c r="N231" s="112"/>
      <c r="O231" s="112"/>
      <c r="P231" s="112"/>
      <c r="Q231" s="112"/>
      <c r="AJ231" s="111"/>
      <c r="AW231" s="111"/>
      <c r="AX231" s="111"/>
    </row>
    <row r="232" spans="1:50" ht="12" customHeight="1">
      <c r="A232" s="112"/>
      <c r="B232" s="250"/>
      <c r="C232" s="112"/>
      <c r="D232" s="112"/>
      <c r="E232" s="112"/>
      <c r="F232" s="112"/>
      <c r="G232" s="112"/>
      <c r="H232" s="112"/>
      <c r="I232" s="112"/>
      <c r="J232" s="278"/>
      <c r="K232" s="235"/>
      <c r="L232" s="112"/>
      <c r="M232" s="301"/>
      <c r="N232" s="112"/>
      <c r="O232" s="112"/>
      <c r="P232" s="112"/>
      <c r="Q232" s="112"/>
      <c r="AJ232" s="111"/>
      <c r="AW232" s="111"/>
      <c r="AX232" s="111"/>
    </row>
    <row r="233" spans="1:50" ht="12" customHeight="1">
      <c r="A233" s="112"/>
      <c r="B233" s="250"/>
      <c r="C233" s="112"/>
      <c r="D233" s="112"/>
      <c r="E233" s="112"/>
      <c r="F233" s="112"/>
      <c r="G233" s="112"/>
      <c r="H233" s="112"/>
      <c r="I233" s="112"/>
      <c r="J233" s="278"/>
      <c r="K233" s="235"/>
      <c r="L233" s="112"/>
      <c r="M233" s="301"/>
      <c r="N233" s="112"/>
      <c r="O233" s="112"/>
      <c r="P233" s="112"/>
      <c r="Q233" s="112"/>
      <c r="AJ233" s="111"/>
      <c r="AW233" s="111"/>
      <c r="AX233" s="111"/>
    </row>
    <row r="234" spans="1:50" ht="12" customHeight="1">
      <c r="A234" s="112"/>
      <c r="B234" s="250"/>
      <c r="C234" s="112"/>
      <c r="D234" s="112"/>
      <c r="E234" s="112"/>
      <c r="F234" s="112"/>
      <c r="G234" s="112"/>
      <c r="H234" s="112"/>
      <c r="I234" s="112"/>
      <c r="J234" s="278"/>
      <c r="K234" s="235"/>
      <c r="L234" s="112"/>
      <c r="M234" s="301"/>
      <c r="N234" s="112"/>
      <c r="O234" s="112"/>
      <c r="P234" s="112"/>
      <c r="Q234" s="112"/>
      <c r="AJ234" s="111"/>
      <c r="AW234" s="111"/>
      <c r="AX234" s="111"/>
    </row>
    <row r="235" spans="1:50" ht="12" customHeight="1">
      <c r="A235" s="112"/>
      <c r="B235" s="250"/>
      <c r="C235" s="112"/>
      <c r="D235" s="112"/>
      <c r="E235" s="112"/>
      <c r="F235" s="112"/>
      <c r="G235" s="112"/>
      <c r="H235" s="112"/>
      <c r="I235" s="112"/>
      <c r="J235" s="278"/>
      <c r="K235" s="235"/>
      <c r="L235" s="112"/>
      <c r="M235" s="301"/>
      <c r="N235" s="112"/>
      <c r="O235" s="112"/>
      <c r="P235" s="112"/>
      <c r="Q235" s="112"/>
      <c r="AJ235" s="111"/>
      <c r="AW235" s="111"/>
      <c r="AX235" s="111"/>
    </row>
    <row r="236" spans="1:50" ht="12" customHeight="1">
      <c r="A236" s="112"/>
      <c r="B236" s="250"/>
      <c r="C236" s="112"/>
      <c r="D236" s="112"/>
      <c r="E236" s="112"/>
      <c r="F236" s="112"/>
      <c r="G236" s="112"/>
      <c r="H236" s="112"/>
      <c r="I236" s="112"/>
      <c r="J236" s="278"/>
      <c r="K236" s="235"/>
      <c r="L236" s="112"/>
      <c r="M236" s="301"/>
      <c r="N236" s="112"/>
      <c r="O236" s="112"/>
      <c r="P236" s="112"/>
      <c r="Q236" s="112"/>
      <c r="AJ236" s="111"/>
      <c r="AW236" s="111"/>
      <c r="AX236" s="111"/>
    </row>
    <row r="237" spans="1:50" ht="12" customHeight="1">
      <c r="A237" s="112"/>
      <c r="B237" s="250"/>
      <c r="C237" s="112"/>
      <c r="D237" s="112"/>
      <c r="E237" s="112"/>
      <c r="F237" s="112"/>
      <c r="G237" s="112"/>
      <c r="H237" s="112"/>
      <c r="I237" s="112"/>
      <c r="J237" s="278"/>
      <c r="K237" s="235"/>
      <c r="L237" s="112"/>
      <c r="M237" s="301"/>
      <c r="N237" s="112"/>
      <c r="O237" s="112"/>
      <c r="P237" s="112"/>
      <c r="Q237" s="112"/>
      <c r="AJ237" s="111"/>
      <c r="AW237" s="111"/>
      <c r="AX237" s="111"/>
    </row>
    <row r="238" spans="1:50" ht="12" customHeight="1">
      <c r="A238" s="112"/>
      <c r="B238" s="250"/>
      <c r="C238" s="112"/>
      <c r="D238" s="112"/>
      <c r="E238" s="112"/>
      <c r="F238" s="112"/>
      <c r="G238" s="112"/>
      <c r="H238" s="112"/>
      <c r="I238" s="112"/>
      <c r="J238" s="278"/>
      <c r="K238" s="235"/>
      <c r="L238" s="112"/>
      <c r="M238" s="301"/>
      <c r="N238" s="112"/>
      <c r="O238" s="112"/>
      <c r="P238" s="112"/>
      <c r="Q238" s="112"/>
      <c r="AJ238" s="111"/>
      <c r="AW238" s="111"/>
      <c r="AX238" s="111"/>
    </row>
    <row r="239" spans="1:50" ht="12" customHeight="1">
      <c r="A239" s="112"/>
      <c r="B239" s="250"/>
      <c r="C239" s="112"/>
      <c r="D239" s="112"/>
      <c r="E239" s="112"/>
      <c r="F239" s="112"/>
      <c r="G239" s="112"/>
      <c r="H239" s="112"/>
      <c r="I239" s="112"/>
      <c r="J239" s="278"/>
      <c r="K239" s="235"/>
      <c r="L239" s="112"/>
      <c r="M239" s="301"/>
      <c r="N239" s="112"/>
      <c r="O239" s="112"/>
      <c r="P239" s="112"/>
      <c r="Q239" s="112"/>
      <c r="AJ239" s="111"/>
      <c r="AW239" s="111"/>
      <c r="AX239" s="111"/>
    </row>
    <row r="240" spans="1:50" ht="12" customHeight="1">
      <c r="A240" s="112"/>
      <c r="B240" s="250"/>
      <c r="C240" s="112"/>
      <c r="D240" s="112"/>
      <c r="E240" s="112"/>
      <c r="F240" s="112"/>
      <c r="G240" s="112"/>
      <c r="H240" s="112"/>
      <c r="I240" s="112"/>
      <c r="J240" s="278"/>
      <c r="K240" s="235"/>
      <c r="L240" s="112"/>
      <c r="M240" s="301"/>
      <c r="N240" s="112"/>
      <c r="O240" s="112"/>
      <c r="P240" s="112"/>
      <c r="Q240" s="112"/>
      <c r="AJ240" s="111"/>
      <c r="AW240" s="111"/>
      <c r="AX240" s="111"/>
    </row>
    <row r="241" spans="1:50" ht="12" customHeight="1">
      <c r="A241" s="112"/>
      <c r="B241" s="250"/>
      <c r="C241" s="112"/>
      <c r="D241" s="112"/>
      <c r="E241" s="112"/>
      <c r="F241" s="112"/>
      <c r="G241" s="112"/>
      <c r="H241" s="112"/>
      <c r="I241" s="112"/>
      <c r="J241" s="278"/>
      <c r="K241" s="235"/>
      <c r="L241" s="112"/>
      <c r="M241" s="301"/>
      <c r="N241" s="112"/>
      <c r="O241" s="112"/>
      <c r="P241" s="112"/>
      <c r="Q241" s="112"/>
      <c r="AJ241" s="111"/>
      <c r="AW241" s="111"/>
      <c r="AX241" s="111"/>
    </row>
    <row r="242" spans="1:50" ht="17.25" customHeight="1">
      <c r="A242" s="112"/>
      <c r="B242" s="250"/>
      <c r="C242" s="112"/>
      <c r="D242" s="112"/>
      <c r="E242" s="112"/>
      <c r="F242" s="112"/>
      <c r="G242" s="112"/>
      <c r="H242" s="112"/>
      <c r="I242" s="112"/>
      <c r="J242" s="278"/>
      <c r="K242" s="235"/>
      <c r="L242" s="112"/>
      <c r="M242" s="301"/>
      <c r="N242" s="112"/>
      <c r="O242" s="112"/>
      <c r="P242" s="112"/>
      <c r="Q242" s="112"/>
      <c r="AJ242" s="111"/>
      <c r="AW242" s="111"/>
      <c r="AX242" s="111"/>
    </row>
    <row r="243" spans="1:50" ht="15.75" customHeight="1">
      <c r="A243" s="112"/>
      <c r="B243" s="250"/>
      <c r="C243" s="112"/>
      <c r="D243" s="112"/>
      <c r="E243" s="112"/>
      <c r="F243" s="112"/>
      <c r="G243" s="112"/>
      <c r="H243" s="112"/>
      <c r="I243" s="112"/>
      <c r="J243" s="278"/>
      <c r="K243" s="235"/>
      <c r="L243" s="112"/>
      <c r="M243" s="301"/>
      <c r="N243" s="112"/>
      <c r="O243" s="112"/>
      <c r="P243" s="112"/>
      <c r="Q243" s="112"/>
      <c r="AJ243" s="111"/>
      <c r="AW243" s="111"/>
      <c r="AX243" s="111"/>
    </row>
    <row r="244" spans="1:50" ht="12.75" customHeight="1">
      <c r="A244" s="112"/>
      <c r="B244" s="92"/>
      <c r="C244" s="92"/>
      <c r="D244" s="96"/>
      <c r="E244" s="112"/>
      <c r="F244" s="112"/>
      <c r="G244" s="112"/>
      <c r="H244" s="112"/>
      <c r="I244" s="112"/>
      <c r="J244" s="278"/>
      <c r="K244" s="235"/>
      <c r="L244" s="112"/>
      <c r="M244" s="301"/>
      <c r="N244" s="112"/>
      <c r="O244" s="112"/>
      <c r="P244" s="112"/>
      <c r="Q244" s="112"/>
      <c r="AJ244" s="111"/>
      <c r="AW244" s="111"/>
      <c r="AX244" s="111"/>
    </row>
    <row r="245" spans="1:50" ht="12.75" customHeight="1">
      <c r="A245" s="92"/>
      <c r="B245" s="92"/>
      <c r="C245" s="92"/>
      <c r="D245" s="96"/>
      <c r="E245" s="112"/>
      <c r="F245" s="112"/>
      <c r="G245" s="112"/>
      <c r="H245" s="112"/>
      <c r="I245" s="112"/>
      <c r="J245" s="278"/>
      <c r="K245" s="235"/>
      <c r="L245" s="112"/>
      <c r="M245" s="301"/>
      <c r="N245" s="112"/>
      <c r="O245" s="112"/>
      <c r="P245" s="112"/>
      <c r="Q245" s="112"/>
      <c r="AJ245" s="111"/>
      <c r="AW245" s="111"/>
      <c r="AX245" s="111"/>
    </row>
    <row r="246" spans="1:50" ht="12.75" customHeight="1">
      <c r="A246" s="92"/>
      <c r="B246" s="92"/>
      <c r="C246" s="92"/>
      <c r="D246" s="96"/>
      <c r="E246" s="112"/>
      <c r="F246" s="112"/>
      <c r="G246" s="112"/>
      <c r="H246" s="112"/>
      <c r="I246" s="112"/>
      <c r="J246" s="278"/>
      <c r="K246" s="235"/>
      <c r="L246" s="112"/>
      <c r="M246" s="301"/>
      <c r="N246" s="112"/>
      <c r="O246" s="112"/>
      <c r="P246" s="112"/>
      <c r="Q246" s="112"/>
      <c r="AJ246" s="111"/>
      <c r="AW246" s="111"/>
      <c r="AX246" s="111"/>
    </row>
    <row r="247" spans="1:50" ht="12.75" customHeight="1">
      <c r="A247" s="92"/>
      <c r="B247" s="92"/>
      <c r="C247" s="92"/>
      <c r="D247" s="96"/>
      <c r="E247" s="112"/>
      <c r="F247" s="112"/>
      <c r="G247" s="112"/>
      <c r="H247" s="112"/>
      <c r="I247" s="112"/>
      <c r="J247" s="278"/>
      <c r="K247" s="235"/>
      <c r="L247" s="112"/>
      <c r="M247" s="301"/>
      <c r="N247" s="112"/>
      <c r="O247" s="112"/>
      <c r="P247" s="112"/>
      <c r="Q247" s="112"/>
      <c r="AJ247" s="111"/>
      <c r="AW247" s="111"/>
      <c r="AX247" s="111"/>
    </row>
    <row r="248" spans="1:50" ht="12.75" customHeight="1">
      <c r="A248" s="92"/>
      <c r="B248" s="92"/>
      <c r="C248" s="92"/>
      <c r="D248" s="92"/>
      <c r="E248" s="112"/>
      <c r="F248" s="197"/>
      <c r="G248" s="197"/>
      <c r="H248" s="197"/>
      <c r="I248" s="197"/>
      <c r="J248" s="112"/>
      <c r="K248" s="235"/>
      <c r="L248" s="112"/>
      <c r="M248" s="301"/>
      <c r="N248" s="112"/>
      <c r="O248" s="112"/>
      <c r="P248" s="112"/>
      <c r="Q248" s="112"/>
      <c r="AJ248" s="111"/>
      <c r="AW248" s="111"/>
      <c r="AX248" s="111"/>
    </row>
    <row r="249" spans="1:50" ht="12.75" customHeight="1">
      <c r="A249" s="92"/>
      <c r="B249" s="92"/>
      <c r="C249" s="92"/>
      <c r="D249" s="92"/>
      <c r="E249" s="112"/>
      <c r="F249" s="112"/>
      <c r="G249" s="112"/>
      <c r="H249" s="112"/>
      <c r="I249" s="112"/>
      <c r="J249" s="112"/>
      <c r="K249" s="235"/>
      <c r="L249" s="112"/>
      <c r="M249" s="301"/>
      <c r="N249" s="112"/>
      <c r="O249" s="112"/>
      <c r="P249" s="112"/>
      <c r="Q249" s="112"/>
      <c r="AJ249" s="111"/>
      <c r="AW249" s="111"/>
      <c r="AX249" s="111"/>
    </row>
    <row r="250" spans="1:50" ht="12.75" customHeight="1">
      <c r="A250" s="92"/>
      <c r="B250" s="92"/>
      <c r="C250" s="92"/>
      <c r="D250" s="314"/>
      <c r="E250" s="315"/>
      <c r="F250" s="315"/>
      <c r="G250" s="315"/>
      <c r="H250" s="315"/>
      <c r="I250" s="316"/>
      <c r="J250" s="112"/>
      <c r="K250" s="235"/>
      <c r="L250" s="112"/>
      <c r="M250" s="301"/>
      <c r="N250" s="112"/>
      <c r="O250" s="112"/>
      <c r="P250" s="112"/>
      <c r="Q250" s="112"/>
      <c r="AJ250" s="111"/>
      <c r="AW250" s="111"/>
      <c r="AX250" s="111"/>
    </row>
    <row r="251" spans="1:50" ht="12.75" customHeight="1">
      <c r="A251" s="92"/>
      <c r="B251" s="92"/>
      <c r="C251" s="92"/>
      <c r="D251" s="314"/>
      <c r="E251" s="315"/>
      <c r="F251" s="315"/>
      <c r="G251" s="315"/>
      <c r="H251" s="315"/>
      <c r="I251" s="290"/>
      <c r="J251" s="112"/>
      <c r="K251" s="235"/>
      <c r="L251" s="112"/>
      <c r="M251" s="301"/>
      <c r="N251" s="112"/>
      <c r="O251" s="112"/>
      <c r="P251" s="112"/>
      <c r="Q251" s="112"/>
      <c r="AJ251" s="111"/>
      <c r="AW251" s="111"/>
      <c r="AX251" s="111"/>
    </row>
    <row r="252" spans="1:50" ht="12.75" customHeight="1">
      <c r="A252" s="90"/>
      <c r="B252" s="407"/>
      <c r="C252" s="90"/>
      <c r="D252" s="317"/>
      <c r="E252" s="318"/>
      <c r="F252" s="319"/>
      <c r="G252" s="319"/>
      <c r="H252" s="319"/>
      <c r="I252" s="316"/>
      <c r="J252" s="112"/>
      <c r="K252" s="235"/>
      <c r="L252" s="112"/>
      <c r="M252" s="301"/>
      <c r="N252" s="112"/>
      <c r="O252" s="112"/>
      <c r="P252" s="112"/>
      <c r="Q252" s="112"/>
      <c r="AJ252" s="111"/>
      <c r="AW252" s="111"/>
      <c r="AX252" s="111"/>
    </row>
    <row r="253" spans="1:50" ht="12.75" customHeight="1">
      <c r="A253" s="407" t="e">
        <f>(F15-#REF!)*12%</f>
        <v>#REF!</v>
      </c>
      <c r="B253" s="90"/>
      <c r="C253" s="90"/>
      <c r="D253" s="317"/>
      <c r="F253" s="319"/>
      <c r="G253" s="319"/>
      <c r="H253" s="319"/>
      <c r="I253" s="320"/>
      <c r="J253" s="112"/>
      <c r="K253" s="112"/>
      <c r="L253" s="112"/>
      <c r="M253" s="301"/>
      <c r="N253" s="112"/>
      <c r="O253" s="112"/>
      <c r="P253" s="112"/>
      <c r="Q253" s="112"/>
      <c r="AJ253" s="111"/>
      <c r="AW253" s="111"/>
      <c r="AX253" s="111"/>
    </row>
    <row r="254" spans="1:50" ht="12.75" customHeight="1">
      <c r="A254" s="408"/>
      <c r="B254" s="90"/>
      <c r="C254" s="90"/>
      <c r="D254" s="317"/>
      <c r="E254" s="318"/>
      <c r="F254" s="318"/>
      <c r="G254" s="318"/>
      <c r="H254" s="318"/>
      <c r="J254" s="112"/>
      <c r="K254" s="112"/>
      <c r="L254" s="112"/>
      <c r="M254" s="197"/>
      <c r="N254" s="112"/>
      <c r="O254" s="112"/>
      <c r="P254" s="112"/>
      <c r="Q254" s="112"/>
      <c r="AJ254" s="111"/>
      <c r="AW254" s="111"/>
      <c r="AX254" s="111"/>
    </row>
    <row r="255" spans="1:50" ht="12.75" customHeight="1">
      <c r="A255" s="90"/>
      <c r="D255" s="321"/>
      <c r="E255" s="318"/>
      <c r="F255" s="318"/>
      <c r="G255" s="318"/>
      <c r="H255" s="318"/>
      <c r="J255" s="112"/>
      <c r="K255" s="112"/>
      <c r="L255" s="112"/>
      <c r="M255" s="197"/>
      <c r="N255" s="112"/>
      <c r="O255" s="112"/>
      <c r="P255" s="112"/>
      <c r="Q255" s="112"/>
      <c r="AJ255" s="111"/>
      <c r="AW255" s="111"/>
      <c r="AX255" s="111"/>
    </row>
    <row r="256" spans="1:50" ht="12.75" customHeight="1">
      <c r="D256" s="321"/>
      <c r="E256" s="318"/>
      <c r="F256" s="318"/>
      <c r="G256" s="318"/>
      <c r="H256" s="318"/>
      <c r="K256" s="112"/>
      <c r="L256" s="112"/>
      <c r="M256" s="197"/>
      <c r="N256" s="112"/>
      <c r="O256" s="112"/>
      <c r="P256" s="112"/>
      <c r="Q256" s="112"/>
      <c r="AJ256" s="111"/>
      <c r="AW256" s="111"/>
      <c r="AX256" s="111"/>
    </row>
    <row r="257" spans="4:50" ht="12.75" customHeight="1">
      <c r="D257" s="321"/>
      <c r="E257" s="318"/>
      <c r="F257" s="318"/>
      <c r="G257" s="318"/>
      <c r="H257" s="318"/>
      <c r="K257" s="1568"/>
      <c r="L257" s="1568"/>
      <c r="M257" s="1568"/>
      <c r="N257" s="112"/>
      <c r="O257" s="112"/>
      <c r="P257" s="1568"/>
      <c r="Q257" s="1568"/>
      <c r="AJ257" s="111"/>
      <c r="AW257" s="111"/>
      <c r="AX257" s="111"/>
    </row>
    <row r="258" spans="4:50" ht="12.75" customHeight="1">
      <c r="D258" s="321"/>
      <c r="E258" s="318"/>
      <c r="F258" s="318"/>
      <c r="G258" s="318"/>
      <c r="H258" s="318"/>
      <c r="J258" s="322"/>
      <c r="K258" s="112"/>
      <c r="L258" s="1564"/>
      <c r="M258" s="1564"/>
      <c r="N258" s="112"/>
      <c r="O258" s="112"/>
      <c r="P258" s="112"/>
      <c r="Q258" s="112"/>
      <c r="AJ258" s="111"/>
      <c r="AW258" s="111"/>
      <c r="AX258" s="111"/>
    </row>
    <row r="259" spans="4:50" ht="12.75" customHeight="1">
      <c r="D259" s="321"/>
      <c r="E259" s="318"/>
      <c r="F259" s="318"/>
      <c r="G259" s="318"/>
      <c r="H259" s="318"/>
      <c r="J259" s="316"/>
      <c r="K259" s="316"/>
      <c r="L259" s="98"/>
      <c r="M259" s="112"/>
      <c r="N259" s="112"/>
      <c r="O259" s="112"/>
      <c r="P259" s="112"/>
      <c r="Q259" s="112"/>
      <c r="AJ259" s="111"/>
      <c r="AW259" s="111"/>
      <c r="AX259" s="111"/>
    </row>
    <row r="260" spans="4:50" ht="12.75" customHeight="1">
      <c r="D260" s="321"/>
      <c r="E260" s="318"/>
      <c r="F260" s="318"/>
      <c r="G260" s="318"/>
      <c r="H260" s="318"/>
      <c r="J260" s="290"/>
      <c r="K260" s="290"/>
      <c r="L260" s="98"/>
      <c r="M260" s="112"/>
      <c r="N260" s="112"/>
      <c r="O260" s="112"/>
      <c r="P260" s="112"/>
      <c r="Q260" s="112"/>
      <c r="AJ260" s="111"/>
      <c r="AW260" s="111"/>
      <c r="AX260" s="111"/>
    </row>
    <row r="261" spans="4:50" ht="12.75" customHeight="1">
      <c r="D261" s="321"/>
      <c r="E261" s="318"/>
      <c r="F261" s="318"/>
      <c r="G261" s="318"/>
      <c r="H261" s="318"/>
      <c r="J261" s="316"/>
      <c r="K261" s="316"/>
      <c r="L261" s="320"/>
      <c r="AJ261" s="111"/>
      <c r="AW261" s="111"/>
      <c r="AX261" s="111"/>
    </row>
    <row r="262" spans="4:50" ht="12.75" customHeight="1">
      <c r="D262" s="321"/>
      <c r="E262" s="318"/>
      <c r="F262" s="318"/>
      <c r="G262" s="318"/>
      <c r="H262" s="318"/>
      <c r="J262" s="320"/>
      <c r="K262" s="322"/>
      <c r="L262" s="320"/>
      <c r="AJ262" s="111"/>
      <c r="AW262" s="111"/>
      <c r="AX262" s="111"/>
    </row>
    <row r="263" spans="4:50" ht="12.75" customHeight="1">
      <c r="D263" s="321"/>
      <c r="E263" s="318"/>
      <c r="F263" s="318"/>
      <c r="G263" s="318"/>
      <c r="H263" s="318"/>
      <c r="K263" s="170"/>
      <c r="L263" s="111"/>
      <c r="AJ263" s="111"/>
      <c r="AW263" s="111"/>
      <c r="AX263" s="111"/>
    </row>
    <row r="264" spans="4:50" ht="12.75" customHeight="1">
      <c r="D264" s="321"/>
      <c r="E264" s="318"/>
      <c r="F264" s="318"/>
      <c r="G264" s="318"/>
      <c r="H264" s="318"/>
      <c r="K264" s="170"/>
      <c r="L264" s="111"/>
      <c r="AJ264" s="111"/>
      <c r="AW264" s="111"/>
      <c r="AX264" s="111"/>
    </row>
    <row r="265" spans="4:50" ht="12.75" customHeight="1">
      <c r="D265" s="321"/>
      <c r="E265" s="318"/>
      <c r="F265" s="318"/>
      <c r="G265" s="318"/>
      <c r="H265" s="318"/>
      <c r="K265" s="170"/>
      <c r="L265" s="111"/>
      <c r="AJ265" s="111"/>
      <c r="AW265" s="111"/>
      <c r="AX265" s="111"/>
    </row>
    <row r="266" spans="4:50" ht="12.75" customHeight="1">
      <c r="D266" s="321"/>
      <c r="E266" s="318"/>
      <c r="F266" s="318"/>
      <c r="G266" s="318"/>
      <c r="H266" s="318"/>
      <c r="K266" s="170"/>
      <c r="L266" s="111"/>
      <c r="AJ266" s="111"/>
      <c r="AW266" s="111"/>
      <c r="AX266" s="111"/>
    </row>
    <row r="267" spans="4:50" ht="12.75" customHeight="1">
      <c r="D267" s="321"/>
      <c r="E267" s="318"/>
      <c r="F267" s="318"/>
      <c r="G267" s="318"/>
      <c r="H267" s="318"/>
      <c r="K267" s="170"/>
      <c r="L267" s="111"/>
      <c r="AJ267" s="111"/>
      <c r="AW267" s="111"/>
      <c r="AX267" s="111"/>
    </row>
    <row r="268" spans="4:50" ht="12.75" customHeight="1">
      <c r="D268" s="321"/>
      <c r="E268" s="318"/>
      <c r="F268" s="318"/>
      <c r="G268" s="318"/>
      <c r="H268" s="318"/>
      <c r="K268" s="170"/>
      <c r="L268" s="111"/>
      <c r="AJ268" s="111"/>
      <c r="AW268" s="111"/>
      <c r="AX268" s="111"/>
    </row>
    <row r="269" spans="4:50" ht="12.75" customHeight="1">
      <c r="D269" s="321"/>
      <c r="E269" s="318"/>
      <c r="F269" s="318"/>
      <c r="G269" s="318"/>
      <c r="H269" s="318"/>
      <c r="K269" s="170"/>
      <c r="L269" s="111"/>
      <c r="AJ269" s="111"/>
      <c r="AW269" s="111"/>
      <c r="AX269" s="111"/>
    </row>
    <row r="270" spans="4:50" ht="12.75" customHeight="1">
      <c r="D270" s="321"/>
      <c r="E270" s="318"/>
      <c r="F270" s="318"/>
      <c r="G270" s="318"/>
      <c r="H270" s="318"/>
      <c r="K270" s="170"/>
      <c r="L270" s="111"/>
      <c r="AJ270" s="111"/>
      <c r="AW270" s="111"/>
      <c r="AX270" s="111"/>
    </row>
    <row r="271" spans="4:50" ht="12.75" customHeight="1">
      <c r="D271" s="321"/>
      <c r="E271" s="318"/>
      <c r="F271" s="318"/>
      <c r="G271" s="318"/>
      <c r="H271" s="318"/>
      <c r="K271" s="170"/>
      <c r="L271" s="111"/>
      <c r="AJ271" s="111"/>
      <c r="AW271" s="111"/>
      <c r="AX271" s="111"/>
    </row>
    <row r="272" spans="4:50" ht="12.75" customHeight="1">
      <c r="D272" s="321"/>
      <c r="E272" s="318"/>
      <c r="F272" s="318"/>
      <c r="G272" s="318"/>
      <c r="H272" s="318"/>
      <c r="K272" s="170"/>
      <c r="L272" s="111"/>
      <c r="AJ272" s="111"/>
      <c r="AW272" s="111"/>
      <c r="AX272" s="111"/>
    </row>
    <row r="273" spans="4:50" ht="12.75" customHeight="1">
      <c r="D273" s="321"/>
      <c r="E273" s="318"/>
      <c r="F273" s="318"/>
      <c r="G273" s="318"/>
      <c r="H273" s="318"/>
      <c r="K273" s="170"/>
      <c r="L273" s="111"/>
      <c r="AJ273" s="111"/>
      <c r="AW273" s="111"/>
      <c r="AX273" s="111"/>
    </row>
    <row r="274" spans="4:50" ht="12.75" customHeight="1">
      <c r="D274" s="321"/>
      <c r="E274" s="318"/>
      <c r="F274" s="318"/>
      <c r="G274" s="318"/>
      <c r="H274" s="318"/>
      <c r="K274" s="170"/>
      <c r="L274" s="111"/>
      <c r="AJ274" s="111"/>
      <c r="AW274" s="111"/>
      <c r="AX274" s="111"/>
    </row>
    <row r="275" spans="4:50" ht="12.75" customHeight="1">
      <c r="D275" s="321"/>
      <c r="E275" s="318"/>
      <c r="F275" s="318"/>
      <c r="G275" s="318"/>
      <c r="H275" s="318"/>
      <c r="AJ275" s="111"/>
      <c r="AW275" s="111"/>
      <c r="AX275" s="111"/>
    </row>
    <row r="276" spans="4:50" ht="12.75" customHeight="1">
      <c r="D276" s="321"/>
      <c r="E276" s="318"/>
      <c r="F276" s="318"/>
      <c r="G276" s="318"/>
      <c r="H276" s="318"/>
      <c r="AJ276" s="111"/>
      <c r="AW276" s="111"/>
      <c r="AX276" s="111"/>
    </row>
    <row r="277" spans="4:50" ht="12.75" customHeight="1">
      <c r="D277" s="321"/>
      <c r="E277" s="318"/>
      <c r="F277" s="318"/>
      <c r="G277" s="318"/>
      <c r="H277" s="318"/>
      <c r="AJ277" s="111"/>
      <c r="AW277" s="111"/>
      <c r="AX277" s="111"/>
    </row>
    <row r="278" spans="4:50" ht="12.75" customHeight="1">
      <c r="D278" s="321"/>
      <c r="E278" s="318"/>
      <c r="F278" s="318"/>
      <c r="G278" s="318"/>
      <c r="H278" s="318"/>
      <c r="AJ278" s="111"/>
      <c r="AW278" s="111"/>
      <c r="AX278" s="111"/>
    </row>
    <row r="279" spans="4:50" ht="12.75" customHeight="1">
      <c r="D279" s="321"/>
      <c r="E279" s="318"/>
      <c r="F279" s="318"/>
      <c r="G279" s="318"/>
      <c r="H279" s="318"/>
      <c r="AJ279" s="111"/>
      <c r="AW279" s="111"/>
      <c r="AX279" s="111"/>
    </row>
    <row r="280" spans="4:50" ht="12.75" customHeight="1">
      <c r="D280" s="321"/>
      <c r="E280" s="318"/>
      <c r="F280" s="318"/>
      <c r="G280" s="318"/>
      <c r="H280" s="318"/>
      <c r="AJ280" s="111"/>
      <c r="AW280" s="111"/>
      <c r="AX280" s="111"/>
    </row>
    <row r="281" spans="4:50" ht="12.75" customHeight="1">
      <c r="D281" s="321"/>
      <c r="E281" s="318"/>
      <c r="F281" s="318"/>
      <c r="G281" s="318"/>
      <c r="H281" s="318"/>
      <c r="AJ281" s="111"/>
      <c r="AW281" s="111"/>
      <c r="AX281" s="111"/>
    </row>
    <row r="282" spans="4:50" ht="12.75" customHeight="1">
      <c r="D282" s="321"/>
      <c r="E282" s="318"/>
      <c r="F282" s="318"/>
      <c r="G282" s="318"/>
      <c r="H282" s="318"/>
      <c r="AJ282" s="111"/>
      <c r="AW282" s="111"/>
      <c r="AX282" s="111"/>
    </row>
    <row r="283" spans="4:50" ht="12.75" customHeight="1">
      <c r="D283" s="321"/>
      <c r="E283" s="318"/>
      <c r="F283" s="318"/>
      <c r="G283" s="318"/>
      <c r="H283" s="318"/>
      <c r="AJ283" s="111"/>
      <c r="AW283" s="111"/>
      <c r="AX283" s="111"/>
    </row>
    <row r="284" spans="4:50" ht="12.75" customHeight="1">
      <c r="D284" s="321"/>
      <c r="E284" s="318"/>
      <c r="F284" s="318"/>
      <c r="G284" s="318"/>
      <c r="H284" s="318"/>
      <c r="AJ284" s="111"/>
      <c r="AW284" s="111"/>
      <c r="AX284" s="111"/>
    </row>
    <row r="285" spans="4:50" ht="12.75" customHeight="1">
      <c r="D285" s="321"/>
      <c r="E285" s="318"/>
      <c r="F285" s="318"/>
      <c r="G285" s="318"/>
      <c r="H285" s="318"/>
      <c r="AJ285" s="111"/>
      <c r="AW285" s="111"/>
      <c r="AX285" s="111"/>
    </row>
    <row r="286" spans="4:50" ht="12.75" customHeight="1">
      <c r="D286" s="321"/>
      <c r="E286" s="318"/>
      <c r="F286" s="318"/>
      <c r="G286" s="318"/>
      <c r="H286" s="318"/>
      <c r="AJ286" s="111"/>
      <c r="AW286" s="111"/>
      <c r="AX286" s="111"/>
    </row>
    <row r="287" spans="4:50" ht="12.75" customHeight="1">
      <c r="D287" s="321"/>
      <c r="E287" s="318"/>
      <c r="F287" s="318"/>
      <c r="G287" s="318"/>
      <c r="H287" s="318"/>
      <c r="AJ287" s="111"/>
      <c r="AW287" s="111"/>
      <c r="AX287" s="111"/>
    </row>
    <row r="288" spans="4:50" ht="12.75" customHeight="1">
      <c r="D288" s="321"/>
      <c r="E288" s="318"/>
      <c r="F288" s="318"/>
      <c r="G288" s="318"/>
      <c r="H288" s="318"/>
      <c r="AJ288" s="111"/>
      <c r="AW288" s="111"/>
      <c r="AX288" s="111"/>
    </row>
    <row r="289" spans="4:50" ht="12.75" customHeight="1">
      <c r="D289" s="321"/>
      <c r="E289" s="318"/>
      <c r="F289" s="318"/>
      <c r="G289" s="318"/>
      <c r="H289" s="318"/>
      <c r="AJ289" s="111"/>
      <c r="AW289" s="111"/>
      <c r="AX289" s="111"/>
    </row>
    <row r="290" spans="4:50" ht="12.75" customHeight="1">
      <c r="D290" s="321"/>
      <c r="E290" s="318"/>
      <c r="F290" s="318"/>
      <c r="G290" s="318"/>
      <c r="H290" s="318"/>
      <c r="AJ290" s="111"/>
      <c r="AW290" s="111"/>
      <c r="AX290" s="111"/>
    </row>
    <row r="291" spans="4:50" ht="12.75" customHeight="1">
      <c r="D291" s="321"/>
      <c r="E291" s="318"/>
      <c r="F291" s="318"/>
      <c r="G291" s="318"/>
      <c r="H291" s="318"/>
      <c r="AJ291" s="111"/>
      <c r="AW291" s="111"/>
      <c r="AX291" s="111"/>
    </row>
    <row r="292" spans="4:50" ht="12.75" customHeight="1">
      <c r="D292" s="321"/>
      <c r="E292" s="318"/>
      <c r="F292" s="318"/>
      <c r="G292" s="318"/>
      <c r="H292" s="318"/>
      <c r="AJ292" s="111"/>
      <c r="AW292" s="111"/>
      <c r="AX292" s="111"/>
    </row>
    <row r="293" spans="4:50" ht="12.75" customHeight="1">
      <c r="D293" s="321"/>
      <c r="E293" s="318"/>
      <c r="F293" s="318"/>
      <c r="G293" s="318"/>
      <c r="H293" s="318"/>
      <c r="AJ293" s="111"/>
      <c r="AW293" s="111"/>
      <c r="AX293" s="111"/>
    </row>
    <row r="294" spans="4:50" ht="12.75" customHeight="1">
      <c r="D294" s="321"/>
      <c r="E294" s="318"/>
      <c r="F294" s="318"/>
      <c r="G294" s="318"/>
      <c r="H294" s="318"/>
      <c r="AJ294" s="111"/>
      <c r="AW294" s="111"/>
      <c r="AX294" s="111"/>
    </row>
    <row r="295" spans="4:50" ht="12.75" customHeight="1">
      <c r="D295" s="321"/>
      <c r="E295" s="318"/>
      <c r="F295" s="318"/>
      <c r="G295" s="318"/>
      <c r="H295" s="318"/>
      <c r="AJ295" s="111"/>
      <c r="AW295" s="111"/>
      <c r="AX295" s="111"/>
    </row>
    <row r="296" spans="4:50" ht="12.75" customHeight="1">
      <c r="D296" s="321"/>
      <c r="E296" s="318"/>
      <c r="F296" s="318"/>
      <c r="G296" s="318"/>
      <c r="H296" s="318"/>
      <c r="AJ296" s="111"/>
      <c r="AW296" s="111"/>
      <c r="AX296" s="111"/>
    </row>
    <row r="297" spans="4:50" ht="12.75" customHeight="1">
      <c r="D297" s="321"/>
      <c r="E297" s="318"/>
      <c r="F297" s="318"/>
      <c r="G297" s="318"/>
      <c r="H297" s="318"/>
      <c r="AJ297" s="111"/>
      <c r="AW297" s="111"/>
      <c r="AX297" s="111"/>
    </row>
    <row r="298" spans="4:50" ht="12.75" customHeight="1">
      <c r="D298" s="321"/>
      <c r="E298" s="318"/>
      <c r="F298" s="318"/>
      <c r="G298" s="318"/>
      <c r="H298" s="318"/>
      <c r="AJ298" s="111"/>
      <c r="AW298" s="111"/>
      <c r="AX298" s="111"/>
    </row>
    <row r="299" spans="4:50" ht="12.75" customHeight="1">
      <c r="D299" s="321"/>
      <c r="E299" s="318"/>
      <c r="F299" s="318"/>
      <c r="G299" s="318"/>
      <c r="H299" s="318"/>
      <c r="AJ299" s="111"/>
      <c r="AW299" s="111"/>
      <c r="AX299" s="111"/>
    </row>
    <row r="300" spans="4:50" ht="12.75" customHeight="1">
      <c r="D300" s="321"/>
      <c r="E300" s="318"/>
      <c r="F300" s="318"/>
      <c r="G300" s="318"/>
      <c r="H300" s="318"/>
      <c r="AJ300" s="111"/>
      <c r="AW300" s="111"/>
      <c r="AX300" s="111"/>
    </row>
    <row r="301" spans="4:50" ht="12.75" customHeight="1">
      <c r="D301" s="321"/>
      <c r="E301" s="318"/>
      <c r="F301" s="318"/>
      <c r="G301" s="318"/>
      <c r="H301" s="318"/>
      <c r="AJ301" s="111"/>
      <c r="AW301" s="111"/>
      <c r="AX301" s="111"/>
    </row>
    <row r="302" spans="4:50" ht="12.75" customHeight="1">
      <c r="D302" s="321"/>
      <c r="E302" s="318"/>
      <c r="F302" s="318"/>
      <c r="G302" s="318"/>
      <c r="H302" s="318"/>
      <c r="AJ302" s="111"/>
      <c r="AW302" s="111"/>
      <c r="AX302" s="111"/>
    </row>
    <row r="303" spans="4:50" ht="12.75" customHeight="1">
      <c r="D303" s="321"/>
      <c r="E303" s="318"/>
      <c r="F303" s="318"/>
      <c r="G303" s="318"/>
      <c r="H303" s="318"/>
      <c r="AJ303" s="111"/>
      <c r="AW303" s="111"/>
      <c r="AX303" s="111"/>
    </row>
    <row r="304" spans="4:50" ht="12.75" customHeight="1">
      <c r="D304" s="321"/>
      <c r="E304" s="318"/>
      <c r="F304" s="318"/>
      <c r="G304" s="318"/>
      <c r="H304" s="318"/>
      <c r="AJ304" s="111"/>
      <c r="AW304" s="111"/>
      <c r="AX304" s="111"/>
    </row>
    <row r="305" spans="4:50" ht="12.75" customHeight="1">
      <c r="D305" s="321"/>
      <c r="E305" s="318"/>
      <c r="F305" s="318"/>
      <c r="G305" s="318"/>
      <c r="H305" s="318"/>
      <c r="AJ305" s="111"/>
      <c r="AW305" s="111"/>
      <c r="AX305" s="111"/>
    </row>
    <row r="306" spans="4:50" ht="12.75" customHeight="1">
      <c r="D306" s="321"/>
      <c r="E306" s="318"/>
      <c r="F306" s="318"/>
      <c r="G306" s="318"/>
      <c r="H306" s="318"/>
      <c r="AJ306" s="111"/>
      <c r="AW306" s="111"/>
      <c r="AX306" s="111"/>
    </row>
    <row r="307" spans="4:50" ht="12.75" customHeight="1">
      <c r="D307" s="321"/>
      <c r="E307" s="318"/>
      <c r="F307" s="318"/>
      <c r="G307" s="318"/>
      <c r="H307" s="318"/>
      <c r="AJ307" s="111"/>
      <c r="AW307" s="111"/>
      <c r="AX307" s="111"/>
    </row>
    <row r="308" spans="4:50" ht="12.75" customHeight="1">
      <c r="D308" s="321"/>
      <c r="E308" s="318"/>
      <c r="F308" s="318"/>
      <c r="G308" s="318"/>
      <c r="H308" s="318"/>
      <c r="AJ308" s="111"/>
      <c r="AW308" s="111"/>
      <c r="AX308" s="111"/>
    </row>
    <row r="309" spans="4:50" ht="12.75" customHeight="1">
      <c r="D309" s="321"/>
      <c r="E309" s="318"/>
      <c r="F309" s="318"/>
      <c r="G309" s="318"/>
      <c r="H309" s="318"/>
      <c r="AJ309" s="111"/>
      <c r="AW309" s="111"/>
      <c r="AX309" s="111"/>
    </row>
    <row r="310" spans="4:50" ht="12.75" customHeight="1">
      <c r="D310" s="321"/>
      <c r="E310" s="318"/>
      <c r="F310" s="318"/>
      <c r="G310" s="318"/>
      <c r="H310" s="318"/>
      <c r="AJ310" s="111"/>
      <c r="AW310" s="111"/>
      <c r="AX310" s="111"/>
    </row>
    <row r="311" spans="4:50" ht="12.75" customHeight="1">
      <c r="D311" s="321"/>
      <c r="E311" s="318"/>
      <c r="F311" s="318"/>
      <c r="G311" s="318"/>
      <c r="H311" s="318"/>
      <c r="AJ311" s="111"/>
      <c r="AW311" s="111"/>
      <c r="AX311" s="111"/>
    </row>
    <row r="312" spans="4:50" ht="12.75" customHeight="1">
      <c r="D312" s="321"/>
      <c r="E312" s="318"/>
      <c r="F312" s="318"/>
      <c r="G312" s="318"/>
      <c r="H312" s="318"/>
      <c r="AJ312" s="111"/>
      <c r="AW312" s="111"/>
      <c r="AX312" s="111"/>
    </row>
    <row r="313" spans="4:50" ht="12.75" customHeight="1">
      <c r="D313" s="321"/>
      <c r="E313" s="318"/>
      <c r="F313" s="318"/>
      <c r="G313" s="318"/>
      <c r="H313" s="318"/>
      <c r="AJ313" s="111"/>
      <c r="AW313" s="111"/>
      <c r="AX313" s="111"/>
    </row>
    <row r="314" spans="4:50" ht="12.75" customHeight="1">
      <c r="D314" s="321"/>
      <c r="E314" s="318"/>
      <c r="F314" s="318"/>
      <c r="G314" s="318"/>
      <c r="H314" s="318"/>
      <c r="AJ314" s="111"/>
      <c r="AW314" s="111"/>
      <c r="AX314" s="111"/>
    </row>
    <row r="315" spans="4:50" ht="12.75" customHeight="1">
      <c r="D315" s="321"/>
      <c r="E315" s="318"/>
      <c r="F315" s="318"/>
      <c r="G315" s="318"/>
      <c r="H315" s="318"/>
      <c r="AJ315" s="111"/>
      <c r="AW315" s="111"/>
      <c r="AX315" s="111"/>
    </row>
    <row r="316" spans="4:50" ht="12.75" customHeight="1">
      <c r="D316" s="321"/>
      <c r="E316" s="318"/>
      <c r="F316" s="318"/>
      <c r="G316" s="318"/>
      <c r="H316" s="318"/>
      <c r="AJ316" s="111"/>
      <c r="AW316" s="111"/>
      <c r="AX316" s="111"/>
    </row>
    <row r="317" spans="4:50" ht="12.75" customHeight="1">
      <c r="D317" s="321"/>
      <c r="E317" s="318"/>
      <c r="F317" s="318"/>
      <c r="G317" s="318"/>
      <c r="H317" s="318"/>
      <c r="AJ317" s="111"/>
      <c r="AW317" s="111"/>
      <c r="AX317" s="111"/>
    </row>
    <row r="318" spans="4:50" ht="12.75" customHeight="1">
      <c r="D318" s="321"/>
      <c r="E318" s="318"/>
      <c r="F318" s="318"/>
      <c r="G318" s="318"/>
      <c r="H318" s="318"/>
      <c r="AJ318" s="111"/>
      <c r="AW318" s="111"/>
      <c r="AX318" s="111"/>
    </row>
    <row r="319" spans="4:50" ht="12.75" customHeight="1">
      <c r="D319" s="321"/>
      <c r="E319" s="318"/>
      <c r="F319" s="318"/>
      <c r="G319" s="318"/>
      <c r="H319" s="318"/>
      <c r="AJ319" s="111"/>
      <c r="AW319" s="111"/>
      <c r="AX319" s="111"/>
    </row>
    <row r="320" spans="4:50" ht="12.75" customHeight="1">
      <c r="D320" s="321"/>
      <c r="E320" s="318"/>
      <c r="F320" s="318"/>
      <c r="G320" s="318"/>
      <c r="H320" s="318"/>
      <c r="AJ320" s="111"/>
      <c r="AW320" s="111"/>
      <c r="AX320" s="111"/>
    </row>
    <row r="321" spans="4:50" ht="12.75" customHeight="1">
      <c r="D321" s="321"/>
      <c r="E321" s="318"/>
      <c r="F321" s="318"/>
      <c r="G321" s="318"/>
      <c r="H321" s="318"/>
      <c r="AJ321" s="111"/>
      <c r="AW321" s="111"/>
      <c r="AX321" s="111"/>
    </row>
    <row r="322" spans="4:50" ht="12.75" customHeight="1">
      <c r="D322" s="321"/>
      <c r="E322" s="318"/>
      <c r="F322" s="318"/>
      <c r="G322" s="318"/>
      <c r="H322" s="318"/>
      <c r="AJ322" s="111"/>
      <c r="AW322" s="111"/>
      <c r="AX322" s="111"/>
    </row>
    <row r="323" spans="4:50" ht="12.75" customHeight="1">
      <c r="D323" s="321"/>
      <c r="E323" s="318"/>
      <c r="F323" s="318"/>
      <c r="G323" s="318"/>
      <c r="H323" s="318"/>
      <c r="AJ323" s="111"/>
      <c r="AW323" s="111"/>
      <c r="AX323" s="111"/>
    </row>
    <row r="324" spans="4:50" ht="12.75" customHeight="1">
      <c r="D324" s="321"/>
      <c r="E324" s="318"/>
      <c r="F324" s="318"/>
      <c r="G324" s="318"/>
      <c r="H324" s="318"/>
      <c r="AJ324" s="111"/>
      <c r="AW324" s="111"/>
      <c r="AX324" s="111"/>
    </row>
    <row r="325" spans="4:50" ht="12.75" customHeight="1">
      <c r="D325" s="321"/>
      <c r="E325" s="318"/>
      <c r="F325" s="318"/>
      <c r="G325" s="318"/>
      <c r="H325" s="318"/>
      <c r="AJ325" s="111"/>
      <c r="AW325" s="111"/>
      <c r="AX325" s="111"/>
    </row>
    <row r="326" spans="4:50" ht="12.75" customHeight="1">
      <c r="D326" s="321"/>
      <c r="E326" s="318"/>
      <c r="F326" s="318"/>
      <c r="G326" s="318"/>
      <c r="H326" s="318"/>
      <c r="AJ326" s="111"/>
      <c r="AW326" s="111"/>
      <c r="AX326" s="111"/>
    </row>
    <row r="327" spans="4:50" ht="12.75" customHeight="1">
      <c r="D327" s="321"/>
      <c r="E327" s="318"/>
      <c r="F327" s="318"/>
      <c r="G327" s="318"/>
      <c r="H327" s="318"/>
      <c r="AJ327" s="111"/>
      <c r="AW327" s="111"/>
      <c r="AX327" s="111"/>
    </row>
    <row r="328" spans="4:50" ht="12.75" customHeight="1">
      <c r="D328" s="321"/>
      <c r="E328" s="318"/>
      <c r="F328" s="318"/>
      <c r="G328" s="318"/>
      <c r="H328" s="318"/>
      <c r="AJ328" s="111"/>
      <c r="AW328" s="111"/>
      <c r="AX328" s="111"/>
    </row>
    <row r="329" spans="4:50" ht="12.75" customHeight="1">
      <c r="D329" s="321"/>
      <c r="E329" s="318"/>
      <c r="F329" s="318"/>
      <c r="G329" s="318"/>
      <c r="H329" s="318"/>
      <c r="AJ329" s="111"/>
      <c r="AW329" s="111"/>
      <c r="AX329" s="111"/>
    </row>
    <row r="330" spans="4:50" ht="12.75" customHeight="1">
      <c r="D330" s="321"/>
      <c r="E330" s="318"/>
      <c r="F330" s="318"/>
      <c r="G330" s="318"/>
      <c r="H330" s="318"/>
      <c r="AJ330" s="111"/>
      <c r="AW330" s="111"/>
      <c r="AX330" s="111"/>
    </row>
    <row r="331" spans="4:50" ht="12.75" customHeight="1">
      <c r="D331" s="321"/>
      <c r="E331" s="318"/>
      <c r="F331" s="318"/>
      <c r="G331" s="318"/>
      <c r="H331" s="318"/>
      <c r="AJ331" s="111"/>
      <c r="AW331" s="111"/>
      <c r="AX331" s="111"/>
    </row>
    <row r="332" spans="4:50" ht="12.75" customHeight="1">
      <c r="D332" s="321"/>
      <c r="E332" s="318"/>
      <c r="F332" s="318"/>
      <c r="G332" s="318"/>
      <c r="H332" s="318"/>
      <c r="AJ332" s="111"/>
      <c r="AW332" s="111"/>
      <c r="AX332" s="111"/>
    </row>
    <row r="333" spans="4:50" ht="12.75" customHeight="1">
      <c r="D333" s="321"/>
      <c r="E333" s="318"/>
      <c r="F333" s="318"/>
      <c r="G333" s="318"/>
      <c r="H333" s="318"/>
      <c r="AJ333" s="111"/>
      <c r="AW333" s="111"/>
      <c r="AX333" s="111"/>
    </row>
    <row r="334" spans="4:50" ht="12.75" customHeight="1">
      <c r="D334" s="321"/>
      <c r="E334" s="318"/>
      <c r="F334" s="318"/>
      <c r="G334" s="318"/>
      <c r="H334" s="318"/>
      <c r="AJ334" s="111"/>
      <c r="AW334" s="111"/>
      <c r="AX334" s="111"/>
    </row>
    <row r="335" spans="4:50" ht="12.75" customHeight="1">
      <c r="D335" s="321"/>
      <c r="E335" s="318"/>
      <c r="F335" s="318"/>
      <c r="G335" s="318"/>
      <c r="H335" s="318"/>
      <c r="AJ335" s="111"/>
      <c r="AW335" s="111"/>
      <c r="AX335" s="111"/>
    </row>
    <row r="336" spans="4:50" ht="12.75" customHeight="1">
      <c r="D336" s="321"/>
      <c r="E336" s="318"/>
      <c r="F336" s="318"/>
      <c r="G336" s="318"/>
      <c r="H336" s="318"/>
      <c r="AJ336" s="111"/>
      <c r="AW336" s="111"/>
      <c r="AX336" s="111"/>
    </row>
    <row r="337" spans="4:50" ht="12.75" customHeight="1">
      <c r="D337" s="321"/>
      <c r="E337" s="318"/>
      <c r="F337" s="318"/>
      <c r="G337" s="318"/>
      <c r="H337" s="318"/>
      <c r="AJ337" s="111"/>
      <c r="AW337" s="111"/>
      <c r="AX337" s="111"/>
    </row>
    <row r="338" spans="4:50" ht="12.75" customHeight="1">
      <c r="D338" s="321"/>
      <c r="E338" s="318"/>
      <c r="F338" s="318"/>
      <c r="G338" s="318"/>
      <c r="H338" s="318"/>
      <c r="AJ338" s="111"/>
      <c r="AW338" s="111"/>
      <c r="AX338" s="111"/>
    </row>
    <row r="339" spans="4:50" ht="12.75" customHeight="1">
      <c r="D339" s="321"/>
      <c r="E339" s="318"/>
      <c r="F339" s="318"/>
      <c r="G339" s="318"/>
      <c r="H339" s="318"/>
      <c r="AJ339" s="111"/>
      <c r="AW339" s="111"/>
      <c r="AX339" s="111"/>
    </row>
    <row r="340" spans="4:50" ht="12.75" customHeight="1">
      <c r="D340" s="321"/>
      <c r="E340" s="318"/>
      <c r="F340" s="318"/>
      <c r="G340" s="318"/>
      <c r="H340" s="318"/>
      <c r="AJ340" s="111"/>
      <c r="AW340" s="111"/>
      <c r="AX340" s="111"/>
    </row>
    <row r="341" spans="4:50" ht="12.75" customHeight="1">
      <c r="D341" s="321"/>
      <c r="E341" s="318"/>
      <c r="F341" s="318"/>
      <c r="G341" s="318"/>
      <c r="H341" s="318"/>
      <c r="AJ341" s="111"/>
      <c r="AW341" s="111"/>
      <c r="AX341" s="111"/>
    </row>
    <row r="342" spans="4:50" ht="12.75" customHeight="1">
      <c r="D342" s="321"/>
      <c r="E342" s="318"/>
      <c r="F342" s="318"/>
      <c r="G342" s="318"/>
      <c r="H342" s="318"/>
      <c r="AJ342" s="111"/>
      <c r="AW342" s="111"/>
      <c r="AX342" s="111"/>
    </row>
    <row r="343" spans="4:50" ht="12.75" customHeight="1">
      <c r="D343" s="321"/>
      <c r="E343" s="318"/>
      <c r="F343" s="318"/>
      <c r="G343" s="318"/>
      <c r="H343" s="318"/>
      <c r="AJ343" s="111"/>
      <c r="AW343" s="111"/>
      <c r="AX343" s="111"/>
    </row>
    <row r="344" spans="4:50" ht="12.75" customHeight="1">
      <c r="D344" s="321"/>
      <c r="E344" s="318"/>
      <c r="F344" s="318"/>
      <c r="G344" s="318"/>
      <c r="H344" s="318"/>
      <c r="AJ344" s="111"/>
      <c r="AW344" s="111"/>
      <c r="AX344" s="111"/>
    </row>
    <row r="345" spans="4:50" ht="12.75" customHeight="1">
      <c r="D345" s="321"/>
      <c r="E345" s="318"/>
      <c r="F345" s="318"/>
      <c r="G345" s="318"/>
      <c r="H345" s="318"/>
      <c r="AJ345" s="111"/>
      <c r="AW345" s="111"/>
      <c r="AX345" s="111"/>
    </row>
    <row r="346" spans="4:50" ht="12.75" customHeight="1">
      <c r="D346" s="321"/>
      <c r="E346" s="318"/>
      <c r="F346" s="318"/>
      <c r="G346" s="318"/>
      <c r="H346" s="318"/>
      <c r="AJ346" s="111"/>
      <c r="AW346" s="111"/>
      <c r="AX346" s="111"/>
    </row>
    <row r="347" spans="4:50" ht="12.75" customHeight="1">
      <c r="D347" s="321"/>
      <c r="E347" s="318"/>
      <c r="F347" s="318"/>
      <c r="G347" s="318"/>
      <c r="H347" s="318"/>
      <c r="AJ347" s="111"/>
      <c r="AW347" s="111"/>
      <c r="AX347" s="111"/>
    </row>
    <row r="348" spans="4:50" ht="12.75" customHeight="1">
      <c r="D348" s="321"/>
      <c r="E348" s="318"/>
      <c r="F348" s="318"/>
      <c r="G348" s="318"/>
      <c r="H348" s="318"/>
      <c r="AJ348" s="111"/>
      <c r="AW348" s="111"/>
      <c r="AX348" s="111"/>
    </row>
    <row r="349" spans="4:50" ht="12.75" customHeight="1">
      <c r="D349" s="321"/>
      <c r="E349" s="318"/>
      <c r="F349" s="318"/>
      <c r="G349" s="318"/>
      <c r="H349" s="318"/>
      <c r="AJ349" s="111"/>
      <c r="AW349" s="111"/>
      <c r="AX349" s="111"/>
    </row>
    <row r="350" spans="4:50" ht="12.75" customHeight="1">
      <c r="D350" s="321"/>
      <c r="E350" s="318"/>
      <c r="F350" s="318"/>
      <c r="G350" s="318"/>
      <c r="H350" s="318"/>
      <c r="AJ350" s="111"/>
      <c r="AW350" s="111"/>
      <c r="AX350" s="111"/>
    </row>
    <row r="351" spans="4:50" ht="12.75" customHeight="1">
      <c r="D351" s="321"/>
      <c r="E351" s="318"/>
      <c r="F351" s="318"/>
      <c r="G351" s="318"/>
      <c r="H351" s="318"/>
      <c r="AJ351" s="111"/>
      <c r="AW351" s="111"/>
      <c r="AX351" s="111"/>
    </row>
    <row r="352" spans="4:50" ht="12.75" customHeight="1">
      <c r="D352" s="321"/>
      <c r="E352" s="318"/>
      <c r="F352" s="318"/>
      <c r="G352" s="318"/>
      <c r="H352" s="318"/>
      <c r="AJ352" s="111"/>
      <c r="AW352" s="111"/>
      <c r="AX352" s="111"/>
    </row>
    <row r="353" spans="4:50" ht="12.75" customHeight="1">
      <c r="D353" s="321"/>
      <c r="E353" s="318"/>
      <c r="F353" s="318"/>
      <c r="G353" s="318"/>
      <c r="H353" s="318"/>
      <c r="AJ353" s="111"/>
      <c r="AW353" s="111"/>
      <c r="AX353" s="111"/>
    </row>
    <row r="354" spans="4:50" ht="12.75" customHeight="1">
      <c r="D354" s="321"/>
      <c r="E354" s="318"/>
      <c r="F354" s="318"/>
      <c r="G354" s="318"/>
      <c r="H354" s="318"/>
      <c r="AJ354" s="111"/>
      <c r="AW354" s="111"/>
      <c r="AX354" s="111"/>
    </row>
    <row r="355" spans="4:50" ht="12.75" customHeight="1">
      <c r="D355" s="321"/>
      <c r="E355" s="318"/>
      <c r="F355" s="318"/>
      <c r="G355" s="318"/>
      <c r="H355" s="318"/>
      <c r="AJ355" s="111"/>
      <c r="AW355" s="111"/>
      <c r="AX355" s="111"/>
    </row>
    <row r="356" spans="4:50" ht="12.75" customHeight="1">
      <c r="D356" s="321"/>
      <c r="E356" s="318"/>
      <c r="F356" s="318"/>
      <c r="G356" s="318"/>
      <c r="H356" s="318"/>
      <c r="AJ356" s="111"/>
      <c r="AW356" s="111"/>
      <c r="AX356" s="111"/>
    </row>
    <row r="357" spans="4:50" ht="12.75" customHeight="1">
      <c r="D357" s="321"/>
      <c r="E357" s="318"/>
      <c r="F357" s="318"/>
      <c r="G357" s="318"/>
      <c r="H357" s="318"/>
      <c r="AJ357" s="111"/>
      <c r="AW357" s="111"/>
      <c r="AX357" s="111"/>
    </row>
    <row r="358" spans="4:50" ht="12.75" customHeight="1">
      <c r="D358" s="321"/>
      <c r="E358" s="318"/>
      <c r="F358" s="318"/>
      <c r="G358" s="318"/>
      <c r="H358" s="318"/>
      <c r="AJ358" s="111"/>
      <c r="AW358" s="111"/>
      <c r="AX358" s="111"/>
    </row>
    <row r="359" spans="4:50" ht="12.75" customHeight="1">
      <c r="D359" s="321"/>
      <c r="E359" s="318"/>
      <c r="F359" s="318"/>
      <c r="G359" s="318"/>
      <c r="H359" s="318"/>
      <c r="AJ359" s="111"/>
      <c r="AW359" s="111"/>
      <c r="AX359" s="111"/>
    </row>
    <row r="360" spans="4:50" ht="12.75" customHeight="1">
      <c r="D360" s="321"/>
      <c r="E360" s="318"/>
      <c r="F360" s="318"/>
      <c r="G360" s="318"/>
      <c r="H360" s="318"/>
      <c r="AJ360" s="111"/>
      <c r="AW360" s="111"/>
      <c r="AX360" s="111"/>
    </row>
    <row r="361" spans="4:50" ht="12.75" customHeight="1">
      <c r="D361" s="321"/>
      <c r="E361" s="318"/>
      <c r="F361" s="318"/>
      <c r="G361" s="318"/>
      <c r="H361" s="318"/>
      <c r="AJ361" s="111"/>
      <c r="AW361" s="111"/>
      <c r="AX361" s="111"/>
    </row>
    <row r="362" spans="4:50" ht="12.75" customHeight="1">
      <c r="D362" s="321"/>
      <c r="E362" s="318"/>
      <c r="F362" s="318"/>
      <c r="G362" s="318"/>
      <c r="H362" s="318"/>
      <c r="AJ362" s="111"/>
      <c r="AW362" s="111"/>
      <c r="AX362" s="111"/>
    </row>
    <row r="363" spans="4:50" ht="12.75" customHeight="1">
      <c r="D363" s="321"/>
      <c r="E363" s="318"/>
      <c r="F363" s="318"/>
      <c r="G363" s="318"/>
      <c r="H363" s="318"/>
      <c r="AJ363" s="111"/>
      <c r="AW363" s="111"/>
      <c r="AX363" s="111"/>
    </row>
    <row r="364" spans="4:50" ht="12.75" customHeight="1">
      <c r="D364" s="321"/>
      <c r="E364" s="318"/>
      <c r="F364" s="318"/>
      <c r="G364" s="318"/>
      <c r="H364" s="318"/>
      <c r="AJ364" s="111"/>
      <c r="AW364" s="111"/>
      <c r="AX364" s="111"/>
    </row>
    <row r="365" spans="4:50" ht="12.75" customHeight="1">
      <c r="D365" s="321"/>
      <c r="E365" s="318"/>
      <c r="F365" s="318"/>
      <c r="G365" s="318"/>
      <c r="H365" s="318"/>
      <c r="AJ365" s="111"/>
      <c r="AW365" s="111"/>
      <c r="AX365" s="111"/>
    </row>
    <row r="366" spans="4:50" ht="12.75" customHeight="1">
      <c r="D366" s="321"/>
      <c r="E366" s="318"/>
      <c r="F366" s="318"/>
      <c r="G366" s="318"/>
      <c r="H366" s="318"/>
      <c r="AJ366" s="111"/>
      <c r="AW366" s="111"/>
      <c r="AX366" s="111"/>
    </row>
    <row r="367" spans="4:50" ht="12.75" customHeight="1">
      <c r="D367" s="321"/>
      <c r="E367" s="318"/>
      <c r="F367" s="318"/>
      <c r="G367" s="318"/>
      <c r="H367" s="318"/>
      <c r="AJ367" s="111"/>
      <c r="AW367" s="111"/>
      <c r="AX367" s="111"/>
    </row>
    <row r="368" spans="4:50" ht="12.75" customHeight="1">
      <c r="D368" s="321"/>
      <c r="E368" s="318"/>
      <c r="F368" s="318"/>
      <c r="G368" s="318"/>
      <c r="H368" s="318"/>
      <c r="AJ368" s="111"/>
      <c r="AW368" s="111"/>
      <c r="AX368" s="111"/>
    </row>
    <row r="369" spans="4:50" ht="12.75" customHeight="1">
      <c r="D369" s="321"/>
      <c r="E369" s="318"/>
      <c r="F369" s="318"/>
      <c r="G369" s="318"/>
      <c r="H369" s="318"/>
      <c r="AJ369" s="111"/>
      <c r="AW369" s="111"/>
      <c r="AX369" s="111"/>
    </row>
    <row r="370" spans="4:50" ht="12.75" customHeight="1">
      <c r="D370" s="321"/>
      <c r="E370" s="318"/>
      <c r="F370" s="318"/>
      <c r="G370" s="318"/>
      <c r="H370" s="318"/>
      <c r="AJ370" s="111"/>
      <c r="AW370" s="111"/>
      <c r="AX370" s="111"/>
    </row>
    <row r="371" spans="4:50" ht="12.75" customHeight="1">
      <c r="D371" s="321"/>
      <c r="E371" s="318"/>
      <c r="F371" s="318"/>
      <c r="G371" s="318"/>
      <c r="H371" s="318"/>
      <c r="AJ371" s="111"/>
      <c r="AW371" s="111"/>
      <c r="AX371" s="111"/>
    </row>
    <row r="372" spans="4:50" ht="12.75" customHeight="1">
      <c r="D372" s="321"/>
      <c r="E372" s="318"/>
      <c r="F372" s="318"/>
      <c r="G372" s="318"/>
      <c r="H372" s="318"/>
      <c r="AJ372" s="111"/>
      <c r="AW372" s="111"/>
      <c r="AX372" s="111"/>
    </row>
    <row r="373" spans="4:50" ht="12.75" customHeight="1">
      <c r="D373" s="321"/>
      <c r="E373" s="318"/>
      <c r="F373" s="318"/>
      <c r="G373" s="318"/>
      <c r="H373" s="318"/>
      <c r="AJ373" s="111"/>
      <c r="AW373" s="111"/>
      <c r="AX373" s="111"/>
    </row>
    <row r="374" spans="4:50" ht="12.75" customHeight="1">
      <c r="D374" s="321"/>
      <c r="E374" s="318"/>
      <c r="F374" s="318"/>
      <c r="G374" s="318"/>
      <c r="H374" s="318"/>
      <c r="AJ374" s="111"/>
      <c r="AW374" s="111"/>
      <c r="AX374" s="111"/>
    </row>
    <row r="375" spans="4:50" ht="12.75" customHeight="1">
      <c r="D375" s="321"/>
      <c r="E375" s="318"/>
      <c r="F375" s="318"/>
      <c r="G375" s="318"/>
      <c r="H375" s="318"/>
      <c r="AJ375" s="111"/>
      <c r="AW375" s="111"/>
      <c r="AX375" s="111"/>
    </row>
    <row r="376" spans="4:50" ht="12.75" customHeight="1">
      <c r="D376" s="321"/>
      <c r="E376" s="318"/>
      <c r="F376" s="318"/>
      <c r="G376" s="318"/>
      <c r="H376" s="318"/>
      <c r="AJ376" s="111"/>
      <c r="AW376" s="111"/>
      <c r="AX376" s="111"/>
    </row>
    <row r="377" spans="4:50" ht="12.75" customHeight="1">
      <c r="D377" s="321"/>
      <c r="E377" s="318"/>
      <c r="F377" s="318"/>
      <c r="G377" s="318"/>
      <c r="H377" s="318"/>
      <c r="AJ377" s="111"/>
      <c r="AW377" s="111"/>
      <c r="AX377" s="111"/>
    </row>
    <row r="378" spans="4:50" ht="12.75" customHeight="1">
      <c r="D378" s="321"/>
      <c r="E378" s="318"/>
      <c r="F378" s="318"/>
      <c r="G378" s="318"/>
      <c r="H378" s="318"/>
      <c r="AJ378" s="111"/>
      <c r="AW378" s="111"/>
      <c r="AX378" s="111"/>
    </row>
    <row r="379" spans="4:50" ht="12.75" customHeight="1">
      <c r="D379" s="321"/>
      <c r="E379" s="318"/>
      <c r="F379" s="318"/>
      <c r="G379" s="318"/>
      <c r="H379" s="318"/>
      <c r="AJ379" s="111"/>
      <c r="AW379" s="111"/>
      <c r="AX379" s="111"/>
    </row>
    <row r="380" spans="4:50" ht="12.75" customHeight="1">
      <c r="D380" s="321"/>
      <c r="E380" s="318"/>
      <c r="F380" s="318"/>
      <c r="G380" s="318"/>
      <c r="H380" s="318"/>
      <c r="AJ380" s="111"/>
      <c r="AW380" s="111"/>
      <c r="AX380" s="111"/>
    </row>
    <row r="381" spans="4:50" ht="12.75" customHeight="1">
      <c r="D381" s="321"/>
      <c r="E381" s="318"/>
      <c r="F381" s="318"/>
      <c r="G381" s="318"/>
      <c r="H381" s="318"/>
      <c r="AJ381" s="111"/>
      <c r="AW381" s="111"/>
      <c r="AX381" s="111"/>
    </row>
    <row r="382" spans="4:50" ht="12.75" customHeight="1">
      <c r="D382" s="321"/>
      <c r="E382" s="318"/>
      <c r="F382" s="318"/>
      <c r="G382" s="318"/>
      <c r="H382" s="318"/>
      <c r="AJ382" s="111"/>
      <c r="AW382" s="111"/>
      <c r="AX382" s="111"/>
    </row>
    <row r="383" spans="4:50" ht="12.75" customHeight="1">
      <c r="D383" s="321"/>
      <c r="E383" s="318"/>
      <c r="F383" s="318"/>
      <c r="G383" s="318"/>
      <c r="H383" s="318"/>
      <c r="AJ383" s="111"/>
      <c r="AW383" s="111"/>
      <c r="AX383" s="111"/>
    </row>
    <row r="384" spans="4:50" ht="12.75" customHeight="1">
      <c r="D384" s="321"/>
      <c r="E384" s="318"/>
      <c r="F384" s="318"/>
      <c r="G384" s="318"/>
      <c r="H384" s="318"/>
      <c r="AF384" s="409"/>
      <c r="AG384" s="410"/>
      <c r="AH384" s="409"/>
      <c r="AJ384" s="111"/>
      <c r="AW384" s="111"/>
      <c r="AX384" s="111"/>
    </row>
    <row r="385" spans="4:53" ht="12.75" customHeight="1">
      <c r="D385" s="321"/>
      <c r="E385" s="318"/>
      <c r="F385" s="318"/>
      <c r="G385" s="318"/>
      <c r="H385" s="318"/>
      <c r="AF385" s="411"/>
      <c r="AG385" s="411"/>
      <c r="AH385" s="409"/>
      <c r="AI385" s="410"/>
      <c r="AJ385" s="412"/>
      <c r="AK385" s="413"/>
      <c r="AL385" s="414"/>
      <c r="AM385" s="415"/>
      <c r="AN385" s="415"/>
      <c r="AO385" s="416"/>
      <c r="AP385" s="417"/>
      <c r="AQ385" s="415"/>
      <c r="AR385" s="415"/>
      <c r="AS385" s="418">
        <v>20000</v>
      </c>
      <c r="AT385" s="415"/>
      <c r="AU385" s="409">
        <v>24</v>
      </c>
      <c r="AV385" s="419"/>
      <c r="AW385" s="420"/>
      <c r="AX385" s="419"/>
      <c r="AY385" s="415"/>
      <c r="AZ385" s="415"/>
      <c r="BA385" s="415"/>
    </row>
    <row r="386" spans="4:53" ht="12.75" customHeight="1">
      <c r="D386" s="321"/>
      <c r="E386" s="318"/>
      <c r="F386" s="318"/>
      <c r="G386" s="318"/>
      <c r="H386" s="318"/>
      <c r="AF386" s="411"/>
      <c r="AG386" s="411"/>
      <c r="AH386" s="409"/>
      <c r="AI386" s="411"/>
      <c r="AJ386" s="421"/>
      <c r="AK386" s="422"/>
      <c r="AL386" s="423"/>
      <c r="AM386" s="418"/>
      <c r="AN386" s="418"/>
      <c r="AO386" s="424"/>
      <c r="AP386" s="425"/>
      <c r="AQ386" s="418"/>
      <c r="AR386" s="418"/>
      <c r="AS386" s="418">
        <v>15000</v>
      </c>
      <c r="AT386" s="418"/>
      <c r="AU386" s="411"/>
      <c r="AV386" s="426"/>
      <c r="AW386" s="427"/>
      <c r="AX386" s="426"/>
      <c r="AY386" s="418"/>
      <c r="AZ386" s="418"/>
      <c r="BA386" s="418"/>
    </row>
    <row r="387" spans="4:53" ht="12.75" customHeight="1">
      <c r="D387" s="321"/>
      <c r="E387" s="318"/>
      <c r="F387" s="318"/>
      <c r="G387" s="318"/>
      <c r="H387" s="318"/>
      <c r="AF387" s="411"/>
      <c r="AG387" s="411"/>
      <c r="AH387" s="409"/>
      <c r="AI387" s="411"/>
      <c r="AJ387" s="421"/>
      <c r="AK387" s="422"/>
      <c r="AL387" s="423"/>
      <c r="AM387" s="418"/>
      <c r="AN387" s="418"/>
      <c r="AO387" s="424"/>
      <c r="AP387" s="425"/>
      <c r="AQ387" s="418"/>
      <c r="AR387" s="418"/>
      <c r="AS387" s="418"/>
      <c r="AT387" s="418"/>
      <c r="AU387" s="411"/>
      <c r="AV387" s="426"/>
      <c r="AW387" s="427"/>
      <c r="AX387" s="426"/>
      <c r="AY387" s="418"/>
      <c r="AZ387" s="418"/>
      <c r="BA387" s="418"/>
    </row>
    <row r="388" spans="4:53" ht="12.75" customHeight="1">
      <c r="D388" s="321"/>
      <c r="E388" s="318"/>
      <c r="F388" s="318"/>
      <c r="G388" s="318"/>
      <c r="H388" s="318"/>
      <c r="AF388" s="411"/>
      <c r="AG388" s="411"/>
      <c r="AH388" s="409"/>
      <c r="AI388" s="411"/>
      <c r="AJ388" s="421"/>
      <c r="AK388" s="422"/>
      <c r="AL388" s="423"/>
      <c r="AM388" s="418"/>
      <c r="AN388" s="418"/>
      <c r="AO388" s="424"/>
      <c r="AP388" s="425"/>
      <c r="AQ388" s="418"/>
      <c r="AR388" s="418"/>
      <c r="AS388" s="418"/>
      <c r="AT388" s="418"/>
      <c r="AU388" s="411"/>
      <c r="AV388" s="426"/>
      <c r="AW388" s="427"/>
      <c r="AX388" s="426"/>
      <c r="AY388" s="418"/>
      <c r="AZ388" s="418"/>
      <c r="BA388" s="418"/>
    </row>
    <row r="389" spans="4:53" ht="12.75" customHeight="1">
      <c r="D389" s="321"/>
      <c r="E389" s="318"/>
      <c r="F389" s="318"/>
      <c r="G389" s="318"/>
      <c r="H389" s="318"/>
      <c r="AF389" s="411"/>
      <c r="AG389" s="411"/>
      <c r="AH389" s="409"/>
      <c r="AI389" s="411"/>
      <c r="AJ389" s="421"/>
      <c r="AK389" s="422"/>
      <c r="AL389" s="423"/>
      <c r="AM389" s="418"/>
      <c r="AN389" s="418"/>
      <c r="AO389" s="424"/>
      <c r="AP389" s="425"/>
      <c r="AQ389" s="418"/>
      <c r="AR389" s="418"/>
      <c r="AS389" s="418"/>
      <c r="AT389" s="418"/>
      <c r="AU389" s="411"/>
      <c r="AV389" s="426"/>
      <c r="AW389" s="427"/>
      <c r="AX389" s="426"/>
      <c r="AY389" s="418"/>
      <c r="AZ389" s="418"/>
      <c r="BA389" s="418"/>
    </row>
    <row r="390" spans="4:53" ht="12.75" customHeight="1">
      <c r="D390" s="321"/>
      <c r="E390" s="318"/>
      <c r="F390" s="318"/>
      <c r="G390" s="318"/>
      <c r="H390" s="318"/>
      <c r="AF390" s="411"/>
      <c r="AG390" s="411"/>
      <c r="AH390" s="409"/>
      <c r="AI390" s="411"/>
      <c r="AJ390" s="421"/>
      <c r="AK390" s="422"/>
      <c r="AL390" s="423"/>
      <c r="AM390" s="418"/>
      <c r="AN390" s="418"/>
      <c r="AO390" s="424"/>
      <c r="AP390" s="425"/>
      <c r="AQ390" s="418"/>
      <c r="AR390" s="418"/>
      <c r="AS390" s="418"/>
      <c r="AT390" s="418"/>
      <c r="AU390" s="411"/>
      <c r="AV390" s="426"/>
      <c r="AW390" s="427"/>
      <c r="AX390" s="426"/>
      <c r="AY390" s="418"/>
      <c r="AZ390" s="418"/>
      <c r="BA390" s="418"/>
    </row>
    <row r="391" spans="4:53" ht="12.75" customHeight="1">
      <c r="D391" s="321"/>
      <c r="E391" s="318"/>
      <c r="F391" s="318"/>
      <c r="G391" s="318"/>
      <c r="H391" s="318"/>
      <c r="AF391" s="411"/>
      <c r="AG391" s="411"/>
      <c r="AH391" s="409"/>
      <c r="AI391" s="411"/>
      <c r="AJ391" s="421"/>
      <c r="AK391" s="422"/>
      <c r="AL391" s="423"/>
      <c r="AM391" s="418"/>
      <c r="AN391" s="418"/>
      <c r="AO391" s="424"/>
      <c r="AP391" s="425"/>
      <c r="AQ391" s="418"/>
      <c r="AR391" s="418"/>
      <c r="AS391" s="418"/>
      <c r="AT391" s="418"/>
      <c r="AU391" s="411"/>
      <c r="AV391" s="426"/>
      <c r="AW391" s="427"/>
      <c r="AX391" s="426"/>
      <c r="AY391" s="418"/>
      <c r="AZ391" s="418"/>
      <c r="BA391" s="418"/>
    </row>
    <row r="392" spans="4:53" ht="12.75" customHeight="1">
      <c r="D392" s="321"/>
      <c r="E392" s="318"/>
      <c r="F392" s="318"/>
      <c r="G392" s="318"/>
      <c r="H392" s="318"/>
      <c r="AF392" s="411"/>
      <c r="AG392" s="411"/>
      <c r="AH392" s="409"/>
      <c r="AI392" s="411"/>
      <c r="AJ392" s="421"/>
      <c r="AK392" s="422"/>
      <c r="AL392" s="423"/>
      <c r="AM392" s="418"/>
      <c r="AN392" s="418"/>
      <c r="AO392" s="424"/>
      <c r="AP392" s="425"/>
      <c r="AQ392" s="418"/>
      <c r="AR392" s="418"/>
      <c r="AS392" s="418"/>
      <c r="AT392" s="418"/>
      <c r="AU392" s="411"/>
      <c r="AV392" s="426"/>
      <c r="AW392" s="427"/>
      <c r="AX392" s="426"/>
      <c r="AY392" s="418"/>
      <c r="AZ392" s="418"/>
      <c r="BA392" s="418"/>
    </row>
    <row r="393" spans="4:53" ht="12.75" customHeight="1">
      <c r="D393" s="321"/>
      <c r="E393" s="318"/>
      <c r="F393" s="318"/>
      <c r="G393" s="318"/>
      <c r="H393" s="318"/>
      <c r="AF393" s="411"/>
      <c r="AG393" s="411"/>
      <c r="AH393" s="409"/>
      <c r="AI393" s="411"/>
      <c r="AJ393" s="421"/>
      <c r="AK393" s="422"/>
      <c r="AL393" s="423"/>
      <c r="AM393" s="418"/>
      <c r="AN393" s="418"/>
      <c r="AO393" s="424"/>
      <c r="AP393" s="425"/>
      <c r="AQ393" s="418"/>
      <c r="AR393" s="418"/>
      <c r="AS393" s="418"/>
      <c r="AT393" s="418"/>
      <c r="AU393" s="411"/>
      <c r="AV393" s="426"/>
      <c r="AW393" s="427"/>
      <c r="AX393" s="426"/>
      <c r="AY393" s="418"/>
      <c r="AZ393" s="418"/>
      <c r="BA393" s="418"/>
    </row>
    <row r="394" spans="4:53" ht="12.75" customHeight="1">
      <c r="D394" s="321"/>
      <c r="E394" s="318"/>
      <c r="F394" s="318"/>
      <c r="G394" s="318"/>
      <c r="H394" s="318"/>
      <c r="AF394" s="170"/>
      <c r="AI394" s="411"/>
      <c r="AJ394" s="421"/>
      <c r="AK394" s="422"/>
      <c r="AL394" s="423"/>
      <c r="AM394" s="418"/>
      <c r="AN394" s="418"/>
      <c r="AO394" s="424"/>
      <c r="AP394" s="425"/>
      <c r="AQ394" s="418"/>
      <c r="AR394" s="418"/>
      <c r="AS394" s="418"/>
      <c r="AT394" s="418"/>
      <c r="AU394" s="411"/>
      <c r="AV394" s="426"/>
      <c r="AW394" s="427"/>
      <c r="AX394" s="426"/>
      <c r="AY394" s="418"/>
      <c r="AZ394" s="418"/>
      <c r="BA394" s="418"/>
    </row>
    <row r="395" spans="4:53" ht="12.75" customHeight="1">
      <c r="D395" s="321"/>
      <c r="E395" s="318"/>
      <c r="F395" s="318"/>
      <c r="G395" s="318"/>
      <c r="H395" s="318"/>
      <c r="AF395" s="170"/>
      <c r="AJ395" s="428"/>
      <c r="AS395" s="279"/>
    </row>
    <row r="396" spans="4:53" ht="12.75" customHeight="1">
      <c r="D396" s="321"/>
      <c r="E396" s="318"/>
      <c r="F396" s="318"/>
      <c r="G396" s="318"/>
      <c r="H396" s="318"/>
      <c r="AF396" s="170"/>
      <c r="AJ396" s="428"/>
      <c r="AS396" s="279"/>
    </row>
    <row r="397" spans="4:53" ht="12.75" customHeight="1">
      <c r="D397" s="321"/>
      <c r="E397" s="318"/>
      <c r="F397" s="318"/>
      <c r="G397" s="318"/>
      <c r="H397" s="318"/>
      <c r="AF397" s="170"/>
      <c r="AJ397" s="428"/>
      <c r="AS397" s="279"/>
    </row>
    <row r="398" spans="4:53" ht="12.75" customHeight="1">
      <c r="D398" s="321"/>
      <c r="E398" s="318"/>
      <c r="F398" s="318"/>
      <c r="G398" s="318"/>
      <c r="H398" s="318"/>
      <c r="AF398" s="170"/>
      <c r="AJ398" s="428"/>
      <c r="AS398" s="279"/>
    </row>
    <row r="399" spans="4:53" ht="12.75" customHeight="1">
      <c r="D399" s="321"/>
      <c r="E399" s="318"/>
      <c r="F399" s="318"/>
      <c r="G399" s="318"/>
      <c r="H399" s="318"/>
      <c r="AF399" s="170"/>
      <c r="AJ399" s="428"/>
      <c r="AS399" s="279"/>
    </row>
    <row r="400" spans="4:53" ht="12.75" customHeight="1">
      <c r="D400" s="321"/>
      <c r="E400" s="318"/>
      <c r="F400" s="318"/>
      <c r="G400" s="318"/>
      <c r="H400" s="318"/>
      <c r="AF400" s="170"/>
      <c r="AJ400" s="428"/>
      <c r="AS400" s="279"/>
    </row>
    <row r="401" spans="4:45" ht="12.75" customHeight="1">
      <c r="D401" s="321"/>
      <c r="E401" s="318"/>
      <c r="F401" s="318"/>
      <c r="G401" s="318"/>
      <c r="H401" s="318"/>
      <c r="AF401" s="170"/>
      <c r="AJ401" s="428"/>
      <c r="AS401" s="279"/>
    </row>
    <row r="402" spans="4:45" ht="12.75" customHeight="1">
      <c r="D402" s="321"/>
      <c r="E402" s="318"/>
      <c r="F402" s="318"/>
      <c r="G402" s="318"/>
      <c r="H402" s="318"/>
      <c r="AJ402" s="428"/>
      <c r="AS402" s="279"/>
    </row>
    <row r="403" spans="4:45" ht="12.75" customHeight="1">
      <c r="D403" s="321"/>
      <c r="E403" s="318"/>
      <c r="F403" s="318"/>
      <c r="G403" s="318"/>
      <c r="H403" s="318"/>
      <c r="AJ403" s="428"/>
    </row>
    <row r="404" spans="4:45" ht="12.75" customHeight="1">
      <c r="D404" s="321"/>
      <c r="E404" s="318"/>
      <c r="F404" s="318"/>
      <c r="G404" s="318"/>
      <c r="H404" s="318"/>
      <c r="AJ404" s="428"/>
    </row>
    <row r="405" spans="4:45" ht="12.75" customHeight="1">
      <c r="D405" s="321"/>
      <c r="E405" s="318"/>
      <c r="F405" s="318"/>
      <c r="G405" s="318"/>
      <c r="H405" s="318"/>
      <c r="AJ405" s="428"/>
    </row>
    <row r="406" spans="4:45" ht="12.75" customHeight="1">
      <c r="D406" s="321"/>
      <c r="E406" s="318"/>
      <c r="F406" s="318"/>
      <c r="G406" s="318"/>
      <c r="H406" s="318"/>
      <c r="AJ406" s="428"/>
    </row>
    <row r="407" spans="4:45" ht="12.75" customHeight="1">
      <c r="D407" s="321"/>
      <c r="E407" s="318"/>
      <c r="F407" s="318"/>
      <c r="G407" s="318"/>
      <c r="H407" s="318"/>
      <c r="AJ407" s="428"/>
    </row>
    <row r="408" spans="4:45" ht="12.75" customHeight="1">
      <c r="D408" s="321"/>
      <c r="E408" s="318"/>
      <c r="F408" s="318"/>
      <c r="G408" s="318"/>
      <c r="H408" s="318"/>
      <c r="AJ408" s="428"/>
    </row>
    <row r="409" spans="4:45" ht="12.75" customHeight="1">
      <c r="D409" s="321"/>
      <c r="E409" s="318"/>
      <c r="F409" s="318"/>
      <c r="G409" s="318"/>
      <c r="H409" s="318"/>
      <c r="AJ409" s="428"/>
    </row>
    <row r="410" spans="4:45" ht="12.75" customHeight="1">
      <c r="D410" s="321"/>
      <c r="E410" s="318"/>
      <c r="F410" s="318"/>
      <c r="G410" s="318"/>
      <c r="H410" s="318"/>
    </row>
    <row r="411" spans="4:45" ht="12.75" customHeight="1">
      <c r="D411" s="321"/>
      <c r="E411" s="318"/>
      <c r="F411" s="318"/>
      <c r="G411" s="318"/>
      <c r="H411" s="318"/>
    </row>
    <row r="412" spans="4:45" ht="12.75" customHeight="1">
      <c r="D412" s="321"/>
      <c r="E412" s="318"/>
      <c r="F412" s="318"/>
      <c r="G412" s="318"/>
      <c r="H412" s="318"/>
    </row>
    <row r="413" spans="4:45" ht="12.75" customHeight="1">
      <c r="D413" s="321"/>
      <c r="E413" s="318"/>
      <c r="F413" s="318"/>
      <c r="G413" s="318"/>
      <c r="H413" s="318"/>
    </row>
    <row r="414" spans="4:45" ht="12.75" customHeight="1">
      <c r="D414" s="321"/>
      <c r="E414" s="318"/>
      <c r="F414" s="318"/>
      <c r="G414" s="318"/>
      <c r="H414" s="318"/>
    </row>
    <row r="415" spans="4:45" ht="12.75" customHeight="1">
      <c r="D415" s="321"/>
      <c r="E415" s="318"/>
      <c r="F415" s="318"/>
      <c r="G415" s="318"/>
      <c r="H415" s="318"/>
    </row>
    <row r="416" spans="4:45" ht="12.75" customHeight="1">
      <c r="D416" s="321"/>
      <c r="E416" s="318"/>
      <c r="F416" s="318"/>
      <c r="G416" s="318"/>
      <c r="H416" s="318"/>
    </row>
    <row r="417" spans="4:8" ht="12.75" customHeight="1">
      <c r="D417" s="321"/>
      <c r="E417" s="318"/>
      <c r="F417" s="318"/>
      <c r="G417" s="318"/>
      <c r="H417" s="318"/>
    </row>
    <row r="418" spans="4:8" ht="12.75" customHeight="1">
      <c r="D418" s="321"/>
      <c r="E418" s="318"/>
      <c r="F418" s="318"/>
      <c r="G418" s="318"/>
      <c r="H418" s="318"/>
    </row>
    <row r="419" spans="4:8" ht="12.75" customHeight="1">
      <c r="D419" s="321"/>
      <c r="E419" s="318"/>
      <c r="F419" s="318"/>
      <c r="G419" s="318"/>
      <c r="H419" s="318"/>
    </row>
    <row r="420" spans="4:8" ht="12.75" customHeight="1">
      <c r="D420" s="321"/>
      <c r="E420" s="318"/>
      <c r="F420" s="318"/>
      <c r="G420" s="318"/>
      <c r="H420" s="318"/>
    </row>
    <row r="421" spans="4:8" ht="12.75" customHeight="1">
      <c r="D421" s="321"/>
      <c r="E421" s="318"/>
      <c r="F421" s="318"/>
      <c r="G421" s="318"/>
      <c r="H421" s="318"/>
    </row>
    <row r="422" spans="4:8" ht="12.75" customHeight="1">
      <c r="D422" s="321"/>
      <c r="E422" s="318"/>
      <c r="F422" s="318"/>
      <c r="G422" s="318"/>
      <c r="H422" s="318"/>
    </row>
    <row r="423" spans="4:8" ht="12.75" customHeight="1">
      <c r="D423" s="321"/>
      <c r="E423" s="318"/>
      <c r="F423" s="318"/>
      <c r="G423" s="318"/>
      <c r="H423" s="318"/>
    </row>
    <row r="424" spans="4:8" ht="12.75" customHeight="1">
      <c r="D424" s="321"/>
      <c r="E424" s="318"/>
      <c r="F424" s="318"/>
      <c r="G424" s="318"/>
      <c r="H424" s="318"/>
    </row>
    <row r="425" spans="4:8" ht="12.75" customHeight="1">
      <c r="D425" s="321"/>
      <c r="E425" s="318"/>
      <c r="F425" s="318"/>
      <c r="G425" s="318"/>
      <c r="H425" s="318"/>
    </row>
    <row r="426" spans="4:8" ht="12.75" customHeight="1">
      <c r="D426" s="321"/>
      <c r="E426" s="318"/>
      <c r="F426" s="318"/>
      <c r="G426" s="318"/>
      <c r="H426" s="318"/>
    </row>
    <row r="427" spans="4:8" ht="12.75" customHeight="1">
      <c r="D427" s="321"/>
      <c r="E427" s="318"/>
      <c r="F427" s="318"/>
      <c r="G427" s="318"/>
      <c r="H427" s="318"/>
    </row>
    <row r="428" spans="4:8" ht="12.75" customHeight="1">
      <c r="D428" s="321"/>
      <c r="E428" s="318"/>
      <c r="F428" s="318"/>
      <c r="G428" s="318"/>
      <c r="H428" s="318"/>
    </row>
    <row r="429" spans="4:8" ht="12.75" customHeight="1">
      <c r="D429" s="321"/>
      <c r="E429" s="318"/>
      <c r="F429" s="318"/>
      <c r="G429" s="318"/>
      <c r="H429" s="318"/>
    </row>
    <row r="430" spans="4:8" ht="12.75" customHeight="1">
      <c r="D430" s="321"/>
      <c r="E430" s="318"/>
      <c r="F430" s="318"/>
      <c r="G430" s="318"/>
      <c r="H430" s="318"/>
    </row>
    <row r="431" spans="4:8" ht="12.75" customHeight="1">
      <c r="D431" s="321"/>
      <c r="E431" s="318"/>
      <c r="F431" s="318"/>
      <c r="G431" s="318"/>
      <c r="H431" s="318"/>
    </row>
    <row r="432" spans="4:8" ht="12.75" customHeight="1">
      <c r="D432" s="321"/>
      <c r="E432" s="318"/>
      <c r="F432" s="318"/>
      <c r="G432" s="318"/>
      <c r="H432" s="318"/>
    </row>
    <row r="433" spans="4:8" ht="12.75" customHeight="1">
      <c r="D433" s="321"/>
      <c r="E433" s="318"/>
      <c r="F433" s="318"/>
      <c r="G433" s="318"/>
      <c r="H433" s="318"/>
    </row>
    <row r="434" spans="4:8" ht="12.75" customHeight="1">
      <c r="D434" s="321"/>
      <c r="E434" s="318"/>
      <c r="F434" s="318"/>
      <c r="G434" s="318"/>
      <c r="H434" s="318"/>
    </row>
    <row r="435" spans="4:8" ht="12.75" customHeight="1">
      <c r="D435" s="321"/>
      <c r="E435" s="318"/>
      <c r="F435" s="318"/>
      <c r="G435" s="318"/>
      <c r="H435" s="318"/>
    </row>
    <row r="436" spans="4:8" ht="12.75" customHeight="1">
      <c r="D436" s="321"/>
      <c r="E436" s="318"/>
      <c r="F436" s="318"/>
      <c r="G436" s="318"/>
      <c r="H436" s="318"/>
    </row>
    <row r="437" spans="4:8" ht="12.75" customHeight="1">
      <c r="D437" s="321"/>
      <c r="E437" s="318"/>
      <c r="F437" s="318"/>
      <c r="G437" s="318"/>
      <c r="H437" s="318"/>
    </row>
    <row r="438" spans="4:8" ht="12.75" customHeight="1">
      <c r="D438" s="321"/>
      <c r="E438" s="318"/>
      <c r="F438" s="318"/>
      <c r="G438" s="318"/>
      <c r="H438" s="318"/>
    </row>
    <row r="439" spans="4:8" ht="12.75" customHeight="1">
      <c r="D439" s="321"/>
      <c r="E439" s="318"/>
      <c r="F439" s="318"/>
      <c r="G439" s="318"/>
      <c r="H439" s="318"/>
    </row>
    <row r="440" spans="4:8" ht="12.75" customHeight="1">
      <c r="D440" s="321"/>
      <c r="E440" s="318"/>
      <c r="F440" s="318"/>
      <c r="G440" s="318"/>
      <c r="H440" s="318"/>
    </row>
    <row r="441" spans="4:8" ht="12.75" customHeight="1">
      <c r="D441" s="321"/>
      <c r="E441" s="318"/>
      <c r="F441" s="318"/>
      <c r="G441" s="318"/>
      <c r="H441" s="318"/>
    </row>
    <row r="442" spans="4:8" ht="12.75" customHeight="1">
      <c r="D442" s="321"/>
      <c r="E442" s="318"/>
      <c r="F442" s="318"/>
      <c r="G442" s="318"/>
      <c r="H442" s="318"/>
    </row>
    <row r="443" spans="4:8" ht="12.75" customHeight="1">
      <c r="D443" s="321"/>
      <c r="E443" s="318"/>
      <c r="F443" s="318"/>
      <c r="G443" s="318"/>
      <c r="H443" s="318"/>
    </row>
    <row r="444" spans="4:8" ht="12.75" customHeight="1">
      <c r="D444" s="321"/>
      <c r="E444" s="318"/>
      <c r="F444" s="318"/>
      <c r="G444" s="318"/>
      <c r="H444" s="318"/>
    </row>
    <row r="445" spans="4:8" ht="12.75" customHeight="1">
      <c r="D445" s="321"/>
      <c r="E445" s="318"/>
      <c r="F445" s="318"/>
      <c r="G445" s="318"/>
      <c r="H445" s="318"/>
    </row>
    <row r="446" spans="4:8" ht="12.75" customHeight="1">
      <c r="D446" s="321"/>
      <c r="E446" s="318"/>
      <c r="F446" s="318"/>
      <c r="G446" s="318"/>
      <c r="H446" s="318"/>
    </row>
    <row r="447" spans="4:8" ht="12.75" customHeight="1">
      <c r="D447" s="321"/>
      <c r="E447" s="318"/>
      <c r="F447" s="318"/>
      <c r="G447" s="318"/>
      <c r="H447" s="318"/>
    </row>
    <row r="448" spans="4:8" ht="12.75" customHeight="1">
      <c r="D448" s="321"/>
      <c r="E448" s="318"/>
      <c r="F448" s="318"/>
      <c r="G448" s="318"/>
      <c r="H448" s="318"/>
    </row>
    <row r="449" spans="4:8" ht="12.75" customHeight="1">
      <c r="D449" s="321"/>
      <c r="E449" s="318"/>
      <c r="F449" s="318"/>
      <c r="G449" s="318"/>
      <c r="H449" s="318"/>
    </row>
    <row r="450" spans="4:8" ht="12.75" customHeight="1">
      <c r="D450" s="321"/>
      <c r="E450" s="318"/>
      <c r="F450" s="318"/>
      <c r="G450" s="318"/>
      <c r="H450" s="318"/>
    </row>
    <row r="451" spans="4:8" ht="12.75" customHeight="1">
      <c r="D451" s="321"/>
      <c r="E451" s="318"/>
      <c r="F451" s="318"/>
      <c r="G451" s="318"/>
      <c r="H451" s="318"/>
    </row>
    <row r="452" spans="4:8" ht="12.75" customHeight="1">
      <c r="D452" s="321"/>
      <c r="E452" s="318"/>
      <c r="F452" s="318"/>
      <c r="G452" s="318"/>
      <c r="H452" s="318"/>
    </row>
    <row r="453" spans="4:8" ht="12.75" customHeight="1">
      <c r="D453" s="321"/>
      <c r="E453" s="318"/>
      <c r="F453" s="318"/>
      <c r="G453" s="318"/>
      <c r="H453" s="318"/>
    </row>
    <row r="454" spans="4:8" ht="12.75" customHeight="1">
      <c r="D454" s="321"/>
      <c r="E454" s="318"/>
      <c r="F454" s="318"/>
      <c r="G454" s="318"/>
      <c r="H454" s="318"/>
    </row>
    <row r="455" spans="4:8" ht="12.75" customHeight="1">
      <c r="D455" s="321"/>
      <c r="E455" s="318"/>
      <c r="F455" s="318"/>
      <c r="G455" s="318"/>
      <c r="H455" s="318"/>
    </row>
    <row r="456" spans="4:8" ht="12.75" customHeight="1">
      <c r="D456" s="321"/>
      <c r="E456" s="318"/>
      <c r="F456" s="318"/>
      <c r="G456" s="318"/>
      <c r="H456" s="318"/>
    </row>
    <row r="457" spans="4:8" ht="12.75" customHeight="1">
      <c r="D457" s="321"/>
      <c r="E457" s="318"/>
      <c r="F457" s="318"/>
      <c r="G457" s="318"/>
      <c r="H457" s="318"/>
    </row>
    <row r="458" spans="4:8" ht="12.75" customHeight="1">
      <c r="D458" s="321"/>
      <c r="E458" s="318"/>
      <c r="F458" s="318"/>
      <c r="G458" s="318"/>
      <c r="H458" s="318"/>
    </row>
    <row r="459" spans="4:8" ht="12.75" customHeight="1">
      <c r="D459" s="321"/>
      <c r="E459" s="318"/>
      <c r="F459" s="318"/>
      <c r="G459" s="318"/>
      <c r="H459" s="318"/>
    </row>
    <row r="460" spans="4:8" ht="12.75" customHeight="1">
      <c r="D460" s="321"/>
      <c r="E460" s="318"/>
      <c r="F460" s="318"/>
      <c r="G460" s="318"/>
      <c r="H460" s="318"/>
    </row>
    <row r="461" spans="4:8" ht="12.75" customHeight="1">
      <c r="D461" s="321"/>
      <c r="E461" s="318"/>
      <c r="F461" s="318"/>
      <c r="G461" s="318"/>
      <c r="H461" s="318"/>
    </row>
    <row r="462" spans="4:8" ht="12.75" customHeight="1">
      <c r="D462" s="321"/>
      <c r="E462" s="318"/>
      <c r="F462" s="318"/>
      <c r="G462" s="318"/>
      <c r="H462" s="318"/>
    </row>
    <row r="463" spans="4:8" ht="12.75" customHeight="1">
      <c r="D463" s="321"/>
      <c r="E463" s="318"/>
      <c r="F463" s="318"/>
      <c r="G463" s="318"/>
      <c r="H463" s="318"/>
    </row>
    <row r="464" spans="4:8" ht="12.75" customHeight="1">
      <c r="D464" s="321"/>
      <c r="E464" s="318"/>
      <c r="F464" s="318"/>
      <c r="G464" s="318"/>
      <c r="H464" s="318"/>
    </row>
    <row r="465" spans="4:8" ht="12.75" customHeight="1">
      <c r="D465" s="321"/>
      <c r="E465" s="318"/>
      <c r="F465" s="318"/>
      <c r="G465" s="318"/>
      <c r="H465" s="318"/>
    </row>
    <row r="466" spans="4:8" ht="12.75" customHeight="1">
      <c r="D466" s="321"/>
      <c r="E466" s="318"/>
      <c r="F466" s="318"/>
      <c r="G466" s="318"/>
      <c r="H466" s="318"/>
    </row>
    <row r="467" spans="4:8" ht="12.75" customHeight="1">
      <c r="D467" s="321"/>
      <c r="E467" s="318"/>
      <c r="F467" s="318"/>
      <c r="G467" s="318"/>
      <c r="H467" s="318"/>
    </row>
    <row r="468" spans="4:8" ht="12.75" customHeight="1">
      <c r="D468" s="321"/>
      <c r="E468" s="318"/>
      <c r="F468" s="318"/>
      <c r="G468" s="318"/>
      <c r="H468" s="318"/>
    </row>
    <row r="469" spans="4:8" ht="12.75" customHeight="1">
      <c r="D469" s="321"/>
      <c r="E469" s="318"/>
      <c r="F469" s="318"/>
      <c r="G469" s="318"/>
      <c r="H469" s="318"/>
    </row>
    <row r="470" spans="4:8" ht="12.75" customHeight="1">
      <c r="D470" s="321"/>
      <c r="E470" s="318"/>
      <c r="F470" s="318"/>
      <c r="G470" s="318"/>
      <c r="H470" s="318"/>
    </row>
    <row r="471" spans="4:8" ht="12.75" customHeight="1">
      <c r="D471" s="321"/>
      <c r="E471" s="318"/>
      <c r="F471" s="318"/>
      <c r="G471" s="318"/>
      <c r="H471" s="318"/>
    </row>
    <row r="472" spans="4:8" ht="12.75" customHeight="1">
      <c r="D472" s="321"/>
      <c r="E472" s="318"/>
      <c r="F472" s="318"/>
      <c r="G472" s="318"/>
      <c r="H472" s="318"/>
    </row>
    <row r="473" spans="4:8" ht="12.75" customHeight="1">
      <c r="D473" s="321"/>
      <c r="E473" s="318"/>
      <c r="F473" s="318"/>
      <c r="G473" s="318"/>
      <c r="H473" s="318"/>
    </row>
    <row r="474" spans="4:8" ht="12.75" customHeight="1">
      <c r="D474" s="321"/>
      <c r="E474" s="318"/>
      <c r="F474" s="318"/>
      <c r="G474" s="318"/>
      <c r="H474" s="318"/>
    </row>
    <row r="475" spans="4:8" ht="12.75" customHeight="1">
      <c r="D475" s="321"/>
      <c r="E475" s="318"/>
      <c r="F475" s="318"/>
      <c r="G475" s="318"/>
      <c r="H475" s="318"/>
    </row>
    <row r="476" spans="4:8" ht="12.75" customHeight="1">
      <c r="D476" s="321"/>
      <c r="E476" s="318"/>
      <c r="F476" s="318"/>
      <c r="G476" s="318"/>
      <c r="H476" s="318"/>
    </row>
    <row r="477" spans="4:8" ht="12.75" customHeight="1">
      <c r="D477" s="321"/>
      <c r="E477" s="318"/>
      <c r="F477" s="318"/>
      <c r="G477" s="318"/>
      <c r="H477" s="318"/>
    </row>
    <row r="478" spans="4:8" ht="12.75" customHeight="1">
      <c r="D478" s="321"/>
      <c r="E478" s="318"/>
      <c r="F478" s="318"/>
      <c r="G478" s="318"/>
      <c r="H478" s="318"/>
    </row>
    <row r="479" spans="4:8" ht="12.75" customHeight="1">
      <c r="D479" s="321"/>
      <c r="E479" s="318"/>
      <c r="F479" s="318"/>
      <c r="G479" s="318"/>
      <c r="H479" s="318"/>
    </row>
    <row r="480" spans="4:8" ht="12.75" customHeight="1">
      <c r="D480" s="321"/>
      <c r="E480" s="318"/>
      <c r="F480" s="318"/>
      <c r="G480" s="318"/>
      <c r="H480" s="318"/>
    </row>
    <row r="481" spans="4:8" ht="12.75" customHeight="1">
      <c r="D481" s="321"/>
      <c r="E481" s="318"/>
      <c r="F481" s="318"/>
      <c r="G481" s="318"/>
      <c r="H481" s="318"/>
    </row>
    <row r="482" spans="4:8" ht="12.75" customHeight="1">
      <c r="D482" s="321"/>
      <c r="E482" s="318"/>
      <c r="F482" s="318"/>
      <c r="G482" s="318"/>
      <c r="H482" s="318"/>
    </row>
    <row r="483" spans="4:8" ht="12.75" customHeight="1">
      <c r="D483" s="321"/>
      <c r="E483" s="318"/>
      <c r="F483" s="318"/>
      <c r="G483" s="318"/>
      <c r="H483" s="318"/>
    </row>
    <row r="484" spans="4:8" ht="12.75" customHeight="1">
      <c r="D484" s="321"/>
      <c r="E484" s="318"/>
      <c r="F484" s="318"/>
      <c r="G484" s="318"/>
      <c r="H484" s="318"/>
    </row>
    <row r="485" spans="4:8" ht="12.75" customHeight="1">
      <c r="D485" s="321"/>
      <c r="E485" s="318"/>
      <c r="F485" s="318"/>
      <c r="G485" s="318"/>
      <c r="H485" s="318"/>
    </row>
    <row r="486" spans="4:8" ht="12.75" customHeight="1">
      <c r="D486" s="321"/>
      <c r="E486" s="318"/>
      <c r="F486" s="318"/>
      <c r="G486" s="318"/>
      <c r="H486" s="318"/>
    </row>
    <row r="487" spans="4:8" ht="12.75" customHeight="1">
      <c r="D487" s="321"/>
      <c r="E487" s="318"/>
      <c r="F487" s="318"/>
      <c r="G487" s="318"/>
      <c r="H487" s="318"/>
    </row>
    <row r="488" spans="4:8" ht="12.75" customHeight="1">
      <c r="D488" s="321"/>
      <c r="E488" s="318"/>
      <c r="F488" s="318"/>
      <c r="G488" s="318"/>
      <c r="H488" s="318"/>
    </row>
    <row r="489" spans="4:8" ht="12.75" customHeight="1">
      <c r="D489" s="321"/>
      <c r="E489" s="318"/>
      <c r="F489" s="318"/>
      <c r="G489" s="318"/>
      <c r="H489" s="318"/>
    </row>
    <row r="490" spans="4:8" ht="12.75" customHeight="1">
      <c r="D490" s="321"/>
      <c r="E490" s="318"/>
      <c r="F490" s="318"/>
      <c r="G490" s="318"/>
      <c r="H490" s="318"/>
    </row>
    <row r="491" spans="4:8" ht="12.75" customHeight="1">
      <c r="D491" s="321"/>
      <c r="E491" s="318"/>
      <c r="F491" s="318"/>
      <c r="G491" s="318"/>
      <c r="H491" s="318"/>
    </row>
    <row r="492" spans="4:8" ht="12.75" customHeight="1">
      <c r="D492" s="321"/>
      <c r="E492" s="318"/>
      <c r="F492" s="318"/>
      <c r="G492" s="318"/>
      <c r="H492" s="318"/>
    </row>
    <row r="493" spans="4:8" ht="12.75" customHeight="1">
      <c r="D493" s="321"/>
      <c r="E493" s="318"/>
      <c r="F493" s="318"/>
      <c r="G493" s="318"/>
      <c r="H493" s="318"/>
    </row>
    <row r="494" spans="4:8" ht="12.75" customHeight="1">
      <c r="D494" s="321"/>
      <c r="E494" s="318"/>
      <c r="F494" s="318"/>
      <c r="G494" s="318"/>
      <c r="H494" s="318"/>
    </row>
    <row r="495" spans="4:8" ht="12.75" customHeight="1">
      <c r="D495" s="321"/>
      <c r="E495" s="318"/>
      <c r="F495" s="318"/>
      <c r="G495" s="318"/>
      <c r="H495" s="318"/>
    </row>
    <row r="496" spans="4:8" ht="12.75" customHeight="1">
      <c r="D496" s="321"/>
      <c r="E496" s="318"/>
      <c r="F496" s="318"/>
      <c r="G496" s="318"/>
      <c r="H496" s="318"/>
    </row>
    <row r="497" spans="4:8" ht="12.75" customHeight="1">
      <c r="D497" s="321"/>
      <c r="E497" s="318"/>
      <c r="F497" s="318"/>
      <c r="G497" s="318"/>
      <c r="H497" s="318"/>
    </row>
    <row r="498" spans="4:8" ht="12.75" customHeight="1">
      <c r="D498" s="321"/>
      <c r="E498" s="318"/>
      <c r="F498" s="318"/>
      <c r="G498" s="318"/>
      <c r="H498" s="318"/>
    </row>
    <row r="499" spans="4:8" ht="12.75" customHeight="1">
      <c r="D499" s="321"/>
      <c r="E499" s="318"/>
      <c r="F499" s="318"/>
      <c r="G499" s="318"/>
      <c r="H499" s="318"/>
    </row>
    <row r="500" spans="4:8" ht="12.75" customHeight="1">
      <c r="D500" s="321"/>
      <c r="E500" s="318"/>
      <c r="F500" s="318"/>
      <c r="G500" s="318"/>
      <c r="H500" s="318"/>
    </row>
    <row r="501" spans="4:8" ht="12.75" customHeight="1">
      <c r="D501" s="321"/>
      <c r="E501" s="318"/>
      <c r="F501" s="318"/>
      <c r="G501" s="318"/>
      <c r="H501" s="318"/>
    </row>
    <row r="502" spans="4:8" ht="12.75" customHeight="1">
      <c r="D502" s="321"/>
      <c r="E502" s="318"/>
      <c r="F502" s="318"/>
      <c r="G502" s="318"/>
      <c r="H502" s="318"/>
    </row>
    <row r="503" spans="4:8" ht="12.75" customHeight="1">
      <c r="D503" s="321"/>
      <c r="E503" s="318"/>
      <c r="F503" s="318"/>
      <c r="G503" s="318"/>
      <c r="H503" s="318"/>
    </row>
    <row r="504" spans="4:8" ht="12.75" customHeight="1">
      <c r="D504" s="321"/>
      <c r="E504" s="318"/>
      <c r="F504" s="318"/>
      <c r="G504" s="318"/>
      <c r="H504" s="318"/>
    </row>
    <row r="505" spans="4:8" ht="12.75" customHeight="1">
      <c r="D505" s="321"/>
      <c r="E505" s="318"/>
      <c r="F505" s="318"/>
      <c r="G505" s="318"/>
      <c r="H505" s="318"/>
    </row>
    <row r="506" spans="4:8" ht="12.75" customHeight="1">
      <c r="D506" s="321"/>
      <c r="E506" s="318"/>
      <c r="F506" s="318"/>
      <c r="G506" s="318"/>
      <c r="H506" s="318"/>
    </row>
    <row r="507" spans="4:8" ht="12.75" customHeight="1">
      <c r="D507" s="321"/>
      <c r="E507" s="318"/>
      <c r="F507" s="318"/>
      <c r="G507" s="318"/>
      <c r="H507" s="318"/>
    </row>
    <row r="508" spans="4:8" ht="12.75" customHeight="1">
      <c r="D508" s="321"/>
      <c r="E508" s="318"/>
      <c r="F508" s="318"/>
      <c r="G508" s="318"/>
      <c r="H508" s="318"/>
    </row>
    <row r="509" spans="4:8" ht="12.75" customHeight="1">
      <c r="D509" s="321"/>
      <c r="E509" s="318"/>
      <c r="F509" s="318"/>
      <c r="G509" s="318"/>
      <c r="H509" s="318"/>
    </row>
    <row r="510" spans="4:8" ht="12.75" customHeight="1">
      <c r="D510" s="321"/>
      <c r="E510" s="318"/>
      <c r="F510" s="318"/>
      <c r="G510" s="318"/>
      <c r="H510" s="318"/>
    </row>
    <row r="511" spans="4:8" ht="12.75" customHeight="1">
      <c r="D511" s="321"/>
      <c r="E511" s="318"/>
      <c r="F511" s="318"/>
      <c r="G511" s="318"/>
      <c r="H511" s="318"/>
    </row>
    <row r="512" spans="4:8" ht="12.75" customHeight="1">
      <c r="D512" s="321"/>
      <c r="E512" s="318"/>
      <c r="F512" s="318"/>
      <c r="G512" s="318"/>
      <c r="H512" s="318"/>
    </row>
    <row r="513" spans="4:8" ht="12.75" customHeight="1">
      <c r="D513" s="321"/>
      <c r="E513" s="318"/>
      <c r="F513" s="318"/>
      <c r="G513" s="318"/>
      <c r="H513" s="318"/>
    </row>
    <row r="514" spans="4:8" ht="12.75" customHeight="1">
      <c r="D514" s="321"/>
      <c r="E514" s="318"/>
      <c r="F514" s="318"/>
      <c r="G514" s="318"/>
      <c r="H514" s="318"/>
    </row>
    <row r="515" spans="4:8" ht="12.75" customHeight="1">
      <c r="D515" s="321"/>
      <c r="E515" s="318"/>
      <c r="F515" s="318"/>
      <c r="G515" s="318"/>
      <c r="H515" s="318"/>
    </row>
    <row r="516" spans="4:8" ht="12.75" customHeight="1">
      <c r="D516" s="321"/>
      <c r="E516" s="318"/>
      <c r="F516" s="318"/>
      <c r="G516" s="318"/>
      <c r="H516" s="318"/>
    </row>
    <row r="517" spans="4:8" ht="12.75" customHeight="1">
      <c r="D517" s="321"/>
      <c r="E517" s="318"/>
      <c r="F517" s="318"/>
      <c r="G517" s="318"/>
      <c r="H517" s="318"/>
    </row>
    <row r="518" spans="4:8" ht="12.75" customHeight="1">
      <c r="D518" s="321"/>
      <c r="E518" s="318"/>
      <c r="F518" s="318"/>
      <c r="G518" s="318"/>
      <c r="H518" s="318"/>
    </row>
    <row r="519" spans="4:8" ht="12.75" customHeight="1">
      <c r="D519" s="321"/>
      <c r="E519" s="318"/>
      <c r="F519" s="318"/>
      <c r="G519" s="318"/>
      <c r="H519" s="318"/>
    </row>
    <row r="520" spans="4:8" ht="12.75" customHeight="1">
      <c r="D520" s="321"/>
      <c r="E520" s="318"/>
      <c r="F520" s="318"/>
      <c r="G520" s="318"/>
      <c r="H520" s="318"/>
    </row>
    <row r="521" spans="4:8" ht="12.75" customHeight="1">
      <c r="D521" s="321"/>
      <c r="E521" s="318"/>
      <c r="F521" s="318"/>
      <c r="G521" s="318"/>
      <c r="H521" s="318"/>
    </row>
    <row r="522" spans="4:8" ht="12.75" customHeight="1">
      <c r="D522" s="321"/>
      <c r="E522" s="318"/>
      <c r="F522" s="318"/>
      <c r="G522" s="318"/>
      <c r="H522" s="318"/>
    </row>
    <row r="523" spans="4:8" ht="12.75" customHeight="1">
      <c r="D523" s="321"/>
      <c r="E523" s="318"/>
      <c r="F523" s="318"/>
      <c r="G523" s="318"/>
      <c r="H523" s="318"/>
    </row>
    <row r="524" spans="4:8" ht="12.75" customHeight="1">
      <c r="D524" s="321"/>
      <c r="E524" s="318"/>
      <c r="F524" s="318"/>
      <c r="G524" s="318"/>
      <c r="H524" s="318"/>
    </row>
    <row r="525" spans="4:8" ht="12.75" customHeight="1">
      <c r="D525" s="321"/>
      <c r="E525" s="318"/>
      <c r="F525" s="318"/>
      <c r="G525" s="318"/>
      <c r="H525" s="318"/>
    </row>
    <row r="526" spans="4:8" ht="12.75" customHeight="1">
      <c r="D526" s="321"/>
      <c r="E526" s="318"/>
      <c r="F526" s="318"/>
      <c r="G526" s="318"/>
      <c r="H526" s="318"/>
    </row>
    <row r="527" spans="4:8" ht="12.75" customHeight="1">
      <c r="D527" s="321"/>
      <c r="E527" s="318"/>
      <c r="F527" s="318"/>
      <c r="G527" s="318"/>
      <c r="H527" s="318"/>
    </row>
    <row r="528" spans="4:8" ht="12.75" customHeight="1">
      <c r="D528" s="321"/>
      <c r="E528" s="318"/>
      <c r="F528" s="318"/>
      <c r="G528" s="318"/>
      <c r="H528" s="318"/>
    </row>
    <row r="529" spans="4:8" ht="12.75" customHeight="1">
      <c r="D529" s="321"/>
      <c r="E529" s="318"/>
      <c r="F529" s="318"/>
      <c r="G529" s="318"/>
      <c r="H529" s="318"/>
    </row>
    <row r="530" spans="4:8" ht="12.75" customHeight="1">
      <c r="D530" s="321"/>
      <c r="E530" s="318"/>
      <c r="F530" s="318"/>
      <c r="G530" s="318"/>
      <c r="H530" s="318"/>
    </row>
    <row r="531" spans="4:8" ht="12.75" customHeight="1">
      <c r="D531" s="321"/>
      <c r="E531" s="318"/>
      <c r="F531" s="318"/>
      <c r="G531" s="318"/>
      <c r="H531" s="318"/>
    </row>
    <row r="532" spans="4:8" ht="12.75" customHeight="1">
      <c r="D532" s="321"/>
      <c r="E532" s="318"/>
      <c r="F532" s="318"/>
      <c r="G532" s="318"/>
      <c r="H532" s="318"/>
    </row>
    <row r="533" spans="4:8" ht="12.75" customHeight="1">
      <c r="D533" s="321"/>
      <c r="E533" s="318"/>
      <c r="F533" s="318"/>
      <c r="G533" s="318"/>
      <c r="H533" s="318"/>
    </row>
    <row r="534" spans="4:8" ht="12.75" customHeight="1">
      <c r="D534" s="321"/>
      <c r="E534" s="318"/>
      <c r="F534" s="318"/>
      <c r="G534" s="318"/>
      <c r="H534" s="318"/>
    </row>
    <row r="535" spans="4:8" ht="12.75" customHeight="1">
      <c r="D535" s="321"/>
      <c r="E535" s="318"/>
      <c r="F535" s="318"/>
      <c r="G535" s="318"/>
      <c r="H535" s="318"/>
    </row>
    <row r="536" spans="4:8" ht="12.75" customHeight="1">
      <c r="D536" s="321"/>
      <c r="E536" s="318"/>
      <c r="F536" s="318"/>
      <c r="G536" s="318"/>
      <c r="H536" s="318"/>
    </row>
    <row r="537" spans="4:8" ht="12.75" customHeight="1">
      <c r="D537" s="321"/>
      <c r="E537" s="318"/>
      <c r="F537" s="318"/>
      <c r="G537" s="318"/>
      <c r="H537" s="318"/>
    </row>
    <row r="538" spans="4:8" ht="12.75" customHeight="1">
      <c r="D538" s="321"/>
      <c r="E538" s="318"/>
      <c r="F538" s="318"/>
      <c r="G538" s="318"/>
      <c r="H538" s="318"/>
    </row>
    <row r="539" spans="4:8" ht="12.75" customHeight="1">
      <c r="D539" s="321"/>
      <c r="E539" s="318"/>
      <c r="F539" s="318"/>
      <c r="G539" s="318"/>
      <c r="H539" s="318"/>
    </row>
    <row r="540" spans="4:8" ht="12.75" customHeight="1">
      <c r="D540" s="321"/>
      <c r="E540" s="318"/>
      <c r="F540" s="318"/>
      <c r="G540" s="318"/>
      <c r="H540" s="318"/>
    </row>
    <row r="541" spans="4:8" ht="12.75" customHeight="1">
      <c r="D541" s="321"/>
      <c r="E541" s="318"/>
      <c r="F541" s="318"/>
      <c r="G541" s="318"/>
      <c r="H541" s="318"/>
    </row>
    <row r="542" spans="4:8" ht="12.75" customHeight="1">
      <c r="D542" s="321"/>
      <c r="E542" s="318"/>
      <c r="F542" s="318"/>
      <c r="G542" s="318"/>
      <c r="H542" s="318"/>
    </row>
    <row r="543" spans="4:8" ht="12.75" customHeight="1">
      <c r="D543" s="321"/>
      <c r="E543" s="318"/>
      <c r="F543" s="318"/>
      <c r="G543" s="318"/>
      <c r="H543" s="318"/>
    </row>
    <row r="544" spans="4:8" ht="12.75" customHeight="1">
      <c r="D544" s="321"/>
      <c r="E544" s="318"/>
      <c r="F544" s="318"/>
      <c r="G544" s="318"/>
      <c r="H544" s="318"/>
    </row>
    <row r="545" spans="4:8" ht="12.75" customHeight="1">
      <c r="D545" s="321"/>
      <c r="E545" s="318"/>
      <c r="F545" s="318"/>
      <c r="G545" s="318"/>
      <c r="H545" s="318"/>
    </row>
    <row r="546" spans="4:8" ht="12.75" customHeight="1">
      <c r="D546" s="321"/>
      <c r="E546" s="318"/>
      <c r="F546" s="318"/>
      <c r="G546" s="318"/>
      <c r="H546" s="318"/>
    </row>
    <row r="547" spans="4:8" ht="12.75" customHeight="1">
      <c r="D547" s="321"/>
      <c r="E547" s="318"/>
      <c r="F547" s="318"/>
      <c r="G547" s="318"/>
      <c r="H547" s="318"/>
    </row>
    <row r="548" spans="4:8" ht="12.75" customHeight="1">
      <c r="D548" s="321"/>
      <c r="E548" s="318"/>
      <c r="F548" s="318"/>
      <c r="G548" s="318"/>
      <c r="H548" s="318"/>
    </row>
    <row r="549" spans="4:8" ht="12.75" customHeight="1">
      <c r="D549" s="321"/>
      <c r="E549" s="318"/>
      <c r="F549" s="318"/>
      <c r="G549" s="318"/>
      <c r="H549" s="318"/>
    </row>
    <row r="550" spans="4:8" ht="12.75" customHeight="1">
      <c r="D550" s="321"/>
      <c r="E550" s="318"/>
      <c r="F550" s="318"/>
      <c r="G550" s="318"/>
      <c r="H550" s="318"/>
    </row>
    <row r="551" spans="4:8" ht="12.75" customHeight="1">
      <c r="D551" s="321"/>
      <c r="E551" s="318"/>
      <c r="F551" s="318"/>
      <c r="G551" s="318"/>
      <c r="H551" s="318"/>
    </row>
    <row r="552" spans="4:8" ht="12.75" customHeight="1">
      <c r="D552" s="321"/>
      <c r="E552" s="318"/>
      <c r="F552" s="318"/>
      <c r="G552" s="318"/>
      <c r="H552" s="318"/>
    </row>
    <row r="553" spans="4:8" ht="12.75" customHeight="1">
      <c r="D553" s="321"/>
      <c r="E553" s="318"/>
      <c r="F553" s="318"/>
      <c r="G553" s="318"/>
      <c r="H553" s="318"/>
    </row>
    <row r="554" spans="4:8" ht="12.75" customHeight="1">
      <c r="D554" s="321"/>
      <c r="E554" s="318"/>
      <c r="F554" s="318"/>
      <c r="G554" s="318"/>
      <c r="H554" s="318"/>
    </row>
    <row r="555" spans="4:8" ht="12.75" customHeight="1">
      <c r="D555" s="321"/>
      <c r="E555" s="318"/>
      <c r="F555" s="318"/>
      <c r="G555" s="318"/>
      <c r="H555" s="318"/>
    </row>
    <row r="556" spans="4:8" ht="12.75" customHeight="1">
      <c r="D556" s="321"/>
      <c r="E556" s="318"/>
      <c r="F556" s="318"/>
      <c r="G556" s="318"/>
      <c r="H556" s="318"/>
    </row>
    <row r="557" spans="4:8" ht="12.75" customHeight="1">
      <c r="D557" s="321"/>
      <c r="E557" s="318"/>
      <c r="F557" s="318"/>
      <c r="G557" s="318"/>
      <c r="H557" s="318"/>
    </row>
    <row r="558" spans="4:8" ht="12.75" customHeight="1">
      <c r="D558" s="321"/>
      <c r="E558" s="318"/>
      <c r="F558" s="318"/>
      <c r="G558" s="318"/>
      <c r="H558" s="318"/>
    </row>
    <row r="559" spans="4:8" ht="12.75" customHeight="1">
      <c r="D559" s="321"/>
      <c r="E559" s="318"/>
      <c r="F559" s="318"/>
      <c r="G559" s="318"/>
      <c r="H559" s="318"/>
    </row>
    <row r="560" spans="4:8" ht="12.75" customHeight="1">
      <c r="D560" s="321"/>
      <c r="E560" s="318"/>
      <c r="F560" s="318"/>
      <c r="G560" s="318"/>
      <c r="H560" s="318"/>
    </row>
    <row r="561" spans="4:8" ht="12.75" customHeight="1">
      <c r="D561" s="321"/>
      <c r="E561" s="318"/>
      <c r="F561" s="318"/>
      <c r="G561" s="318"/>
      <c r="H561" s="318"/>
    </row>
    <row r="562" spans="4:8" ht="12.75" customHeight="1">
      <c r="D562" s="321"/>
      <c r="E562" s="318"/>
      <c r="F562" s="318"/>
      <c r="G562" s="318"/>
      <c r="H562" s="318"/>
    </row>
    <row r="563" spans="4:8" ht="12.75" customHeight="1">
      <c r="D563" s="321"/>
      <c r="E563" s="318"/>
      <c r="F563" s="318"/>
      <c r="G563" s="318"/>
      <c r="H563" s="318"/>
    </row>
    <row r="564" spans="4:8" ht="12.75" customHeight="1">
      <c r="D564" s="321"/>
      <c r="E564" s="318"/>
      <c r="F564" s="318"/>
      <c r="G564" s="318"/>
      <c r="H564" s="318"/>
    </row>
    <row r="565" spans="4:8" ht="12.75" customHeight="1">
      <c r="D565" s="321"/>
      <c r="E565" s="318"/>
      <c r="F565" s="318"/>
      <c r="G565" s="318"/>
      <c r="H565" s="318"/>
    </row>
    <row r="566" spans="4:8" ht="12.75" customHeight="1">
      <c r="D566" s="321"/>
      <c r="E566" s="318"/>
      <c r="F566" s="318"/>
      <c r="G566" s="318"/>
      <c r="H566" s="318"/>
    </row>
    <row r="567" spans="4:8" ht="12.75" customHeight="1">
      <c r="D567" s="321"/>
      <c r="E567" s="318"/>
      <c r="F567" s="318"/>
      <c r="G567" s="318"/>
      <c r="H567" s="318"/>
    </row>
    <row r="568" spans="4:8" ht="12.75" customHeight="1">
      <c r="D568" s="321"/>
      <c r="E568" s="318"/>
      <c r="F568" s="318"/>
      <c r="G568" s="318"/>
      <c r="H568" s="318"/>
    </row>
    <row r="569" spans="4:8" ht="12.75" customHeight="1">
      <c r="D569" s="321"/>
      <c r="E569" s="318"/>
      <c r="F569" s="318"/>
      <c r="G569" s="318"/>
      <c r="H569" s="318"/>
    </row>
    <row r="570" spans="4:8" ht="12.75" customHeight="1">
      <c r="D570" s="321"/>
      <c r="E570" s="318"/>
      <c r="F570" s="318"/>
      <c r="G570" s="318"/>
      <c r="H570" s="318"/>
    </row>
    <row r="571" spans="4:8" ht="12.75" customHeight="1">
      <c r="D571" s="321"/>
      <c r="E571" s="318"/>
      <c r="F571" s="318"/>
      <c r="G571" s="318"/>
      <c r="H571" s="318"/>
    </row>
    <row r="572" spans="4:8" ht="12.75" customHeight="1">
      <c r="D572" s="321"/>
      <c r="E572" s="318"/>
      <c r="F572" s="318"/>
      <c r="G572" s="318"/>
      <c r="H572" s="318"/>
    </row>
    <row r="573" spans="4:8" ht="12.75" customHeight="1">
      <c r="D573" s="321"/>
      <c r="E573" s="318"/>
      <c r="F573" s="318"/>
      <c r="G573" s="318"/>
      <c r="H573" s="318"/>
    </row>
    <row r="574" spans="4:8" ht="12.75" customHeight="1">
      <c r="D574" s="321"/>
      <c r="E574" s="318"/>
      <c r="F574" s="318"/>
      <c r="G574" s="318"/>
      <c r="H574" s="318"/>
    </row>
    <row r="575" spans="4:8" ht="12.75" customHeight="1">
      <c r="D575" s="321"/>
      <c r="E575" s="318"/>
      <c r="F575" s="318"/>
      <c r="G575" s="318"/>
      <c r="H575" s="318"/>
    </row>
    <row r="576" spans="4:8" ht="12.75" customHeight="1">
      <c r="D576" s="321"/>
      <c r="E576" s="318"/>
      <c r="F576" s="318"/>
      <c r="G576" s="318"/>
      <c r="H576" s="318"/>
    </row>
    <row r="577" spans="4:8" ht="12.75" customHeight="1">
      <c r="D577" s="321"/>
      <c r="E577" s="318"/>
      <c r="F577" s="318"/>
      <c r="G577" s="318"/>
      <c r="H577" s="318"/>
    </row>
    <row r="578" spans="4:8" ht="12.75" customHeight="1">
      <c r="D578" s="321"/>
      <c r="E578" s="318"/>
      <c r="F578" s="318"/>
      <c r="G578" s="318"/>
      <c r="H578" s="318"/>
    </row>
    <row r="579" spans="4:8" ht="12.75" customHeight="1">
      <c r="D579" s="321"/>
      <c r="E579" s="318"/>
      <c r="F579" s="318"/>
      <c r="G579" s="318"/>
      <c r="H579" s="318"/>
    </row>
    <row r="580" spans="4:8" ht="12.75" customHeight="1">
      <c r="D580" s="321"/>
      <c r="E580" s="318"/>
      <c r="F580" s="318"/>
      <c r="G580" s="318"/>
      <c r="H580" s="318"/>
    </row>
    <row r="581" spans="4:8" ht="12.75" customHeight="1">
      <c r="D581" s="321"/>
      <c r="E581" s="318"/>
      <c r="F581" s="318"/>
      <c r="G581" s="318"/>
      <c r="H581" s="318"/>
    </row>
    <row r="582" spans="4:8" ht="12.75" customHeight="1">
      <c r="D582" s="321"/>
      <c r="E582" s="318"/>
      <c r="F582" s="318"/>
      <c r="G582" s="318"/>
      <c r="H582" s="318"/>
    </row>
    <row r="583" spans="4:8" ht="12.75" customHeight="1">
      <c r="D583" s="321"/>
      <c r="E583" s="318"/>
      <c r="F583" s="318"/>
      <c r="G583" s="318"/>
      <c r="H583" s="318"/>
    </row>
    <row r="584" spans="4:8" ht="12.75" customHeight="1">
      <c r="D584" s="321"/>
      <c r="E584" s="318"/>
      <c r="F584" s="318"/>
      <c r="G584" s="318"/>
      <c r="H584" s="318"/>
    </row>
    <row r="585" spans="4:8" ht="12.75" customHeight="1">
      <c r="D585" s="321"/>
      <c r="E585" s="318"/>
      <c r="F585" s="318"/>
      <c r="G585" s="318"/>
      <c r="H585" s="318"/>
    </row>
    <row r="586" spans="4:8" ht="12.75" customHeight="1">
      <c r="D586" s="321"/>
      <c r="E586" s="318"/>
      <c r="F586" s="318"/>
      <c r="G586" s="318"/>
      <c r="H586" s="318"/>
    </row>
    <row r="587" spans="4:8" ht="12.75" customHeight="1">
      <c r="D587" s="321"/>
      <c r="E587" s="318"/>
      <c r="F587" s="318"/>
      <c r="G587" s="318"/>
      <c r="H587" s="318"/>
    </row>
    <row r="588" spans="4:8" ht="12.75" customHeight="1">
      <c r="D588" s="321"/>
      <c r="E588" s="318"/>
      <c r="F588" s="318"/>
      <c r="G588" s="318"/>
      <c r="H588" s="318"/>
    </row>
    <row r="589" spans="4:8" ht="12.75" customHeight="1">
      <c r="D589" s="321"/>
      <c r="E589" s="318"/>
      <c r="F589" s="318"/>
      <c r="G589" s="318"/>
      <c r="H589" s="318"/>
    </row>
    <row r="590" spans="4:8" ht="12.75" customHeight="1">
      <c r="D590" s="321"/>
      <c r="E590" s="318"/>
      <c r="F590" s="318"/>
      <c r="G590" s="318"/>
      <c r="H590" s="318"/>
    </row>
    <row r="591" spans="4:8" ht="12.75" customHeight="1">
      <c r="D591" s="321"/>
      <c r="E591" s="318"/>
      <c r="F591" s="318"/>
      <c r="G591" s="318"/>
      <c r="H591" s="318"/>
    </row>
    <row r="592" spans="4:8" ht="12.75" customHeight="1">
      <c r="D592" s="321"/>
      <c r="E592" s="318"/>
      <c r="F592" s="318"/>
      <c r="G592" s="318"/>
      <c r="H592" s="318"/>
    </row>
    <row r="593" spans="4:8" ht="12.75" customHeight="1">
      <c r="D593" s="321"/>
      <c r="E593" s="318"/>
      <c r="F593" s="318"/>
      <c r="G593" s="318"/>
      <c r="H593" s="318"/>
    </row>
    <row r="594" spans="4:8" ht="12.75" customHeight="1">
      <c r="D594" s="321"/>
      <c r="E594" s="318"/>
      <c r="F594" s="318"/>
      <c r="G594" s="318"/>
      <c r="H594" s="318"/>
    </row>
    <row r="595" spans="4:8" ht="12.75" customHeight="1">
      <c r="D595" s="321"/>
      <c r="E595" s="318"/>
      <c r="F595" s="318"/>
      <c r="G595" s="318"/>
      <c r="H595" s="318"/>
    </row>
    <row r="596" spans="4:8" ht="12.75" customHeight="1">
      <c r="D596" s="321"/>
      <c r="E596" s="318"/>
      <c r="F596" s="318"/>
      <c r="G596" s="318"/>
      <c r="H596" s="318"/>
    </row>
    <row r="597" spans="4:8" ht="12.75" customHeight="1">
      <c r="D597" s="321"/>
      <c r="E597" s="318"/>
      <c r="F597" s="318"/>
      <c r="G597" s="318"/>
      <c r="H597" s="318"/>
    </row>
    <row r="598" spans="4:8" ht="12.75" customHeight="1">
      <c r="D598" s="321"/>
      <c r="E598" s="318"/>
      <c r="F598" s="318"/>
      <c r="G598" s="318"/>
      <c r="H598" s="318"/>
    </row>
    <row r="599" spans="4:8" ht="12.75" customHeight="1">
      <c r="D599" s="321"/>
      <c r="E599" s="318"/>
      <c r="F599" s="318"/>
      <c r="G599" s="318"/>
      <c r="H599" s="318"/>
    </row>
    <row r="600" spans="4:8" ht="12.75" customHeight="1">
      <c r="D600" s="321"/>
      <c r="E600" s="318"/>
      <c r="F600" s="318"/>
      <c r="G600" s="318"/>
      <c r="H600" s="318"/>
    </row>
    <row r="601" spans="4:8" ht="12.75" customHeight="1">
      <c r="D601" s="321"/>
      <c r="E601" s="318"/>
      <c r="F601" s="318"/>
      <c r="G601" s="318"/>
      <c r="H601" s="318"/>
    </row>
    <row r="602" spans="4:8" ht="12.75" customHeight="1">
      <c r="D602" s="321"/>
      <c r="E602" s="318"/>
      <c r="F602" s="318"/>
      <c r="G602" s="318"/>
      <c r="H602" s="318"/>
    </row>
    <row r="603" spans="4:8" ht="12.75" customHeight="1">
      <c r="D603" s="321"/>
      <c r="E603" s="318"/>
      <c r="F603" s="318"/>
      <c r="G603" s="318"/>
      <c r="H603" s="318"/>
    </row>
    <row r="604" spans="4:8" ht="12.75" customHeight="1">
      <c r="D604" s="321"/>
      <c r="E604" s="318"/>
      <c r="F604" s="318"/>
      <c r="G604" s="318"/>
      <c r="H604" s="318"/>
    </row>
    <row r="605" spans="4:8" ht="12.75" customHeight="1">
      <c r="D605" s="321"/>
      <c r="E605" s="318"/>
      <c r="F605" s="318"/>
      <c r="G605" s="318"/>
      <c r="H605" s="318"/>
    </row>
    <row r="606" spans="4:8" ht="12.75" customHeight="1">
      <c r="D606" s="321"/>
      <c r="E606" s="318"/>
      <c r="F606" s="318"/>
      <c r="G606" s="318"/>
      <c r="H606" s="318"/>
    </row>
    <row r="607" spans="4:8" ht="12.75" customHeight="1">
      <c r="D607" s="321"/>
      <c r="E607" s="318"/>
      <c r="F607" s="318"/>
      <c r="G607" s="318"/>
      <c r="H607" s="318"/>
    </row>
    <row r="608" spans="4:8" ht="12.75" customHeight="1">
      <c r="D608" s="321"/>
      <c r="E608" s="318"/>
      <c r="F608" s="318"/>
      <c r="G608" s="318"/>
      <c r="H608" s="318"/>
    </row>
    <row r="609" spans="4:8" ht="12.75" customHeight="1">
      <c r="D609" s="321"/>
      <c r="E609" s="318"/>
      <c r="F609" s="318"/>
      <c r="G609" s="318"/>
      <c r="H609" s="318"/>
    </row>
    <row r="610" spans="4:8" ht="12.75" customHeight="1">
      <c r="D610" s="321"/>
      <c r="E610" s="318"/>
      <c r="F610" s="318"/>
      <c r="G610" s="318"/>
      <c r="H610" s="318"/>
    </row>
    <row r="611" spans="4:8" ht="12.75" customHeight="1">
      <c r="D611" s="321"/>
      <c r="E611" s="318"/>
      <c r="F611" s="318"/>
      <c r="G611" s="318"/>
      <c r="H611" s="318"/>
    </row>
    <row r="612" spans="4:8" ht="12.75" customHeight="1">
      <c r="D612" s="321"/>
      <c r="E612" s="318"/>
      <c r="F612" s="318"/>
      <c r="G612" s="318"/>
      <c r="H612" s="318"/>
    </row>
    <row r="613" spans="4:8" ht="12.75" customHeight="1">
      <c r="D613" s="321"/>
      <c r="E613" s="318"/>
      <c r="F613" s="318"/>
      <c r="G613" s="318"/>
      <c r="H613" s="318"/>
    </row>
    <row r="614" spans="4:8" ht="12.75" customHeight="1">
      <c r="D614" s="321"/>
      <c r="E614" s="318"/>
      <c r="F614" s="318"/>
      <c r="G614" s="318"/>
      <c r="H614" s="318"/>
    </row>
    <row r="615" spans="4:8" ht="12.75" customHeight="1">
      <c r="D615" s="321"/>
      <c r="E615" s="318"/>
      <c r="F615" s="318"/>
      <c r="G615" s="318"/>
      <c r="H615" s="318"/>
    </row>
    <row r="616" spans="4:8" ht="12.75" customHeight="1">
      <c r="D616" s="321"/>
      <c r="E616" s="318"/>
      <c r="F616" s="318"/>
      <c r="G616" s="318"/>
      <c r="H616" s="318"/>
    </row>
    <row r="617" spans="4:8" ht="12.75" customHeight="1">
      <c r="D617" s="321"/>
      <c r="E617" s="318"/>
      <c r="F617" s="318"/>
      <c r="G617" s="318"/>
      <c r="H617" s="318"/>
    </row>
    <row r="618" spans="4:8" ht="12.75" customHeight="1">
      <c r="D618" s="321"/>
      <c r="E618" s="318"/>
      <c r="F618" s="318"/>
      <c r="G618" s="318"/>
      <c r="H618" s="318"/>
    </row>
    <row r="619" spans="4:8" ht="12.75" customHeight="1">
      <c r="D619" s="321"/>
      <c r="E619" s="318"/>
      <c r="F619" s="318"/>
      <c r="G619" s="318"/>
      <c r="H619" s="318"/>
    </row>
    <row r="620" spans="4:8" ht="12.75" customHeight="1">
      <c r="D620" s="321"/>
      <c r="E620" s="318"/>
      <c r="F620" s="318"/>
      <c r="G620" s="318"/>
      <c r="H620" s="318"/>
    </row>
    <row r="621" spans="4:8" ht="12.75" customHeight="1">
      <c r="D621" s="321"/>
      <c r="E621" s="318"/>
      <c r="F621" s="318"/>
      <c r="G621" s="318"/>
      <c r="H621" s="318"/>
    </row>
    <row r="622" spans="4:8" ht="12.75" customHeight="1">
      <c r="D622" s="321"/>
      <c r="E622" s="318"/>
      <c r="F622" s="318"/>
      <c r="G622" s="318"/>
      <c r="H622" s="318"/>
    </row>
    <row r="623" spans="4:8" ht="12.75" customHeight="1">
      <c r="D623" s="321"/>
      <c r="E623" s="318"/>
      <c r="F623" s="318"/>
      <c r="G623" s="318"/>
      <c r="H623" s="318"/>
    </row>
    <row r="624" spans="4:8" ht="12.75" customHeight="1">
      <c r="D624" s="321"/>
      <c r="E624" s="318"/>
      <c r="F624" s="318"/>
      <c r="G624" s="318"/>
      <c r="H624" s="318"/>
    </row>
    <row r="625" spans="4:8" ht="12.75" customHeight="1">
      <c r="D625" s="321"/>
      <c r="E625" s="318"/>
      <c r="F625" s="318"/>
      <c r="G625" s="318"/>
      <c r="H625" s="318"/>
    </row>
    <row r="626" spans="4:8" ht="12.75" customHeight="1">
      <c r="D626" s="321"/>
      <c r="E626" s="318"/>
      <c r="F626" s="318"/>
      <c r="G626" s="318"/>
      <c r="H626" s="318"/>
    </row>
    <row r="627" spans="4:8" ht="12.75" customHeight="1">
      <c r="D627" s="321"/>
      <c r="E627" s="318"/>
      <c r="F627" s="318"/>
      <c r="G627" s="318"/>
      <c r="H627" s="318"/>
    </row>
    <row r="628" spans="4:8" ht="12.75" customHeight="1">
      <c r="D628" s="321"/>
      <c r="E628" s="318"/>
      <c r="F628" s="318"/>
      <c r="G628" s="318"/>
      <c r="H628" s="318"/>
    </row>
    <row r="629" spans="4:8" ht="12.75" customHeight="1">
      <c r="D629" s="321"/>
      <c r="E629" s="318"/>
      <c r="F629" s="318"/>
      <c r="G629" s="318"/>
      <c r="H629" s="318"/>
    </row>
    <row r="630" spans="4:8" ht="12.75" customHeight="1">
      <c r="D630" s="321"/>
      <c r="E630" s="318"/>
      <c r="F630" s="318"/>
      <c r="G630" s="318"/>
      <c r="H630" s="318"/>
    </row>
    <row r="631" spans="4:8" ht="12.75" customHeight="1">
      <c r="D631" s="321"/>
      <c r="E631" s="318"/>
      <c r="F631" s="318"/>
      <c r="G631" s="318"/>
      <c r="H631" s="318"/>
    </row>
    <row r="632" spans="4:8" ht="12.75" customHeight="1">
      <c r="D632" s="321"/>
      <c r="E632" s="318"/>
      <c r="F632" s="318"/>
      <c r="G632" s="318"/>
      <c r="H632" s="318"/>
    </row>
    <row r="633" spans="4:8" ht="12.75" customHeight="1">
      <c r="D633" s="321"/>
      <c r="E633" s="318"/>
      <c r="F633" s="318"/>
      <c r="G633" s="318"/>
      <c r="H633" s="318"/>
    </row>
    <row r="634" spans="4:8" ht="12.75" customHeight="1">
      <c r="D634" s="321"/>
      <c r="E634" s="318"/>
      <c r="F634" s="318"/>
      <c r="G634" s="318"/>
      <c r="H634" s="318"/>
    </row>
    <row r="635" spans="4:8" ht="12.75" customHeight="1">
      <c r="D635" s="321"/>
      <c r="E635" s="318"/>
      <c r="F635" s="318"/>
      <c r="G635" s="318"/>
      <c r="H635" s="318"/>
    </row>
    <row r="636" spans="4:8" ht="12.75" customHeight="1">
      <c r="D636" s="321"/>
      <c r="E636" s="318"/>
      <c r="F636" s="318"/>
      <c r="G636" s="318"/>
      <c r="H636" s="318"/>
    </row>
    <row r="637" spans="4:8" ht="12.75" customHeight="1">
      <c r="D637" s="321"/>
      <c r="E637" s="318"/>
      <c r="F637" s="318"/>
      <c r="G637" s="318"/>
      <c r="H637" s="318"/>
    </row>
    <row r="638" spans="4:8" ht="12.75" customHeight="1">
      <c r="D638" s="321"/>
      <c r="E638" s="318"/>
      <c r="F638" s="318"/>
      <c r="G638" s="318"/>
      <c r="H638" s="318"/>
    </row>
    <row r="639" spans="4:8" ht="12.75" customHeight="1">
      <c r="D639" s="321"/>
      <c r="E639" s="318"/>
      <c r="F639" s="318"/>
      <c r="G639" s="318"/>
      <c r="H639" s="318"/>
    </row>
    <row r="640" spans="4:8" ht="12.75" customHeight="1">
      <c r="D640" s="321"/>
      <c r="E640" s="318"/>
      <c r="F640" s="318"/>
      <c r="G640" s="318"/>
      <c r="H640" s="318"/>
    </row>
    <row r="641" spans="4:8" ht="12.75" customHeight="1">
      <c r="D641" s="321"/>
      <c r="E641" s="318"/>
      <c r="F641" s="318"/>
      <c r="G641" s="318"/>
      <c r="H641" s="318"/>
    </row>
    <row r="642" spans="4:8" ht="12.75" customHeight="1">
      <c r="D642" s="321"/>
      <c r="E642" s="318"/>
      <c r="F642" s="318"/>
      <c r="G642" s="318"/>
      <c r="H642" s="318"/>
    </row>
    <row r="643" spans="4:8" ht="12.75" customHeight="1">
      <c r="D643" s="321"/>
      <c r="E643" s="318"/>
      <c r="F643" s="318"/>
      <c r="G643" s="318"/>
      <c r="H643" s="318"/>
    </row>
    <row r="644" spans="4:8" ht="12.75" customHeight="1">
      <c r="D644" s="321"/>
      <c r="E644" s="318"/>
      <c r="F644" s="318"/>
      <c r="G644" s="318"/>
      <c r="H644" s="318"/>
    </row>
    <row r="645" spans="4:8" ht="12.75" customHeight="1">
      <c r="D645" s="321"/>
      <c r="E645" s="318"/>
      <c r="F645" s="318"/>
      <c r="G645" s="318"/>
      <c r="H645" s="318"/>
    </row>
    <row r="646" spans="4:8" ht="12.75" customHeight="1">
      <c r="D646" s="321"/>
      <c r="E646" s="318"/>
      <c r="F646" s="318"/>
      <c r="G646" s="318"/>
      <c r="H646" s="318"/>
    </row>
    <row r="647" spans="4:8" ht="12.75" customHeight="1">
      <c r="D647" s="321"/>
      <c r="E647" s="318"/>
      <c r="F647" s="318"/>
      <c r="G647" s="318"/>
      <c r="H647" s="318"/>
    </row>
    <row r="648" spans="4:8" ht="12.75" customHeight="1">
      <c r="D648" s="321"/>
      <c r="E648" s="318"/>
      <c r="F648" s="318"/>
      <c r="G648" s="318"/>
      <c r="H648" s="318"/>
    </row>
    <row r="649" spans="4:8" ht="12.75" customHeight="1">
      <c r="D649" s="321"/>
      <c r="E649" s="318"/>
      <c r="F649" s="318"/>
      <c r="G649" s="318"/>
      <c r="H649" s="318"/>
    </row>
    <row r="650" spans="4:8" ht="12.75" customHeight="1">
      <c r="D650" s="321"/>
      <c r="E650" s="318"/>
      <c r="F650" s="318"/>
      <c r="G650" s="318"/>
      <c r="H650" s="318"/>
    </row>
    <row r="651" spans="4:8" ht="12.75" customHeight="1">
      <c r="D651" s="321"/>
      <c r="E651" s="318"/>
      <c r="F651" s="318"/>
      <c r="G651" s="318"/>
      <c r="H651" s="318"/>
    </row>
    <row r="652" spans="4:8" ht="12.75" customHeight="1">
      <c r="D652" s="321"/>
      <c r="E652" s="318"/>
      <c r="F652" s="318"/>
      <c r="G652" s="318"/>
      <c r="H652" s="318"/>
    </row>
    <row r="653" spans="4:8" ht="12.75" customHeight="1">
      <c r="D653" s="321"/>
      <c r="E653" s="318"/>
      <c r="F653" s="318"/>
      <c r="G653" s="318"/>
      <c r="H653" s="318"/>
    </row>
    <row r="654" spans="4:8" ht="12.75" customHeight="1">
      <c r="D654" s="321"/>
      <c r="E654" s="318"/>
      <c r="F654" s="318"/>
      <c r="G654" s="318"/>
      <c r="H654" s="318"/>
    </row>
    <row r="655" spans="4:8" ht="12.75" customHeight="1">
      <c r="D655" s="321"/>
      <c r="E655" s="318"/>
      <c r="F655" s="318"/>
      <c r="G655" s="318"/>
      <c r="H655" s="318"/>
    </row>
    <row r="656" spans="4:8" ht="12.75" customHeight="1">
      <c r="D656" s="321"/>
      <c r="E656" s="318"/>
      <c r="F656" s="318"/>
      <c r="G656" s="318"/>
      <c r="H656" s="318"/>
    </row>
    <row r="657" spans="4:8" ht="12.75" customHeight="1">
      <c r="D657" s="321"/>
      <c r="E657" s="318"/>
      <c r="F657" s="318"/>
      <c r="G657" s="318"/>
      <c r="H657" s="318"/>
    </row>
    <row r="658" spans="4:8" ht="12.75" customHeight="1">
      <c r="D658" s="321"/>
      <c r="E658" s="318"/>
      <c r="F658" s="318"/>
      <c r="G658" s="318"/>
      <c r="H658" s="318"/>
    </row>
    <row r="659" spans="4:8" ht="12.75" customHeight="1">
      <c r="D659" s="321"/>
      <c r="E659" s="318"/>
      <c r="F659" s="318"/>
      <c r="G659" s="318"/>
      <c r="H659" s="318"/>
    </row>
    <row r="660" spans="4:8" ht="12.75" customHeight="1">
      <c r="D660" s="321"/>
      <c r="E660" s="318"/>
      <c r="F660" s="318"/>
      <c r="G660" s="318"/>
      <c r="H660" s="318"/>
    </row>
    <row r="661" spans="4:8" ht="12.75" customHeight="1">
      <c r="D661" s="321"/>
      <c r="E661" s="318"/>
      <c r="F661" s="318"/>
      <c r="G661" s="318"/>
      <c r="H661" s="318"/>
    </row>
    <row r="662" spans="4:8" ht="12.75" customHeight="1">
      <c r="D662" s="321"/>
      <c r="E662" s="318"/>
      <c r="F662" s="318"/>
      <c r="G662" s="318"/>
      <c r="H662" s="318"/>
    </row>
    <row r="663" spans="4:8" ht="12.75" customHeight="1">
      <c r="D663" s="321"/>
      <c r="E663" s="318"/>
      <c r="F663" s="318"/>
      <c r="G663" s="318"/>
      <c r="H663" s="318"/>
    </row>
    <row r="664" spans="4:8" ht="12.75" customHeight="1">
      <c r="D664" s="321"/>
      <c r="E664" s="318"/>
      <c r="F664" s="318"/>
      <c r="G664" s="318"/>
      <c r="H664" s="318"/>
    </row>
    <row r="665" spans="4:8" ht="12.75" customHeight="1">
      <c r="D665" s="321"/>
      <c r="E665" s="318"/>
      <c r="F665" s="318"/>
      <c r="G665" s="318"/>
      <c r="H665" s="318"/>
    </row>
    <row r="666" spans="4:8" ht="12.75" customHeight="1">
      <c r="D666" s="321"/>
      <c r="E666" s="318"/>
      <c r="F666" s="318"/>
      <c r="G666" s="318"/>
      <c r="H666" s="318"/>
    </row>
    <row r="667" spans="4:8" ht="12.75" customHeight="1">
      <c r="D667" s="321"/>
      <c r="E667" s="318"/>
      <c r="F667" s="318"/>
      <c r="G667" s="318"/>
      <c r="H667" s="318"/>
    </row>
    <row r="668" spans="4:8" ht="12.75" customHeight="1">
      <c r="D668" s="321"/>
      <c r="E668" s="318"/>
      <c r="F668" s="318"/>
      <c r="G668" s="318"/>
      <c r="H668" s="318"/>
    </row>
    <row r="669" spans="4:8" ht="12.75" customHeight="1">
      <c r="D669" s="321"/>
      <c r="E669" s="318"/>
      <c r="F669" s="318"/>
      <c r="G669" s="318"/>
      <c r="H669" s="318"/>
    </row>
    <row r="670" spans="4:8" ht="12.75" customHeight="1">
      <c r="D670" s="321"/>
      <c r="E670" s="318"/>
      <c r="F670" s="318"/>
      <c r="G670" s="318"/>
      <c r="H670" s="318"/>
    </row>
    <row r="671" spans="4:8" ht="12.75" customHeight="1">
      <c r="D671" s="321"/>
      <c r="E671" s="318"/>
      <c r="F671" s="318"/>
      <c r="G671" s="318"/>
      <c r="H671" s="318"/>
    </row>
    <row r="672" spans="4:8" ht="12.75" customHeight="1">
      <c r="D672" s="321"/>
      <c r="E672" s="318"/>
      <c r="F672" s="318"/>
      <c r="G672" s="318"/>
      <c r="H672" s="318"/>
    </row>
    <row r="673" spans="4:8" ht="12.75" customHeight="1">
      <c r="D673" s="321"/>
      <c r="E673" s="318"/>
      <c r="F673" s="318"/>
      <c r="G673" s="318"/>
      <c r="H673" s="318"/>
    </row>
    <row r="674" spans="4:8" ht="12.75" customHeight="1">
      <c r="D674" s="321"/>
      <c r="E674" s="318"/>
      <c r="F674" s="318"/>
      <c r="G674" s="318"/>
      <c r="H674" s="318"/>
    </row>
    <row r="675" spans="4:8" ht="12.75" customHeight="1">
      <c r="D675" s="321"/>
      <c r="E675" s="318"/>
      <c r="F675" s="318"/>
      <c r="G675" s="318"/>
      <c r="H675" s="318"/>
    </row>
    <row r="676" spans="4:8" ht="12.75" customHeight="1">
      <c r="D676" s="321"/>
      <c r="E676" s="318"/>
      <c r="F676" s="318"/>
      <c r="G676" s="318"/>
      <c r="H676" s="318"/>
    </row>
    <row r="677" spans="4:8" ht="12.75" customHeight="1">
      <c r="D677" s="321"/>
      <c r="E677" s="318"/>
      <c r="F677" s="318"/>
      <c r="G677" s="318"/>
      <c r="H677" s="318"/>
    </row>
    <row r="678" spans="4:8" ht="12.75" customHeight="1">
      <c r="D678" s="321"/>
      <c r="E678" s="318"/>
      <c r="F678" s="318"/>
      <c r="G678" s="318"/>
      <c r="H678" s="318"/>
    </row>
    <row r="679" spans="4:8" ht="12.75" customHeight="1">
      <c r="D679" s="321"/>
      <c r="E679" s="318"/>
      <c r="F679" s="318"/>
      <c r="G679" s="318"/>
      <c r="H679" s="318"/>
    </row>
    <row r="680" spans="4:8" ht="12.75" customHeight="1">
      <c r="D680" s="321"/>
      <c r="E680" s="318"/>
      <c r="F680" s="318"/>
      <c r="G680" s="318"/>
      <c r="H680" s="318"/>
    </row>
    <row r="681" spans="4:8" ht="12.75" customHeight="1">
      <c r="D681" s="321"/>
      <c r="E681" s="318"/>
      <c r="F681" s="318"/>
      <c r="G681" s="318"/>
      <c r="H681" s="318"/>
    </row>
    <row r="682" spans="4:8" ht="12.75" customHeight="1">
      <c r="D682" s="321"/>
      <c r="E682" s="318"/>
      <c r="F682" s="318"/>
      <c r="G682" s="318"/>
      <c r="H682" s="318"/>
    </row>
    <row r="683" spans="4:8" ht="12.75" customHeight="1">
      <c r="D683" s="321"/>
      <c r="E683" s="318"/>
      <c r="F683" s="318"/>
      <c r="G683" s="318"/>
      <c r="H683" s="318"/>
    </row>
    <row r="684" spans="4:8" ht="12.75" customHeight="1">
      <c r="D684" s="321"/>
      <c r="E684" s="318"/>
      <c r="F684" s="318"/>
      <c r="G684" s="318"/>
      <c r="H684" s="318"/>
    </row>
    <row r="685" spans="4:8" ht="12.75" customHeight="1">
      <c r="D685" s="321"/>
      <c r="E685" s="318"/>
      <c r="F685" s="318"/>
      <c r="G685" s="318"/>
      <c r="H685" s="318"/>
    </row>
    <row r="686" spans="4:8" ht="12.75" customHeight="1">
      <c r="D686" s="321"/>
      <c r="E686" s="318"/>
      <c r="F686" s="318"/>
      <c r="G686" s="318"/>
      <c r="H686" s="318"/>
    </row>
    <row r="687" spans="4:8" ht="12.75" customHeight="1">
      <c r="D687" s="321"/>
      <c r="E687" s="318"/>
      <c r="F687" s="318"/>
      <c r="G687" s="318"/>
      <c r="H687" s="318"/>
    </row>
    <row r="688" spans="4:8" ht="12.75" customHeight="1">
      <c r="D688" s="321"/>
      <c r="E688" s="318"/>
      <c r="F688" s="318"/>
      <c r="G688" s="318"/>
      <c r="H688" s="318"/>
    </row>
    <row r="689" spans="4:8" ht="12.75" customHeight="1">
      <c r="D689" s="321"/>
      <c r="E689" s="318"/>
      <c r="F689" s="318"/>
      <c r="G689" s="318"/>
      <c r="H689" s="318"/>
    </row>
    <row r="690" spans="4:8" ht="12.75" customHeight="1">
      <c r="D690" s="321"/>
      <c r="E690" s="318"/>
      <c r="F690" s="318"/>
      <c r="G690" s="318"/>
      <c r="H690" s="318"/>
    </row>
    <row r="691" spans="4:8" ht="12.75" customHeight="1">
      <c r="D691" s="321"/>
      <c r="E691" s="318"/>
      <c r="F691" s="318"/>
      <c r="G691" s="318"/>
      <c r="H691" s="318"/>
    </row>
    <row r="692" spans="4:8" ht="12.75" customHeight="1">
      <c r="D692" s="321"/>
      <c r="E692" s="318"/>
      <c r="F692" s="318"/>
      <c r="G692" s="318"/>
      <c r="H692" s="318"/>
    </row>
    <row r="693" spans="4:8" ht="12.75" customHeight="1">
      <c r="D693" s="321"/>
      <c r="E693" s="318"/>
      <c r="F693" s="318"/>
      <c r="G693" s="318"/>
      <c r="H693" s="318"/>
    </row>
    <row r="694" spans="4:8" ht="12.75" customHeight="1">
      <c r="D694" s="321"/>
      <c r="E694" s="318"/>
      <c r="F694" s="318"/>
      <c r="G694" s="318"/>
      <c r="H694" s="318"/>
    </row>
    <row r="695" spans="4:8" ht="12.75" customHeight="1">
      <c r="D695" s="321"/>
      <c r="E695" s="318"/>
      <c r="F695" s="318"/>
      <c r="G695" s="318"/>
      <c r="H695" s="318"/>
    </row>
    <row r="696" spans="4:8" ht="12.75" customHeight="1">
      <c r="D696" s="321"/>
      <c r="E696" s="318"/>
      <c r="F696" s="318"/>
      <c r="G696" s="318"/>
      <c r="H696" s="318"/>
    </row>
    <row r="697" spans="4:8" ht="12.75" customHeight="1">
      <c r="D697" s="321"/>
      <c r="E697" s="318"/>
      <c r="F697" s="318"/>
      <c r="G697" s="318"/>
      <c r="H697" s="318"/>
    </row>
    <row r="698" spans="4:8" ht="12.75" customHeight="1">
      <c r="D698" s="321"/>
      <c r="E698" s="318"/>
      <c r="F698" s="318"/>
      <c r="G698" s="318"/>
      <c r="H698" s="318"/>
    </row>
    <row r="699" spans="4:8" ht="12.75" customHeight="1">
      <c r="D699" s="321"/>
      <c r="E699" s="318"/>
      <c r="F699" s="318"/>
      <c r="G699" s="318"/>
      <c r="H699" s="318"/>
    </row>
    <row r="700" spans="4:8" ht="12.75" customHeight="1">
      <c r="D700" s="321"/>
      <c r="E700" s="318"/>
      <c r="F700" s="318"/>
      <c r="G700" s="318"/>
      <c r="H700" s="318"/>
    </row>
    <row r="701" spans="4:8" ht="12.75" customHeight="1">
      <c r="D701" s="321"/>
      <c r="E701" s="318"/>
      <c r="F701" s="318"/>
      <c r="G701" s="318"/>
      <c r="H701" s="318"/>
    </row>
    <row r="702" spans="4:8" ht="12.75" customHeight="1">
      <c r="D702" s="321"/>
      <c r="E702" s="318"/>
      <c r="F702" s="318"/>
      <c r="G702" s="318"/>
      <c r="H702" s="318"/>
    </row>
    <row r="703" spans="4:8" ht="12.75" customHeight="1">
      <c r="D703" s="321"/>
      <c r="E703" s="318"/>
      <c r="F703" s="318"/>
      <c r="G703" s="318"/>
      <c r="H703" s="318"/>
    </row>
    <row r="704" spans="4:8" ht="12.75" customHeight="1">
      <c r="D704" s="321"/>
      <c r="E704" s="318"/>
      <c r="F704" s="318"/>
      <c r="G704" s="318"/>
      <c r="H704" s="318"/>
    </row>
    <row r="705" spans="4:8" ht="12.75" customHeight="1">
      <c r="D705" s="321"/>
      <c r="E705" s="318"/>
      <c r="F705" s="318"/>
      <c r="G705" s="318"/>
      <c r="H705" s="318"/>
    </row>
    <row r="706" spans="4:8" ht="12.75" customHeight="1">
      <c r="D706" s="321"/>
      <c r="E706" s="318"/>
      <c r="F706" s="318"/>
      <c r="G706" s="318"/>
      <c r="H706" s="318"/>
    </row>
    <row r="707" spans="4:8" ht="12.75" customHeight="1">
      <c r="D707" s="321"/>
      <c r="E707" s="318"/>
      <c r="F707" s="318"/>
      <c r="G707" s="318"/>
      <c r="H707" s="318"/>
    </row>
    <row r="708" spans="4:8" ht="12.75" customHeight="1">
      <c r="D708" s="321"/>
      <c r="E708" s="318"/>
      <c r="F708" s="318"/>
      <c r="G708" s="318"/>
      <c r="H708" s="318"/>
    </row>
    <row r="709" spans="4:8" ht="12.75" customHeight="1">
      <c r="D709" s="321"/>
      <c r="E709" s="318"/>
      <c r="F709" s="318"/>
      <c r="G709" s="318"/>
      <c r="H709" s="318"/>
    </row>
    <row r="710" spans="4:8" ht="12.75" customHeight="1">
      <c r="D710" s="321"/>
      <c r="E710" s="318"/>
      <c r="F710" s="318"/>
      <c r="G710" s="318"/>
      <c r="H710" s="318"/>
    </row>
    <row r="711" spans="4:8" ht="12.75" customHeight="1">
      <c r="D711" s="321"/>
      <c r="E711" s="318"/>
      <c r="F711" s="318"/>
      <c r="G711" s="318"/>
      <c r="H711" s="318"/>
    </row>
    <row r="712" spans="4:8" ht="12.75" customHeight="1">
      <c r="D712" s="321"/>
      <c r="E712" s="318"/>
      <c r="F712" s="318"/>
      <c r="G712" s="318"/>
      <c r="H712" s="318"/>
    </row>
    <row r="713" spans="4:8" ht="12.75" customHeight="1">
      <c r="D713" s="321"/>
      <c r="E713" s="318"/>
      <c r="F713" s="318"/>
      <c r="G713" s="318"/>
      <c r="H713" s="318"/>
    </row>
    <row r="714" spans="4:8" ht="12.75" customHeight="1">
      <c r="D714" s="321"/>
      <c r="E714" s="318"/>
      <c r="F714" s="318"/>
      <c r="G714" s="318"/>
      <c r="H714" s="318"/>
    </row>
    <row r="715" spans="4:8" ht="12.75" customHeight="1">
      <c r="D715" s="321"/>
      <c r="E715" s="318"/>
      <c r="F715" s="318"/>
      <c r="G715" s="318"/>
      <c r="H715" s="318"/>
    </row>
    <row r="716" spans="4:8" ht="12.75" customHeight="1">
      <c r="D716" s="321"/>
      <c r="E716" s="318"/>
      <c r="F716" s="318"/>
      <c r="G716" s="318"/>
      <c r="H716" s="318"/>
    </row>
    <row r="717" spans="4:8" ht="12.75" customHeight="1">
      <c r="D717" s="321"/>
      <c r="E717" s="318"/>
      <c r="F717" s="318"/>
      <c r="G717" s="318"/>
      <c r="H717" s="318"/>
    </row>
    <row r="718" spans="4:8" ht="12.75" customHeight="1">
      <c r="D718" s="321"/>
      <c r="E718" s="318"/>
      <c r="F718" s="318"/>
      <c r="G718" s="318"/>
      <c r="H718" s="318"/>
    </row>
    <row r="719" spans="4:8" ht="12.75" customHeight="1">
      <c r="D719" s="321"/>
      <c r="E719" s="318"/>
      <c r="F719" s="318"/>
      <c r="G719" s="318"/>
      <c r="H719" s="318"/>
    </row>
    <row r="720" spans="4:8" ht="12.75" customHeight="1">
      <c r="D720" s="321"/>
      <c r="E720" s="318"/>
      <c r="F720" s="318"/>
      <c r="G720" s="318"/>
      <c r="H720" s="318"/>
    </row>
    <row r="721" spans="4:8" ht="12.75" customHeight="1">
      <c r="D721" s="321"/>
      <c r="E721" s="318"/>
      <c r="F721" s="318"/>
      <c r="G721" s="318"/>
      <c r="H721" s="318"/>
    </row>
    <row r="722" spans="4:8" ht="12.75" customHeight="1">
      <c r="D722" s="321"/>
      <c r="E722" s="318"/>
      <c r="F722" s="318"/>
      <c r="G722" s="318"/>
      <c r="H722" s="318"/>
    </row>
    <row r="723" spans="4:8" ht="12.75" customHeight="1">
      <c r="D723" s="321"/>
      <c r="E723" s="318"/>
      <c r="F723" s="318"/>
      <c r="G723" s="318"/>
      <c r="H723" s="318"/>
    </row>
    <row r="724" spans="4:8" ht="12.75" customHeight="1">
      <c r="D724" s="321"/>
      <c r="E724" s="318"/>
      <c r="F724" s="318"/>
      <c r="G724" s="318"/>
      <c r="H724" s="318"/>
    </row>
    <row r="725" spans="4:8" ht="12.75" customHeight="1">
      <c r="D725" s="321"/>
      <c r="E725" s="318"/>
      <c r="F725" s="318"/>
      <c r="G725" s="318"/>
      <c r="H725" s="318"/>
    </row>
    <row r="726" spans="4:8" ht="12.75" customHeight="1">
      <c r="D726" s="321"/>
      <c r="E726" s="318"/>
      <c r="F726" s="318"/>
      <c r="G726" s="318"/>
      <c r="H726" s="318"/>
    </row>
    <row r="727" spans="4:8" ht="12.75" customHeight="1">
      <c r="D727" s="321"/>
      <c r="E727" s="318"/>
      <c r="F727" s="318"/>
      <c r="G727" s="318"/>
      <c r="H727" s="318"/>
    </row>
    <row r="728" spans="4:8" ht="12.75" customHeight="1">
      <c r="D728" s="321"/>
      <c r="E728" s="318"/>
      <c r="F728" s="318"/>
      <c r="G728" s="318"/>
      <c r="H728" s="318"/>
    </row>
    <row r="729" spans="4:8" ht="12.75" customHeight="1">
      <c r="D729" s="321"/>
      <c r="E729" s="318"/>
      <c r="F729" s="318"/>
      <c r="G729" s="318"/>
      <c r="H729" s="318"/>
    </row>
    <row r="730" spans="4:8" ht="12.75" customHeight="1">
      <c r="D730" s="321"/>
      <c r="E730" s="318"/>
      <c r="F730" s="318"/>
      <c r="G730" s="318"/>
      <c r="H730" s="318"/>
    </row>
    <row r="731" spans="4:8" ht="12.75" customHeight="1">
      <c r="D731" s="321"/>
      <c r="E731" s="318"/>
      <c r="F731" s="318"/>
      <c r="G731" s="318"/>
      <c r="H731" s="318"/>
    </row>
    <row r="732" spans="4:8" ht="12.75" customHeight="1">
      <c r="D732" s="321"/>
      <c r="E732" s="318"/>
      <c r="F732" s="318"/>
      <c r="G732" s="318"/>
      <c r="H732" s="318"/>
    </row>
    <row r="733" spans="4:8" ht="12.75" customHeight="1">
      <c r="D733" s="321"/>
      <c r="E733" s="318"/>
      <c r="F733" s="318"/>
      <c r="G733" s="318"/>
      <c r="H733" s="318"/>
    </row>
    <row r="734" spans="4:8" ht="12.75" customHeight="1">
      <c r="D734" s="321"/>
      <c r="E734" s="318"/>
      <c r="F734" s="318"/>
      <c r="G734" s="318"/>
      <c r="H734" s="318"/>
    </row>
    <row r="735" spans="4:8" ht="12.75" customHeight="1">
      <c r="D735" s="321"/>
      <c r="E735" s="318"/>
      <c r="F735" s="318"/>
      <c r="G735" s="318"/>
      <c r="H735" s="318"/>
    </row>
    <row r="736" spans="4:8" ht="12.75" customHeight="1">
      <c r="D736" s="321"/>
      <c r="E736" s="318"/>
      <c r="F736" s="318"/>
      <c r="G736" s="318"/>
      <c r="H736" s="318"/>
    </row>
    <row r="737" spans="4:8" ht="12.75" customHeight="1">
      <c r="D737" s="321"/>
      <c r="E737" s="318"/>
      <c r="F737" s="318"/>
      <c r="G737" s="318"/>
      <c r="H737" s="318"/>
    </row>
    <row r="738" spans="4:8" ht="12.75" customHeight="1">
      <c r="D738" s="321"/>
      <c r="E738" s="318"/>
      <c r="F738" s="318"/>
      <c r="G738" s="318"/>
      <c r="H738" s="318"/>
    </row>
    <row r="739" spans="4:8" ht="12.75" customHeight="1">
      <c r="D739" s="321"/>
      <c r="E739" s="318"/>
      <c r="F739" s="318"/>
      <c r="G739" s="318"/>
      <c r="H739" s="318"/>
    </row>
    <row r="740" spans="4:8" ht="12.75" customHeight="1">
      <c r="D740" s="321"/>
      <c r="E740" s="318"/>
      <c r="F740" s="318"/>
      <c r="G740" s="318"/>
      <c r="H740" s="318"/>
    </row>
    <row r="741" spans="4:8" ht="12.75" customHeight="1">
      <c r="D741" s="321"/>
      <c r="E741" s="318"/>
      <c r="F741" s="318"/>
      <c r="G741" s="318"/>
      <c r="H741" s="318"/>
    </row>
    <row r="742" spans="4:8" ht="12.75" customHeight="1">
      <c r="D742" s="321"/>
      <c r="E742" s="318"/>
      <c r="F742" s="318"/>
      <c r="G742" s="318"/>
      <c r="H742" s="318"/>
    </row>
    <row r="743" spans="4:8" ht="13.5" customHeight="1">
      <c r="D743" s="321"/>
      <c r="E743" s="318"/>
      <c r="F743" s="318"/>
      <c r="G743" s="318"/>
      <c r="H743" s="318"/>
    </row>
    <row r="744" spans="4:8" ht="12.75" customHeight="1">
      <c r="D744" s="321"/>
      <c r="E744" s="318"/>
      <c r="F744" s="318"/>
      <c r="G744" s="318"/>
      <c r="H744" s="318"/>
    </row>
    <row r="745" spans="4:8" ht="12.75" customHeight="1">
      <c r="D745" s="321"/>
      <c r="E745" s="318"/>
      <c r="F745" s="318"/>
      <c r="G745" s="318"/>
      <c r="H745" s="318"/>
    </row>
    <row r="746" spans="4:8" ht="12.75" customHeight="1">
      <c r="D746" s="321"/>
      <c r="E746" s="318"/>
      <c r="F746" s="318"/>
      <c r="G746" s="318"/>
      <c r="H746" s="318"/>
    </row>
    <row r="747" spans="4:8" ht="12.75" customHeight="1">
      <c r="D747" s="321"/>
      <c r="E747" s="318"/>
      <c r="F747" s="318"/>
      <c r="G747" s="318"/>
      <c r="H747" s="318"/>
    </row>
    <row r="748" spans="4:8" ht="12.75" customHeight="1">
      <c r="D748" s="321"/>
      <c r="E748" s="318"/>
      <c r="F748" s="318"/>
      <c r="G748" s="318"/>
      <c r="H748" s="318"/>
    </row>
    <row r="749" spans="4:8" ht="12.75" customHeight="1">
      <c r="D749" s="321"/>
      <c r="E749" s="318"/>
      <c r="F749" s="318"/>
      <c r="G749" s="318"/>
      <c r="H749" s="318"/>
    </row>
    <row r="750" spans="4:8" ht="12.75" customHeight="1">
      <c r="D750" s="321"/>
      <c r="E750" s="318"/>
      <c r="F750" s="318"/>
      <c r="G750" s="318"/>
      <c r="H750" s="318"/>
    </row>
    <row r="751" spans="4:8" ht="12.75" customHeight="1">
      <c r="D751" s="321"/>
      <c r="E751" s="318"/>
      <c r="F751" s="318"/>
      <c r="G751" s="318"/>
      <c r="H751" s="318"/>
    </row>
    <row r="752" spans="4:8" ht="12.75" customHeight="1">
      <c r="D752" s="321"/>
      <c r="E752" s="318"/>
      <c r="F752" s="318"/>
      <c r="G752" s="318"/>
      <c r="H752" s="318"/>
    </row>
    <row r="753" spans="4:8" ht="12.75" customHeight="1">
      <c r="D753" s="321"/>
      <c r="E753" s="318"/>
      <c r="F753" s="318"/>
      <c r="G753" s="318"/>
      <c r="H753" s="318"/>
    </row>
    <row r="754" spans="4:8" ht="12.75" customHeight="1">
      <c r="D754" s="321"/>
      <c r="E754" s="318"/>
      <c r="F754" s="318"/>
      <c r="G754" s="318"/>
      <c r="H754" s="318"/>
    </row>
    <row r="755" spans="4:8" ht="12.75" customHeight="1">
      <c r="D755" s="321"/>
      <c r="E755" s="318"/>
      <c r="F755" s="318"/>
      <c r="G755" s="318"/>
      <c r="H755" s="318"/>
    </row>
    <row r="756" spans="4:8" ht="12.75" customHeight="1">
      <c r="D756" s="321"/>
      <c r="E756" s="318"/>
      <c r="F756" s="318"/>
      <c r="G756" s="318"/>
      <c r="H756" s="318"/>
    </row>
    <row r="757" spans="4:8" ht="12.75" customHeight="1">
      <c r="D757" s="321"/>
      <c r="E757" s="318"/>
      <c r="F757" s="318"/>
      <c r="G757" s="318"/>
      <c r="H757" s="318"/>
    </row>
    <row r="758" spans="4:8" ht="12.75" customHeight="1">
      <c r="D758" s="321"/>
      <c r="E758" s="318"/>
      <c r="F758" s="318"/>
      <c r="G758" s="318"/>
      <c r="H758" s="318"/>
    </row>
    <row r="759" spans="4:8" ht="12.75" customHeight="1">
      <c r="D759" s="321"/>
      <c r="E759" s="318"/>
      <c r="F759" s="318"/>
      <c r="G759" s="318"/>
      <c r="H759" s="318"/>
    </row>
    <row r="760" spans="4:8" ht="12.75" customHeight="1">
      <c r="D760" s="321"/>
      <c r="E760" s="318"/>
      <c r="F760" s="318"/>
      <c r="G760" s="318"/>
      <c r="H760" s="318"/>
    </row>
    <row r="761" spans="4:8" ht="12.75" customHeight="1">
      <c r="D761" s="321"/>
      <c r="E761" s="318"/>
      <c r="F761" s="318"/>
      <c r="G761" s="318"/>
      <c r="H761" s="318"/>
    </row>
    <row r="762" spans="4:8" ht="12.75" customHeight="1">
      <c r="D762" s="321"/>
      <c r="E762" s="318"/>
      <c r="F762" s="318"/>
      <c r="G762" s="318"/>
      <c r="H762" s="318"/>
    </row>
    <row r="763" spans="4:8" ht="12.75" customHeight="1">
      <c r="D763" s="321"/>
      <c r="E763" s="318"/>
      <c r="F763" s="318"/>
      <c r="G763" s="318"/>
      <c r="H763" s="318"/>
    </row>
    <row r="764" spans="4:8" ht="12.75" customHeight="1">
      <c r="D764" s="321"/>
      <c r="E764" s="318"/>
      <c r="F764" s="318"/>
      <c r="G764" s="318"/>
      <c r="H764" s="318"/>
    </row>
    <row r="765" spans="4:8" ht="12.75" customHeight="1">
      <c r="D765" s="321"/>
      <c r="E765" s="318"/>
      <c r="F765" s="318"/>
      <c r="G765" s="318"/>
      <c r="H765" s="318"/>
    </row>
    <row r="766" spans="4:8" ht="12.75" customHeight="1">
      <c r="D766" s="321"/>
      <c r="E766" s="318"/>
      <c r="F766" s="318"/>
      <c r="G766" s="318"/>
      <c r="H766" s="318"/>
    </row>
    <row r="767" spans="4:8" ht="12.75" customHeight="1">
      <c r="D767" s="321"/>
      <c r="E767" s="318"/>
      <c r="F767" s="318"/>
      <c r="G767" s="318"/>
      <c r="H767" s="318"/>
    </row>
    <row r="768" spans="4:8" ht="12.75" customHeight="1">
      <c r="D768" s="321"/>
      <c r="E768" s="318"/>
      <c r="F768" s="318"/>
      <c r="G768" s="318"/>
      <c r="H768" s="318"/>
    </row>
    <row r="769" spans="4:30" ht="12.75" customHeight="1">
      <c r="D769" s="321"/>
      <c r="E769" s="318"/>
      <c r="F769" s="318"/>
      <c r="G769" s="318"/>
      <c r="H769" s="318"/>
    </row>
    <row r="770" spans="4:30" ht="12.75" customHeight="1">
      <c r="D770" s="321"/>
      <c r="E770" s="318"/>
      <c r="F770" s="318"/>
      <c r="G770" s="318"/>
      <c r="H770" s="318"/>
      <c r="AD770" s="111">
        <v>1</v>
      </c>
    </row>
    <row r="771" spans="4:30" ht="12.75" customHeight="1">
      <c r="D771" s="321"/>
      <c r="E771" s="318"/>
      <c r="F771" s="318"/>
      <c r="G771" s="318"/>
      <c r="H771" s="318"/>
    </row>
    <row r="772" spans="4:30" ht="12.75" customHeight="1">
      <c r="D772" s="321"/>
      <c r="E772" s="318"/>
      <c r="F772" s="318"/>
      <c r="G772" s="318"/>
      <c r="H772" s="318"/>
    </row>
    <row r="773" spans="4:30" ht="12.75" customHeight="1">
      <c r="D773" s="321"/>
      <c r="E773" s="318"/>
      <c r="F773" s="318"/>
      <c r="G773" s="318"/>
      <c r="H773" s="318"/>
    </row>
    <row r="774" spans="4:30" ht="12.75" customHeight="1">
      <c r="D774" s="321"/>
      <c r="E774" s="318"/>
      <c r="F774" s="318"/>
      <c r="G774" s="318"/>
      <c r="H774" s="318"/>
    </row>
    <row r="775" spans="4:30" ht="12.75" customHeight="1">
      <c r="D775" s="321"/>
      <c r="E775" s="318"/>
      <c r="F775" s="318"/>
      <c r="G775" s="318"/>
      <c r="H775" s="318"/>
    </row>
    <row r="776" spans="4:30" ht="12.75" customHeight="1">
      <c r="D776" s="321"/>
      <c r="E776" s="318"/>
      <c r="F776" s="318"/>
      <c r="G776" s="318"/>
      <c r="H776" s="318"/>
    </row>
    <row r="777" spans="4:30" ht="12.75" customHeight="1">
      <c r="D777" s="321"/>
      <c r="E777" s="318"/>
      <c r="F777" s="318"/>
      <c r="G777" s="318"/>
      <c r="H777" s="318"/>
    </row>
    <row r="778" spans="4:30" ht="12.75" customHeight="1">
      <c r="D778" s="321"/>
      <c r="E778" s="318"/>
      <c r="F778" s="318"/>
      <c r="G778" s="318"/>
      <c r="H778" s="318"/>
    </row>
    <row r="779" spans="4:30" ht="12.75" customHeight="1">
      <c r="D779" s="321"/>
      <c r="E779" s="318"/>
      <c r="F779" s="318"/>
      <c r="G779" s="318"/>
      <c r="H779" s="318"/>
    </row>
    <row r="780" spans="4:30" ht="12.75" customHeight="1">
      <c r="D780" s="321"/>
      <c r="E780" s="318"/>
      <c r="F780" s="318"/>
      <c r="G780" s="318"/>
      <c r="H780" s="318"/>
    </row>
    <row r="781" spans="4:30" ht="12.75" customHeight="1">
      <c r="D781" s="321"/>
      <c r="E781" s="318"/>
      <c r="F781" s="318"/>
      <c r="G781" s="318"/>
      <c r="H781" s="318"/>
    </row>
    <row r="782" spans="4:30" ht="12.75" customHeight="1">
      <c r="D782" s="321"/>
      <c r="E782" s="318"/>
      <c r="F782" s="318"/>
      <c r="G782" s="318"/>
      <c r="H782" s="318"/>
    </row>
    <row r="783" spans="4:30" ht="12.75" customHeight="1">
      <c r="D783" s="321"/>
      <c r="E783" s="318"/>
      <c r="F783" s="318"/>
      <c r="G783" s="318"/>
      <c r="H783" s="318"/>
    </row>
    <row r="784" spans="4:30" ht="12.75" customHeight="1">
      <c r="D784" s="321"/>
      <c r="E784" s="318"/>
      <c r="F784" s="318"/>
      <c r="G784" s="318"/>
      <c r="H784" s="318"/>
    </row>
    <row r="785" spans="4:31" ht="12.75" customHeight="1">
      <c r="D785" s="321"/>
      <c r="E785" s="318"/>
      <c r="F785" s="318"/>
      <c r="G785" s="318"/>
      <c r="H785" s="318"/>
    </row>
    <row r="786" spans="4:31" ht="12.75" customHeight="1">
      <c r="D786" s="321"/>
      <c r="E786" s="318"/>
      <c r="F786" s="318"/>
      <c r="G786" s="318"/>
      <c r="H786" s="318"/>
    </row>
    <row r="787" spans="4:31" ht="12.75" customHeight="1">
      <c r="D787" s="321"/>
      <c r="E787" s="318"/>
      <c r="F787" s="318"/>
      <c r="G787" s="318"/>
      <c r="H787" s="318"/>
    </row>
    <row r="788" spans="4:31" ht="12.75" customHeight="1">
      <c r="D788" s="321"/>
      <c r="E788" s="318"/>
      <c r="F788" s="318"/>
      <c r="G788" s="318"/>
      <c r="H788" s="318"/>
    </row>
    <row r="789" spans="4:31" ht="12.75" customHeight="1">
      <c r="D789" s="321"/>
      <c r="E789" s="318"/>
      <c r="F789" s="318"/>
      <c r="G789" s="318"/>
      <c r="H789" s="318"/>
    </row>
    <row r="790" spans="4:31" ht="12.75" customHeight="1">
      <c r="D790" s="321"/>
      <c r="E790" s="318"/>
      <c r="F790" s="318"/>
      <c r="G790" s="318"/>
      <c r="H790" s="318"/>
    </row>
    <row r="791" spans="4:31" ht="12.75" customHeight="1">
      <c r="D791" s="321"/>
      <c r="E791" s="318"/>
      <c r="F791" s="318"/>
      <c r="G791" s="318"/>
      <c r="H791" s="318"/>
    </row>
    <row r="792" spans="4:31" ht="12.75" customHeight="1">
      <c r="D792" s="321"/>
      <c r="F792" s="318"/>
      <c r="G792" s="318"/>
      <c r="H792" s="318"/>
    </row>
    <row r="793" spans="4:31" ht="12" customHeight="1">
      <c r="D793" s="321"/>
      <c r="F793" s="318"/>
      <c r="G793" s="318"/>
      <c r="H793" s="318"/>
    </row>
    <row r="794" spans="4:31" ht="12.75" customHeight="1"/>
    <row r="795" spans="4:31" ht="12.75" customHeight="1"/>
    <row r="796" spans="4:31" ht="12.75" customHeight="1"/>
    <row r="797" spans="4:31" ht="12.75" customHeight="1"/>
    <row r="798" spans="4:31" ht="12.75" customHeight="1">
      <c r="AE798" s="429"/>
    </row>
    <row r="799" spans="4:31" ht="12.75" customHeight="1"/>
    <row r="800" spans="4:31"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286">
    <mergeCell ref="Y18:Z18"/>
    <mergeCell ref="Y19:Z19"/>
    <mergeCell ref="Y20:Z20"/>
    <mergeCell ref="P53:Q53"/>
    <mergeCell ref="P54:Q54"/>
    <mergeCell ref="P55:Q55"/>
    <mergeCell ref="P56:Q56"/>
    <mergeCell ref="P57:Q57"/>
    <mergeCell ref="P58:Q58"/>
    <mergeCell ref="P44:Q44"/>
    <mergeCell ref="P45:Q45"/>
    <mergeCell ref="P46:Q46"/>
    <mergeCell ref="P47:Q47"/>
    <mergeCell ref="P48:Q48"/>
    <mergeCell ref="P64:Q64"/>
    <mergeCell ref="P59:Q59"/>
    <mergeCell ref="P60:Q60"/>
    <mergeCell ref="P61:Q61"/>
    <mergeCell ref="G62:I63"/>
    <mergeCell ref="N63:O63"/>
    <mergeCell ref="K63:L63"/>
    <mergeCell ref="K64:L64"/>
    <mergeCell ref="N64:O64"/>
    <mergeCell ref="B64:C65"/>
    <mergeCell ref="D64:F65"/>
    <mergeCell ref="G64:I65"/>
    <mergeCell ref="B66:C67"/>
    <mergeCell ref="D66:F67"/>
    <mergeCell ref="G66:I67"/>
    <mergeCell ref="B68:C69"/>
    <mergeCell ref="B58:C59"/>
    <mergeCell ref="D58:F59"/>
    <mergeCell ref="G58:I59"/>
    <mergeCell ref="G60:I61"/>
    <mergeCell ref="D60:F61"/>
    <mergeCell ref="B60:C61"/>
    <mergeCell ref="B62:C63"/>
    <mergeCell ref="D62:F63"/>
    <mergeCell ref="D68:F69"/>
    <mergeCell ref="G68:I69"/>
    <mergeCell ref="G2:I2"/>
    <mergeCell ref="E9:I9"/>
    <mergeCell ref="N9:Q9"/>
    <mergeCell ref="K6:L6"/>
    <mergeCell ref="K7:L7"/>
    <mergeCell ref="K8:L8"/>
    <mergeCell ref="K9:L9"/>
    <mergeCell ref="K10:L10"/>
    <mergeCell ref="K11:L11"/>
    <mergeCell ref="B4:I4"/>
    <mergeCell ref="K4:Q4"/>
    <mergeCell ref="E6:I6"/>
    <mergeCell ref="N6:Q6"/>
    <mergeCell ref="N7:Q7"/>
    <mergeCell ref="E8:I8"/>
    <mergeCell ref="N8:Q8"/>
    <mergeCell ref="E11:F11"/>
    <mergeCell ref="H11:I11"/>
    <mergeCell ref="N11:O11"/>
    <mergeCell ref="P11:Q11"/>
    <mergeCell ref="E10:I10"/>
    <mergeCell ref="N10:Q10"/>
    <mergeCell ref="E7:F7"/>
    <mergeCell ref="E12:F12"/>
    <mergeCell ref="H12:I12"/>
    <mergeCell ref="N12:O12"/>
    <mergeCell ref="E13:F13"/>
    <mergeCell ref="H13:I13"/>
    <mergeCell ref="N13:O13"/>
    <mergeCell ref="K13:L13"/>
    <mergeCell ref="P12:Q12"/>
    <mergeCell ref="K12:L12"/>
    <mergeCell ref="P13:Q13"/>
    <mergeCell ref="K15:L16"/>
    <mergeCell ref="M15:M16"/>
    <mergeCell ref="N15:O16"/>
    <mergeCell ref="K18:L18"/>
    <mergeCell ref="N18:O18"/>
    <mergeCell ref="T18:U18"/>
    <mergeCell ref="K19:L19"/>
    <mergeCell ref="N19:O19"/>
    <mergeCell ref="T19:U19"/>
    <mergeCell ref="K17:L17"/>
    <mergeCell ref="N17:O17"/>
    <mergeCell ref="P15:Q16"/>
    <mergeCell ref="P17:Q17"/>
    <mergeCell ref="P18:Q18"/>
    <mergeCell ref="P19:Q19"/>
    <mergeCell ref="K22:L22"/>
    <mergeCell ref="N22:O22"/>
    <mergeCell ref="T22:U22"/>
    <mergeCell ref="K23:L23"/>
    <mergeCell ref="N23:O23"/>
    <mergeCell ref="T23:U23"/>
    <mergeCell ref="K20:L20"/>
    <mergeCell ref="N20:O20"/>
    <mergeCell ref="T20:U20"/>
    <mergeCell ref="K21:L21"/>
    <mergeCell ref="N21:O21"/>
    <mergeCell ref="T21:U21"/>
    <mergeCell ref="P20:Q20"/>
    <mergeCell ref="P21:Q21"/>
    <mergeCell ref="P22:Q22"/>
    <mergeCell ref="P23:Q23"/>
    <mergeCell ref="K24:L24"/>
    <mergeCell ref="N24:O24"/>
    <mergeCell ref="T24:U24"/>
    <mergeCell ref="K25:L25"/>
    <mergeCell ref="N25:O25"/>
    <mergeCell ref="T25:U25"/>
    <mergeCell ref="P24:Q24"/>
    <mergeCell ref="P25:Q25"/>
    <mergeCell ref="P26:Q26"/>
    <mergeCell ref="K33:L33"/>
    <mergeCell ref="N33:O33"/>
    <mergeCell ref="T33:U33"/>
    <mergeCell ref="K30:L30"/>
    <mergeCell ref="N30:O30"/>
    <mergeCell ref="T30:U30"/>
    <mergeCell ref="K31:L31"/>
    <mergeCell ref="N31:O31"/>
    <mergeCell ref="T31:U31"/>
    <mergeCell ref="K32:L32"/>
    <mergeCell ref="N32:O32"/>
    <mergeCell ref="T32:U32"/>
    <mergeCell ref="P30:Q30"/>
    <mergeCell ref="P31:Q31"/>
    <mergeCell ref="P32:Q32"/>
    <mergeCell ref="P33:Q33"/>
    <mergeCell ref="K28:L28"/>
    <mergeCell ref="N28:O28"/>
    <mergeCell ref="T28:U28"/>
    <mergeCell ref="K29:L29"/>
    <mergeCell ref="N29:O29"/>
    <mergeCell ref="T29:U29"/>
    <mergeCell ref="F28:I28"/>
    <mergeCell ref="F30:I30"/>
    <mergeCell ref="F26:I26"/>
    <mergeCell ref="P28:Q28"/>
    <mergeCell ref="P29:Q29"/>
    <mergeCell ref="K26:L26"/>
    <mergeCell ref="N26:O26"/>
    <mergeCell ref="T26:U26"/>
    <mergeCell ref="K27:L27"/>
    <mergeCell ref="N27:O27"/>
    <mergeCell ref="T27:U27"/>
    <mergeCell ref="P27:Q27"/>
    <mergeCell ref="K36:L36"/>
    <mergeCell ref="N36:O36"/>
    <mergeCell ref="T36:U36"/>
    <mergeCell ref="K37:L37"/>
    <mergeCell ref="N37:O37"/>
    <mergeCell ref="T37:U37"/>
    <mergeCell ref="K34:L34"/>
    <mergeCell ref="N34:O34"/>
    <mergeCell ref="T34:U34"/>
    <mergeCell ref="K35:L35"/>
    <mergeCell ref="N35:O35"/>
    <mergeCell ref="T35:U35"/>
    <mergeCell ref="P34:Q34"/>
    <mergeCell ref="P35:Q35"/>
    <mergeCell ref="P36:Q36"/>
    <mergeCell ref="P37:Q37"/>
    <mergeCell ref="K38:L38"/>
    <mergeCell ref="N38:O38"/>
    <mergeCell ref="T38:U38"/>
    <mergeCell ref="K39:L39"/>
    <mergeCell ref="N39:O39"/>
    <mergeCell ref="T39:U39"/>
    <mergeCell ref="T40:U40"/>
    <mergeCell ref="K43:L43"/>
    <mergeCell ref="N43:O43"/>
    <mergeCell ref="T43:U43"/>
    <mergeCell ref="K40:L40"/>
    <mergeCell ref="N40:O40"/>
    <mergeCell ref="K42:L42"/>
    <mergeCell ref="N42:O42"/>
    <mergeCell ref="K41:L41"/>
    <mergeCell ref="N41:O41"/>
    <mergeCell ref="T41:U41"/>
    <mergeCell ref="T42:U42"/>
    <mergeCell ref="P38:Q38"/>
    <mergeCell ref="P39:Q39"/>
    <mergeCell ref="P40:Q40"/>
    <mergeCell ref="P41:Q41"/>
    <mergeCell ref="P42:Q42"/>
    <mergeCell ref="P43:Q43"/>
    <mergeCell ref="T62:U62"/>
    <mergeCell ref="T58:U58"/>
    <mergeCell ref="T48:U48"/>
    <mergeCell ref="T49:U49"/>
    <mergeCell ref="T46:U46"/>
    <mergeCell ref="T47:U47"/>
    <mergeCell ref="N48:O48"/>
    <mergeCell ref="K49:L49"/>
    <mergeCell ref="N49:O49"/>
    <mergeCell ref="K50:L50"/>
    <mergeCell ref="N50:O50"/>
    <mergeCell ref="K51:L51"/>
    <mergeCell ref="N51:O51"/>
    <mergeCell ref="K52:L52"/>
    <mergeCell ref="N52:O52"/>
    <mergeCell ref="N60:O60"/>
    <mergeCell ref="K61:L61"/>
    <mergeCell ref="N61:O61"/>
    <mergeCell ref="K62:L62"/>
    <mergeCell ref="N62:O62"/>
    <mergeCell ref="K58:L58"/>
    <mergeCell ref="K53:L53"/>
    <mergeCell ref="K44:L44"/>
    <mergeCell ref="N44:O44"/>
    <mergeCell ref="T50:U50"/>
    <mergeCell ref="T51:U51"/>
    <mergeCell ref="T57:U57"/>
    <mergeCell ref="K46:L46"/>
    <mergeCell ref="N46:O46"/>
    <mergeCell ref="K47:L47"/>
    <mergeCell ref="N47:O47"/>
    <mergeCell ref="K48:L48"/>
    <mergeCell ref="K45:L45"/>
    <mergeCell ref="N45:O45"/>
    <mergeCell ref="T45:U45"/>
    <mergeCell ref="P49:Q49"/>
    <mergeCell ref="P50:Q50"/>
    <mergeCell ref="P51:Q51"/>
    <mergeCell ref="P52:Q52"/>
    <mergeCell ref="T44:U44"/>
    <mergeCell ref="L258:M258"/>
    <mergeCell ref="K257:M257"/>
    <mergeCell ref="B80:D80"/>
    <mergeCell ref="C81:D81"/>
    <mergeCell ref="F81:H81"/>
    <mergeCell ref="K70:M70"/>
    <mergeCell ref="O70:Q70"/>
    <mergeCell ref="L71:M71"/>
    <mergeCell ref="O71:Q71"/>
    <mergeCell ref="P257:Q257"/>
    <mergeCell ref="F80:I80"/>
    <mergeCell ref="D71:F71"/>
    <mergeCell ref="K65:L65"/>
    <mergeCell ref="N65:O65"/>
    <mergeCell ref="T63:U63"/>
    <mergeCell ref="T59:U59"/>
    <mergeCell ref="T60:U60"/>
    <mergeCell ref="T61:U61"/>
    <mergeCell ref="T52:U52"/>
    <mergeCell ref="T53:U53"/>
    <mergeCell ref="T54:U54"/>
    <mergeCell ref="T55:U55"/>
    <mergeCell ref="T56:U56"/>
    <mergeCell ref="N53:O53"/>
    <mergeCell ref="K54:L54"/>
    <mergeCell ref="N54:O54"/>
    <mergeCell ref="K55:L55"/>
    <mergeCell ref="N55:O55"/>
    <mergeCell ref="K56:L56"/>
    <mergeCell ref="N56:O56"/>
    <mergeCell ref="K57:L57"/>
    <mergeCell ref="N57:O57"/>
    <mergeCell ref="N58:O58"/>
    <mergeCell ref="K59:L59"/>
    <mergeCell ref="N59:O59"/>
    <mergeCell ref="K60:L60"/>
    <mergeCell ref="F35:I35"/>
    <mergeCell ref="F36:I36"/>
    <mergeCell ref="F37:I37"/>
    <mergeCell ref="F39:G39"/>
    <mergeCell ref="B57:C57"/>
    <mergeCell ref="D57:F57"/>
    <mergeCell ref="G57:I57"/>
    <mergeCell ref="F15:I15"/>
    <mergeCell ref="F16:I16"/>
    <mergeCell ref="F17:I17"/>
    <mergeCell ref="F19:I19"/>
    <mergeCell ref="F20:I20"/>
    <mergeCell ref="F22:I22"/>
    <mergeCell ref="F24:I24"/>
    <mergeCell ref="F34:I34"/>
    <mergeCell ref="B28:C28"/>
    <mergeCell ref="F38:I38"/>
    <mergeCell ref="F48:I48"/>
    <mergeCell ref="F49:I49"/>
    <mergeCell ref="F50:I50"/>
    <mergeCell ref="F51:I51"/>
    <mergeCell ref="F46:I46"/>
    <mergeCell ref="F52:I52"/>
  </mergeCells>
  <phoneticPr fontId="28" type="noConversion"/>
  <pageMargins left="0.70866141732283472" right="0.70866141732283472" top="0.81364583333333329" bottom="0.74803149606299213" header="0.31496062992125984" footer="0.31496062992125984"/>
  <pageSetup paperSize="10000" scale="67" orientation="portrait" r:id="rId1"/>
  <headerFooter>
    <oddHeader xml:space="preserve">&amp;R&amp;"Century Gothic,Bold"&amp;18ANNEX A: 
SAMPLE PACKAGE COMPUTATION
</oddHeader>
  </headerFooter>
  <colBreaks count="1" manualBreakCount="1">
    <brk id="10" max="83"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dimension ref="A1:U123"/>
  <sheetViews>
    <sheetView showGridLines="0" showZeros="0" view="pageLayout" topLeftCell="A40" zoomScaleNormal="100" zoomScaleSheetLayoutView="85" workbookViewId="0">
      <selection activeCell="O40" sqref="O40:R40"/>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514">
        <f>'STANDARD COMP.'!F15</f>
        <v>3379693.0676632621</v>
      </c>
      <c r="J27" s="1515"/>
      <c r="K27" s="1515"/>
      <c r="L27" s="1515"/>
      <c r="M27" s="1515"/>
      <c r="N27" s="1515"/>
      <c r="O27" s="1515"/>
      <c r="P27" s="1515"/>
      <c r="Q27" s="1515"/>
      <c r="R27" s="1515"/>
      <c r="S27" s="1515"/>
      <c r="T27" s="1515"/>
      <c r="U27" s="1516"/>
    </row>
    <row r="28" spans="1:21" ht="14.1">
      <c r="A28" s="41" t="s">
        <v>912</v>
      </c>
      <c r="B28" s="42"/>
      <c r="C28" s="44"/>
      <c r="D28" s="44"/>
      <c r="E28" s="44"/>
      <c r="F28" s="44"/>
      <c r="G28" s="44"/>
      <c r="H28" s="45"/>
      <c r="I28" s="1514">
        <f>'STANDARD COMP.'!F16</f>
        <v>0</v>
      </c>
      <c r="J28" s="1515"/>
      <c r="K28" s="1515"/>
      <c r="L28" s="1515"/>
      <c r="M28" s="1515"/>
      <c r="N28" s="1515"/>
      <c r="O28" s="1515"/>
      <c r="P28" s="1515"/>
      <c r="Q28" s="1515"/>
      <c r="R28" s="1515"/>
      <c r="S28" s="1515"/>
      <c r="T28" s="1515"/>
      <c r="U28" s="1516"/>
    </row>
    <row r="29" spans="1:21" ht="14.1">
      <c r="A29" s="51" t="s">
        <v>913</v>
      </c>
      <c r="B29" s="52"/>
      <c r="C29" s="53"/>
      <c r="D29" s="53"/>
      <c r="E29" s="53"/>
      <c r="F29" s="53"/>
      <c r="G29" s="53"/>
      <c r="H29" s="50"/>
      <c r="I29" s="1514">
        <f>'STANDARD COMP.'!F17</f>
        <v>3379693.0676632621</v>
      </c>
      <c r="J29" s="1515"/>
      <c r="K29" s="1515"/>
      <c r="L29" s="1515"/>
      <c r="M29" s="1515"/>
      <c r="N29" s="1515"/>
      <c r="O29" s="1515"/>
      <c r="P29" s="1515"/>
      <c r="Q29" s="1515"/>
      <c r="R29" s="1515"/>
      <c r="S29" s="1515"/>
      <c r="T29" s="1515"/>
      <c r="U29" s="1516"/>
    </row>
    <row r="30" spans="1:21" ht="14.1">
      <c r="A30" s="41" t="s">
        <v>914</v>
      </c>
      <c r="B30" s="42"/>
      <c r="C30" s="44"/>
      <c r="D30" s="44"/>
      <c r="E30" s="44"/>
      <c r="F30" s="44"/>
      <c r="G30" s="44"/>
      <c r="H30" s="45"/>
      <c r="I30" s="1514">
        <f>'STANDARD COMP.'!F20</f>
        <v>464707.79680369853</v>
      </c>
      <c r="J30" s="1515"/>
      <c r="K30" s="1515"/>
      <c r="L30" s="1515"/>
      <c r="M30" s="1515"/>
      <c r="N30" s="1515"/>
      <c r="O30" s="1515"/>
      <c r="P30" s="1515"/>
      <c r="Q30" s="1515"/>
      <c r="R30" s="1515"/>
      <c r="S30" s="1515"/>
      <c r="T30" s="1515"/>
      <c r="U30" s="1516"/>
    </row>
    <row r="31" spans="1:21" ht="14.1">
      <c r="A31" s="41" t="s">
        <v>915</v>
      </c>
      <c r="B31" s="42"/>
      <c r="C31" s="44"/>
      <c r="D31" s="44"/>
      <c r="E31" s="44"/>
      <c r="F31" s="44"/>
      <c r="G31" s="44"/>
      <c r="H31" s="45"/>
      <c r="I31" s="1514">
        <f>'STANDARD COMP.'!F19</f>
        <v>0</v>
      </c>
      <c r="J31" s="1515"/>
      <c r="K31" s="1515"/>
      <c r="L31" s="1515"/>
      <c r="M31" s="1515"/>
      <c r="N31" s="1515"/>
      <c r="O31" s="1515"/>
      <c r="P31" s="1515"/>
      <c r="Q31" s="1515"/>
      <c r="R31" s="1515"/>
      <c r="S31" s="1515"/>
      <c r="T31" s="1515"/>
      <c r="U31" s="1516"/>
    </row>
    <row r="32" spans="1:21" ht="14.1">
      <c r="A32" s="41" t="s">
        <v>77</v>
      </c>
      <c r="B32" s="42"/>
      <c r="C32" s="44"/>
      <c r="D32" s="44"/>
      <c r="E32" s="44"/>
      <c r="F32" s="44"/>
      <c r="G32" s="44"/>
      <c r="H32" s="45"/>
      <c r="I32" s="1514">
        <f>'STANDARD COMP.'!F22</f>
        <v>3844400.8644669605</v>
      </c>
      <c r="J32" s="1515"/>
      <c r="K32" s="1515"/>
      <c r="L32" s="1515"/>
      <c r="M32" s="1515"/>
      <c r="N32" s="1515"/>
      <c r="O32" s="1515"/>
      <c r="P32" s="1515"/>
      <c r="Q32" s="1515"/>
      <c r="R32" s="1515"/>
      <c r="S32" s="1515"/>
      <c r="T32" s="1515"/>
      <c r="U32" s="1516"/>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URQm44izoQGO4QWR2uFW3+LTVP6mvBK7E6Y+OctbXJPtr1JrSx1cbZ2pg+FZ+XTd2hf7W7ZsCC89NahrxUEhnQ==" saltValue="9e3EqJ5auImMsB6okVmEbA==" spinCount="100000" sheet="1" selectLockedCells="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80"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963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9634"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6963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963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963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963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963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964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9641"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69642"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6964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964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964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964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964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964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964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965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965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tabColor rgb="FF92D050"/>
  </sheetPr>
  <dimension ref="A1:R80"/>
  <sheetViews>
    <sheetView showGridLines="0" showZeros="0" view="pageBreakPreview" topLeftCell="A8" zoomScaleNormal="90" zoomScaleSheetLayoutView="100" zoomScalePageLayoutView="70" workbookViewId="0">
      <selection activeCell="K58" sqref="K58"/>
    </sheetView>
  </sheetViews>
  <sheetFormatPr defaultColWidth="9.140625" defaultRowHeight="12.6"/>
  <cols>
    <col min="1" max="1" width="0.85546875" style="111" customWidth="1"/>
    <col min="2" max="2" width="14.5703125" style="111" customWidth="1"/>
    <col min="3" max="3" width="23.5703125" style="111" customWidth="1"/>
    <col min="4" max="4" width="22.140625" style="170" customWidth="1"/>
    <col min="5" max="5" width="16.85546875" style="111" customWidth="1"/>
    <col min="6" max="6" width="15.140625" style="111" customWidth="1"/>
    <col min="7" max="7" width="13.140625" style="111" customWidth="1"/>
    <col min="8" max="8" width="18" style="111" customWidth="1"/>
    <col min="9" max="9" width="0.42578125" style="111" customWidth="1"/>
    <col min="10" max="10" width="11.140625" style="111" customWidth="1"/>
    <col min="11" max="11" width="22.140625" style="111" customWidth="1"/>
    <col min="12" max="12" width="22.42578125" style="430" customWidth="1"/>
    <col min="13" max="13" width="7.85546875" style="111" customWidth="1"/>
    <col min="14" max="14" width="14" style="111" customWidth="1"/>
    <col min="15" max="15" width="22" style="111" customWidth="1"/>
    <col min="16" max="16" width="25.5703125" style="111" customWidth="1"/>
    <col min="17" max="17" width="9.140625" style="111"/>
    <col min="18" max="18" width="10.85546875" style="111" bestFit="1" customWidth="1"/>
    <col min="19" max="16384" width="9.140625" style="111"/>
  </cols>
  <sheetData>
    <row r="1" spans="1:18" ht="2.25" customHeight="1">
      <c r="R1" s="431">
        <f>EDATE(L17,'STANDARD COMP.'!E28)</f>
        <v>46447</v>
      </c>
    </row>
    <row r="2" spans="1:18">
      <c r="B2" s="86" t="s">
        <v>783</v>
      </c>
      <c r="C2" s="478">
        <f>FORM!I20</f>
        <v>45901</v>
      </c>
      <c r="D2" s="242"/>
      <c r="F2" s="176" t="s">
        <v>943</v>
      </c>
      <c r="G2" s="1613" t="s">
        <v>785</v>
      </c>
      <c r="H2" s="1614"/>
      <c r="I2" s="133"/>
      <c r="J2" s="88" t="s">
        <v>783</v>
      </c>
      <c r="K2" s="479">
        <f>C2</f>
        <v>45901</v>
      </c>
      <c r="L2" s="133"/>
      <c r="M2" s="133"/>
      <c r="O2" s="176" t="s">
        <v>944</v>
      </c>
      <c r="P2" s="432" t="s">
        <v>787</v>
      </c>
    </row>
    <row r="3" spans="1:18" s="90" customFormat="1">
      <c r="C3" s="91"/>
      <c r="D3" s="91"/>
      <c r="G3" s="92"/>
      <c r="H3" s="92"/>
      <c r="I3" s="92"/>
      <c r="J3" s="93"/>
      <c r="K3" s="94"/>
      <c r="L3" s="95"/>
      <c r="M3" s="93"/>
      <c r="N3" s="93"/>
      <c r="O3" s="1620"/>
      <c r="P3" s="1620"/>
    </row>
    <row r="4" spans="1:18" s="622" customFormat="1" ht="18" customHeight="1">
      <c r="B4" s="1597" t="s">
        <v>958</v>
      </c>
      <c r="C4" s="1597"/>
      <c r="D4" s="1597"/>
      <c r="E4" s="1597"/>
      <c r="F4" s="1597"/>
      <c r="G4" s="1597"/>
      <c r="H4" s="1597"/>
      <c r="I4" s="623"/>
      <c r="J4" s="1415" t="s">
        <v>788</v>
      </c>
      <c r="K4" s="1415"/>
      <c r="L4" s="1415"/>
      <c r="M4" s="1415"/>
      <c r="N4" s="1415"/>
      <c r="O4" s="1415"/>
      <c r="P4" s="1415"/>
    </row>
    <row r="5" spans="1:18" s="90" customFormat="1">
      <c r="B5" s="92" t="s">
        <v>757</v>
      </c>
      <c r="C5" s="92"/>
      <c r="D5" s="96"/>
      <c r="E5" s="92"/>
      <c r="F5" s="92"/>
      <c r="G5" s="92"/>
      <c r="H5" s="92"/>
      <c r="I5" s="92"/>
      <c r="J5" s="97"/>
      <c r="K5" s="98"/>
      <c r="L5" s="99"/>
      <c r="M5" s="98"/>
      <c r="N5" s="98"/>
      <c r="O5" s="98"/>
      <c r="P5" s="100"/>
    </row>
    <row r="6" spans="1:18" s="90" customFormat="1">
      <c r="B6" s="349" t="s">
        <v>789</v>
      </c>
      <c r="C6" s="347"/>
      <c r="D6" s="197" t="s">
        <v>741</v>
      </c>
      <c r="E6" s="1419">
        <f>FORM!I26</f>
        <v>0</v>
      </c>
      <c r="F6" s="1419"/>
      <c r="G6" s="1419"/>
      <c r="H6" s="1419"/>
      <c r="I6" s="92"/>
      <c r="J6" s="384" t="s">
        <v>789</v>
      </c>
      <c r="K6" s="366"/>
      <c r="L6" s="433" t="s">
        <v>741</v>
      </c>
      <c r="M6" s="1416">
        <f t="shared" ref="M6:M13" si="0">E6</f>
        <v>0</v>
      </c>
      <c r="N6" s="1417"/>
      <c r="O6" s="1417"/>
      <c r="P6" s="1418"/>
    </row>
    <row r="7" spans="1:18" s="90" customFormat="1">
      <c r="B7" s="349" t="s">
        <v>740</v>
      </c>
      <c r="C7" s="347"/>
      <c r="D7" s="197" t="s">
        <v>741</v>
      </c>
      <c r="E7" s="1621" t="str">
        <f>FORM!I11</f>
        <v>The Southprime Flats</v>
      </c>
      <c r="F7" s="1622"/>
      <c r="G7" s="277" t="str">
        <f>FORM!I14</f>
        <v>B2</v>
      </c>
      <c r="H7" s="577"/>
      <c r="I7" s="92"/>
      <c r="J7" s="206" t="s">
        <v>740</v>
      </c>
      <c r="K7" s="367"/>
      <c r="L7" s="433" t="s">
        <v>741</v>
      </c>
      <c r="M7" s="1416" t="str">
        <f>E7</f>
        <v>The Southprime Flats</v>
      </c>
      <c r="N7" s="1417"/>
      <c r="O7" s="1417"/>
      <c r="P7" s="1418"/>
    </row>
    <row r="8" spans="1:18" s="90" customFormat="1">
      <c r="B8" s="483" t="s">
        <v>790</v>
      </c>
      <c r="C8" s="484"/>
      <c r="D8" s="197" t="s">
        <v>741</v>
      </c>
      <c r="E8" s="1419" t="str">
        <f>'STANDARD COMP.'!E8</f>
        <v>2L</v>
      </c>
      <c r="F8" s="1419"/>
      <c r="G8" s="1419"/>
      <c r="H8" s="1419"/>
      <c r="I8" s="92"/>
      <c r="J8" s="206" t="s">
        <v>790</v>
      </c>
      <c r="K8" s="367"/>
      <c r="L8" s="433" t="s">
        <v>741</v>
      </c>
      <c r="M8" s="1416" t="str">
        <f t="shared" si="0"/>
        <v>2L</v>
      </c>
      <c r="N8" s="1417"/>
      <c r="O8" s="1417"/>
      <c r="P8" s="1418"/>
    </row>
    <row r="9" spans="1:18" hidden="1">
      <c r="B9" s="1617" t="s">
        <v>791</v>
      </c>
      <c r="C9" s="1618"/>
      <c r="D9" s="197" t="s">
        <v>741</v>
      </c>
      <c r="E9" s="1419" t="e">
        <f>FORM!#REF!</f>
        <v>#REF!</v>
      </c>
      <c r="F9" s="1419"/>
      <c r="G9" s="1419"/>
      <c r="H9" s="1419"/>
      <c r="I9" s="112"/>
      <c r="J9" s="206" t="s">
        <v>791</v>
      </c>
      <c r="K9" s="367"/>
      <c r="L9" s="433" t="s">
        <v>741</v>
      </c>
      <c r="M9" s="1416" t="e">
        <f t="shared" si="0"/>
        <v>#REF!</v>
      </c>
      <c r="N9" s="1417"/>
      <c r="O9" s="1417"/>
      <c r="P9" s="1418"/>
    </row>
    <row r="10" spans="1:18">
      <c r="A10" s="119"/>
      <c r="B10" s="1617" t="s">
        <v>792</v>
      </c>
      <c r="C10" s="1618"/>
      <c r="D10" s="197" t="s">
        <v>741</v>
      </c>
      <c r="E10" s="1419" t="str">
        <f>'STANDARD COMP.'!E10</f>
        <v>Studio</v>
      </c>
      <c r="F10" s="1419"/>
      <c r="G10" s="1419"/>
      <c r="H10" s="1419"/>
      <c r="I10" s="114"/>
      <c r="J10" s="206" t="s">
        <v>792</v>
      </c>
      <c r="K10" s="367"/>
      <c r="L10" s="433" t="s">
        <v>741</v>
      </c>
      <c r="M10" s="1416" t="str">
        <f t="shared" si="0"/>
        <v>Studio</v>
      </c>
      <c r="N10" s="1417"/>
      <c r="O10" s="1417"/>
      <c r="P10" s="1418"/>
      <c r="Q10" s="434"/>
    </row>
    <row r="11" spans="1:18">
      <c r="B11" s="349" t="s">
        <v>793</v>
      </c>
      <c r="C11" s="347"/>
      <c r="D11" s="197" t="s">
        <v>741</v>
      </c>
      <c r="E11" s="1424">
        <f>'STANDARD COMP.'!E11:F11</f>
        <v>22</v>
      </c>
      <c r="F11" s="1619"/>
      <c r="G11" s="454" t="s">
        <v>794</v>
      </c>
      <c r="H11" s="455"/>
      <c r="I11" s="112"/>
      <c r="J11" s="206" t="s">
        <v>793</v>
      </c>
      <c r="K11" s="367"/>
      <c r="L11" s="435" t="s">
        <v>741</v>
      </c>
      <c r="M11" s="1421">
        <f t="shared" si="0"/>
        <v>22</v>
      </c>
      <c r="N11" s="1421"/>
      <c r="O11" s="369" t="s">
        <v>794</v>
      </c>
      <c r="P11" s="436"/>
    </row>
    <row r="12" spans="1:18">
      <c r="B12" s="349" t="s">
        <v>795</v>
      </c>
      <c r="C12" s="347"/>
      <c r="D12" s="197" t="s">
        <v>741</v>
      </c>
      <c r="E12" s="1430">
        <f>'STANDARD COMP.'!E12:F12</f>
        <v>0</v>
      </c>
      <c r="F12" s="1615"/>
      <c r="G12" s="454" t="s">
        <v>794</v>
      </c>
      <c r="H12" s="456"/>
      <c r="I12" s="112"/>
      <c r="J12" s="215" t="s">
        <v>795</v>
      </c>
      <c r="K12" s="367"/>
      <c r="L12" s="433" t="s">
        <v>741</v>
      </c>
      <c r="M12" s="1589">
        <f t="shared" si="0"/>
        <v>0</v>
      </c>
      <c r="N12" s="1616"/>
      <c r="O12" s="437" t="s">
        <v>794</v>
      </c>
      <c r="P12" s="217"/>
    </row>
    <row r="13" spans="1:18">
      <c r="B13" s="483" t="s">
        <v>796</v>
      </c>
      <c r="C13" s="484"/>
      <c r="D13" s="197" t="s">
        <v>741</v>
      </c>
      <c r="E13" s="1430">
        <f>'STANDARD COMP.'!E13:F13</f>
        <v>22</v>
      </c>
      <c r="F13" s="1615"/>
      <c r="G13" s="454" t="s">
        <v>794</v>
      </c>
      <c r="H13" s="456"/>
      <c r="I13" s="112"/>
      <c r="J13" s="384" t="s">
        <v>796</v>
      </c>
      <c r="K13" s="122"/>
      <c r="L13" s="433" t="s">
        <v>741</v>
      </c>
      <c r="M13" s="1589">
        <f t="shared" si="0"/>
        <v>22</v>
      </c>
      <c r="N13" s="1616"/>
      <c r="O13" s="437" t="s">
        <v>794</v>
      </c>
      <c r="P13" s="217"/>
    </row>
    <row r="14" spans="1:18">
      <c r="B14" s="112"/>
      <c r="C14" s="112"/>
      <c r="D14" s="197"/>
      <c r="E14" s="112"/>
      <c r="F14" s="112"/>
      <c r="G14" s="112"/>
      <c r="H14" s="112"/>
      <c r="I14" s="112"/>
      <c r="J14" s="112"/>
      <c r="K14" s="112"/>
      <c r="L14" s="113"/>
      <c r="M14" s="112"/>
      <c r="N14" s="112"/>
      <c r="O14" s="112"/>
      <c r="P14" s="112"/>
    </row>
    <row r="15" spans="1:18" ht="15" customHeight="1">
      <c r="B15" s="201" t="s">
        <v>797</v>
      </c>
      <c r="C15" s="366"/>
      <c r="D15" s="197" t="s">
        <v>741</v>
      </c>
      <c r="E15" s="535"/>
      <c r="F15" s="1603">
        <f>'STANDARD COMP.'!F15</f>
        <v>3379693.0676632621</v>
      </c>
      <c r="G15" s="1604"/>
      <c r="H15" s="1605"/>
      <c r="I15" s="114"/>
      <c r="J15" s="1434" t="s">
        <v>798</v>
      </c>
      <c r="K15" s="1434"/>
      <c r="L15" s="1611" t="s">
        <v>709</v>
      </c>
      <c r="M15" s="1434" t="s">
        <v>712</v>
      </c>
      <c r="N15" s="1434"/>
      <c r="O15" s="1436" t="s">
        <v>458</v>
      </c>
      <c r="P15" s="1437"/>
    </row>
    <row r="16" spans="1:18" s="3" customFormat="1">
      <c r="B16" s="1634" t="s">
        <v>959</v>
      </c>
      <c r="C16" s="1634"/>
      <c r="D16" s="197" t="s">
        <v>741</v>
      </c>
      <c r="E16" s="536">
        <v>0.1</v>
      </c>
      <c r="F16" s="1607">
        <f>(F15-F17)*E25*E16</f>
        <v>42246.163345790781</v>
      </c>
      <c r="G16" s="1607"/>
      <c r="H16" s="1608"/>
      <c r="I16" s="112"/>
      <c r="J16" s="1434"/>
      <c r="K16" s="1434"/>
      <c r="L16" s="1611"/>
      <c r="M16" s="1434"/>
      <c r="N16" s="1434"/>
      <c r="O16" s="1438"/>
      <c r="P16" s="1439"/>
    </row>
    <row r="17" spans="1:16">
      <c r="B17" s="206" t="s">
        <v>799</v>
      </c>
      <c r="C17" s="215"/>
      <c r="D17" s="197" t="s">
        <v>741</v>
      </c>
      <c r="E17" s="535"/>
      <c r="F17" s="1606">
        <f>'STANDARD COMP.'!F16:I16</f>
        <v>0</v>
      </c>
      <c r="G17" s="1607"/>
      <c r="H17" s="1608"/>
      <c r="I17" s="114"/>
      <c r="J17" s="1419" t="s">
        <v>758</v>
      </c>
      <c r="K17" s="1419"/>
      <c r="L17" s="438">
        <f>C2</f>
        <v>45901</v>
      </c>
      <c r="M17" s="1441">
        <f>FORM!I22</f>
        <v>30000</v>
      </c>
      <c r="N17" s="1441"/>
      <c r="O17" s="1442"/>
      <c r="P17" s="1443"/>
    </row>
    <row r="18" spans="1:16" s="3" customFormat="1">
      <c r="B18" s="165" t="s">
        <v>800</v>
      </c>
      <c r="C18" s="122"/>
      <c r="D18" s="197" t="s">
        <v>741</v>
      </c>
      <c r="E18" s="537"/>
      <c r="F18" s="1603">
        <f>F15-F16-F17</f>
        <v>3337446.9043174712</v>
      </c>
      <c r="G18" s="1604"/>
      <c r="H18" s="1605"/>
      <c r="I18" s="112"/>
      <c r="J18" s="1419" t="s">
        <v>960</v>
      </c>
      <c r="K18" s="1419"/>
      <c r="L18" s="438">
        <f>L17+7</f>
        <v>45908</v>
      </c>
      <c r="M18" s="1441">
        <f>F27</f>
        <v>445269.3376401462</v>
      </c>
      <c r="N18" s="1441"/>
      <c r="O18" s="1442"/>
      <c r="P18" s="1443"/>
    </row>
    <row r="19" spans="1:16">
      <c r="A19" s="119"/>
      <c r="B19" s="212"/>
      <c r="C19" s="112"/>
      <c r="D19" s="197"/>
      <c r="E19" s="555">
        <f>(F15-F16-F17)*E20</f>
        <v>400493.62851809652</v>
      </c>
      <c r="F19" s="214"/>
      <c r="G19" s="214"/>
      <c r="H19" s="214"/>
      <c r="I19" s="112"/>
      <c r="J19" s="1575" t="s">
        <v>866</v>
      </c>
      <c r="K19" s="1575"/>
      <c r="L19" s="439">
        <f>IF(AND(DAY(R1)&gt;=6,DAY(R1)&lt;=20),DATE(YEAR(R1),MONTH(R1)+1,DAY(20)),IF(AND(DAY(R1)&gt;=21,DAY(R1)&lt;=30),DATE(YEAR(R1),MONTH(R1)+1,IF(DAY(EOMONTH(R1,1))&lt;30,DAY(EOMONTH(R1,1)),DAY(30))),DATE(YEAR(R1),MONTH(R1)+1,DAY(5))))</f>
        <v>46482</v>
      </c>
      <c r="M19" s="1628">
        <f>F29</f>
        <v>3326885.3634810233</v>
      </c>
      <c r="N19" s="1628"/>
      <c r="O19" s="1630"/>
      <c r="P19" s="1631"/>
    </row>
    <row r="20" spans="1:16">
      <c r="B20" s="370" t="s">
        <v>803</v>
      </c>
      <c r="C20" s="370"/>
      <c r="D20" s="197" t="s">
        <v>741</v>
      </c>
      <c r="E20" s="453">
        <f>'STANDARD COMP.'!E19</f>
        <v>0.12</v>
      </c>
      <c r="F20" s="1609"/>
      <c r="G20" s="1609"/>
      <c r="H20" s="1609"/>
      <c r="I20" s="112"/>
      <c r="J20" s="1564"/>
      <c r="K20" s="1564"/>
      <c r="L20" s="440"/>
      <c r="M20" s="1627"/>
      <c r="N20" s="1627"/>
      <c r="O20" s="112"/>
      <c r="P20" s="112"/>
    </row>
    <row r="21" spans="1:16">
      <c r="B21" s="384" t="s">
        <v>806</v>
      </c>
      <c r="C21" s="160"/>
      <c r="D21" s="197" t="s">
        <v>741</v>
      </c>
      <c r="E21" s="453"/>
      <c r="F21" s="1610">
        <f>'STANDARD COMP.'!F20:I20</f>
        <v>464707.79680369853</v>
      </c>
      <c r="G21" s="1610"/>
      <c r="H21" s="1610"/>
      <c r="I21" s="112"/>
      <c r="J21" s="197"/>
      <c r="K21" s="197"/>
      <c r="L21" s="440"/>
      <c r="M21" s="441"/>
      <c r="N21" s="441"/>
      <c r="O21" s="112"/>
      <c r="P21" s="112"/>
    </row>
    <row r="22" spans="1:16">
      <c r="B22" s="212"/>
      <c r="C22" s="112"/>
      <c r="D22" s="197"/>
      <c r="E22" s="112"/>
      <c r="F22" s="214"/>
      <c r="G22" s="214"/>
      <c r="H22" s="214"/>
      <c r="I22" s="112"/>
      <c r="J22" s="197"/>
      <c r="K22" s="197"/>
      <c r="L22" s="440"/>
      <c r="M22" s="441"/>
      <c r="N22" s="441"/>
      <c r="O22" s="112"/>
      <c r="P22" s="112"/>
    </row>
    <row r="23" spans="1:16">
      <c r="A23" s="3"/>
      <c r="B23" s="1579" t="s">
        <v>810</v>
      </c>
      <c r="C23" s="1579"/>
      <c r="D23" s="197" t="s">
        <v>741</v>
      </c>
      <c r="E23" s="385"/>
      <c r="F23" s="1474">
        <f>SUM(F21,F20,F18)</f>
        <v>3802154.7011211696</v>
      </c>
      <c r="G23" s="1475"/>
      <c r="H23" s="1475"/>
      <c r="I23" s="1476"/>
      <c r="J23" s="235"/>
      <c r="K23" s="112"/>
      <c r="L23" s="113"/>
      <c r="M23" s="112"/>
      <c r="N23" s="112"/>
      <c r="O23" s="112"/>
      <c r="P23" s="112"/>
    </row>
    <row r="24" spans="1:16" s="3" customFormat="1">
      <c r="A24" s="111"/>
      <c r="B24" s="212"/>
      <c r="C24" s="112"/>
      <c r="D24" s="197" t="s">
        <v>741</v>
      </c>
      <c r="E24" s="443"/>
      <c r="F24" s="214"/>
      <c r="G24" s="1627"/>
      <c r="H24" s="1627"/>
      <c r="I24" s="112"/>
      <c r="J24" s="112"/>
      <c r="K24" s="442"/>
      <c r="L24" s="113"/>
      <c r="M24" s="112"/>
      <c r="N24" s="112"/>
      <c r="O24" s="112"/>
      <c r="P24" s="112"/>
    </row>
    <row r="25" spans="1:16">
      <c r="B25" s="1635" t="s">
        <v>961</v>
      </c>
      <c r="C25" s="1635"/>
      <c r="D25" s="197" t="s">
        <v>741</v>
      </c>
      <c r="E25" s="445">
        <f>'STANDARD COMP.'!E24</f>
        <v>0.125</v>
      </c>
      <c r="F25" s="1636">
        <f>E25*F23</f>
        <v>475269.3376401462</v>
      </c>
      <c r="G25" s="1637"/>
      <c r="H25" s="1638"/>
      <c r="I25" s="112"/>
      <c r="J25" s="114" t="s">
        <v>869</v>
      </c>
      <c r="K25" s="114"/>
      <c r="L25" s="444"/>
      <c r="M25" s="114"/>
      <c r="N25" s="3"/>
      <c r="O25" s="114" t="s">
        <v>870</v>
      </c>
      <c r="P25" s="112"/>
    </row>
    <row r="26" spans="1:16">
      <c r="A26" s="3"/>
      <c r="B26" s="1634" t="s">
        <v>815</v>
      </c>
      <c r="C26" s="1634"/>
      <c r="D26" s="197" t="s">
        <v>741</v>
      </c>
      <c r="E26" s="446"/>
      <c r="F26" s="1632">
        <f>'STANDARD COMP.'!F25</f>
        <v>30000</v>
      </c>
      <c r="G26" s="1607"/>
      <c r="H26" s="1608"/>
      <c r="I26" s="114"/>
      <c r="J26" s="112"/>
      <c r="K26" s="112"/>
      <c r="L26" s="433"/>
      <c r="M26" s="112"/>
      <c r="N26" s="112"/>
      <c r="O26" s="112"/>
      <c r="P26" s="112"/>
    </row>
    <row r="27" spans="1:16" s="3" customFormat="1">
      <c r="B27" s="1579" t="s">
        <v>962</v>
      </c>
      <c r="C27" s="1579"/>
      <c r="D27" s="197" t="s">
        <v>741</v>
      </c>
      <c r="E27" s="448"/>
      <c r="F27" s="1604">
        <f>F25-F26</f>
        <v>445269.3376401462</v>
      </c>
      <c r="G27" s="1604"/>
      <c r="H27" s="1605"/>
      <c r="I27" s="114"/>
      <c r="J27" s="114"/>
      <c r="K27" s="114"/>
      <c r="L27" s="405"/>
      <c r="M27" s="114"/>
      <c r="N27" s="114"/>
      <c r="O27" s="114"/>
      <c r="P27" s="114"/>
    </row>
    <row r="28" spans="1:16" s="3" customFormat="1">
      <c r="B28" s="212"/>
      <c r="C28" s="112"/>
      <c r="D28" s="197"/>
      <c r="E28" s="112"/>
      <c r="F28" s="278"/>
      <c r="G28" s="278"/>
      <c r="H28" s="278"/>
      <c r="I28" s="114"/>
      <c r="J28" s="1571">
        <f>FORM!I28</f>
        <v>0</v>
      </c>
      <c r="K28" s="1571"/>
      <c r="L28" s="1571"/>
      <c r="M28" s="114"/>
      <c r="N28" s="114"/>
      <c r="O28" s="1571">
        <f>FORM!I26</f>
        <v>0</v>
      </c>
      <c r="P28" s="1571"/>
    </row>
    <row r="29" spans="1:16" s="3" customFormat="1">
      <c r="A29" s="111"/>
      <c r="B29" s="165" t="s">
        <v>827</v>
      </c>
      <c r="C29" s="122"/>
      <c r="D29" s="197" t="s">
        <v>741</v>
      </c>
      <c r="E29" s="450">
        <f>100%-E25</f>
        <v>0.875</v>
      </c>
      <c r="F29" s="1612">
        <f>F23*E29</f>
        <v>3326885.3634810233</v>
      </c>
      <c r="G29" s="1604"/>
      <c r="H29" s="1605"/>
      <c r="I29" s="112"/>
      <c r="J29" s="126" t="s">
        <v>953</v>
      </c>
      <c r="K29" s="126"/>
      <c r="L29" s="447"/>
      <c r="M29" s="112"/>
      <c r="N29" s="112"/>
      <c r="O29" s="126" t="s">
        <v>871</v>
      </c>
      <c r="P29" s="277"/>
    </row>
    <row r="30" spans="1:16">
      <c r="A30" s="3"/>
      <c r="B30" s="212"/>
      <c r="C30" s="112"/>
      <c r="D30" s="197"/>
      <c r="E30" s="112"/>
      <c r="F30" s="112"/>
      <c r="G30" s="112"/>
      <c r="H30" s="112"/>
      <c r="I30" s="114"/>
      <c r="J30" s="112"/>
      <c r="K30" s="112"/>
      <c r="L30" s="449"/>
      <c r="M30" s="112"/>
      <c r="N30" s="112"/>
      <c r="O30" s="112"/>
      <c r="P30" s="112"/>
    </row>
    <row r="31" spans="1:16" s="3" customFormat="1">
      <c r="A31" s="111"/>
      <c r="B31" s="92"/>
      <c r="C31" s="112"/>
      <c r="D31" s="197"/>
      <c r="E31" s="112"/>
      <c r="F31" s="112"/>
      <c r="G31" s="112"/>
      <c r="H31" s="112"/>
      <c r="I31" s="112"/>
      <c r="J31" s="112"/>
      <c r="K31" s="112"/>
      <c r="L31" s="449"/>
      <c r="M31" s="112"/>
      <c r="N31" s="112"/>
      <c r="O31" s="112"/>
      <c r="P31" s="112"/>
    </row>
    <row r="32" spans="1:16">
      <c r="B32" s="122" t="s">
        <v>830</v>
      </c>
      <c r="C32" s="122"/>
      <c r="D32" s="309"/>
      <c r="E32" s="309"/>
      <c r="F32" s="309"/>
      <c r="G32" s="309"/>
      <c r="H32" s="309"/>
      <c r="I32" s="112"/>
      <c r="J32" s="112"/>
      <c r="K32" s="112"/>
      <c r="L32" s="113"/>
      <c r="M32" s="112"/>
      <c r="N32" s="112"/>
      <c r="O32" s="112"/>
      <c r="P32" s="112"/>
    </row>
    <row r="33" spans="2:9">
      <c r="B33" s="92"/>
      <c r="C33" s="112"/>
      <c r="D33" s="197"/>
      <c r="E33" s="112"/>
      <c r="F33" s="112"/>
      <c r="G33" s="112"/>
      <c r="H33" s="112"/>
      <c r="I33" s="112"/>
    </row>
    <row r="34" spans="2:9">
      <c r="B34" s="345" t="s">
        <v>833</v>
      </c>
      <c r="C34" s="345" t="s">
        <v>352</v>
      </c>
      <c r="D34" s="345" t="s">
        <v>834</v>
      </c>
      <c r="E34" s="345" t="s">
        <v>835</v>
      </c>
      <c r="F34" s="1434" t="s">
        <v>855</v>
      </c>
      <c r="G34" s="1434"/>
      <c r="H34" s="1434"/>
      <c r="I34" s="112"/>
    </row>
    <row r="35" spans="2:9">
      <c r="B35" s="398">
        <v>5</v>
      </c>
      <c r="C35" s="699">
        <f>'STANDARD COMP.'!C35</f>
        <v>7.0000000000000007E-2</v>
      </c>
      <c r="D35" s="399">
        <f>PMT(C35/12,B35*12,-1)</f>
        <v>1.9801198540349535E-2</v>
      </c>
      <c r="E35" s="400">
        <f>F29*D35</f>
        <v>65876.317603270669</v>
      </c>
      <c r="F35" s="1441">
        <f>E35/0.33</f>
        <v>199625.20485839597</v>
      </c>
      <c r="G35" s="1441"/>
      <c r="H35" s="1441"/>
      <c r="I35" s="112"/>
    </row>
    <row r="36" spans="2:9">
      <c r="B36" s="398">
        <v>10</v>
      </c>
      <c r="C36" s="699">
        <f>'STANDARD COMP.'!C36</f>
        <v>7.0000000000000007E-2</v>
      </c>
      <c r="D36" s="399">
        <f>PMT(C36/12,B36*12,-1)</f>
        <v>1.1610847921862406E-2</v>
      </c>
      <c r="E36" s="400">
        <f>F29*D36</f>
        <v>38627.960008848095</v>
      </c>
      <c r="F36" s="1441">
        <f>E36/0.33</f>
        <v>117054.42426923664</v>
      </c>
      <c r="G36" s="1441"/>
      <c r="H36" s="1441"/>
      <c r="I36" s="112"/>
    </row>
    <row r="37" spans="2:9">
      <c r="B37" s="398">
        <v>15</v>
      </c>
      <c r="C37" s="699">
        <f>'STANDARD COMP.'!C37</f>
        <v>7.0000000000000007E-2</v>
      </c>
      <c r="D37" s="399">
        <f>PMT(C37/12,B37*12,-1)</f>
        <v>8.988282708524269E-3</v>
      </c>
      <c r="E37" s="400">
        <f>F29*D37</f>
        <v>29902.986185818958</v>
      </c>
      <c r="F37" s="1441">
        <f>E37/0.33</f>
        <v>90615.109653996842</v>
      </c>
      <c r="G37" s="1441"/>
      <c r="H37" s="1441"/>
      <c r="I37" s="112"/>
    </row>
    <row r="38" spans="2:9">
      <c r="B38" s="398">
        <v>20</v>
      </c>
      <c r="C38" s="699">
        <f>'STANDARD COMP.'!C38</f>
        <v>7.0000000000000007E-2</v>
      </c>
      <c r="D38" s="399">
        <f>PMT(C38/12,B38*12,-1)</f>
        <v>7.7529893561887461E-3</v>
      </c>
      <c r="E38" s="400">
        <f>F29*D38</f>
        <v>25793.306812328501</v>
      </c>
      <c r="F38" s="1441">
        <f>E38/0.33</f>
        <v>78161.535794934854</v>
      </c>
      <c r="G38" s="1441"/>
      <c r="H38" s="1441"/>
      <c r="I38" s="112"/>
    </row>
    <row r="39" spans="2:9">
      <c r="B39" s="814" t="str">
        <f>'STANDARD COMP.'!B39</f>
        <v>Fixed for three (3) years</v>
      </c>
      <c r="D39" s="111"/>
      <c r="F39" s="112"/>
      <c r="G39" s="112"/>
      <c r="H39" s="112"/>
      <c r="I39" s="112"/>
    </row>
    <row r="40" spans="2:9">
      <c r="B40" s="814" t="str">
        <f>'STANDARD COMP.'!B40</f>
        <v>Sample Computation for Interest rate is at 7% fixed for three (3) years only</v>
      </c>
      <c r="D40" s="197"/>
      <c r="E40" s="112"/>
      <c r="F40" s="112"/>
      <c r="G40" s="112"/>
      <c r="H40" s="112"/>
      <c r="I40" s="112"/>
    </row>
    <row r="41" spans="2:9">
      <c r="B41" s="273" t="s">
        <v>844</v>
      </c>
      <c r="C41" s="402"/>
      <c r="D41" s="197"/>
      <c r="E41" s="112"/>
      <c r="F41" s="112"/>
      <c r="G41" s="112"/>
      <c r="H41" s="112"/>
      <c r="I41" s="112"/>
    </row>
    <row r="42" spans="2:9">
      <c r="B42" s="273" t="s">
        <v>846</v>
      </c>
      <c r="C42" s="112"/>
      <c r="D42" s="197"/>
      <c r="E42" s="112"/>
      <c r="F42" s="112"/>
      <c r="G42" s="112"/>
      <c r="H42" s="112"/>
      <c r="I42" s="112"/>
    </row>
    <row r="43" spans="2:9">
      <c r="B43" s="273"/>
      <c r="C43" s="112"/>
      <c r="D43" s="197"/>
      <c r="E43" s="112"/>
      <c r="F43" s="112"/>
      <c r="G43" s="112"/>
      <c r="H43" s="112"/>
      <c r="I43" s="112"/>
    </row>
    <row r="44" spans="2:9">
      <c r="B44" s="122" t="s">
        <v>849</v>
      </c>
      <c r="C44" s="384"/>
      <c r="D44" s="395"/>
      <c r="E44" s="1234"/>
      <c r="F44" s="1062"/>
      <c r="G44" s="276"/>
      <c r="H44" s="276"/>
      <c r="I44" s="276"/>
    </row>
    <row r="45" spans="2:9">
      <c r="B45" s="309"/>
      <c r="C45" s="395"/>
      <c r="D45" s="395"/>
      <c r="E45" s="1235"/>
      <c r="F45" s="1236"/>
      <c r="G45" s="1237"/>
      <c r="H45" s="1237"/>
      <c r="I45" s="1237"/>
    </row>
    <row r="46" spans="2:9">
      <c r="B46" s="165" t="s">
        <v>852</v>
      </c>
      <c r="C46" s="165"/>
      <c r="D46" s="203" t="s">
        <v>741</v>
      </c>
      <c r="E46" s="387">
        <v>0.8</v>
      </c>
      <c r="F46" s="1474">
        <f>E46*F23</f>
        <v>3041723.7608969361</v>
      </c>
      <c r="G46" s="1475"/>
      <c r="H46" s="1475"/>
      <c r="I46" s="1476"/>
    </row>
    <row r="47" spans="2:9">
      <c r="B47" s="112"/>
      <c r="C47" s="312"/>
      <c r="D47" s="312"/>
      <c r="E47" s="1238"/>
      <c r="F47" s="278"/>
      <c r="G47" s="278"/>
      <c r="H47" s="278"/>
      <c r="I47" s="278"/>
    </row>
    <row r="48" spans="2:9">
      <c r="B48" s="345" t="s">
        <v>833</v>
      </c>
      <c r="C48" s="345" t="s">
        <v>352</v>
      </c>
      <c r="D48" s="345" t="s">
        <v>834</v>
      </c>
      <c r="E48" s="345" t="s">
        <v>835</v>
      </c>
      <c r="F48" s="1434" t="s">
        <v>855</v>
      </c>
      <c r="G48" s="1434"/>
      <c r="H48" s="1434"/>
      <c r="I48" s="1434"/>
    </row>
    <row r="49" spans="1:9">
      <c r="B49" s="398">
        <v>1</v>
      </c>
      <c r="C49" s="1239">
        <v>0.12</v>
      </c>
      <c r="D49" s="399">
        <f>PMT(C49/12,B49*12,-1)</f>
        <v>8.88487886783417E-2</v>
      </c>
      <c r="E49" s="400">
        <f>$F$46*D49</f>
        <v>270253.4716498226</v>
      </c>
      <c r="F49" s="1441">
        <f>E49/0.33</f>
        <v>818949.91409037146</v>
      </c>
      <c r="G49" s="1441"/>
      <c r="H49" s="1441"/>
      <c r="I49" s="1441"/>
    </row>
    <row r="50" spans="1:9" ht="15" customHeight="1">
      <c r="B50" s="398">
        <v>3</v>
      </c>
      <c r="C50" s="1239">
        <v>0.16</v>
      </c>
      <c r="D50" s="399">
        <f>PMT(C50/12,B50*12,-1)</f>
        <v>3.5157033036350094E-2</v>
      </c>
      <c r="E50" s="400">
        <f>$F$46*D50</f>
        <v>106937.98274930463</v>
      </c>
      <c r="F50" s="1441">
        <f>E50/0.33</f>
        <v>324054.49317971099</v>
      </c>
      <c r="G50" s="1441"/>
      <c r="H50" s="1441"/>
      <c r="I50" s="1441"/>
    </row>
    <row r="51" spans="1:9" ht="14.25" customHeight="1">
      <c r="B51" s="398">
        <v>5</v>
      </c>
      <c r="C51" s="1239">
        <v>0.18</v>
      </c>
      <c r="D51" s="399">
        <f>PMT(C51/12,B51*12,-1)</f>
        <v>2.5393427427109084E-2</v>
      </c>
      <c r="E51" s="400">
        <f>$F$46*D51</f>
        <v>77239.791575649651</v>
      </c>
      <c r="F51" s="1441">
        <f>E51/0.33</f>
        <v>234059.9744716656</v>
      </c>
      <c r="G51" s="1441"/>
      <c r="H51" s="1441"/>
      <c r="I51" s="1441"/>
    </row>
    <row r="52" spans="1:9" ht="15" customHeight="1">
      <c r="B52" s="398">
        <v>10</v>
      </c>
      <c r="C52" s="1239">
        <v>0.2</v>
      </c>
      <c r="D52" s="399">
        <f>PMT(C52/12,B52*12,-1)</f>
        <v>1.9325567219932577E-2</v>
      </c>
      <c r="E52" s="400">
        <f>$F$46*D52</f>
        <v>58783.037005679864</v>
      </c>
      <c r="F52" s="1441">
        <f>E52/0.33</f>
        <v>178130.41516872685</v>
      </c>
      <c r="G52" s="1441"/>
      <c r="H52" s="1441"/>
      <c r="I52" s="1441"/>
    </row>
    <row r="53" spans="1:9" ht="14.25" customHeight="1" thickBot="1">
      <c r="A53" s="451" t="e">
        <f>(F18-(#REF!+F16))*12%</f>
        <v>#REF!</v>
      </c>
      <c r="B53" s="1240" t="s">
        <v>861</v>
      </c>
      <c r="C53" s="1241"/>
      <c r="D53" s="1241"/>
      <c r="E53" s="1241"/>
      <c r="F53" s="1241"/>
      <c r="G53" s="1241"/>
      <c r="H53" s="1241"/>
      <c r="I53" s="1241"/>
    </row>
    <row r="54" spans="1:9" ht="15" customHeight="1">
      <c r="C54" s="402"/>
      <c r="D54" s="197"/>
      <c r="E54" s="112"/>
      <c r="F54" s="112"/>
      <c r="G54" s="112"/>
      <c r="H54" s="112"/>
      <c r="I54" s="112"/>
    </row>
    <row r="55" spans="1:9" ht="14.25" customHeight="1">
      <c r="C55" s="112"/>
      <c r="D55" s="111"/>
    </row>
    <row r="56" spans="1:9" ht="15" customHeight="1">
      <c r="B56" s="122" t="s">
        <v>864</v>
      </c>
      <c r="C56" s="122"/>
      <c r="D56" s="309"/>
      <c r="E56" s="309"/>
      <c r="F56" s="309"/>
      <c r="G56" s="309"/>
      <c r="H56" s="309"/>
    </row>
    <row r="57" spans="1:9" ht="11.25" customHeight="1">
      <c r="B57" s="309"/>
      <c r="C57" s="309"/>
      <c r="D57" s="309"/>
      <c r="E57" s="309"/>
      <c r="F57" s="309"/>
      <c r="G57" s="309"/>
      <c r="H57" s="309"/>
    </row>
    <row r="58" spans="1:9" ht="15" customHeight="1">
      <c r="B58" s="1633" t="s">
        <v>948</v>
      </c>
      <c r="C58" s="1633"/>
      <c r="D58" s="1633" t="s">
        <v>711</v>
      </c>
      <c r="E58" s="1633"/>
      <c r="F58" s="1633"/>
      <c r="G58" s="1633" t="s">
        <v>868</v>
      </c>
      <c r="H58" s="1633"/>
    </row>
    <row r="59" spans="1:9" ht="14.25" customHeight="1">
      <c r="B59" s="1552">
        <f>'STANDARD COMP.'!B58</f>
        <v>0</v>
      </c>
      <c r="C59" s="1553"/>
      <c r="D59" s="1552">
        <f>'STANDARD COMP.'!D58:D58</f>
        <v>0</v>
      </c>
      <c r="E59" s="1556"/>
      <c r="F59" s="1553"/>
      <c r="G59" s="1623">
        <f>'STANDARD COMP.'!G58</f>
        <v>0</v>
      </c>
      <c r="H59" s="1624"/>
    </row>
    <row r="60" spans="1:9" ht="15" customHeight="1">
      <c r="B60" s="1554"/>
      <c r="C60" s="1555"/>
      <c r="D60" s="1554"/>
      <c r="E60" s="1557"/>
      <c r="F60" s="1555"/>
      <c r="G60" s="1625"/>
      <c r="H60" s="1626"/>
    </row>
    <row r="61" spans="1:9" ht="14.25" customHeight="1">
      <c r="B61" s="1552">
        <f>'STANDARD COMP.'!B60</f>
        <v>0</v>
      </c>
      <c r="C61" s="1553"/>
      <c r="D61" s="1552">
        <f>'STANDARD COMP.'!D60:D60</f>
        <v>0</v>
      </c>
      <c r="E61" s="1556"/>
      <c r="F61" s="1553"/>
      <c r="G61" s="1623">
        <f>'STANDARD COMP.'!G60</f>
        <v>0</v>
      </c>
      <c r="H61" s="1624"/>
    </row>
    <row r="62" spans="1:9">
      <c r="B62" s="1554"/>
      <c r="C62" s="1555"/>
      <c r="D62" s="1554"/>
      <c r="E62" s="1557"/>
      <c r="F62" s="1555"/>
      <c r="G62" s="1625"/>
      <c r="H62" s="1626"/>
    </row>
    <row r="63" spans="1:9">
      <c r="B63" s="1552">
        <f>'STANDARD COMP.'!B62</f>
        <v>0</v>
      </c>
      <c r="C63" s="1553"/>
      <c r="D63" s="1552">
        <f>'STANDARD COMP.'!D62:D62</f>
        <v>0</v>
      </c>
      <c r="E63" s="1556"/>
      <c r="F63" s="1553"/>
      <c r="G63" s="1623">
        <f>'STANDARD COMP.'!G62</f>
        <v>0</v>
      </c>
      <c r="H63" s="1624"/>
    </row>
    <row r="64" spans="1:9">
      <c r="B64" s="1554"/>
      <c r="C64" s="1555"/>
      <c r="D64" s="1554"/>
      <c r="E64" s="1557"/>
      <c r="F64" s="1555"/>
      <c r="G64" s="1625"/>
      <c r="H64" s="1626"/>
    </row>
    <row r="65" spans="2:8">
      <c r="B65" s="1552">
        <f>'STANDARD COMP.'!B64</f>
        <v>0</v>
      </c>
      <c r="C65" s="1553"/>
      <c r="D65" s="1552">
        <f>'STANDARD COMP.'!D64:D64</f>
        <v>0</v>
      </c>
      <c r="E65" s="1556"/>
      <c r="F65" s="1553"/>
      <c r="G65" s="1623">
        <f>'STANDARD COMP.'!G64</f>
        <v>0</v>
      </c>
      <c r="H65" s="1624"/>
    </row>
    <row r="66" spans="2:8">
      <c r="B66" s="1554"/>
      <c r="C66" s="1555"/>
      <c r="D66" s="1554"/>
      <c r="E66" s="1557"/>
      <c r="F66" s="1555"/>
      <c r="G66" s="1625"/>
      <c r="H66" s="1626"/>
    </row>
    <row r="67" spans="2:8">
      <c r="B67" s="1552">
        <f>'STANDARD COMP.'!B66</f>
        <v>0</v>
      </c>
      <c r="C67" s="1553"/>
      <c r="D67" s="1552">
        <f>'STANDARD COMP.'!D66:D66</f>
        <v>0</v>
      </c>
      <c r="E67" s="1556"/>
      <c r="F67" s="1553"/>
      <c r="G67" s="1623">
        <f>'STANDARD COMP.'!G66</f>
        <v>0</v>
      </c>
      <c r="H67" s="1624"/>
    </row>
    <row r="68" spans="2:8">
      <c r="B68" s="1554"/>
      <c r="C68" s="1555"/>
      <c r="D68" s="1554"/>
      <c r="E68" s="1557"/>
      <c r="F68" s="1555"/>
      <c r="G68" s="1625"/>
      <c r="H68" s="1626"/>
    </row>
    <row r="69" spans="2:8">
      <c r="B69" s="1552">
        <f>'STANDARD COMP.'!B68</f>
        <v>0</v>
      </c>
      <c r="C69" s="1553"/>
      <c r="D69" s="1552">
        <f>'STANDARD COMP.'!D68:D68</f>
        <v>0</v>
      </c>
      <c r="E69" s="1556"/>
      <c r="F69" s="1553"/>
      <c r="G69" s="1623">
        <f>'STANDARD COMP.'!G68</f>
        <v>0</v>
      </c>
      <c r="H69" s="1624"/>
    </row>
    <row r="70" spans="2:8">
      <c r="B70" s="1554"/>
      <c r="C70" s="1555"/>
      <c r="D70" s="1554"/>
      <c r="E70" s="1557"/>
      <c r="F70" s="1555"/>
      <c r="G70" s="1625"/>
      <c r="H70" s="1626"/>
    </row>
    <row r="71" spans="2:8">
      <c r="B71" s="197"/>
      <c r="C71" s="197"/>
      <c r="D71" s="452"/>
      <c r="E71" s="452"/>
      <c r="F71" s="452"/>
      <c r="G71" s="197"/>
      <c r="H71" s="197"/>
    </row>
    <row r="72" spans="2:8">
      <c r="B72" s="403"/>
      <c r="C72" s="403" t="s">
        <v>963</v>
      </c>
      <c r="D72" s="1547"/>
      <c r="E72" s="1547"/>
      <c r="F72" s="1547"/>
      <c r="G72" s="197"/>
      <c r="H72" s="197"/>
    </row>
    <row r="73" spans="2:8">
      <c r="B73" s="197"/>
      <c r="C73" s="197"/>
      <c r="D73" s="452"/>
      <c r="E73" s="452"/>
      <c r="F73" s="452"/>
      <c r="G73" s="197"/>
      <c r="H73" s="197"/>
    </row>
    <row r="74" spans="2:8">
      <c r="B74" s="197"/>
      <c r="C74" s="197"/>
      <c r="D74" s="452"/>
      <c r="E74" s="452"/>
      <c r="F74" s="452"/>
      <c r="G74" s="197"/>
      <c r="H74" s="197"/>
    </row>
    <row r="76" spans="2:8">
      <c r="B76" s="114" t="s">
        <v>869</v>
      </c>
      <c r="C76" s="114"/>
      <c r="D76" s="444"/>
      <c r="E76" s="114"/>
      <c r="F76" s="114" t="s">
        <v>870</v>
      </c>
      <c r="G76" s="112"/>
    </row>
    <row r="77" spans="2:8">
      <c r="B77" s="112"/>
      <c r="C77" s="112"/>
      <c r="D77" s="433"/>
      <c r="E77" s="112"/>
      <c r="F77" s="112"/>
      <c r="G77" s="112"/>
    </row>
    <row r="78" spans="2:8">
      <c r="B78" s="114"/>
      <c r="C78" s="114"/>
      <c r="D78" s="405"/>
      <c r="E78" s="114"/>
      <c r="F78" s="114"/>
      <c r="G78" s="114"/>
    </row>
    <row r="79" spans="2:8">
      <c r="B79" s="1571">
        <f>FORM!I28</f>
        <v>0</v>
      </c>
      <c r="C79" s="1571"/>
      <c r="D79" s="1571"/>
      <c r="E79" s="114"/>
      <c r="F79" s="1629">
        <f>FORM!I26</f>
        <v>0</v>
      </c>
      <c r="G79" s="1629"/>
      <c r="H79" s="1629"/>
    </row>
    <row r="80" spans="2:8">
      <c r="B80" s="126" t="s">
        <v>953</v>
      </c>
      <c r="C80" s="126"/>
      <c r="D80" s="447"/>
      <c r="E80" s="112"/>
      <c r="F80" s="277" t="s">
        <v>871</v>
      </c>
      <c r="G80" s="277"/>
      <c r="H80" s="172"/>
    </row>
  </sheetData>
  <sheetProtection password="CC2E" sheet="1" formatCells="0" formatColumns="0" formatRows="0"/>
  <mergeCells count="91">
    <mergeCell ref="B23:C23"/>
    <mergeCell ref="B16:C16"/>
    <mergeCell ref="B27:C27"/>
    <mergeCell ref="F27:H27"/>
    <mergeCell ref="B63:C64"/>
    <mergeCell ref="B26:C26"/>
    <mergeCell ref="B25:C25"/>
    <mergeCell ref="B61:C62"/>
    <mergeCell ref="D61:F62"/>
    <mergeCell ref="G61:H62"/>
    <mergeCell ref="G24:H24"/>
    <mergeCell ref="F25:H25"/>
    <mergeCell ref="F35:H35"/>
    <mergeCell ref="F46:I46"/>
    <mergeCell ref="F48:I48"/>
    <mergeCell ref="F49:I49"/>
    <mergeCell ref="F79:H79"/>
    <mergeCell ref="O15:P16"/>
    <mergeCell ref="O17:P17"/>
    <mergeCell ref="O18:P18"/>
    <mergeCell ref="O19:P19"/>
    <mergeCell ref="D63:F64"/>
    <mergeCell ref="B79:D79"/>
    <mergeCell ref="F26:H26"/>
    <mergeCell ref="B58:C58"/>
    <mergeCell ref="D58:F58"/>
    <mergeCell ref="G58:H58"/>
    <mergeCell ref="D72:F72"/>
    <mergeCell ref="B59:C60"/>
    <mergeCell ref="D59:F60"/>
    <mergeCell ref="G59:H60"/>
    <mergeCell ref="B69:C70"/>
    <mergeCell ref="B65:C66"/>
    <mergeCell ref="D65:F66"/>
    <mergeCell ref="G65:H66"/>
    <mergeCell ref="B67:C68"/>
    <mergeCell ref="D67:F68"/>
    <mergeCell ref="G67:H68"/>
    <mergeCell ref="D69:F70"/>
    <mergeCell ref="G69:H70"/>
    <mergeCell ref="O28:P28"/>
    <mergeCell ref="J18:K18"/>
    <mergeCell ref="M18:N18"/>
    <mergeCell ref="J20:K20"/>
    <mergeCell ref="M20:N20"/>
    <mergeCell ref="J19:K19"/>
    <mergeCell ref="M19:N19"/>
    <mergeCell ref="J28:L28"/>
    <mergeCell ref="F23:I23"/>
    <mergeCell ref="G63:H64"/>
    <mergeCell ref="F50:I50"/>
    <mergeCell ref="F51:I51"/>
    <mergeCell ref="F52:I52"/>
    <mergeCell ref="E6:H6"/>
    <mergeCell ref="M6:P6"/>
    <mergeCell ref="M7:P7"/>
    <mergeCell ref="E8:H8"/>
    <mergeCell ref="M8:P8"/>
    <mergeCell ref="E7:F7"/>
    <mergeCell ref="G2:H2"/>
    <mergeCell ref="E13:F13"/>
    <mergeCell ref="M13:N13"/>
    <mergeCell ref="B9:C9"/>
    <mergeCell ref="B10:C10"/>
    <mergeCell ref="E12:F12"/>
    <mergeCell ref="M12:N12"/>
    <mergeCell ref="E10:H10"/>
    <mergeCell ref="M10:P10"/>
    <mergeCell ref="E11:F11"/>
    <mergeCell ref="M11:N11"/>
    <mergeCell ref="O3:P3"/>
    <mergeCell ref="B4:H4"/>
    <mergeCell ref="J4:P4"/>
    <mergeCell ref="E9:H9"/>
    <mergeCell ref="M9:P9"/>
    <mergeCell ref="F15:H15"/>
    <mergeCell ref="F17:H17"/>
    <mergeCell ref="F18:H18"/>
    <mergeCell ref="F38:H38"/>
    <mergeCell ref="M15:N16"/>
    <mergeCell ref="F20:H20"/>
    <mergeCell ref="F21:H21"/>
    <mergeCell ref="M17:N17"/>
    <mergeCell ref="J15:K16"/>
    <mergeCell ref="J17:K17"/>
    <mergeCell ref="L15:L16"/>
    <mergeCell ref="F36:H36"/>
    <mergeCell ref="F37:H37"/>
    <mergeCell ref="F34:H34"/>
    <mergeCell ref="F29:H29"/>
    <mergeCell ref="F16:H16"/>
  </mergeCells>
  <pageMargins left="0.70866141732283472" right="0.70866141732283472" top="0.84259259259259256" bottom="0.74803149606299213" header="0.31496062992125984" footer="0.31496062992125984"/>
  <pageSetup paperSize="14" scale="70" orientation="portrait" r:id="rId1"/>
  <headerFooter>
    <oddHeader xml:space="preserve">&amp;R&amp;"Century Gothic,Bold"&amp;18ANNEX A: 
SAMPLE PACKAGE COMPUTATION
</oddHeader>
  </headerFooter>
  <colBreaks count="1" manualBreakCount="1">
    <brk id="8" max="81"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1:U123"/>
  <sheetViews>
    <sheetView showGridLines="0" showZeros="0" view="pageLayout" topLeftCell="A97" zoomScaleNormal="100" zoomScaleSheetLayoutView="85" workbookViewId="0">
      <selection activeCell="A104" sqref="A104"/>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639">
        <f>'SPOT EQUITY_7DAYS'!F15</f>
        <v>3379693.0676632621</v>
      </c>
      <c r="J27" s="1640"/>
      <c r="K27" s="1640"/>
      <c r="L27" s="1640"/>
      <c r="M27" s="1640"/>
      <c r="N27" s="1640"/>
      <c r="O27" s="1640"/>
      <c r="P27" s="1640"/>
      <c r="Q27" s="1640"/>
      <c r="R27" s="1640"/>
      <c r="S27" s="1640"/>
      <c r="T27" s="1640"/>
      <c r="U27" s="1641"/>
    </row>
    <row r="28" spans="1:21" ht="14.1">
      <c r="A28" s="41" t="s">
        <v>912</v>
      </c>
      <c r="B28" s="42"/>
      <c r="C28" s="44"/>
      <c r="D28" s="44"/>
      <c r="E28" s="44"/>
      <c r="F28" s="44"/>
      <c r="G28" s="44"/>
      <c r="H28" s="45"/>
      <c r="I28" s="1642">
        <f>'SPOT EQUITY_7DAYS'!F16+'SPOT EQUITY_7DAYS'!F17</f>
        <v>42246.163345790781</v>
      </c>
      <c r="J28" s="1643"/>
      <c r="K28" s="1643"/>
      <c r="L28" s="1643"/>
      <c r="M28" s="1643"/>
      <c r="N28" s="1643"/>
      <c r="O28" s="1643"/>
      <c r="P28" s="1643"/>
      <c r="Q28" s="1643"/>
      <c r="R28" s="1643"/>
      <c r="S28" s="1643"/>
      <c r="T28" s="1643"/>
      <c r="U28" s="1644"/>
    </row>
    <row r="29" spans="1:21" ht="14.1">
      <c r="A29" s="51" t="s">
        <v>913</v>
      </c>
      <c r="B29" s="52"/>
      <c r="C29" s="53"/>
      <c r="D29" s="53"/>
      <c r="E29" s="53"/>
      <c r="F29" s="53"/>
      <c r="G29" s="53"/>
      <c r="H29" s="50"/>
      <c r="I29" s="1639">
        <f>'SPOT EQUITY_7DAYS'!F18</f>
        <v>3337446.9043174712</v>
      </c>
      <c r="J29" s="1640"/>
      <c r="K29" s="1640"/>
      <c r="L29" s="1640"/>
      <c r="M29" s="1640"/>
      <c r="N29" s="1640"/>
      <c r="O29" s="1640"/>
      <c r="P29" s="1640"/>
      <c r="Q29" s="1640"/>
      <c r="R29" s="1640"/>
      <c r="S29" s="1640"/>
      <c r="T29" s="1640"/>
      <c r="U29" s="1641"/>
    </row>
    <row r="30" spans="1:21" ht="14.1">
      <c r="A30" s="41" t="s">
        <v>914</v>
      </c>
      <c r="B30" s="42"/>
      <c r="C30" s="44"/>
      <c r="D30" s="44"/>
      <c r="E30" s="44"/>
      <c r="F30" s="44"/>
      <c r="G30" s="44"/>
      <c r="H30" s="45"/>
      <c r="I30" s="1639">
        <f>'SPOT EQUITY_7DAYS'!F21</f>
        <v>464707.79680369853</v>
      </c>
      <c r="J30" s="1640"/>
      <c r="K30" s="1640"/>
      <c r="L30" s="1640"/>
      <c r="M30" s="1640"/>
      <c r="N30" s="1640"/>
      <c r="O30" s="1640"/>
      <c r="P30" s="1640"/>
      <c r="Q30" s="1640"/>
      <c r="R30" s="1640"/>
      <c r="S30" s="1640"/>
      <c r="T30" s="1640"/>
      <c r="U30" s="1641"/>
    </row>
    <row r="31" spans="1:21" ht="14.1">
      <c r="A31" s="41" t="s">
        <v>915</v>
      </c>
      <c r="B31" s="42"/>
      <c r="C31" s="44"/>
      <c r="D31" s="44"/>
      <c r="E31" s="44"/>
      <c r="F31" s="44"/>
      <c r="G31" s="44"/>
      <c r="H31" s="45"/>
      <c r="I31" s="1639">
        <f>'SPOT EQUITY_7DAYS'!F20</f>
        <v>0</v>
      </c>
      <c r="J31" s="1640"/>
      <c r="K31" s="1640"/>
      <c r="L31" s="1640"/>
      <c r="M31" s="1640"/>
      <c r="N31" s="1640"/>
      <c r="O31" s="1640"/>
      <c r="P31" s="1640"/>
      <c r="Q31" s="1640"/>
      <c r="R31" s="1640"/>
      <c r="S31" s="1640"/>
      <c r="T31" s="1640"/>
      <c r="U31" s="1641"/>
    </row>
    <row r="32" spans="1:21" ht="14.1">
      <c r="A32" s="41" t="s">
        <v>77</v>
      </c>
      <c r="B32" s="42"/>
      <c r="C32" s="44"/>
      <c r="D32" s="44"/>
      <c r="E32" s="44"/>
      <c r="F32" s="44"/>
      <c r="G32" s="44"/>
      <c r="H32" s="45"/>
      <c r="I32" s="1639">
        <f>'SPOT EQUITY_7DAYS'!F23</f>
        <v>3802154.7011211696</v>
      </c>
      <c r="J32" s="1640"/>
      <c r="K32" s="1640"/>
      <c r="L32" s="1640"/>
      <c r="M32" s="1640"/>
      <c r="N32" s="1640"/>
      <c r="O32" s="1640"/>
      <c r="P32" s="1640"/>
      <c r="Q32" s="1640"/>
      <c r="R32" s="1640"/>
      <c r="S32" s="1640"/>
      <c r="T32" s="1640"/>
      <c r="U32" s="1641"/>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huKN6e4qxR/VDat8V6zG2TD30imd3i+C32/5Fi77N9nfQIVoJ/4KWKrDXqTRY1IHxv/Crb2OGvK2h4/CkcozRw==" saltValue="1FuRyp+kpC7Lj0chCZbdFw==" spinCount="100000" sheet="1"/>
  <mergeCells count="70">
    <mergeCell ref="A98:H98"/>
    <mergeCell ref="I98:O98"/>
    <mergeCell ref="P98:U98"/>
    <mergeCell ref="E90:G90"/>
    <mergeCell ref="I96:O96"/>
    <mergeCell ref="P96:U96"/>
    <mergeCell ref="A97:H97"/>
    <mergeCell ref="I97:O97"/>
    <mergeCell ref="P97:U97"/>
    <mergeCell ref="D22:F22"/>
    <mergeCell ref="D24:F24"/>
    <mergeCell ref="E91:G91"/>
    <mergeCell ref="S91:T91"/>
    <mergeCell ref="D3:Q3"/>
    <mergeCell ref="C40:N40"/>
    <mergeCell ref="H8:O8"/>
    <mergeCell ref="I29:U29"/>
    <mergeCell ref="J24:L24"/>
    <mergeCell ref="P24:Q24"/>
    <mergeCell ref="J25:L25"/>
    <mergeCell ref="P25:Q25"/>
    <mergeCell ref="I28:U28"/>
    <mergeCell ref="I27:U27"/>
    <mergeCell ref="I11:U11"/>
    <mergeCell ref="M12:U12"/>
    <mergeCell ref="A4:Q4"/>
    <mergeCell ref="A5:U6"/>
    <mergeCell ref="A9:U9"/>
    <mergeCell ref="T21:U21"/>
    <mergeCell ref="E16:T16"/>
    <mergeCell ref="A20:F20"/>
    <mergeCell ref="G20:L20"/>
    <mergeCell ref="M20:Q20"/>
    <mergeCell ref="R20:U20"/>
    <mergeCell ref="D21:F21"/>
    <mergeCell ref="J21:L21"/>
    <mergeCell ref="P21:Q21"/>
    <mergeCell ref="K13:U13"/>
    <mergeCell ref="A10:P10"/>
    <mergeCell ref="A117:U117"/>
    <mergeCell ref="A99:H99"/>
    <mergeCell ref="I99:O99"/>
    <mergeCell ref="P99:U99"/>
    <mergeCell ref="A100:H100"/>
    <mergeCell ref="I100:O100"/>
    <mergeCell ref="P100:U100"/>
    <mergeCell ref="A102:U102"/>
    <mergeCell ref="H112:Q112"/>
    <mergeCell ref="D23:F23"/>
    <mergeCell ref="A113:U113"/>
    <mergeCell ref="A116:U116"/>
    <mergeCell ref="O40:R40"/>
    <mergeCell ref="R24:S25"/>
    <mergeCell ref="T24:U25"/>
    <mergeCell ref="D25:F25"/>
    <mergeCell ref="I30:U30"/>
    <mergeCell ref="I31:U31"/>
    <mergeCell ref="I32:U32"/>
    <mergeCell ref="S92:T92"/>
    <mergeCell ref="S90:T90"/>
    <mergeCell ref="M90:O90"/>
    <mergeCell ref="M91:O91"/>
    <mergeCell ref="A95:U95"/>
    <mergeCell ref="A96:H96"/>
    <mergeCell ref="T22:U22"/>
    <mergeCell ref="J23:L23"/>
    <mergeCell ref="P23:Q23"/>
    <mergeCell ref="T23:U23"/>
    <mergeCell ref="J22:L22"/>
    <mergeCell ref="P22:Q22"/>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6397" r:id="rId4" name="Check Box 13">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16399" r:id="rId5" name="Check Box 15">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16400" r:id="rId6" name="Check Box 16">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16401" r:id="rId7" name="Check Box 17">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16402" r:id="rId8" name="Check Box 18">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16404" r:id="rId10" name="Check Box 20">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16405" r:id="rId11" name="Check Box 21">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16406" r:id="rId12" name="Check Box 22">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16407" r:id="rId13" name="Check Box 23">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16408" r:id="rId14" name="Check Box 24">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16409" r:id="rId15" name="Check Box 25">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16410" r:id="rId16" name="Check Box 26">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16411" r:id="rId17" name="Check Box 27">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16412" r:id="rId18" name="Check Box 28">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16413" r:id="rId19" name="Check Box 29">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16414" r:id="rId20" name="Check Box 30">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16415" r:id="rId21" name="Check Box 31">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16416" r:id="rId22" name="Check Box 32">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6">
    <tabColor rgb="FF92D050"/>
  </sheetPr>
  <dimension ref="A1:AD78"/>
  <sheetViews>
    <sheetView showGridLines="0" showZeros="0" view="pageBreakPreview" topLeftCell="A17" zoomScale="85" zoomScaleNormal="90" zoomScaleSheetLayoutView="85" zoomScalePageLayoutView="85" workbookViewId="0">
      <selection activeCell="F21" sqref="F21:H21"/>
    </sheetView>
  </sheetViews>
  <sheetFormatPr defaultColWidth="9.140625" defaultRowHeight="14.45"/>
  <cols>
    <col min="1" max="1" width="0.85546875" customWidth="1"/>
    <col min="2" max="2" width="13" customWidth="1"/>
    <col min="3" max="3" width="19.85546875" customWidth="1"/>
    <col min="4" max="4" width="18.140625" style="130" customWidth="1"/>
    <col min="5" max="5" width="18" customWidth="1"/>
    <col min="6" max="6" width="14.140625" customWidth="1"/>
    <col min="7" max="7" width="7.140625" customWidth="1"/>
    <col min="8" max="8" width="5.42578125" customWidth="1"/>
    <col min="9" max="9" width="6.85546875" customWidth="1"/>
    <col min="10" max="10" width="8.85546875" customWidth="1"/>
    <col min="11" max="11" width="5.5703125" hidden="1" customWidth="1"/>
    <col min="12" max="12" width="0.140625" hidden="1" customWidth="1"/>
    <col min="13" max="13" width="13.85546875" customWidth="1"/>
    <col min="14" max="14" width="18.5703125" customWidth="1"/>
    <col min="15" max="15" width="21.85546875" style="131" customWidth="1"/>
    <col min="17" max="17" width="14.85546875" customWidth="1"/>
    <col min="18" max="18" width="17.5703125" customWidth="1"/>
    <col min="19" max="19" width="15.85546875" customWidth="1"/>
    <col min="20" max="20" width="8.140625" customWidth="1"/>
    <col min="22" max="22" width="9.140625" style="132"/>
    <col min="23" max="23" width="9.140625" style="132" customWidth="1"/>
    <col min="24" max="25" width="9.140625" style="132" hidden="1" customWidth="1"/>
    <col min="26" max="29" width="9.140625" style="132" customWidth="1"/>
    <col min="30" max="30" width="9.140625" style="132"/>
  </cols>
  <sheetData>
    <row r="1" spans="2:30" ht="3" customHeight="1">
      <c r="U1" s="280">
        <f>EDATE(O18,'STANDARD COMP.'!E28)</f>
        <v>46447</v>
      </c>
    </row>
    <row r="2" spans="2:30" s="150" customFormat="1" ht="12">
      <c r="B2" s="471" t="s">
        <v>783</v>
      </c>
      <c r="C2" s="480">
        <f>FORM!I20</f>
        <v>45901</v>
      </c>
      <c r="D2" s="89"/>
      <c r="E2" s="89"/>
      <c r="F2" s="471" t="s">
        <v>786</v>
      </c>
      <c r="G2" s="1650" t="s">
        <v>785</v>
      </c>
      <c r="H2" s="1651"/>
      <c r="I2" s="1651"/>
      <c r="J2" s="1652"/>
      <c r="K2" s="24"/>
      <c r="L2" s="24"/>
      <c r="M2" s="472" t="s">
        <v>783</v>
      </c>
      <c r="N2" s="480">
        <f>C2</f>
        <v>45901</v>
      </c>
      <c r="O2" s="89"/>
      <c r="Q2" s="473" t="str">
        <f>F2</f>
        <v>PAGE:</v>
      </c>
      <c r="R2" s="1653" t="s">
        <v>787</v>
      </c>
      <c r="S2" s="1654"/>
      <c r="V2" s="148"/>
      <c r="W2" s="148"/>
      <c r="X2" s="148"/>
      <c r="Y2" s="148"/>
      <c r="Z2" s="148"/>
      <c r="AA2" s="148"/>
      <c r="AB2" s="148"/>
      <c r="AC2" s="148"/>
      <c r="AD2" s="148"/>
    </row>
    <row r="3" spans="2:30" s="1" customFormat="1" ht="12.6">
      <c r="C3" s="134"/>
      <c r="D3" s="134"/>
      <c r="G3" s="135"/>
      <c r="H3" s="135"/>
      <c r="I3" s="135"/>
      <c r="J3" s="136"/>
      <c r="K3" s="135"/>
      <c r="L3" s="135"/>
      <c r="N3" s="134"/>
      <c r="O3" s="134"/>
      <c r="R3" s="1661"/>
      <c r="S3" s="1661"/>
      <c r="V3" s="137"/>
      <c r="W3" s="137"/>
      <c r="X3" s="137"/>
      <c r="Y3" s="137"/>
      <c r="Z3" s="137"/>
      <c r="AA3" s="137"/>
      <c r="AB3" s="137"/>
      <c r="AC3" s="137"/>
      <c r="AD3" s="137"/>
    </row>
    <row r="4" spans="2:30" s="620" customFormat="1" ht="12" customHeight="1">
      <c r="B4" s="1415" t="s">
        <v>964</v>
      </c>
      <c r="C4" s="1415"/>
      <c r="D4" s="1415"/>
      <c r="E4" s="1415"/>
      <c r="F4" s="1415"/>
      <c r="G4" s="1415"/>
      <c r="H4" s="1415"/>
      <c r="I4" s="1415"/>
      <c r="J4" s="1415"/>
      <c r="K4" s="619"/>
      <c r="L4" s="619"/>
      <c r="M4" s="1415" t="s">
        <v>788</v>
      </c>
      <c r="N4" s="1415"/>
      <c r="O4" s="1415"/>
      <c r="P4" s="1415"/>
      <c r="Q4" s="1415"/>
      <c r="R4" s="1415"/>
      <c r="S4" s="1415"/>
      <c r="V4" s="621"/>
      <c r="W4" s="621"/>
      <c r="X4" s="621"/>
      <c r="Y4" s="621"/>
      <c r="Z4" s="621"/>
      <c r="AA4" s="621"/>
      <c r="AB4" s="621"/>
      <c r="AC4" s="621"/>
      <c r="AD4" s="621"/>
    </row>
    <row r="5" spans="2:30" s="620" customFormat="1" ht="12" customHeight="1">
      <c r="B5" s="1415"/>
      <c r="C5" s="1415"/>
      <c r="D5" s="1415"/>
      <c r="E5" s="1415"/>
      <c r="F5" s="1415"/>
      <c r="G5" s="1415"/>
      <c r="H5" s="1415"/>
      <c r="I5" s="1415"/>
      <c r="J5" s="1415"/>
      <c r="K5" s="619"/>
      <c r="L5" s="619"/>
      <c r="M5" s="1415"/>
      <c r="N5" s="1415"/>
      <c r="O5" s="1415"/>
      <c r="P5" s="1415"/>
      <c r="Q5" s="1415"/>
      <c r="R5" s="1415"/>
      <c r="S5" s="1415"/>
      <c r="V5" s="621"/>
      <c r="W5" s="621"/>
      <c r="X5" s="621"/>
      <c r="Y5" s="621"/>
      <c r="Z5" s="621"/>
      <c r="AA5" s="621"/>
      <c r="AB5" s="621"/>
      <c r="AC5" s="621"/>
      <c r="AD5" s="621"/>
    </row>
    <row r="6" spans="2:30" s="138" customFormat="1" ht="12" customHeight="1">
      <c r="B6" s="140"/>
      <c r="C6" s="140"/>
      <c r="D6" s="141"/>
      <c r="E6" s="140"/>
      <c r="F6" s="140"/>
      <c r="G6" s="140"/>
      <c r="H6" s="140"/>
      <c r="I6" s="140"/>
      <c r="J6" s="140"/>
      <c r="K6" s="140"/>
      <c r="L6" s="140"/>
      <c r="M6" s="142"/>
      <c r="N6" s="143"/>
      <c r="O6" s="144"/>
      <c r="P6" s="143"/>
      <c r="Q6" s="143"/>
      <c r="R6" s="143"/>
      <c r="S6" s="144"/>
      <c r="V6" s="139"/>
      <c r="W6" s="139"/>
      <c r="X6" s="139"/>
      <c r="Y6" s="139"/>
      <c r="Z6" s="139"/>
      <c r="AA6" s="139"/>
      <c r="AB6" s="139"/>
      <c r="AC6" s="139"/>
      <c r="AD6" s="139"/>
    </row>
    <row r="7" spans="2:30" s="147" customFormat="1" ht="12.6">
      <c r="B7" s="365" t="s">
        <v>789</v>
      </c>
      <c r="C7" s="366"/>
      <c r="D7" s="197" t="s">
        <v>741</v>
      </c>
      <c r="E7" s="1416">
        <f>FORM!I26</f>
        <v>0</v>
      </c>
      <c r="F7" s="1417"/>
      <c r="G7" s="1417"/>
      <c r="H7" s="1417"/>
      <c r="I7" s="1417"/>
      <c r="J7" s="1418"/>
      <c r="K7" s="146"/>
      <c r="L7" s="146"/>
      <c r="M7" s="365" t="s">
        <v>789</v>
      </c>
      <c r="N7" s="366"/>
      <c r="O7" s="197" t="s">
        <v>741</v>
      </c>
      <c r="P7" s="1416">
        <f>E7</f>
        <v>0</v>
      </c>
      <c r="Q7" s="1417"/>
      <c r="R7" s="1417"/>
      <c r="S7" s="1418"/>
      <c r="V7" s="148"/>
      <c r="W7" s="148"/>
      <c r="X7" s="148"/>
      <c r="Y7" s="148"/>
      <c r="Z7" s="148"/>
      <c r="AA7" s="148"/>
      <c r="AB7" s="148"/>
      <c r="AC7" s="148"/>
      <c r="AD7" s="148"/>
    </row>
    <row r="8" spans="2:30" s="147" customFormat="1" ht="12.6">
      <c r="B8" s="206" t="s">
        <v>740</v>
      </c>
      <c r="C8" s="367"/>
      <c r="D8" s="197" t="s">
        <v>741</v>
      </c>
      <c r="E8" s="1428" t="str">
        <f>FORM!I11</f>
        <v>The Southprime Flats</v>
      </c>
      <c r="F8" s="1429"/>
      <c r="G8" s="369" t="str">
        <f>FORM!I14</f>
        <v>B2</v>
      </c>
      <c r="H8" s="369"/>
      <c r="I8" s="369"/>
      <c r="J8" s="217"/>
      <c r="K8" s="146"/>
      <c r="L8" s="146"/>
      <c r="M8" s="206" t="s">
        <v>740</v>
      </c>
      <c r="N8" s="367"/>
      <c r="O8" s="197" t="s">
        <v>741</v>
      </c>
      <c r="P8" s="1655" t="str">
        <f>E8</f>
        <v>The Southprime Flats</v>
      </c>
      <c r="Q8" s="1564"/>
      <c r="R8" s="1564"/>
      <c r="S8" s="1656"/>
      <c r="V8" s="148"/>
      <c r="W8" s="148"/>
      <c r="X8" s="148"/>
      <c r="Y8" s="148"/>
      <c r="Z8" s="148"/>
      <c r="AA8" s="148"/>
      <c r="AB8" s="148"/>
      <c r="AC8" s="148"/>
      <c r="AD8" s="148"/>
    </row>
    <row r="9" spans="2:30" s="147" customFormat="1" ht="12.6">
      <c r="B9" s="206" t="s">
        <v>790</v>
      </c>
      <c r="C9" s="367"/>
      <c r="D9" s="197" t="s">
        <v>741</v>
      </c>
      <c r="E9" s="1416" t="str">
        <f>'STANDARD COMP.'!E8</f>
        <v>2L</v>
      </c>
      <c r="F9" s="1417"/>
      <c r="G9" s="1417"/>
      <c r="H9" s="1417"/>
      <c r="I9" s="1417"/>
      <c r="J9" s="1418"/>
      <c r="K9" s="146"/>
      <c r="L9" s="146"/>
      <c r="M9" s="206" t="s">
        <v>790</v>
      </c>
      <c r="N9" s="367"/>
      <c r="O9" s="197" t="s">
        <v>741</v>
      </c>
      <c r="P9" s="1416" t="str">
        <f>B9</f>
        <v>UNIT NUMBER</v>
      </c>
      <c r="Q9" s="1417"/>
      <c r="R9" s="1417"/>
      <c r="S9" s="1418"/>
      <c r="V9" s="148"/>
      <c r="W9" s="148"/>
      <c r="X9" s="148"/>
      <c r="Y9" s="148"/>
      <c r="Z9" s="148"/>
      <c r="AA9" s="148"/>
      <c r="AB9" s="148"/>
      <c r="AC9" s="148"/>
      <c r="AD9" s="148"/>
    </row>
    <row r="10" spans="2:30" s="150" customFormat="1" ht="12.6" hidden="1">
      <c r="B10" s="206" t="s">
        <v>791</v>
      </c>
      <c r="C10" s="367"/>
      <c r="D10" s="197" t="s">
        <v>741</v>
      </c>
      <c r="E10" s="1416" t="e">
        <f>FORM!#REF!</f>
        <v>#REF!</v>
      </c>
      <c r="F10" s="1417"/>
      <c r="G10" s="1417"/>
      <c r="H10" s="1417"/>
      <c r="I10" s="1417"/>
      <c r="J10" s="1418"/>
      <c r="K10" s="149"/>
      <c r="L10" s="149"/>
      <c r="M10" s="206" t="s">
        <v>791</v>
      </c>
      <c r="N10" s="367"/>
      <c r="O10" s="197" t="s">
        <v>741</v>
      </c>
      <c r="P10" s="1655" t="e">
        <f>E10</f>
        <v>#REF!</v>
      </c>
      <c r="Q10" s="1564"/>
      <c r="R10" s="1564"/>
      <c r="S10" s="1656"/>
      <c r="V10" s="148"/>
      <c r="W10" s="148"/>
      <c r="X10" s="148"/>
      <c r="Y10" s="148"/>
      <c r="Z10" s="148"/>
      <c r="AA10" s="148"/>
      <c r="AB10" s="148"/>
      <c r="AC10" s="148"/>
      <c r="AD10" s="148"/>
    </row>
    <row r="11" spans="2:30" s="150" customFormat="1" ht="12.6">
      <c r="B11" s="206" t="s">
        <v>792</v>
      </c>
      <c r="C11" s="367"/>
      <c r="D11" s="197" t="s">
        <v>741</v>
      </c>
      <c r="E11" s="1416" t="str">
        <f>'STANDARD COMP.'!E10</f>
        <v>Studio</v>
      </c>
      <c r="F11" s="1417"/>
      <c r="G11" s="1417"/>
      <c r="H11" s="1417"/>
      <c r="I11" s="1417"/>
      <c r="J11" s="1418"/>
      <c r="K11" s="149"/>
      <c r="L11" s="149"/>
      <c r="M11" s="206" t="s">
        <v>792</v>
      </c>
      <c r="N11" s="367"/>
      <c r="O11" s="197" t="s">
        <v>741</v>
      </c>
      <c r="P11" s="1658" t="str">
        <f>E11</f>
        <v>Studio</v>
      </c>
      <c r="Q11" s="1659"/>
      <c r="R11" s="1659"/>
      <c r="S11" s="1660"/>
      <c r="T11" s="151"/>
      <c r="V11" s="148"/>
      <c r="W11" s="148"/>
      <c r="X11" s="148"/>
      <c r="Y11" s="148"/>
      <c r="Z11" s="148"/>
      <c r="AA11" s="148"/>
      <c r="AB11" s="148"/>
      <c r="AC11" s="148"/>
      <c r="AD11" s="148"/>
    </row>
    <row r="12" spans="2:30" s="150" customFormat="1" ht="12.6">
      <c r="B12" s="457" t="s">
        <v>793</v>
      </c>
      <c r="C12" s="458"/>
      <c r="D12" s="197" t="s">
        <v>741</v>
      </c>
      <c r="E12" s="1420">
        <f>'STANDARD COMP.'!E11:F11</f>
        <v>22</v>
      </c>
      <c r="F12" s="1662"/>
      <c r="G12" s="369" t="s">
        <v>794</v>
      </c>
      <c r="H12" s="459"/>
      <c r="I12" s="369"/>
      <c r="J12" s="217"/>
      <c r="K12" s="149"/>
      <c r="L12" s="149"/>
      <c r="M12" s="206" t="s">
        <v>793</v>
      </c>
      <c r="N12" s="367"/>
      <c r="O12" s="197" t="s">
        <v>741</v>
      </c>
      <c r="P12" s="1420">
        <f>E12</f>
        <v>22</v>
      </c>
      <c r="Q12" s="1421"/>
      <c r="R12" s="369" t="s">
        <v>794</v>
      </c>
      <c r="S12" s="436"/>
      <c r="V12" s="148"/>
      <c r="W12" s="148"/>
      <c r="X12" s="148"/>
      <c r="Y12" s="148"/>
      <c r="Z12" s="148"/>
      <c r="AA12" s="148"/>
      <c r="AB12" s="148"/>
      <c r="AC12" s="148"/>
      <c r="AD12" s="148"/>
    </row>
    <row r="13" spans="2:30" s="150" customFormat="1" ht="12.6">
      <c r="B13" s="215" t="s">
        <v>795</v>
      </c>
      <c r="C13" s="458"/>
      <c r="D13" s="197" t="s">
        <v>741</v>
      </c>
      <c r="E13" s="1589">
        <f>'STANDARD COMP.'!E12:F12</f>
        <v>0</v>
      </c>
      <c r="F13" s="1663"/>
      <c r="G13" s="369" t="s">
        <v>794</v>
      </c>
      <c r="H13" s="369"/>
      <c r="I13" s="369"/>
      <c r="J13" s="217" t="s">
        <v>757</v>
      </c>
      <c r="K13" s="149"/>
      <c r="L13" s="149"/>
      <c r="M13" s="215" t="s">
        <v>795</v>
      </c>
      <c r="N13" s="367"/>
      <c r="O13" s="197" t="s">
        <v>741</v>
      </c>
      <c r="P13" s="1589">
        <f>E13</f>
        <v>0</v>
      </c>
      <c r="Q13" s="1590"/>
      <c r="R13" s="369" t="s">
        <v>794</v>
      </c>
      <c r="S13" s="217"/>
      <c r="V13" s="148"/>
      <c r="W13" s="148"/>
      <c r="X13" s="148"/>
      <c r="Y13" s="148"/>
      <c r="Z13" s="148"/>
      <c r="AA13" s="148"/>
      <c r="AB13" s="148"/>
      <c r="AC13" s="148"/>
      <c r="AD13" s="148"/>
    </row>
    <row r="14" spans="2:30" s="150" customFormat="1" ht="12.6">
      <c r="B14" s="384" t="s">
        <v>796</v>
      </c>
      <c r="C14" s="122"/>
      <c r="D14" s="197" t="s">
        <v>741</v>
      </c>
      <c r="E14" s="1589">
        <f>'STANDARD COMP.'!E13:F13</f>
        <v>22</v>
      </c>
      <c r="F14" s="1663"/>
      <c r="G14" s="369" t="s">
        <v>794</v>
      </c>
      <c r="H14" s="369"/>
      <c r="I14" s="369"/>
      <c r="J14" s="217"/>
      <c r="K14" s="149"/>
      <c r="L14" s="149"/>
      <c r="M14" s="384" t="s">
        <v>796</v>
      </c>
      <c r="N14" s="122"/>
      <c r="O14" s="197" t="s">
        <v>741</v>
      </c>
      <c r="P14" s="1664">
        <f>E14</f>
        <v>22</v>
      </c>
      <c r="Q14" s="1665"/>
      <c r="R14" s="461" t="s">
        <v>794</v>
      </c>
      <c r="S14" s="467"/>
      <c r="V14" s="148"/>
      <c r="W14" s="148"/>
      <c r="X14" s="148"/>
      <c r="Y14" s="148"/>
      <c r="Z14" s="148"/>
      <c r="AA14" s="148"/>
      <c r="AB14" s="148"/>
      <c r="AC14" s="148"/>
      <c r="AD14" s="148"/>
    </row>
    <row r="15" spans="2:30" s="153" customFormat="1" ht="12.95">
      <c r="B15" s="112"/>
      <c r="C15" s="112"/>
      <c r="D15" s="197"/>
      <c r="E15" s="112"/>
      <c r="F15" s="112"/>
      <c r="G15" s="112"/>
      <c r="H15" s="112"/>
      <c r="I15" s="112"/>
      <c r="J15" s="112"/>
      <c r="K15" s="152"/>
      <c r="L15" s="152"/>
      <c r="M15" s="112"/>
      <c r="N15" s="112"/>
      <c r="O15" s="301"/>
      <c r="P15" s="112"/>
      <c r="Q15" s="112"/>
      <c r="R15" s="112"/>
      <c r="S15" s="112"/>
      <c r="V15" s="139"/>
      <c r="W15" s="139"/>
      <c r="X15" s="139"/>
      <c r="Y15" s="139"/>
      <c r="Z15" s="139"/>
      <c r="AA15" s="139"/>
      <c r="AB15" s="139"/>
      <c r="AC15" s="139"/>
      <c r="AD15" s="139"/>
    </row>
    <row r="16" spans="2:30" s="153" customFormat="1" ht="15" customHeight="1">
      <c r="B16" s="201" t="s">
        <v>797</v>
      </c>
      <c r="C16" s="370"/>
      <c r="D16" s="203" t="s">
        <v>741</v>
      </c>
      <c r="E16" s="566"/>
      <c r="F16" s="1657">
        <f>'STANDARD COMP.'!F15</f>
        <v>3379693.0676632621</v>
      </c>
      <c r="G16" s="1432"/>
      <c r="H16" s="1432"/>
      <c r="I16" s="1432"/>
      <c r="J16" s="1433"/>
      <c r="K16" s="154"/>
      <c r="L16" s="154"/>
      <c r="M16" s="1434" t="s">
        <v>798</v>
      </c>
      <c r="N16" s="1434"/>
      <c r="O16" s="1435" t="s">
        <v>709</v>
      </c>
      <c r="P16" s="1434" t="s">
        <v>712</v>
      </c>
      <c r="Q16" s="1434"/>
      <c r="R16" s="1436" t="s">
        <v>458</v>
      </c>
      <c r="S16" s="1437"/>
      <c r="V16" s="139"/>
      <c r="W16" s="139"/>
      <c r="X16" s="139"/>
      <c r="Y16" s="139"/>
      <c r="Z16" s="139"/>
      <c r="AA16" s="139"/>
      <c r="AB16" s="139"/>
      <c r="AC16" s="139"/>
      <c r="AD16" s="139"/>
    </row>
    <row r="17" spans="1:30" s="155" customFormat="1" ht="12.95">
      <c r="B17" s="365" t="s">
        <v>965</v>
      </c>
      <c r="C17" s="366"/>
      <c r="D17" s="197" t="s">
        <v>741</v>
      </c>
      <c r="E17" s="453">
        <v>0.05</v>
      </c>
      <c r="F17" s="1454">
        <f>(F16-F18)*E26*E17</f>
        <v>21123.081672895391</v>
      </c>
      <c r="G17" s="1454"/>
      <c r="H17" s="1666"/>
      <c r="I17" s="568"/>
      <c r="J17" s="569"/>
      <c r="K17" s="152"/>
      <c r="L17" s="152"/>
      <c r="M17" s="1434"/>
      <c r="N17" s="1434"/>
      <c r="O17" s="1435"/>
      <c r="P17" s="1434"/>
      <c r="Q17" s="1434"/>
      <c r="R17" s="1438"/>
      <c r="S17" s="1439"/>
      <c r="V17" s="156"/>
      <c r="W17" s="156"/>
      <c r="X17" s="156"/>
      <c r="Y17" s="156"/>
      <c r="Z17" s="156"/>
      <c r="AA17" s="156"/>
      <c r="AB17" s="156"/>
      <c r="AC17" s="156"/>
      <c r="AD17" s="156"/>
    </row>
    <row r="18" spans="1:30" s="153" customFormat="1" ht="12.95">
      <c r="B18" s="206" t="s">
        <v>799</v>
      </c>
      <c r="C18" s="215"/>
      <c r="D18" s="197" t="s">
        <v>741</v>
      </c>
      <c r="E18" s="566"/>
      <c r="F18" s="1667">
        <f>'STANDARD COMP.'!F16:I16</f>
        <v>0</v>
      </c>
      <c r="G18" s="1454"/>
      <c r="H18" s="1454"/>
      <c r="I18" s="1454"/>
      <c r="J18" s="1455"/>
      <c r="K18" s="154"/>
      <c r="L18" s="154"/>
      <c r="M18" s="1419" t="s">
        <v>758</v>
      </c>
      <c r="N18" s="1419"/>
      <c r="O18" s="438">
        <f>C2</f>
        <v>45901</v>
      </c>
      <c r="P18" s="1441">
        <f>FORM!I22</f>
        <v>30000</v>
      </c>
      <c r="Q18" s="1441"/>
      <c r="R18" s="1442"/>
      <c r="S18" s="1443"/>
      <c r="V18" s="139"/>
      <c r="W18" s="139"/>
      <c r="X18" s="139"/>
      <c r="Y18" s="139"/>
      <c r="Z18" s="139"/>
      <c r="AA18" s="139"/>
      <c r="AB18" s="139"/>
      <c r="AC18" s="139"/>
      <c r="AD18" s="139"/>
    </row>
    <row r="19" spans="1:30" s="155" customFormat="1" ht="12.95">
      <c r="B19" s="165" t="s">
        <v>800</v>
      </c>
      <c r="C19" s="122"/>
      <c r="D19" s="203" t="s">
        <v>741</v>
      </c>
      <c r="E19" s="567"/>
      <c r="F19" s="1657">
        <f>F16-F17-F18</f>
        <v>3358569.9859903669</v>
      </c>
      <c r="G19" s="1432"/>
      <c r="H19" s="1432"/>
      <c r="I19" s="1432"/>
      <c r="J19" s="1433"/>
      <c r="K19" s="152"/>
      <c r="L19" s="152"/>
      <c r="M19" s="1419" t="s">
        <v>960</v>
      </c>
      <c r="N19" s="1419"/>
      <c r="O19" s="438">
        <f>O18+30</f>
        <v>45931</v>
      </c>
      <c r="P19" s="1441">
        <f>F28</f>
        <v>447909.72284925816</v>
      </c>
      <c r="Q19" s="1441"/>
      <c r="R19" s="1442"/>
      <c r="S19" s="1443"/>
      <c r="V19" s="156"/>
      <c r="W19" s="156"/>
      <c r="X19" s="156"/>
      <c r="Y19" s="156"/>
      <c r="Z19" s="156"/>
      <c r="AA19" s="156"/>
      <c r="AB19" s="156"/>
      <c r="AC19" s="156"/>
      <c r="AD19" s="156"/>
    </row>
    <row r="20" spans="1:30" s="153" customFormat="1" ht="12.95">
      <c r="B20" s="212"/>
      <c r="C20" s="112"/>
      <c r="D20" s="197"/>
      <c r="E20" s="555">
        <f>(F16-F17-F18)*E21</f>
        <v>403028.39831884403</v>
      </c>
      <c r="F20" s="214"/>
      <c r="G20" s="214"/>
      <c r="H20" s="214"/>
      <c r="I20" s="112"/>
      <c r="J20" s="112"/>
      <c r="K20" s="152"/>
      <c r="L20" s="152"/>
      <c r="M20" s="1575" t="s">
        <v>866</v>
      </c>
      <c r="N20" s="1575"/>
      <c r="O20" s="439">
        <f>IF(AND(DAY(U1)&gt;=6,DAY(U1)&lt;=20),DATE(YEAR(U1),MONTH(U1)+1,DAY(20)),IF(AND(DAY(U1)&gt;=21,DAY(U1)&lt;=30),DATE(YEAR(U1),MONTH(U1)+1,IF(DAY(EOMONTH(U1,1))&lt;30,DAY(EOMONTH(U1,1)),DAY(30))),DATE(YEAR(U1),MONTH(U1)+1,DAY(5))))</f>
        <v>46482</v>
      </c>
      <c r="P20" s="1628">
        <f>F30</f>
        <v>3345368.0599448071</v>
      </c>
      <c r="Q20" s="1628"/>
      <c r="R20" s="1630"/>
      <c r="S20" s="1631"/>
      <c r="V20" s="139"/>
      <c r="W20" s="139"/>
      <c r="X20" s="1669" t="s">
        <v>945</v>
      </c>
      <c r="Y20" s="1669"/>
      <c r="Z20" s="139"/>
      <c r="AA20" s="139"/>
      <c r="AB20" s="139"/>
      <c r="AC20" s="139"/>
      <c r="AD20" s="139"/>
    </row>
    <row r="21" spans="1:30" s="153" customFormat="1" ht="12.95">
      <c r="B21" s="215" t="s">
        <v>803</v>
      </c>
      <c r="C21" s="215"/>
      <c r="D21" s="197" t="s">
        <v>741</v>
      </c>
      <c r="E21" s="216">
        <v>0.12</v>
      </c>
      <c r="F21" s="1453"/>
      <c r="G21" s="1454"/>
      <c r="H21" s="1666"/>
      <c r="I21" s="369"/>
      <c r="J21" s="217"/>
      <c r="K21" s="152"/>
      <c r="L21" s="152"/>
      <c r="M21" s="1569"/>
      <c r="N21" s="1569"/>
      <c r="O21" s="468"/>
      <c r="P21" s="1668"/>
      <c r="Q21" s="1668"/>
      <c r="R21" s="112"/>
      <c r="S21" s="112"/>
      <c r="T21" s="139"/>
      <c r="U21" s="139"/>
      <c r="V21" s="139"/>
      <c r="W21" s="139"/>
    </row>
    <row r="22" spans="1:30" s="153" customFormat="1" ht="12.95">
      <c r="B22" s="384" t="s">
        <v>806</v>
      </c>
      <c r="C22" s="160"/>
      <c r="D22" s="197" t="s">
        <v>741</v>
      </c>
      <c r="E22" s="216"/>
      <c r="F22" s="1453">
        <f>'STANDARD COMP.'!F20:I20</f>
        <v>464707.79680369853</v>
      </c>
      <c r="G22" s="1454"/>
      <c r="H22" s="1666"/>
      <c r="I22" s="369"/>
      <c r="J22" s="217"/>
      <c r="K22" s="152"/>
      <c r="L22" s="152"/>
      <c r="M22" s="203"/>
      <c r="N22" s="203"/>
      <c r="O22" s="469"/>
      <c r="P22" s="470"/>
      <c r="Q22" s="470"/>
      <c r="R22" s="114"/>
      <c r="S22" s="114"/>
      <c r="T22" s="139"/>
      <c r="U22" s="139"/>
      <c r="V22" s="139"/>
      <c r="W22" s="139"/>
    </row>
    <row r="23" spans="1:30" s="153" customFormat="1" ht="12.95">
      <c r="B23" s="212"/>
      <c r="C23" s="112"/>
      <c r="D23" s="197"/>
      <c r="E23" s="112"/>
      <c r="F23" s="214"/>
      <c r="G23" s="214"/>
      <c r="H23" s="460"/>
      <c r="I23" s="112"/>
      <c r="J23" s="112"/>
      <c r="K23" s="152"/>
      <c r="L23" s="152"/>
      <c r="M23" s="111"/>
      <c r="N23" s="111"/>
      <c r="O23" s="111"/>
      <c r="P23" s="111"/>
      <c r="Q23" s="111"/>
      <c r="R23" s="111"/>
      <c r="S23" s="111"/>
      <c r="T23" s="139"/>
      <c r="U23" s="139"/>
      <c r="V23" s="139"/>
      <c r="W23" s="139"/>
    </row>
    <row r="24" spans="1:30" s="153" customFormat="1" ht="12.95">
      <c r="B24" s="165" t="s">
        <v>810</v>
      </c>
      <c r="C24" s="122"/>
      <c r="D24" s="203" t="s">
        <v>741</v>
      </c>
      <c r="E24" s="385"/>
      <c r="F24" s="1474">
        <f>SUM(F22,F21,F19)</f>
        <v>3823277.7827940653</v>
      </c>
      <c r="G24" s="1475"/>
      <c r="H24" s="1475"/>
      <c r="I24" s="1475"/>
      <c r="J24" s="1476"/>
      <c r="K24" s="154"/>
      <c r="L24" s="154"/>
      <c r="M24" s="111"/>
      <c r="N24" s="111"/>
      <c r="O24" s="111"/>
      <c r="P24" s="111"/>
      <c r="Q24" s="111"/>
      <c r="R24" s="111"/>
      <c r="S24" s="111"/>
      <c r="T24" s="139"/>
      <c r="U24" s="139"/>
      <c r="V24" s="139"/>
      <c r="W24" s="139"/>
    </row>
    <row r="25" spans="1:30" s="153" customFormat="1" ht="12.95">
      <c r="B25" s="212"/>
      <c r="C25" s="112"/>
      <c r="D25" s="197"/>
      <c r="E25" s="461"/>
      <c r="F25" s="214"/>
      <c r="G25" s="214"/>
      <c r="H25" s="460"/>
      <c r="I25" s="112"/>
      <c r="J25" s="112"/>
      <c r="K25" s="152"/>
      <c r="L25" s="152"/>
      <c r="M25" s="114" t="s">
        <v>869</v>
      </c>
      <c r="N25" s="114"/>
      <c r="O25" s="114"/>
      <c r="P25" s="114"/>
      <c r="Q25" s="111"/>
      <c r="R25" s="114" t="s">
        <v>870</v>
      </c>
      <c r="S25" s="114"/>
      <c r="T25" s="139"/>
      <c r="U25" s="139"/>
      <c r="V25" s="139"/>
      <c r="W25" s="139"/>
    </row>
    <row r="26" spans="1:30" s="153" customFormat="1" ht="12.95">
      <c r="A26" s="155"/>
      <c r="B26" s="201" t="s">
        <v>966</v>
      </c>
      <c r="C26" s="366"/>
      <c r="D26" s="203" t="s">
        <v>741</v>
      </c>
      <c r="E26" s="462">
        <f>'STANDARD COMP.'!E24</f>
        <v>0.125</v>
      </c>
      <c r="F26" s="1440">
        <f>F24*E26</f>
        <v>477909.72284925816</v>
      </c>
      <c r="G26" s="1432"/>
      <c r="H26" s="1645"/>
      <c r="I26" s="463"/>
      <c r="J26" s="204"/>
      <c r="K26" s="154"/>
      <c r="L26" s="154"/>
      <c r="M26" s="112"/>
      <c r="N26" s="112"/>
      <c r="O26" s="197"/>
      <c r="P26" s="112"/>
      <c r="Q26" s="112"/>
      <c r="R26" s="112"/>
      <c r="S26" s="112"/>
      <c r="T26" s="139"/>
      <c r="U26" s="139"/>
      <c r="V26" s="139"/>
      <c r="W26" s="139"/>
    </row>
    <row r="27" spans="1:30" s="155" customFormat="1" ht="12.95">
      <c r="B27" s="365" t="s">
        <v>815</v>
      </c>
      <c r="C27" s="370"/>
      <c r="D27" s="197" t="s">
        <v>741</v>
      </c>
      <c r="E27" s="464"/>
      <c r="F27" s="1453">
        <f>'STANDARD COMP.'!F25</f>
        <v>30000</v>
      </c>
      <c r="G27" s="1454"/>
      <c r="H27" s="1666"/>
      <c r="I27" s="463"/>
      <c r="J27" s="204"/>
      <c r="K27" s="154"/>
      <c r="L27" s="154"/>
      <c r="M27" s="114"/>
      <c r="N27" s="114"/>
      <c r="O27" s="203"/>
      <c r="P27" s="114"/>
      <c r="Q27" s="114"/>
      <c r="R27" s="114"/>
      <c r="S27" s="114"/>
      <c r="T27" s="156"/>
      <c r="U27" s="156"/>
      <c r="V27" s="156"/>
      <c r="W27" s="156"/>
    </row>
    <row r="28" spans="1:30" s="155" customFormat="1" ht="12.95">
      <c r="A28" s="153"/>
      <c r="B28" s="165" t="s">
        <v>962</v>
      </c>
      <c r="C28" s="122"/>
      <c r="D28" s="203" t="s">
        <v>741</v>
      </c>
      <c r="E28" s="465"/>
      <c r="F28" s="1440">
        <f>F26-F27</f>
        <v>447909.72284925816</v>
      </c>
      <c r="G28" s="1432"/>
      <c r="H28" s="1645"/>
      <c r="I28" s="463"/>
      <c r="J28" s="204"/>
      <c r="K28" s="152"/>
      <c r="L28" s="152"/>
      <c r="M28" s="1571">
        <f>FORM!I28</f>
        <v>0</v>
      </c>
      <c r="N28" s="1571"/>
      <c r="O28" s="276"/>
      <c r="P28" s="114"/>
      <c r="Q28" s="114"/>
      <c r="R28" s="1571">
        <f>FORM!I26</f>
        <v>0</v>
      </c>
      <c r="S28" s="1571"/>
      <c r="T28" s="156"/>
      <c r="U28" s="156"/>
      <c r="V28" s="156"/>
      <c r="W28" s="156"/>
    </row>
    <row r="29" spans="1:30" s="153" customFormat="1" ht="12.95">
      <c r="A29" s="155"/>
      <c r="B29" s="212"/>
      <c r="C29" s="112"/>
      <c r="D29" s="197"/>
      <c r="E29" s="197"/>
      <c r="F29" s="1440"/>
      <c r="G29" s="1432"/>
      <c r="H29" s="1645"/>
      <c r="I29" s="463"/>
      <c r="J29" s="204"/>
      <c r="K29" s="154"/>
      <c r="L29" s="154"/>
      <c r="M29" s="126" t="s">
        <v>953</v>
      </c>
      <c r="N29" s="126"/>
      <c r="O29" s="197"/>
      <c r="P29" s="112"/>
      <c r="Q29" s="112"/>
      <c r="R29" s="126" t="s">
        <v>871</v>
      </c>
      <c r="S29" s="277"/>
      <c r="T29" s="139"/>
      <c r="U29" s="139"/>
      <c r="V29" s="139"/>
      <c r="W29" s="139"/>
    </row>
    <row r="30" spans="1:30" s="155" customFormat="1">
      <c r="A30" s="153"/>
      <c r="B30" s="165" t="s">
        <v>827</v>
      </c>
      <c r="C30" s="122"/>
      <c r="D30" s="203" t="s">
        <v>741</v>
      </c>
      <c r="E30" s="466">
        <f>100%-E26</f>
        <v>0.875</v>
      </c>
      <c r="F30" s="1440">
        <f>F24*E30</f>
        <v>3345368.0599448071</v>
      </c>
      <c r="G30" s="1432"/>
      <c r="H30" s="1645"/>
      <c r="I30" s="369"/>
      <c r="J30" s="217"/>
      <c r="K30" s="152"/>
      <c r="L30" s="152"/>
      <c r="M30" s="162"/>
      <c r="N30" s="162"/>
      <c r="O30" s="162"/>
      <c r="P30" s="162"/>
      <c r="Q30" s="162"/>
      <c r="R30" s="162"/>
      <c r="S30" s="162"/>
      <c r="T30" s="156"/>
      <c r="U30" s="156"/>
      <c r="V30" s="156"/>
      <c r="W30" s="156"/>
    </row>
    <row r="31" spans="1:30" s="153" customFormat="1">
      <c r="B31" s="157"/>
      <c r="C31" s="152"/>
      <c r="D31" s="158"/>
      <c r="E31" s="152"/>
      <c r="F31" s="159"/>
      <c r="G31" s="152"/>
      <c r="H31" s="152"/>
      <c r="I31" s="152"/>
      <c r="J31" s="152"/>
      <c r="K31" s="154"/>
      <c r="L31" s="154"/>
      <c r="M31"/>
      <c r="N31"/>
      <c r="O31" s="131"/>
      <c r="P31"/>
      <c r="Q31"/>
      <c r="R31"/>
      <c r="S31"/>
      <c r="T31" s="139"/>
      <c r="U31" s="139"/>
      <c r="V31" s="139"/>
      <c r="W31" s="139"/>
    </row>
    <row r="32" spans="1:30" s="155" customFormat="1">
      <c r="A32" s="153"/>
      <c r="B32" s="140"/>
      <c r="C32" s="152"/>
      <c r="D32" s="158"/>
      <c r="E32" s="152"/>
      <c r="F32" s="152"/>
      <c r="G32" s="152"/>
      <c r="H32" s="152"/>
      <c r="I32" s="152"/>
      <c r="J32" s="152"/>
      <c r="K32" s="152"/>
      <c r="L32" s="152"/>
      <c r="M32"/>
      <c r="N32"/>
      <c r="O32" s="131"/>
      <c r="P32"/>
      <c r="Q32"/>
      <c r="R32"/>
      <c r="S32"/>
      <c r="T32" s="156"/>
      <c r="U32" s="156"/>
      <c r="V32" s="156"/>
      <c r="W32" s="156"/>
    </row>
    <row r="33" spans="1:23" s="153" customFormat="1">
      <c r="B33" s="122" t="s">
        <v>830</v>
      </c>
      <c r="C33" s="160"/>
      <c r="D33" s="161"/>
      <c r="E33" s="98"/>
      <c r="F33" s="98"/>
      <c r="G33" s="98"/>
      <c r="H33" s="98"/>
      <c r="I33" s="98"/>
      <c r="J33" s="98"/>
      <c r="K33" s="152"/>
      <c r="L33" s="152"/>
      <c r="M33"/>
      <c r="N33"/>
      <c r="O33" s="131"/>
      <c r="P33"/>
      <c r="Q33"/>
      <c r="R33"/>
      <c r="S33"/>
      <c r="T33" s="139"/>
      <c r="U33" s="139"/>
      <c r="V33" s="139"/>
      <c r="W33" s="139"/>
    </row>
    <row r="34" spans="1:23" s="153" customFormat="1">
      <c r="B34" s="140"/>
      <c r="C34" s="152"/>
      <c r="D34" s="158"/>
      <c r="E34" s="152"/>
      <c r="F34" s="152"/>
      <c r="G34" s="152"/>
      <c r="H34" s="152"/>
      <c r="I34" s="152"/>
      <c r="J34" s="152"/>
      <c r="K34" s="154"/>
      <c r="L34" s="154"/>
      <c r="M34"/>
      <c r="N34"/>
      <c r="O34" s="131"/>
      <c r="P34"/>
      <c r="Q34"/>
      <c r="R34"/>
      <c r="S34"/>
      <c r="T34" s="139"/>
      <c r="U34" s="139"/>
      <c r="V34" s="139"/>
      <c r="W34" s="139"/>
    </row>
    <row r="35" spans="1:23" s="155" customFormat="1">
      <c r="A35" s="153"/>
      <c r="B35" s="345" t="s">
        <v>833</v>
      </c>
      <c r="C35" s="345" t="s">
        <v>352</v>
      </c>
      <c r="D35" s="345" t="s">
        <v>834</v>
      </c>
      <c r="E35" s="345" t="s">
        <v>835</v>
      </c>
      <c r="F35" s="1434" t="s">
        <v>836</v>
      </c>
      <c r="G35" s="1434"/>
      <c r="H35" s="1434"/>
      <c r="I35" s="1434"/>
      <c r="J35" s="1434"/>
      <c r="K35" s="152"/>
      <c r="L35" s="152"/>
      <c r="M35"/>
      <c r="N35"/>
      <c r="O35" s="131"/>
      <c r="P35"/>
      <c r="Q35"/>
      <c r="R35"/>
      <c r="S35"/>
      <c r="T35" s="156"/>
      <c r="U35" s="156"/>
      <c r="V35" s="156"/>
      <c r="W35" s="156"/>
    </row>
    <row r="36" spans="1:23" s="153" customFormat="1">
      <c r="B36" s="398">
        <v>5</v>
      </c>
      <c r="C36" s="699">
        <f>'STANDARD COMP.'!C35</f>
        <v>7.0000000000000007E-2</v>
      </c>
      <c r="D36" s="399">
        <f>PMT(C36/12,B36*12,-1)</f>
        <v>1.9801198540349535E-2</v>
      </c>
      <c r="E36" s="400">
        <f>F30*D36</f>
        <v>66242.297145511067</v>
      </c>
      <c r="F36" s="1441">
        <f>E36/0.33</f>
        <v>200734.23377427596</v>
      </c>
      <c r="G36" s="1441"/>
      <c r="H36" s="1441"/>
      <c r="I36" s="1441"/>
      <c r="J36" s="1441"/>
      <c r="K36" s="152"/>
      <c r="L36" s="152"/>
      <c r="M36"/>
      <c r="N36"/>
      <c r="O36" s="131"/>
      <c r="P36"/>
      <c r="Q36"/>
      <c r="R36"/>
      <c r="S36"/>
      <c r="T36" s="139"/>
      <c r="U36" s="139"/>
      <c r="V36" s="139"/>
      <c r="W36" s="139"/>
    </row>
    <row r="37" spans="1:23" s="153" customFormat="1">
      <c r="B37" s="398">
        <v>10</v>
      </c>
      <c r="C37" s="699">
        <f>'STANDARD COMP.'!C36</f>
        <v>7.0000000000000007E-2</v>
      </c>
      <c r="D37" s="399">
        <f>PMT(C37/12,B37*12,-1)</f>
        <v>1.1610847921862406E-2</v>
      </c>
      <c r="E37" s="400">
        <f>F30*D37</f>
        <v>38842.559786675032</v>
      </c>
      <c r="F37" s="1441">
        <f>E37/0.33</f>
        <v>117704.72662628797</v>
      </c>
      <c r="G37" s="1441"/>
      <c r="H37" s="1441"/>
      <c r="I37" s="1441"/>
      <c r="J37" s="1441"/>
      <c r="K37" s="152"/>
      <c r="L37" s="152"/>
      <c r="M37"/>
      <c r="N37"/>
      <c r="O37" s="131"/>
      <c r="P37"/>
      <c r="Q37"/>
      <c r="R37"/>
      <c r="S37"/>
      <c r="T37" s="139"/>
      <c r="U37" s="139"/>
      <c r="V37" s="139"/>
      <c r="W37" s="139"/>
    </row>
    <row r="38" spans="1:23" s="153" customFormat="1">
      <c r="B38" s="398">
        <v>15</v>
      </c>
      <c r="C38" s="699">
        <f>'STANDARD COMP.'!C37</f>
        <v>7.0000000000000007E-2</v>
      </c>
      <c r="D38" s="399">
        <f>PMT(C38/12,B38*12,-1)</f>
        <v>8.988282708524269E-3</v>
      </c>
      <c r="E38" s="400">
        <f>F30*D38</f>
        <v>30069.11388685129</v>
      </c>
      <c r="F38" s="1441">
        <f>E38/0.33</f>
        <v>91118.526929852393</v>
      </c>
      <c r="G38" s="1441"/>
      <c r="H38" s="1441"/>
      <c r="I38" s="1441"/>
      <c r="J38" s="1441"/>
      <c r="K38" s="152"/>
      <c r="L38" s="152"/>
      <c r="M38"/>
      <c r="N38"/>
      <c r="O38" s="131"/>
      <c r="P38"/>
      <c r="Q38"/>
      <c r="R38"/>
      <c r="S38"/>
      <c r="T38" s="139"/>
      <c r="U38" s="139"/>
      <c r="V38" s="139"/>
      <c r="W38" s="139"/>
    </row>
    <row r="39" spans="1:23" s="153" customFormat="1">
      <c r="B39" s="398">
        <v>20</v>
      </c>
      <c r="C39" s="699">
        <f>'STANDARD COMP.'!C38</f>
        <v>7.0000000000000007E-2</v>
      </c>
      <c r="D39" s="399">
        <f>PMT(C39/12,B39*12,-1)</f>
        <v>7.7529893561887461E-3</v>
      </c>
      <c r="E39" s="400">
        <f>F30*D39</f>
        <v>25936.602961285884</v>
      </c>
      <c r="F39" s="1441">
        <f>E39/0.33</f>
        <v>78595.766549351159</v>
      </c>
      <c r="G39" s="1441"/>
      <c r="H39" s="1441"/>
      <c r="I39" s="1441"/>
      <c r="J39" s="1441"/>
      <c r="K39" s="152"/>
      <c r="L39" s="152"/>
      <c r="M39"/>
      <c r="N39"/>
      <c r="O39" s="131"/>
      <c r="P39"/>
      <c r="Q39"/>
      <c r="R39"/>
      <c r="S39"/>
      <c r="T39" s="139"/>
      <c r="U39" s="139"/>
      <c r="V39" s="139"/>
      <c r="W39" s="139"/>
    </row>
    <row r="40" spans="1:23" s="153" customFormat="1">
      <c r="B40" s="1020" t="str">
        <f>'STANDARD COMP.'!B39</f>
        <v>Fixed for three (3) years</v>
      </c>
      <c r="C40" s="152"/>
      <c r="D40" s="152"/>
      <c r="E40" s="152"/>
      <c r="F40" s="152"/>
      <c r="G40" s="152"/>
      <c r="H40" s="152"/>
      <c r="I40" s="152"/>
      <c r="J40" s="152"/>
      <c r="K40" s="152"/>
      <c r="L40" s="152"/>
      <c r="M40"/>
      <c r="N40"/>
      <c r="O40" s="131"/>
      <c r="P40"/>
      <c r="Q40"/>
      <c r="R40"/>
      <c r="S40"/>
      <c r="T40" s="139"/>
      <c r="U40" s="139"/>
      <c r="V40" s="139"/>
      <c r="W40" s="139"/>
    </row>
    <row r="41" spans="1:23" s="153" customFormat="1">
      <c r="B41" s="1020" t="str">
        <f>'STANDARD COMP.'!B40</f>
        <v>Sample Computation for Interest rate is at 7% fixed for three (3) years only</v>
      </c>
      <c r="C41" s="162"/>
      <c r="D41" s="163"/>
      <c r="E41" s="162"/>
      <c r="F41" s="162"/>
      <c r="G41" s="152"/>
      <c r="H41" s="152"/>
      <c r="I41" s="152"/>
      <c r="J41" s="152"/>
      <c r="K41" s="152"/>
      <c r="L41" s="152"/>
      <c r="M41"/>
      <c r="N41"/>
      <c r="O41" s="131"/>
      <c r="P41"/>
      <c r="Q41"/>
      <c r="R41"/>
      <c r="S41"/>
      <c r="T41" s="139"/>
      <c r="U41" s="139"/>
      <c r="V41" s="139"/>
      <c r="W41" s="139"/>
    </row>
    <row r="42" spans="1:23" s="153" customFormat="1">
      <c r="B42" s="121" t="s">
        <v>844</v>
      </c>
      <c r="C42" s="162"/>
      <c r="D42" s="163"/>
      <c r="E42" s="162"/>
      <c r="F42" s="162"/>
      <c r="G42" s="152"/>
      <c r="H42" s="152"/>
      <c r="I42" s="152"/>
      <c r="J42" s="152"/>
      <c r="K42" s="152"/>
      <c r="L42" s="152"/>
      <c r="M42"/>
      <c r="N42"/>
      <c r="O42" s="131"/>
      <c r="P42"/>
      <c r="Q42"/>
      <c r="R42"/>
      <c r="S42"/>
      <c r="T42" s="139"/>
      <c r="U42" s="139"/>
      <c r="V42" s="139"/>
      <c r="W42" s="139"/>
    </row>
    <row r="43" spans="1:23" s="153" customFormat="1">
      <c r="B43" s="121" t="s">
        <v>846</v>
      </c>
      <c r="C43" s="164"/>
      <c r="D43" s="158"/>
      <c r="E43" s="152"/>
      <c r="F43" s="152"/>
      <c r="G43" s="152"/>
      <c r="H43" s="152"/>
      <c r="I43" s="152"/>
      <c r="J43" s="152"/>
      <c r="K43" s="152"/>
      <c r="L43" s="152"/>
      <c r="M43"/>
      <c r="N43"/>
      <c r="O43" s="131"/>
      <c r="P43"/>
      <c r="Q43"/>
      <c r="R43"/>
      <c r="S43"/>
      <c r="T43" s="139"/>
      <c r="U43" s="139"/>
      <c r="V43" s="139"/>
      <c r="W43" s="139"/>
    </row>
    <row r="44" spans="1:23" s="153" customFormat="1">
      <c r="B44" s="121"/>
      <c r="C44" s="164"/>
      <c r="D44" s="158"/>
      <c r="E44" s="152"/>
      <c r="F44" s="152"/>
      <c r="G44" s="152"/>
      <c r="H44" s="152"/>
      <c r="I44" s="152"/>
      <c r="J44" s="152"/>
      <c r="K44" s="152"/>
      <c r="L44" s="152"/>
      <c r="M44"/>
      <c r="N44"/>
      <c r="O44" s="131"/>
      <c r="P44"/>
      <c r="Q44"/>
      <c r="R44"/>
      <c r="S44"/>
      <c r="T44" s="139"/>
      <c r="U44" s="139"/>
      <c r="V44" s="139"/>
      <c r="W44" s="139"/>
    </row>
    <row r="45" spans="1:23" s="153" customFormat="1">
      <c r="B45" s="122" t="s">
        <v>849</v>
      </c>
      <c r="C45" s="384"/>
      <c r="D45" s="395"/>
      <c r="E45" s="1234"/>
      <c r="F45" s="1062"/>
      <c r="G45" s="276"/>
      <c r="H45" s="276"/>
      <c r="I45" s="276"/>
      <c r="J45" s="152"/>
      <c r="K45" s="152"/>
      <c r="L45" s="152"/>
      <c r="M45"/>
      <c r="N45"/>
      <c r="O45" s="131"/>
      <c r="P45"/>
      <c r="Q45"/>
      <c r="R45"/>
      <c r="S45"/>
      <c r="T45" s="139"/>
      <c r="U45" s="139"/>
      <c r="V45" s="139"/>
      <c r="W45" s="139"/>
    </row>
    <row r="46" spans="1:23" s="153" customFormat="1">
      <c r="B46" s="309"/>
      <c r="C46" s="395"/>
      <c r="D46" s="395"/>
      <c r="E46" s="1235"/>
      <c r="F46" s="1236"/>
      <c r="G46" s="1237"/>
      <c r="H46" s="1237"/>
      <c r="I46" s="1237"/>
      <c r="J46" s="152"/>
      <c r="K46" s="152"/>
      <c r="L46" s="152"/>
      <c r="M46"/>
      <c r="N46"/>
      <c r="O46" s="131"/>
      <c r="P46"/>
      <c r="Q46"/>
      <c r="R46"/>
      <c r="S46"/>
      <c r="T46" s="139"/>
      <c r="U46" s="139"/>
      <c r="V46" s="139"/>
      <c r="W46" s="139"/>
    </row>
    <row r="47" spans="1:23" s="153" customFormat="1">
      <c r="B47" s="165" t="s">
        <v>852</v>
      </c>
      <c r="C47" s="165"/>
      <c r="D47" s="203" t="s">
        <v>741</v>
      </c>
      <c r="E47" s="387">
        <v>0.8</v>
      </c>
      <c r="F47" s="1474">
        <f>E47*F24</f>
        <v>3058622.2262352523</v>
      </c>
      <c r="G47" s="1475"/>
      <c r="H47" s="1475"/>
      <c r="I47" s="1476"/>
      <c r="J47" s="152"/>
      <c r="K47" s="152"/>
      <c r="L47" s="152"/>
      <c r="M47"/>
      <c r="N47"/>
      <c r="O47" s="131"/>
      <c r="P47"/>
      <c r="Q47"/>
      <c r="R47"/>
      <c r="S47"/>
      <c r="T47" s="139"/>
      <c r="U47" s="139"/>
      <c r="V47" s="139"/>
      <c r="W47" s="139"/>
    </row>
    <row r="48" spans="1:23" s="153" customFormat="1">
      <c r="A48"/>
      <c r="B48" s="112"/>
      <c r="C48" s="312"/>
      <c r="D48" s="312"/>
      <c r="E48" s="1238"/>
      <c r="F48" s="278"/>
      <c r="G48" s="278"/>
      <c r="H48" s="278"/>
      <c r="I48" s="278"/>
      <c r="J48" s="152"/>
      <c r="K48" s="152"/>
      <c r="L48" s="152"/>
      <c r="M48"/>
      <c r="N48"/>
      <c r="O48" s="131"/>
      <c r="P48"/>
      <c r="Q48"/>
      <c r="R48"/>
      <c r="S48"/>
      <c r="T48" s="139"/>
      <c r="U48" s="139"/>
      <c r="V48" s="139"/>
      <c r="W48" s="139"/>
    </row>
    <row r="49" spans="1:30" s="153" customFormat="1">
      <c r="A49"/>
      <c r="B49" s="345" t="s">
        <v>833</v>
      </c>
      <c r="C49" s="345" t="s">
        <v>352</v>
      </c>
      <c r="D49" s="345" t="s">
        <v>834</v>
      </c>
      <c r="E49" s="345" t="s">
        <v>835</v>
      </c>
      <c r="F49" s="1434" t="s">
        <v>855</v>
      </c>
      <c r="G49" s="1434"/>
      <c r="H49" s="1434"/>
      <c r="I49" s="1434"/>
      <c r="J49" s="152"/>
      <c r="K49" s="152"/>
      <c r="L49" s="152"/>
      <c r="M49"/>
      <c r="N49"/>
      <c r="O49" s="131"/>
      <c r="P49"/>
      <c r="Q49"/>
      <c r="R49"/>
      <c r="S49"/>
      <c r="T49" s="139"/>
      <c r="U49" s="139"/>
      <c r="V49" s="139"/>
      <c r="W49" s="139"/>
    </row>
    <row r="50" spans="1:30" s="153" customFormat="1">
      <c r="A50" s="168" t="e">
        <f>(F19-#REF!)*12%</f>
        <v>#REF!</v>
      </c>
      <c r="B50" s="398">
        <v>1</v>
      </c>
      <c r="C50" s="1239">
        <v>0.12</v>
      </c>
      <c r="D50" s="399">
        <f>PMT(C50/12,B50*12,-1)</f>
        <v>8.88487886783417E-2</v>
      </c>
      <c r="E50" s="400">
        <f>$F$47*D50</f>
        <v>271754.87982565496</v>
      </c>
      <c r="F50" s="1441">
        <f>E50/0.33</f>
        <v>823499.63583531801</v>
      </c>
      <c r="G50" s="1441"/>
      <c r="H50" s="1441"/>
      <c r="I50" s="1441"/>
      <c r="J50" s="152"/>
      <c r="K50" s="152"/>
      <c r="L50" s="152"/>
      <c r="M50"/>
      <c r="N50"/>
      <c r="O50" s="131"/>
      <c r="P50"/>
      <c r="Q50"/>
      <c r="R50"/>
      <c r="S50"/>
      <c r="T50" s="139"/>
      <c r="U50" s="139"/>
      <c r="V50" s="139"/>
      <c r="W50" s="139"/>
    </row>
    <row r="51" spans="1:30" s="153" customFormat="1">
      <c r="A51"/>
      <c r="B51" s="398">
        <v>3</v>
      </c>
      <c r="C51" s="1239">
        <v>0.16</v>
      </c>
      <c r="D51" s="399">
        <f>PMT(C51/12,B51*12,-1)</f>
        <v>3.5157033036350094E-2</v>
      </c>
      <c r="E51" s="400">
        <f t="shared" ref="E51:E53" si="0">$F$47*D51</f>
        <v>107532.08265346744</v>
      </c>
      <c r="F51" s="1441">
        <f>E51/0.33</f>
        <v>325854.79591959831</v>
      </c>
      <c r="G51" s="1441"/>
      <c r="H51" s="1441"/>
      <c r="I51" s="1441"/>
      <c r="J51" s="152"/>
      <c r="K51" s="152"/>
      <c r="L51" s="152"/>
      <c r="M51"/>
      <c r="N51"/>
      <c r="O51" s="131"/>
      <c r="P51"/>
      <c r="Q51"/>
      <c r="R51"/>
      <c r="S51"/>
      <c r="T51" s="139"/>
      <c r="U51" s="139"/>
      <c r="V51" s="139"/>
      <c r="W51" s="139"/>
    </row>
    <row r="52" spans="1:30" s="153" customFormat="1">
      <c r="A52"/>
      <c r="B52" s="398">
        <v>5</v>
      </c>
      <c r="C52" s="1239">
        <v>0.18</v>
      </c>
      <c r="D52" s="399">
        <f>PMT(C52/12,B52*12,-1)</f>
        <v>2.5393427427109084E-2</v>
      </c>
      <c r="E52" s="400">
        <f t="shared" si="0"/>
        <v>77668.901528847695</v>
      </c>
      <c r="F52" s="1441">
        <f>E52/0.33</f>
        <v>235360.30766317481</v>
      </c>
      <c r="G52" s="1441"/>
      <c r="H52" s="1441"/>
      <c r="I52" s="1441"/>
      <c r="J52" s="152"/>
      <c r="K52" s="152"/>
      <c r="L52" s="152"/>
      <c r="M52"/>
      <c r="N52"/>
      <c r="O52" s="131"/>
      <c r="P52"/>
      <c r="Q52"/>
      <c r="R52"/>
      <c r="S52"/>
      <c r="T52" s="139"/>
      <c r="U52" s="139"/>
      <c r="V52" s="139"/>
      <c r="W52" s="139"/>
    </row>
    <row r="53" spans="1:30" s="153" customFormat="1" ht="15" customHeight="1">
      <c r="A53"/>
      <c r="B53" s="398">
        <v>10</v>
      </c>
      <c r="C53" s="1239">
        <v>0.2</v>
      </c>
      <c r="D53" s="399">
        <f>PMT(C53/12,B53*12,-1)</f>
        <v>1.9325567219932577E-2</v>
      </c>
      <c r="E53" s="400">
        <f t="shared" si="0"/>
        <v>59109.609433489197</v>
      </c>
      <c r="F53" s="1441">
        <f>E53/0.33</f>
        <v>179120.02858633088</v>
      </c>
      <c r="G53" s="1441"/>
      <c r="H53" s="1441"/>
      <c r="I53" s="1441"/>
      <c r="J53" s="152"/>
      <c r="K53" s="152"/>
      <c r="L53" s="152"/>
      <c r="M53"/>
      <c r="N53"/>
      <c r="O53" s="131"/>
      <c r="P53"/>
      <c r="Q53"/>
      <c r="R53"/>
      <c r="S53"/>
      <c r="T53" s="139"/>
      <c r="U53" s="139"/>
      <c r="V53" s="139"/>
      <c r="W53" s="139"/>
    </row>
    <row r="54" spans="1:30" s="153" customFormat="1" ht="15" thickBot="1">
      <c r="A54"/>
      <c r="B54" s="1240" t="s">
        <v>861</v>
      </c>
      <c r="C54" s="1241"/>
      <c r="D54" s="1241"/>
      <c r="E54" s="1241"/>
      <c r="F54" s="1241"/>
      <c r="G54" s="1241"/>
      <c r="H54" s="1241"/>
      <c r="I54" s="1241"/>
      <c r="J54" s="152"/>
      <c r="K54" s="152"/>
      <c r="L54" s="152"/>
      <c r="M54"/>
      <c r="N54"/>
      <c r="O54" s="131"/>
      <c r="P54"/>
      <c r="Q54"/>
      <c r="R54"/>
      <c r="S54"/>
      <c r="T54" s="139"/>
      <c r="U54" s="139"/>
      <c r="V54" s="139"/>
      <c r="W54" s="139"/>
    </row>
    <row r="55" spans="1:30" s="153" customFormat="1" ht="15" customHeight="1">
      <c r="A55"/>
      <c r="C55" s="152"/>
      <c r="D55" s="158"/>
      <c r="E55" s="152"/>
      <c r="F55" s="152"/>
      <c r="G55" s="162"/>
      <c r="H55" s="162"/>
      <c r="I55" s="162"/>
      <c r="J55" s="152"/>
      <c r="K55" s="152"/>
      <c r="L55" s="152"/>
      <c r="M55"/>
      <c r="N55"/>
      <c r="O55" s="131"/>
      <c r="P55"/>
      <c r="Q55"/>
      <c r="R55"/>
      <c r="S55"/>
      <c r="T55" s="139"/>
      <c r="U55" s="139"/>
      <c r="V55" s="139"/>
      <c r="W55" s="139"/>
    </row>
    <row r="56" spans="1:30">
      <c r="B56" s="165" t="s">
        <v>864</v>
      </c>
      <c r="C56" s="166"/>
      <c r="D56" s="167"/>
      <c r="E56" s="167"/>
      <c r="F56" s="167"/>
      <c r="G56" s="167"/>
      <c r="H56" s="167"/>
      <c r="I56" s="167"/>
      <c r="J56" s="167"/>
      <c r="T56" s="132"/>
      <c r="U56" s="132"/>
      <c r="X56"/>
      <c r="Y56"/>
      <c r="Z56"/>
      <c r="AA56"/>
      <c r="AB56"/>
      <c r="AC56"/>
      <c r="AD56"/>
    </row>
    <row r="57" spans="1:30" ht="15" customHeight="1">
      <c r="B57" s="167"/>
      <c r="C57" s="167"/>
      <c r="D57" s="167"/>
      <c r="E57" s="167"/>
      <c r="F57" s="167"/>
      <c r="G57" s="167"/>
      <c r="H57" s="167"/>
      <c r="I57" s="167"/>
      <c r="J57" s="167"/>
      <c r="X57" s="1670" t="s">
        <v>949</v>
      </c>
      <c r="Y57" s="1670"/>
    </row>
    <row r="58" spans="1:30">
      <c r="B58" s="1633" t="s">
        <v>753</v>
      </c>
      <c r="C58" s="1633"/>
      <c r="D58" s="1633" t="s">
        <v>711</v>
      </c>
      <c r="E58" s="1633"/>
      <c r="F58" s="1633"/>
      <c r="G58" s="1633" t="s">
        <v>868</v>
      </c>
      <c r="H58" s="1633"/>
      <c r="I58" s="1633"/>
      <c r="J58" s="1633"/>
    </row>
    <row r="59" spans="1:30" ht="15" customHeight="1">
      <c r="B59" s="1552">
        <f>'SPOT EQUITY_7DAYS'!B59</f>
        <v>0</v>
      </c>
      <c r="C59" s="1553"/>
      <c r="D59" s="1552">
        <f>'SPOT EQUITY_7DAYS'!D59:D59</f>
        <v>0</v>
      </c>
      <c r="E59" s="1556"/>
      <c r="F59" s="1553"/>
      <c r="G59" s="1558">
        <f>'SPOT EQUITY_7DAYS'!G59</f>
        <v>0</v>
      </c>
      <c r="H59" s="1559"/>
      <c r="I59" s="1559"/>
      <c r="J59" s="1560"/>
    </row>
    <row r="60" spans="1:30">
      <c r="B60" s="1554"/>
      <c r="C60" s="1555"/>
      <c r="D60" s="1554"/>
      <c r="E60" s="1557"/>
      <c r="F60" s="1555"/>
      <c r="G60" s="1561"/>
      <c r="H60" s="1562"/>
      <c r="I60" s="1562"/>
      <c r="J60" s="1563"/>
    </row>
    <row r="61" spans="1:30" ht="15" customHeight="1">
      <c r="B61" s="1552">
        <f>'SPOT EQUITY_7DAYS'!B61</f>
        <v>0</v>
      </c>
      <c r="C61" s="1553"/>
      <c r="D61" s="1552">
        <f>'SPOT EQUITY_7DAYS'!D61:D61</f>
        <v>0</v>
      </c>
      <c r="E61" s="1556"/>
      <c r="F61" s="1553"/>
      <c r="G61" s="1558">
        <f>'SPOT EQUITY_7DAYS'!G61</f>
        <v>0</v>
      </c>
      <c r="H61" s="1559"/>
      <c r="I61" s="1559"/>
      <c r="J61" s="1560"/>
    </row>
    <row r="62" spans="1:30">
      <c r="B62" s="1554"/>
      <c r="C62" s="1555"/>
      <c r="D62" s="1554"/>
      <c r="E62" s="1557"/>
      <c r="F62" s="1555"/>
      <c r="G62" s="1561"/>
      <c r="H62" s="1562"/>
      <c r="I62" s="1562"/>
      <c r="J62" s="1563"/>
    </row>
    <row r="63" spans="1:30">
      <c r="B63" s="1552">
        <f>'SPOT EQUITY_7DAYS'!B63</f>
        <v>0</v>
      </c>
      <c r="C63" s="1553"/>
      <c r="D63" s="1552">
        <f>'SPOT EQUITY_7DAYS'!D63:D63</f>
        <v>0</v>
      </c>
      <c r="E63" s="1556"/>
      <c r="F63" s="1553"/>
      <c r="G63" s="1558">
        <f>'SPOT EQUITY_7DAYS'!G63</f>
        <v>0</v>
      </c>
      <c r="H63" s="1559"/>
      <c r="I63" s="1559"/>
      <c r="J63" s="1560"/>
    </row>
    <row r="64" spans="1:30">
      <c r="B64" s="1554"/>
      <c r="C64" s="1555"/>
      <c r="D64" s="1554"/>
      <c r="E64" s="1557"/>
      <c r="F64" s="1555"/>
      <c r="G64" s="1561"/>
      <c r="H64" s="1562"/>
      <c r="I64" s="1562"/>
      <c r="J64" s="1563"/>
    </row>
    <row r="65" spans="2:10">
      <c r="B65" s="1552">
        <f>'SPOT EQUITY_7DAYS'!B65</f>
        <v>0</v>
      </c>
      <c r="C65" s="1553"/>
      <c r="D65" s="1552">
        <f>'SPOT EQUITY_7DAYS'!D65:D65</f>
        <v>0</v>
      </c>
      <c r="E65" s="1556"/>
      <c r="F65" s="1553"/>
      <c r="G65" s="1558">
        <f>'SPOT EQUITY_7DAYS'!G65</f>
        <v>0</v>
      </c>
      <c r="H65" s="1559"/>
      <c r="I65" s="1559"/>
      <c r="J65" s="1560"/>
    </row>
    <row r="66" spans="2:10">
      <c r="B66" s="1554"/>
      <c r="C66" s="1555"/>
      <c r="D66" s="1554"/>
      <c r="E66" s="1557"/>
      <c r="F66" s="1555"/>
      <c r="G66" s="1561"/>
      <c r="H66" s="1562"/>
      <c r="I66" s="1562"/>
      <c r="J66" s="1563"/>
    </row>
    <row r="67" spans="2:10">
      <c r="B67" s="1552">
        <f>'SPOT EQUITY_7DAYS'!B67</f>
        <v>0</v>
      </c>
      <c r="C67" s="1553"/>
      <c r="D67" s="1552">
        <f>'SPOT EQUITY_7DAYS'!D67:D67</f>
        <v>0</v>
      </c>
      <c r="E67" s="1556"/>
      <c r="F67" s="1553"/>
      <c r="G67" s="1558">
        <f>'SPOT EQUITY_7DAYS'!G67</f>
        <v>0</v>
      </c>
      <c r="H67" s="1559"/>
      <c r="I67" s="1559"/>
      <c r="J67" s="1560"/>
    </row>
    <row r="68" spans="2:10">
      <c r="B68" s="1554"/>
      <c r="C68" s="1555"/>
      <c r="D68" s="1554"/>
      <c r="E68" s="1557"/>
      <c r="F68" s="1555"/>
      <c r="G68" s="1561"/>
      <c r="H68" s="1562"/>
      <c r="I68" s="1562"/>
      <c r="J68" s="1563"/>
    </row>
    <row r="69" spans="2:10">
      <c r="B69" s="1552">
        <f>'SPOT EQUITY_7DAYS'!B69</f>
        <v>0</v>
      </c>
      <c r="C69" s="1553"/>
      <c r="D69" s="1552">
        <f>'SPOT EQUITY_7DAYS'!D69:D69</f>
        <v>0</v>
      </c>
      <c r="E69" s="1556"/>
      <c r="F69" s="1553"/>
      <c r="G69" s="1558">
        <f>'SPOT EQUITY_7DAYS'!G69</f>
        <v>0</v>
      </c>
      <c r="H69" s="1559"/>
      <c r="I69" s="1559"/>
      <c r="J69" s="1560"/>
    </row>
    <row r="70" spans="2:10">
      <c r="B70" s="1554"/>
      <c r="C70" s="1555"/>
      <c r="D70" s="1554"/>
      <c r="E70" s="1557"/>
      <c r="F70" s="1555"/>
      <c r="G70" s="1561"/>
      <c r="H70" s="1562"/>
      <c r="I70" s="1562"/>
      <c r="J70" s="1563"/>
    </row>
    <row r="72" spans="2:10">
      <c r="B72" s="125"/>
      <c r="C72" s="476" t="s">
        <v>872</v>
      </c>
      <c r="D72" s="1649"/>
      <c r="E72" s="1649"/>
      <c r="F72" s="1649"/>
    </row>
    <row r="75" spans="2:10">
      <c r="B75" s="3" t="s">
        <v>967</v>
      </c>
      <c r="C75" s="111"/>
      <c r="D75" s="170"/>
      <c r="E75" s="111"/>
      <c r="F75" s="3" t="s">
        <v>870</v>
      </c>
      <c r="G75" s="111"/>
      <c r="H75" s="111"/>
      <c r="I75" s="111"/>
    </row>
    <row r="76" spans="2:10">
      <c r="B76" s="111"/>
      <c r="C76" s="111"/>
      <c r="D76" s="170"/>
      <c r="E76" s="111"/>
      <c r="F76" s="111"/>
      <c r="G76" s="111"/>
      <c r="H76" s="111"/>
      <c r="I76" s="111"/>
    </row>
    <row r="77" spans="2:10">
      <c r="B77" s="1647">
        <f>FORM!I28</f>
        <v>0</v>
      </c>
      <c r="C77" s="1647"/>
      <c r="D77" s="170"/>
      <c r="E77" s="111"/>
      <c r="F77" s="1648">
        <f>FORM!I26</f>
        <v>0</v>
      </c>
      <c r="G77" s="1648"/>
      <c r="H77" s="1648"/>
      <c r="I77" s="111"/>
    </row>
    <row r="78" spans="2:10">
      <c r="B78" s="172" t="s">
        <v>968</v>
      </c>
      <c r="C78" s="172"/>
      <c r="D78" s="298"/>
      <c r="E78" s="111"/>
      <c r="F78" s="172" t="s">
        <v>968</v>
      </c>
      <c r="G78" s="1646"/>
      <c r="H78" s="1646"/>
      <c r="I78" s="281"/>
    </row>
  </sheetData>
  <sheetProtection password="CC2E" sheet="1" formatCells="0" formatColumns="0" formatRows="0"/>
  <mergeCells count="88">
    <mergeCell ref="X20:Y20"/>
    <mergeCell ref="X57:Y57"/>
    <mergeCell ref="F22:H22"/>
    <mergeCell ref="F17:H17"/>
    <mergeCell ref="M28:N28"/>
    <mergeCell ref="F36:J36"/>
    <mergeCell ref="F37:J37"/>
    <mergeCell ref="F38:J38"/>
    <mergeCell ref="F26:H26"/>
    <mergeCell ref="F27:H27"/>
    <mergeCell ref="F28:H28"/>
    <mergeCell ref="R28:S28"/>
    <mergeCell ref="P20:Q20"/>
    <mergeCell ref="O16:O17"/>
    <mergeCell ref="P16:Q17"/>
    <mergeCell ref="M16:N17"/>
    <mergeCell ref="F21:H21"/>
    <mergeCell ref="F19:J19"/>
    <mergeCell ref="F18:J18"/>
    <mergeCell ref="F24:J24"/>
    <mergeCell ref="R20:S20"/>
    <mergeCell ref="M19:N19"/>
    <mergeCell ref="P19:Q19"/>
    <mergeCell ref="M20:N20"/>
    <mergeCell ref="R18:S18"/>
    <mergeCell ref="R19:S19"/>
    <mergeCell ref="M18:N18"/>
    <mergeCell ref="P18:Q18"/>
    <mergeCell ref="M21:N21"/>
    <mergeCell ref="P21:Q21"/>
    <mergeCell ref="F16:J16"/>
    <mergeCell ref="E11:J11"/>
    <mergeCell ref="P11:S11"/>
    <mergeCell ref="R3:S3"/>
    <mergeCell ref="B4:J5"/>
    <mergeCell ref="M4:S5"/>
    <mergeCell ref="E7:J7"/>
    <mergeCell ref="P7:S7"/>
    <mergeCell ref="P8:S8"/>
    <mergeCell ref="E12:F12"/>
    <mergeCell ref="P12:Q12"/>
    <mergeCell ref="E13:F13"/>
    <mergeCell ref="P13:Q13"/>
    <mergeCell ref="E14:F14"/>
    <mergeCell ref="P14:Q14"/>
    <mergeCell ref="R16:S17"/>
    <mergeCell ref="G2:J2"/>
    <mergeCell ref="R2:S2"/>
    <mergeCell ref="E9:J9"/>
    <mergeCell ref="P9:S9"/>
    <mergeCell ref="E10:J10"/>
    <mergeCell ref="P10:S10"/>
    <mergeCell ref="E8:F8"/>
    <mergeCell ref="B58:C58"/>
    <mergeCell ref="B59:C60"/>
    <mergeCell ref="D59:F60"/>
    <mergeCell ref="B61:C62"/>
    <mergeCell ref="D61:F62"/>
    <mergeCell ref="G78:H78"/>
    <mergeCell ref="B77:C77"/>
    <mergeCell ref="F77:H77"/>
    <mergeCell ref="B63:C64"/>
    <mergeCell ref="D63:F64"/>
    <mergeCell ref="B69:C70"/>
    <mergeCell ref="D69:F70"/>
    <mergeCell ref="G69:J70"/>
    <mergeCell ref="D72:F72"/>
    <mergeCell ref="B65:C66"/>
    <mergeCell ref="D65:F66"/>
    <mergeCell ref="G65:J66"/>
    <mergeCell ref="B67:C68"/>
    <mergeCell ref="D67:F68"/>
    <mergeCell ref="G67:J68"/>
    <mergeCell ref="G59:J60"/>
    <mergeCell ref="G61:J62"/>
    <mergeCell ref="G63:J64"/>
    <mergeCell ref="F29:H29"/>
    <mergeCell ref="F35:J35"/>
    <mergeCell ref="F30:H30"/>
    <mergeCell ref="D58:F58"/>
    <mergeCell ref="F39:J39"/>
    <mergeCell ref="F47:I47"/>
    <mergeCell ref="F49:I49"/>
    <mergeCell ref="F50:I50"/>
    <mergeCell ref="F51:I51"/>
    <mergeCell ref="F52:I52"/>
    <mergeCell ref="F53:I53"/>
    <mergeCell ref="G58:J58"/>
  </mergeCells>
  <phoneticPr fontId="28" type="noConversion"/>
  <pageMargins left="0.59055118110236227" right="0.59055118110236227" top="0.86614173228346458" bottom="0.74803149606299213" header="0.31496062992125984" footer="0.31496062992125984"/>
  <pageSetup paperSize="14" scale="76" orientation="portrait" r:id="rId1"/>
  <headerFooter>
    <oddHeader xml:space="preserve">&amp;R&amp;"Century Gothic,Bold"&amp;18ANNEX A: 
SAMPLE PACKAGE COMPUTATION
</oddHeader>
  </headerFooter>
  <colBreaks count="1" manualBreakCount="1">
    <brk id="11" max="78"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U123"/>
  <sheetViews>
    <sheetView showGridLines="0" showZeros="0" view="pageLayout" topLeftCell="A40" zoomScaleNormal="100" zoomScaleSheetLayoutView="85" workbookViewId="0">
      <selection activeCell="O40" sqref="O40:R40"/>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671">
        <f>'SPOT EQUITY_30DAYS'!F16</f>
        <v>3379693.0676632621</v>
      </c>
      <c r="J27" s="1672"/>
      <c r="K27" s="1672"/>
      <c r="L27" s="1672"/>
      <c r="M27" s="1672"/>
      <c r="N27" s="1672"/>
      <c r="O27" s="1672"/>
      <c r="P27" s="1672"/>
      <c r="Q27" s="1672"/>
      <c r="R27" s="1672"/>
      <c r="S27" s="1672"/>
      <c r="T27" s="1672"/>
      <c r="U27" s="1673"/>
    </row>
    <row r="28" spans="1:21" ht="14.1">
      <c r="A28" s="41" t="s">
        <v>912</v>
      </c>
      <c r="B28" s="42"/>
      <c r="C28" s="44"/>
      <c r="D28" s="44"/>
      <c r="E28" s="44"/>
      <c r="F28" s="44"/>
      <c r="G28" s="44"/>
      <c r="H28" s="45"/>
      <c r="I28" s="1671">
        <f>'SPOT EQUITY_30DAYS'!F17+'SPOT EQUITY_30DAYS'!F18</f>
        <v>21123.081672895391</v>
      </c>
      <c r="J28" s="1672"/>
      <c r="K28" s="1672"/>
      <c r="L28" s="1672"/>
      <c r="M28" s="1672"/>
      <c r="N28" s="1672"/>
      <c r="O28" s="1672"/>
      <c r="P28" s="1672"/>
      <c r="Q28" s="1672"/>
      <c r="R28" s="1672"/>
      <c r="S28" s="1672"/>
      <c r="T28" s="1672"/>
      <c r="U28" s="1673"/>
    </row>
    <row r="29" spans="1:21" ht="14.1">
      <c r="A29" s="51" t="s">
        <v>913</v>
      </c>
      <c r="B29" s="52"/>
      <c r="C29" s="53"/>
      <c r="D29" s="53"/>
      <c r="E29" s="53"/>
      <c r="F29" s="53"/>
      <c r="G29" s="53"/>
      <c r="H29" s="50"/>
      <c r="I29" s="1671">
        <f>'SPOT EQUITY_30DAYS'!F19</f>
        <v>3358569.9859903669</v>
      </c>
      <c r="J29" s="1672"/>
      <c r="K29" s="1672"/>
      <c r="L29" s="1672"/>
      <c r="M29" s="1672"/>
      <c r="N29" s="1672"/>
      <c r="O29" s="1672"/>
      <c r="P29" s="1672"/>
      <c r="Q29" s="1672"/>
      <c r="R29" s="1672"/>
      <c r="S29" s="1672"/>
      <c r="T29" s="1672"/>
      <c r="U29" s="1673"/>
    </row>
    <row r="30" spans="1:21" ht="14.1">
      <c r="A30" s="41" t="s">
        <v>914</v>
      </c>
      <c r="B30" s="42"/>
      <c r="C30" s="44"/>
      <c r="D30" s="44"/>
      <c r="E30" s="44"/>
      <c r="F30" s="44"/>
      <c r="G30" s="44"/>
      <c r="H30" s="45"/>
      <c r="I30" s="1671">
        <f>'SPOT EQUITY_30DAYS'!F22</f>
        <v>464707.79680369853</v>
      </c>
      <c r="J30" s="1672"/>
      <c r="K30" s="1672"/>
      <c r="L30" s="1672"/>
      <c r="M30" s="1672"/>
      <c r="N30" s="1672"/>
      <c r="O30" s="1672"/>
      <c r="P30" s="1672"/>
      <c r="Q30" s="1672"/>
      <c r="R30" s="1672"/>
      <c r="S30" s="1672"/>
      <c r="T30" s="1672"/>
      <c r="U30" s="1673"/>
    </row>
    <row r="31" spans="1:21" ht="14.1">
      <c r="A31" s="41" t="s">
        <v>915</v>
      </c>
      <c r="B31" s="42"/>
      <c r="C31" s="44"/>
      <c r="D31" s="44"/>
      <c r="E31" s="44"/>
      <c r="F31" s="44"/>
      <c r="G31" s="44"/>
      <c r="H31" s="45"/>
      <c r="I31" s="1671">
        <f>'SPOT EQUITY_30DAYS'!F21</f>
        <v>0</v>
      </c>
      <c r="J31" s="1672"/>
      <c r="K31" s="1672"/>
      <c r="L31" s="1672"/>
      <c r="M31" s="1672"/>
      <c r="N31" s="1672"/>
      <c r="O31" s="1672"/>
      <c r="P31" s="1672"/>
      <c r="Q31" s="1672"/>
      <c r="R31" s="1672"/>
      <c r="S31" s="1672"/>
      <c r="T31" s="1672"/>
      <c r="U31" s="1673"/>
    </row>
    <row r="32" spans="1:21" ht="14.1">
      <c r="A32" s="41" t="s">
        <v>77</v>
      </c>
      <c r="B32" s="42"/>
      <c r="C32" s="44"/>
      <c r="D32" s="44"/>
      <c r="E32" s="44"/>
      <c r="F32" s="44"/>
      <c r="G32" s="44"/>
      <c r="H32" s="45"/>
      <c r="I32" s="1671">
        <f>'SPOT EQUITY_30DAYS'!F24</f>
        <v>3823277.7827940653</v>
      </c>
      <c r="J32" s="1672"/>
      <c r="K32" s="1672"/>
      <c r="L32" s="1672"/>
      <c r="M32" s="1672"/>
      <c r="N32" s="1672"/>
      <c r="O32" s="1672"/>
      <c r="P32" s="1672"/>
      <c r="Q32" s="1672"/>
      <c r="R32" s="1672"/>
      <c r="S32" s="1672"/>
      <c r="T32" s="1672"/>
      <c r="U32" s="1673"/>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Pvsp7dTeU7nQVoa5gKSdS4RB3BLdWYG5vuKgN4Df0ZjrFbiXF3m/n9jf0zVmi81BOONTJS2FqYVNNKrWnGxINw==" saltValue="5Dtbn0O0GIOnRCz6ts99fA==" spinCount="100000" sheet="1" selectLockedCells="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0657"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0658"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0659"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0660"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0661"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0662"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0663"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0664"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0665"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0666"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0667"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0668"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0669"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0670"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0671"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0672"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0673"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0674"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0675"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7"/>
  <dimension ref="A1:BB77"/>
  <sheetViews>
    <sheetView showGridLines="0" showZeros="0" view="pageLayout" topLeftCell="A8" zoomScale="90" zoomScaleNormal="80" zoomScaleSheetLayoutView="100" zoomScalePageLayoutView="90" workbookViewId="0">
      <selection activeCell="F21" sqref="F21:H21"/>
    </sheetView>
  </sheetViews>
  <sheetFormatPr defaultColWidth="9.140625" defaultRowHeight="14.45"/>
  <cols>
    <col min="1" max="1" width="1" customWidth="1"/>
    <col min="2" max="2" width="13.140625" customWidth="1"/>
    <col min="3" max="3" width="18.140625" customWidth="1"/>
    <col min="4" max="4" width="16.42578125" style="130" customWidth="1"/>
    <col min="5" max="5" width="14" customWidth="1"/>
    <col min="6" max="6" width="9.42578125" customWidth="1"/>
    <col min="7" max="7" width="13" customWidth="1"/>
    <col min="8" max="8" width="4.140625" customWidth="1"/>
    <col min="9" max="9" width="22" customWidth="1"/>
    <col min="10" max="10" width="0.85546875" customWidth="1"/>
    <col min="11" max="11" width="1" customWidth="1"/>
    <col min="13" max="13" width="21.5703125" customWidth="1"/>
    <col min="14" max="14" width="17.85546875" style="131" customWidth="1"/>
    <col min="15" max="15" width="5.85546875" customWidth="1"/>
    <col min="16" max="16" width="17.5703125" customWidth="1"/>
    <col min="17" max="17" width="11.140625" customWidth="1"/>
    <col min="18" max="18" width="9" customWidth="1"/>
    <col min="19" max="19" width="18.140625" customWidth="1"/>
  </cols>
  <sheetData>
    <row r="1" spans="1:54" ht="7.5" customHeight="1"/>
    <row r="2" spans="1:54">
      <c r="B2" s="173" t="s">
        <v>783</v>
      </c>
      <c r="C2" s="480">
        <f>FORM!I20</f>
        <v>45901</v>
      </c>
      <c r="D2" s="174"/>
      <c r="F2" s="174"/>
      <c r="G2" s="175" t="s">
        <v>784</v>
      </c>
      <c r="H2" s="1715" t="s">
        <v>785</v>
      </c>
      <c r="I2" s="1715"/>
      <c r="J2" s="174"/>
      <c r="K2" s="3"/>
      <c r="L2" s="176" t="s">
        <v>969</v>
      </c>
      <c r="M2" s="481">
        <f>C2</f>
        <v>45901</v>
      </c>
      <c r="N2" s="177"/>
      <c r="O2" s="177"/>
      <c r="Q2" s="176" t="str">
        <f>G2</f>
        <v xml:space="preserve">PAGE: </v>
      </c>
      <c r="R2" s="1716" t="s">
        <v>787</v>
      </c>
      <c r="S2" s="1717"/>
    </row>
    <row r="3" spans="1:54" s="1" customFormat="1" ht="12.6">
      <c r="B3" s="90"/>
      <c r="C3" s="91"/>
      <c r="D3" s="91"/>
      <c r="E3" s="90"/>
      <c r="F3" s="90"/>
      <c r="G3" s="92"/>
      <c r="H3" s="92"/>
      <c r="I3" s="92"/>
      <c r="J3" s="96"/>
      <c r="K3" s="92"/>
      <c r="L3" s="90"/>
      <c r="M3" s="91"/>
      <c r="N3" s="91"/>
      <c r="O3" s="90"/>
      <c r="P3" s="90"/>
      <c r="Q3" s="90"/>
      <c r="R3" s="1721"/>
      <c r="S3" s="1721"/>
    </row>
    <row r="4" spans="1:54" s="138" customFormat="1" ht="12.75" customHeight="1">
      <c r="A4" s="140"/>
      <c r="B4" s="1415" t="s">
        <v>970</v>
      </c>
      <c r="C4" s="1415"/>
      <c r="D4" s="1415"/>
      <c r="E4" s="1415"/>
      <c r="F4" s="1415"/>
      <c r="G4" s="1415"/>
      <c r="H4" s="1415"/>
      <c r="I4" s="1415"/>
      <c r="J4" s="178"/>
      <c r="K4" s="179"/>
      <c r="L4" s="1415" t="s">
        <v>788</v>
      </c>
      <c r="M4" s="1415"/>
      <c r="N4" s="1415"/>
      <c r="O4" s="1415"/>
      <c r="P4" s="1415"/>
      <c r="Q4" s="1415"/>
      <c r="R4" s="1415"/>
      <c r="S4" s="1415"/>
    </row>
    <row r="5" spans="1:54" s="138" customFormat="1" ht="12.75" customHeight="1">
      <c r="A5" s="140"/>
      <c r="B5" s="1415"/>
      <c r="C5" s="1415"/>
      <c r="D5" s="1415"/>
      <c r="E5" s="1415"/>
      <c r="F5" s="1415"/>
      <c r="G5" s="1415"/>
      <c r="H5" s="1415"/>
      <c r="I5" s="1415"/>
      <c r="J5" s="178"/>
      <c r="K5" s="179"/>
      <c r="L5" s="1415"/>
      <c r="M5" s="1415"/>
      <c r="N5" s="1415"/>
      <c r="O5" s="1415"/>
      <c r="P5" s="1415"/>
      <c r="Q5" s="1415"/>
      <c r="R5" s="1415"/>
      <c r="S5" s="1415"/>
    </row>
    <row r="6" spans="1:54" s="138" customFormat="1" ht="12.75" customHeight="1">
      <c r="A6" s="140"/>
      <c r="B6" s="180"/>
      <c r="C6" s="180"/>
      <c r="D6" s="181"/>
      <c r="E6" s="180"/>
      <c r="F6" s="180"/>
      <c r="G6" s="180"/>
      <c r="H6" s="180"/>
      <c r="I6" s="180"/>
      <c r="J6" s="180"/>
      <c r="K6" s="180"/>
      <c r="L6" s="97"/>
      <c r="M6" s="98"/>
      <c r="N6" s="100"/>
      <c r="O6" s="98"/>
      <c r="P6" s="98"/>
      <c r="Q6" s="98"/>
      <c r="R6" s="98"/>
      <c r="S6" s="100"/>
    </row>
    <row r="7" spans="1:54" s="183" customFormat="1" ht="11.45">
      <c r="A7" s="182"/>
      <c r="B7" s="145" t="s">
        <v>789</v>
      </c>
      <c r="C7" s="103"/>
      <c r="D7" s="297" t="s">
        <v>741</v>
      </c>
      <c r="E7" s="1722">
        <f>FORM!I26</f>
        <v>0</v>
      </c>
      <c r="F7" s="1723"/>
      <c r="G7" s="1723"/>
      <c r="H7" s="1723"/>
      <c r="I7" s="1724"/>
      <c r="J7" s="106"/>
      <c r="K7" s="127"/>
      <c r="L7" s="145" t="s">
        <v>789</v>
      </c>
      <c r="M7" s="117"/>
      <c r="N7" s="297" t="s">
        <v>741</v>
      </c>
      <c r="O7" s="1722">
        <f t="shared" ref="O7:O14" si="0">E7</f>
        <v>0</v>
      </c>
      <c r="P7" s="1723"/>
      <c r="Q7" s="1723"/>
      <c r="R7" s="1723"/>
      <c r="S7" s="1724"/>
      <c r="AN7" s="184"/>
      <c r="BA7" s="185"/>
      <c r="BB7" s="186"/>
    </row>
    <row r="8" spans="1:54" s="183" customFormat="1" ht="11.45">
      <c r="A8" s="182"/>
      <c r="B8" s="295" t="s">
        <v>740</v>
      </c>
      <c r="C8" s="104"/>
      <c r="D8" s="297" t="s">
        <v>741</v>
      </c>
      <c r="E8" s="1725" t="str">
        <f>FORM!I11</f>
        <v>The Southprime Flats</v>
      </c>
      <c r="F8" s="1726"/>
      <c r="G8" s="1726"/>
      <c r="H8" s="107" t="str">
        <f>FORM!I14</f>
        <v>B2</v>
      </c>
      <c r="I8" s="109"/>
      <c r="J8" s="106"/>
      <c r="K8" s="127"/>
      <c r="L8" s="295" t="s">
        <v>740</v>
      </c>
      <c r="M8" s="108"/>
      <c r="N8" s="297" t="s">
        <v>741</v>
      </c>
      <c r="O8" s="1722" t="str">
        <f t="shared" si="0"/>
        <v>The Southprime Flats</v>
      </c>
      <c r="P8" s="1723"/>
      <c r="Q8" s="1723"/>
      <c r="R8" s="1723"/>
      <c r="S8" s="1724"/>
      <c r="AN8" s="184"/>
      <c r="BA8" s="185"/>
      <c r="BB8" s="186"/>
    </row>
    <row r="9" spans="1:54" s="183" customFormat="1" ht="11.45">
      <c r="A9" s="182"/>
      <c r="B9" s="295" t="s">
        <v>790</v>
      </c>
      <c r="C9" s="104"/>
      <c r="D9" s="297" t="s">
        <v>741</v>
      </c>
      <c r="E9" s="1722" t="str">
        <f>'STANDARD COMP.'!E8</f>
        <v>2L</v>
      </c>
      <c r="F9" s="1723"/>
      <c r="G9" s="1723"/>
      <c r="H9" s="1723"/>
      <c r="I9" s="1724"/>
      <c r="J9" s="106"/>
      <c r="K9" s="127"/>
      <c r="L9" s="295" t="s">
        <v>790</v>
      </c>
      <c r="M9" s="108"/>
      <c r="N9" s="297" t="s">
        <v>741</v>
      </c>
      <c r="O9" s="1722" t="str">
        <f t="shared" si="0"/>
        <v>2L</v>
      </c>
      <c r="P9" s="1723"/>
      <c r="Q9" s="1723"/>
      <c r="R9" s="1723"/>
      <c r="S9" s="1724"/>
      <c r="AN9" s="184"/>
      <c r="BA9" s="185"/>
      <c r="BB9" s="186"/>
    </row>
    <row r="10" spans="1:54" s="183" customFormat="1" ht="11.45" hidden="1">
      <c r="A10" s="182"/>
      <c r="B10" s="295" t="s">
        <v>791</v>
      </c>
      <c r="C10" s="104"/>
      <c r="D10" s="297" t="s">
        <v>741</v>
      </c>
      <c r="E10" s="1722" t="e">
        <f>FORM!#REF!</f>
        <v>#REF!</v>
      </c>
      <c r="F10" s="1723"/>
      <c r="G10" s="1723"/>
      <c r="H10" s="1723"/>
      <c r="I10" s="1724"/>
      <c r="J10" s="106"/>
      <c r="K10" s="127"/>
      <c r="L10" s="295" t="s">
        <v>791</v>
      </c>
      <c r="M10" s="108"/>
      <c r="N10" s="297" t="s">
        <v>741</v>
      </c>
      <c r="O10" s="1722" t="e">
        <f t="shared" si="0"/>
        <v>#REF!</v>
      </c>
      <c r="P10" s="1723"/>
      <c r="Q10" s="1723"/>
      <c r="R10" s="1723"/>
      <c r="S10" s="1724"/>
      <c r="AN10" s="184"/>
      <c r="BA10" s="185"/>
      <c r="BB10" s="186"/>
    </row>
    <row r="11" spans="1:54" s="183" customFormat="1" ht="11.45">
      <c r="A11" s="182"/>
      <c r="B11" s="295" t="s">
        <v>792</v>
      </c>
      <c r="C11" s="104"/>
      <c r="D11" s="297" t="s">
        <v>741</v>
      </c>
      <c r="E11" s="1722" t="str">
        <f>'STANDARD COMP.'!E10</f>
        <v>Studio</v>
      </c>
      <c r="F11" s="1723"/>
      <c r="G11" s="1723"/>
      <c r="H11" s="1723"/>
      <c r="I11" s="1724"/>
      <c r="J11" s="106"/>
      <c r="K11" s="127"/>
      <c r="L11" s="295" t="s">
        <v>792</v>
      </c>
      <c r="M11" s="108"/>
      <c r="N11" s="297" t="s">
        <v>741</v>
      </c>
      <c r="O11" s="1718" t="str">
        <f t="shared" si="0"/>
        <v>Studio</v>
      </c>
      <c r="P11" s="1719"/>
      <c r="Q11" s="1719"/>
      <c r="R11" s="1719"/>
      <c r="S11" s="1720"/>
      <c r="AN11" s="184"/>
      <c r="BA11" s="185"/>
      <c r="BB11" s="186"/>
    </row>
    <row r="12" spans="1:54" s="183" customFormat="1" ht="11.45">
      <c r="A12" s="182"/>
      <c r="B12" s="295" t="s">
        <v>793</v>
      </c>
      <c r="C12" s="104"/>
      <c r="D12" s="297" t="s">
        <v>741</v>
      </c>
      <c r="E12" s="1712">
        <f>'STANDARD COMP.'!E11:F11</f>
        <v>22</v>
      </c>
      <c r="F12" s="1713"/>
      <c r="G12" s="105" t="s">
        <v>794</v>
      </c>
      <c r="H12" s="187"/>
      <c r="I12" s="188"/>
      <c r="J12" s="106"/>
      <c r="K12" s="127"/>
      <c r="L12" s="295" t="s">
        <v>793</v>
      </c>
      <c r="M12" s="108"/>
      <c r="N12" s="297" t="s">
        <v>741</v>
      </c>
      <c r="O12" s="1704">
        <f t="shared" si="0"/>
        <v>22</v>
      </c>
      <c r="P12" s="1705"/>
      <c r="Q12" s="189" t="s">
        <v>794</v>
      </c>
      <c r="R12" s="190"/>
      <c r="S12" s="109"/>
      <c r="AN12" s="184"/>
      <c r="BA12" s="185"/>
      <c r="BB12" s="186"/>
    </row>
    <row r="13" spans="1:54" s="183" customFormat="1" ht="11.45">
      <c r="A13" s="182"/>
      <c r="B13" s="108" t="s">
        <v>795</v>
      </c>
      <c r="C13" s="104"/>
      <c r="D13" s="297" t="s">
        <v>741</v>
      </c>
      <c r="E13" s="1706">
        <f>'STANDARD COMP.'!E12:F12</f>
        <v>0</v>
      </c>
      <c r="F13" s="1707"/>
      <c r="G13" s="191" t="s">
        <v>794</v>
      </c>
      <c r="H13" s="192"/>
      <c r="I13" s="193"/>
      <c r="J13" s="105"/>
      <c r="K13" s="127"/>
      <c r="L13" s="108" t="s">
        <v>795</v>
      </c>
      <c r="M13" s="108"/>
      <c r="N13" s="299" t="s">
        <v>741</v>
      </c>
      <c r="O13" s="1708">
        <f t="shared" si="0"/>
        <v>0</v>
      </c>
      <c r="P13" s="1709"/>
      <c r="Q13" s="194" t="s">
        <v>794</v>
      </c>
      <c r="R13" s="24"/>
      <c r="S13" s="195"/>
      <c r="AN13" s="184"/>
      <c r="BA13" s="185"/>
      <c r="BB13" s="186"/>
    </row>
    <row r="14" spans="1:54" s="183" customFormat="1" ht="11.45">
      <c r="A14" s="182"/>
      <c r="B14" s="102" t="s">
        <v>796</v>
      </c>
      <c r="C14" s="110"/>
      <c r="D14" s="297" t="s">
        <v>741</v>
      </c>
      <c r="E14" s="1698">
        <f>'STANDARD COMP.'!E13:F13</f>
        <v>22</v>
      </c>
      <c r="F14" s="1699"/>
      <c r="G14" s="107" t="s">
        <v>794</v>
      </c>
      <c r="H14" s="107"/>
      <c r="I14" s="196"/>
      <c r="J14" s="105" t="s">
        <v>757</v>
      </c>
      <c r="K14" s="127"/>
      <c r="L14" s="102" t="s">
        <v>796</v>
      </c>
      <c r="M14" s="120"/>
      <c r="N14" s="297" t="s">
        <v>741</v>
      </c>
      <c r="O14" s="1700">
        <f t="shared" si="0"/>
        <v>22</v>
      </c>
      <c r="P14" s="1701"/>
      <c r="Q14" s="189" t="s">
        <v>794</v>
      </c>
      <c r="R14" s="190"/>
      <c r="S14" s="109"/>
      <c r="AN14" s="184"/>
      <c r="BA14" s="185"/>
      <c r="BB14" s="186"/>
    </row>
    <row r="15" spans="1:54">
      <c r="A15" s="162"/>
      <c r="B15" s="124"/>
      <c r="C15" s="124"/>
      <c r="D15" s="197"/>
      <c r="E15" s="198"/>
      <c r="F15" s="112"/>
      <c r="G15" s="112"/>
      <c r="H15" s="112"/>
      <c r="I15" s="112"/>
      <c r="J15" s="199"/>
      <c r="K15" s="124"/>
      <c r="L15" s="124"/>
      <c r="M15" s="124"/>
      <c r="N15" s="200"/>
      <c r="O15" s="124"/>
      <c r="P15" s="124"/>
      <c r="Q15" s="124"/>
      <c r="R15" s="124"/>
      <c r="S15" s="124"/>
    </row>
    <row r="16" spans="1:54">
      <c r="A16" s="162"/>
      <c r="B16" s="201" t="s">
        <v>797</v>
      </c>
      <c r="C16" s="202"/>
      <c r="D16" s="203" t="s">
        <v>741</v>
      </c>
      <c r="E16" s="748">
        <f>'STANDARD COMP.'!E28</f>
        <v>18</v>
      </c>
      <c r="F16" s="1595">
        <f>'STANDARD COMP.'!F15</f>
        <v>3379693.0676632621</v>
      </c>
      <c r="G16" s="1595"/>
      <c r="H16" s="1711"/>
      <c r="I16" s="204"/>
      <c r="J16" s="205"/>
      <c r="K16" s="205"/>
      <c r="L16" s="1434" t="s">
        <v>798</v>
      </c>
      <c r="M16" s="1434"/>
      <c r="N16" s="1435" t="s">
        <v>709</v>
      </c>
      <c r="O16" s="1434" t="s">
        <v>712</v>
      </c>
      <c r="P16" s="1434"/>
      <c r="Q16" s="1436" t="s">
        <v>458</v>
      </c>
      <c r="R16" s="1688"/>
      <c r="S16" s="1437"/>
    </row>
    <row r="17" spans="1:19" s="209" customFormat="1">
      <c r="A17" s="162"/>
      <c r="B17" s="206" t="s">
        <v>971</v>
      </c>
      <c r="C17" s="207"/>
      <c r="D17" s="197" t="s">
        <v>741</v>
      </c>
      <c r="E17" s="208">
        <f>IF(E16&gt;18,10%,IF(E16&gt;=12,5%,IF(E16&gt;5,2.5%,)))</f>
        <v>0.05</v>
      </c>
      <c r="F17" s="1696">
        <f>F16*E17</f>
        <v>168984.65338316312</v>
      </c>
      <c r="G17" s="1696"/>
      <c r="H17" s="1710"/>
      <c r="I17" s="204"/>
      <c r="J17" s="124"/>
      <c r="K17" s="124"/>
      <c r="L17" s="1434"/>
      <c r="M17" s="1434"/>
      <c r="N17" s="1435"/>
      <c r="O17" s="1434"/>
      <c r="P17" s="1434"/>
      <c r="Q17" s="1438"/>
      <c r="R17" s="1689"/>
      <c r="S17" s="1439"/>
    </row>
    <row r="18" spans="1:19">
      <c r="A18" s="210"/>
      <c r="B18" s="206" t="s">
        <v>799</v>
      </c>
      <c r="C18" s="207"/>
      <c r="D18" s="197" t="s">
        <v>741</v>
      </c>
      <c r="E18" s="208"/>
      <c r="F18" s="1695">
        <f>'STANDARD COMP.'!F16:I16</f>
        <v>0</v>
      </c>
      <c r="G18" s="1696"/>
      <c r="H18" s="1696"/>
      <c r="I18" s="1697"/>
      <c r="J18" s="205"/>
      <c r="K18" s="205"/>
      <c r="L18" s="1693" t="s">
        <v>758</v>
      </c>
      <c r="M18" s="1693"/>
      <c r="N18" s="118">
        <f>C2</f>
        <v>45901</v>
      </c>
      <c r="O18" s="1694">
        <f>F27</f>
        <v>30000</v>
      </c>
      <c r="P18" s="1694"/>
      <c r="Q18" s="1690"/>
      <c r="R18" s="1691"/>
      <c r="S18" s="1692"/>
    </row>
    <row r="19" spans="1:19" s="209" customFormat="1">
      <c r="A19" s="162"/>
      <c r="B19" s="165" t="s">
        <v>913</v>
      </c>
      <c r="C19" s="123"/>
      <c r="D19" s="203" t="s">
        <v>741</v>
      </c>
      <c r="E19" s="211"/>
      <c r="F19" s="1687">
        <f>F16-(F17+F18)</f>
        <v>3210708.4142800989</v>
      </c>
      <c r="G19" s="1595"/>
      <c r="H19" s="1595"/>
      <c r="I19" s="1596"/>
      <c r="J19" s="124"/>
      <c r="K19" s="124"/>
      <c r="L19" s="1693" t="s">
        <v>972</v>
      </c>
      <c r="M19" s="1693"/>
      <c r="N19" s="118">
        <f>N18+30</f>
        <v>45931</v>
      </c>
      <c r="O19" s="1694">
        <f>F28</f>
        <v>3527126.9537155833</v>
      </c>
      <c r="P19" s="1694"/>
      <c r="Q19" s="1690"/>
      <c r="R19" s="1691"/>
      <c r="S19" s="1692"/>
    </row>
    <row r="20" spans="1:19">
      <c r="A20" s="162"/>
      <c r="B20" s="212"/>
      <c r="C20" s="213"/>
      <c r="D20" s="197"/>
      <c r="E20" s="562"/>
      <c r="F20" s="1714">
        <f>E21*F19</f>
        <v>385285.00971361186</v>
      </c>
      <c r="G20" s="1714"/>
      <c r="H20" s="1714"/>
      <c r="I20" s="1714"/>
      <c r="J20" s="124"/>
      <c r="K20" s="124"/>
      <c r="L20" s="1702"/>
      <c r="M20" s="1702"/>
      <c r="N20" s="293"/>
      <c r="O20" s="1703"/>
      <c r="P20" s="1703"/>
      <c r="Q20" s="1686"/>
      <c r="R20" s="1686"/>
      <c r="S20" s="205"/>
    </row>
    <row r="21" spans="1:19">
      <c r="A21" s="162"/>
      <c r="B21" s="218" t="s">
        <v>803</v>
      </c>
      <c r="C21" s="219"/>
      <c r="D21" s="197" t="s">
        <v>741</v>
      </c>
      <c r="E21" s="220">
        <v>0.12</v>
      </c>
      <c r="F21" s="1453"/>
      <c r="G21" s="1454"/>
      <c r="H21" s="1666"/>
      <c r="I21" s="217"/>
      <c r="J21" s="124"/>
      <c r="K21" s="124"/>
      <c r="L21" s="231"/>
      <c r="M21" s="231"/>
      <c r="N21" s="232"/>
      <c r="O21" s="233"/>
      <c r="P21" s="233"/>
      <c r="Q21" s="233"/>
      <c r="R21" s="205"/>
      <c r="S21" s="205"/>
    </row>
    <row r="22" spans="1:19">
      <c r="A22" s="162"/>
      <c r="B22" s="221" t="s">
        <v>806</v>
      </c>
      <c r="C22" s="219"/>
      <c r="D22" s="197" t="s">
        <v>741</v>
      </c>
      <c r="E22" s="563">
        <f>7.5%+2.75%</f>
        <v>0.10249999999999999</v>
      </c>
      <c r="F22" s="1678">
        <f>E22*F16+E20</f>
        <v>346418.53943548433</v>
      </c>
      <c r="G22" s="1679"/>
      <c r="H22" s="1680"/>
      <c r="I22" s="217"/>
      <c r="J22" s="124"/>
      <c r="K22" s="124"/>
      <c r="L22" s="231"/>
      <c r="M22" s="231"/>
      <c r="N22" s="232"/>
      <c r="O22" s="233"/>
      <c r="P22" s="233"/>
      <c r="Q22" s="233"/>
      <c r="R22" s="205"/>
      <c r="S22" s="205"/>
    </row>
    <row r="23" spans="1:19">
      <c r="A23" s="210"/>
      <c r="B23" s="222"/>
      <c r="C23" s="223"/>
      <c r="D23" s="197"/>
      <c r="E23" s="112"/>
      <c r="F23" s="214"/>
      <c r="G23" s="214"/>
      <c r="H23" s="214"/>
      <c r="I23" s="112"/>
      <c r="J23" s="205"/>
      <c r="K23" s="124"/>
      <c r="L23" s="235"/>
      <c r="M23" s="124" t="s">
        <v>757</v>
      </c>
      <c r="N23" s="200"/>
      <c r="O23" s="124"/>
      <c r="P23" s="124"/>
      <c r="Q23" s="124"/>
      <c r="R23" s="124"/>
      <c r="S23" s="124"/>
    </row>
    <row r="24" spans="1:19">
      <c r="A24" s="162"/>
      <c r="B24" s="165" t="s">
        <v>810</v>
      </c>
      <c r="C24" s="123"/>
      <c r="D24" s="203" t="s">
        <v>741</v>
      </c>
      <c r="E24" s="224"/>
      <c r="F24" s="1674">
        <f>SUM(F21:H22,F19)</f>
        <v>3557126.9537155833</v>
      </c>
      <c r="G24" s="1432"/>
      <c r="H24" s="1645"/>
      <c r="I24" s="204"/>
      <c r="J24" s="124"/>
      <c r="K24" s="205"/>
      <c r="L24" s="235"/>
      <c r="M24" s="124"/>
      <c r="N24" s="200"/>
      <c r="O24" s="124"/>
      <c r="P24" s="124"/>
      <c r="Q24" s="124"/>
      <c r="R24" s="124"/>
      <c r="S24" s="124"/>
    </row>
    <row r="25" spans="1:19" s="209" customFormat="1">
      <c r="A25" s="162"/>
      <c r="B25" s="212"/>
      <c r="C25" s="124"/>
      <c r="D25" s="197"/>
      <c r="E25" s="112"/>
      <c r="F25" s="214"/>
      <c r="G25" s="214"/>
      <c r="H25" s="214"/>
      <c r="I25" s="112"/>
      <c r="J25" s="124"/>
      <c r="K25" s="124"/>
      <c r="L25" s="205" t="s">
        <v>869</v>
      </c>
      <c r="M25" s="205"/>
      <c r="N25" s="231"/>
      <c r="O25" s="205"/>
      <c r="P25"/>
      <c r="Q25" s="205" t="s">
        <v>870</v>
      </c>
      <c r="R25" s="124"/>
      <c r="S25" s="124"/>
    </row>
    <row r="26" spans="1:19">
      <c r="A26" s="210"/>
      <c r="B26" s="1683" t="s">
        <v>972</v>
      </c>
      <c r="C26" s="1683"/>
      <c r="D26" s="203" t="s">
        <v>741</v>
      </c>
      <c r="E26" s="225">
        <v>1</v>
      </c>
      <c r="F26" s="1440">
        <f>F24*E26</f>
        <v>3557126.9537155833</v>
      </c>
      <c r="G26" s="1432"/>
      <c r="H26" s="1432"/>
      <c r="I26" s="1433"/>
      <c r="J26" s="205"/>
      <c r="K26" s="124"/>
      <c r="L26" s="124"/>
      <c r="M26" s="124"/>
      <c r="N26" s="234"/>
      <c r="O26" s="124"/>
      <c r="P26" s="124"/>
      <c r="Q26" s="124"/>
      <c r="R26" s="124"/>
      <c r="S26" s="124"/>
    </row>
    <row r="27" spans="1:19" s="209" customFormat="1">
      <c r="A27" s="162"/>
      <c r="B27" s="1588" t="s">
        <v>973</v>
      </c>
      <c r="C27" s="1588"/>
      <c r="D27" s="197" t="s">
        <v>741</v>
      </c>
      <c r="E27" s="226"/>
      <c r="F27" s="1675">
        <f>'STANDARD COMP.'!F25</f>
        <v>30000</v>
      </c>
      <c r="G27" s="1676"/>
      <c r="H27" s="1676"/>
      <c r="I27" s="1677"/>
      <c r="J27" s="205"/>
      <c r="K27" s="205"/>
      <c r="L27" s="124"/>
      <c r="M27" s="124"/>
      <c r="N27" s="234"/>
      <c r="O27" s="124"/>
      <c r="P27" s="124"/>
      <c r="Q27" s="124"/>
      <c r="R27" s="124"/>
      <c r="S27" s="124"/>
    </row>
    <row r="28" spans="1:19" s="209" customFormat="1">
      <c r="A28" s="210"/>
      <c r="B28" s="1683" t="s">
        <v>974</v>
      </c>
      <c r="C28" s="1683"/>
      <c r="D28" s="203" t="s">
        <v>741</v>
      </c>
      <c r="E28" s="227"/>
      <c r="F28" s="1440">
        <f>F26-F27</f>
        <v>3527126.9537155833</v>
      </c>
      <c r="G28" s="1432"/>
      <c r="H28" s="1432"/>
      <c r="I28" s="1433"/>
      <c r="J28" s="124"/>
      <c r="K28" s="205"/>
      <c r="L28" s="1681">
        <f>FORM!I28</f>
        <v>0</v>
      </c>
      <c r="M28" s="1681"/>
      <c r="N28" s="1681"/>
      <c r="O28" s="205"/>
      <c r="P28" s="205"/>
      <c r="Q28" s="1681">
        <f>FORM!I26</f>
        <v>0</v>
      </c>
      <c r="R28" s="1681"/>
      <c r="S28" s="1681"/>
    </row>
    <row r="29" spans="1:19">
      <c r="A29" s="162"/>
      <c r="B29" s="212"/>
      <c r="C29" s="124"/>
      <c r="D29" s="197"/>
      <c r="E29" s="124"/>
      <c r="F29" s="124"/>
      <c r="G29" s="124"/>
      <c r="H29" s="124"/>
      <c r="I29" s="124"/>
      <c r="J29" s="124"/>
      <c r="K29" s="124"/>
      <c r="L29" s="236" t="s">
        <v>953</v>
      </c>
      <c r="M29" s="1684"/>
      <c r="N29" s="1685"/>
      <c r="O29" s="124"/>
      <c r="P29" s="124"/>
      <c r="Q29" s="237" t="s">
        <v>871</v>
      </c>
      <c r="R29" s="1684"/>
      <c r="S29" s="1685"/>
    </row>
    <row r="30" spans="1:19">
      <c r="A30" s="162"/>
      <c r="E30" s="228"/>
      <c r="I30" s="205"/>
      <c r="J30" s="205"/>
      <c r="K30" s="124"/>
      <c r="L30" s="2"/>
      <c r="M30" s="2"/>
      <c r="N30" s="238"/>
      <c r="O30" s="2"/>
      <c r="P30" s="2"/>
      <c r="Q30" s="2"/>
      <c r="R30" s="2"/>
      <c r="S30" s="2"/>
    </row>
    <row r="31" spans="1:19" s="209" customFormat="1">
      <c r="A31" s="162"/>
      <c r="B31"/>
      <c r="C31"/>
      <c r="D31" s="130"/>
      <c r="E31"/>
      <c r="F31"/>
      <c r="G31"/>
      <c r="H31"/>
      <c r="I31" s="124"/>
      <c r="J31" s="124"/>
      <c r="K31" s="205"/>
      <c r="L31" s="2"/>
      <c r="M31" s="2"/>
      <c r="N31" s="238"/>
      <c r="O31" s="2"/>
      <c r="P31" s="2"/>
      <c r="Q31" s="2"/>
      <c r="R31" s="2"/>
      <c r="S31" s="2"/>
    </row>
    <row r="32" spans="1:19">
      <c r="A32" s="162"/>
      <c r="B32" s="122" t="s">
        <v>864</v>
      </c>
      <c r="C32" s="229"/>
      <c r="D32" s="205"/>
      <c r="E32" s="205"/>
      <c r="F32" s="205"/>
      <c r="G32" s="205"/>
      <c r="H32" s="205"/>
      <c r="I32" s="205"/>
      <c r="J32" s="124"/>
      <c r="K32" s="124"/>
      <c r="L32" s="2"/>
      <c r="M32" s="2"/>
      <c r="N32" s="238"/>
      <c r="O32" s="2"/>
      <c r="P32" s="2"/>
      <c r="Q32" s="2"/>
      <c r="R32" s="2"/>
      <c r="S32" s="2"/>
    </row>
    <row r="33" spans="1:19">
      <c r="A33" s="162"/>
      <c r="B33" s="205"/>
      <c r="C33" s="205"/>
      <c r="D33" s="205"/>
      <c r="E33" s="205"/>
      <c r="F33" s="205"/>
      <c r="G33" s="205"/>
      <c r="H33" s="205"/>
      <c r="I33" s="205"/>
      <c r="J33" s="124"/>
      <c r="K33" s="124"/>
      <c r="L33" s="1682"/>
      <c r="M33" s="1682"/>
      <c r="N33" s="1682"/>
      <c r="O33" s="2"/>
      <c r="P33" s="2"/>
      <c r="Q33" s="2"/>
      <c r="R33" s="2"/>
      <c r="S33" s="2"/>
    </row>
    <row r="34" spans="1:19">
      <c r="A34" s="162"/>
      <c r="B34" s="1633" t="s">
        <v>948</v>
      </c>
      <c r="C34" s="1633"/>
      <c r="D34" s="1633" t="s">
        <v>711</v>
      </c>
      <c r="E34" s="1633"/>
      <c r="F34" s="1633"/>
      <c r="G34" s="1633"/>
      <c r="H34" s="1633" t="s">
        <v>868</v>
      </c>
      <c r="I34" s="1633"/>
      <c r="J34" s="124"/>
      <c r="K34" s="124"/>
      <c r="L34" s="2"/>
      <c r="M34" s="238"/>
      <c r="N34" s="238"/>
      <c r="O34" s="2"/>
      <c r="P34" s="2"/>
      <c r="Q34" s="2"/>
      <c r="R34" s="2"/>
      <c r="S34" s="2"/>
    </row>
    <row r="35" spans="1:19">
      <c r="A35" s="162"/>
      <c r="B35" s="1728">
        <f>FORM!O19</f>
        <v>0</v>
      </c>
      <c r="C35" s="1730"/>
      <c r="D35" s="1728">
        <f>FORM!S19</f>
        <v>0</v>
      </c>
      <c r="E35" s="1729"/>
      <c r="F35" s="1729"/>
      <c r="G35" s="1730"/>
      <c r="H35" s="1623">
        <f>FORM!V19</f>
        <v>0</v>
      </c>
      <c r="I35" s="1624"/>
      <c r="J35" s="124"/>
      <c r="K35" s="124"/>
      <c r="L35" s="2"/>
      <c r="M35" s="238"/>
      <c r="N35" s="238"/>
      <c r="O35" s="2"/>
      <c r="P35" s="2"/>
      <c r="Q35" s="2"/>
      <c r="R35" s="2"/>
      <c r="S35" s="2"/>
    </row>
    <row r="36" spans="1:19">
      <c r="A36" s="162"/>
      <c r="B36" s="1731"/>
      <c r="C36" s="1733"/>
      <c r="D36" s="1731"/>
      <c r="E36" s="1732"/>
      <c r="F36" s="1732"/>
      <c r="G36" s="1733"/>
      <c r="H36" s="1625"/>
      <c r="I36" s="1626"/>
      <c r="J36" s="124"/>
      <c r="K36" s="124"/>
      <c r="M36" s="131"/>
    </row>
    <row r="37" spans="1:19">
      <c r="A37" s="162"/>
      <c r="B37" s="1728">
        <f>FORM!O21</f>
        <v>0</v>
      </c>
      <c r="C37" s="1730"/>
      <c r="D37" s="1728">
        <f>FORM!S21</f>
        <v>0</v>
      </c>
      <c r="E37" s="1729"/>
      <c r="F37" s="1729"/>
      <c r="G37" s="1730"/>
      <c r="H37" s="1623">
        <f>FORM!V21</f>
        <v>0</v>
      </c>
      <c r="I37" s="1624"/>
      <c r="J37" s="124"/>
      <c r="K37" s="124"/>
    </row>
    <row r="38" spans="1:19">
      <c r="A38" s="162"/>
      <c r="B38" s="1731"/>
      <c r="C38" s="1733"/>
      <c r="D38" s="1731"/>
      <c r="E38" s="1732"/>
      <c r="F38" s="1732"/>
      <c r="G38" s="1733"/>
      <c r="H38" s="1625"/>
      <c r="I38" s="1626"/>
      <c r="J38" s="124"/>
      <c r="K38" s="124"/>
    </row>
    <row r="39" spans="1:19" ht="16.5" customHeight="1">
      <c r="A39" s="162"/>
      <c r="B39" s="1728">
        <f>FORM!O25</f>
        <v>0</v>
      </c>
      <c r="C39" s="1730"/>
      <c r="D39" s="1728">
        <f>FORM!S25</f>
        <v>0</v>
      </c>
      <c r="E39" s="1729"/>
      <c r="F39" s="1729"/>
      <c r="G39" s="1730"/>
      <c r="H39" s="1623">
        <f>FORM!V25</f>
        <v>0</v>
      </c>
      <c r="I39" s="1624"/>
      <c r="J39" s="124"/>
      <c r="K39" s="124"/>
    </row>
    <row r="40" spans="1:19">
      <c r="A40" s="162"/>
      <c r="B40" s="1731"/>
      <c r="C40" s="1733"/>
      <c r="D40" s="1731"/>
      <c r="E40" s="1732"/>
      <c r="F40" s="1732"/>
      <c r="G40" s="1733"/>
      <c r="H40" s="1625"/>
      <c r="I40" s="1626"/>
      <c r="J40" s="124"/>
      <c r="K40" s="124"/>
    </row>
    <row r="41" spans="1:19" ht="16.5" customHeight="1">
      <c r="A41" s="162"/>
      <c r="B41" s="1728">
        <f>FORM!O27</f>
        <v>0</v>
      </c>
      <c r="C41" s="1730"/>
      <c r="D41" s="1728">
        <f>FORM!S27</f>
        <v>0</v>
      </c>
      <c r="E41" s="1729"/>
      <c r="F41" s="1729"/>
      <c r="G41" s="1730"/>
      <c r="H41" s="1623">
        <f>FORM!V27</f>
        <v>0</v>
      </c>
      <c r="I41" s="1624"/>
      <c r="J41" s="124"/>
      <c r="K41" s="124"/>
    </row>
    <row r="42" spans="1:19">
      <c r="A42" s="162"/>
      <c r="B42" s="1731"/>
      <c r="C42" s="1733"/>
      <c r="D42" s="1731"/>
      <c r="E42" s="1732"/>
      <c r="F42" s="1732"/>
      <c r="G42" s="1733"/>
      <c r="H42" s="1625"/>
      <c r="I42" s="1626"/>
      <c r="J42" s="124"/>
      <c r="K42" s="124"/>
    </row>
    <row r="43" spans="1:19" ht="16.5" customHeight="1">
      <c r="A43" s="162"/>
      <c r="B43" s="1728">
        <f>FORM!O31</f>
        <v>0</v>
      </c>
      <c r="C43" s="1730"/>
      <c r="D43" s="1728">
        <f>FORM!S31</f>
        <v>0</v>
      </c>
      <c r="E43" s="1729"/>
      <c r="F43" s="1729"/>
      <c r="G43" s="1730"/>
      <c r="H43" s="1623">
        <f>FORM!V31</f>
        <v>0</v>
      </c>
      <c r="I43" s="1624"/>
      <c r="J43" s="124"/>
      <c r="K43" s="124"/>
    </row>
    <row r="44" spans="1:19">
      <c r="A44" s="162"/>
      <c r="B44" s="1731"/>
      <c r="C44" s="1733"/>
      <c r="D44" s="1731"/>
      <c r="E44" s="1732"/>
      <c r="F44" s="1732"/>
      <c r="G44" s="1733"/>
      <c r="H44" s="1625"/>
      <c r="I44" s="1626"/>
      <c r="J44" s="124"/>
      <c r="K44" s="124"/>
    </row>
    <row r="45" spans="1:19" ht="16.5" customHeight="1">
      <c r="A45" s="162"/>
      <c r="B45" s="1728">
        <f>FORM!O33</f>
        <v>0</v>
      </c>
      <c r="C45" s="1730"/>
      <c r="D45" s="1728">
        <f>FORM!S33</f>
        <v>0</v>
      </c>
      <c r="E45" s="1729"/>
      <c r="F45" s="1729"/>
      <c r="G45" s="1730"/>
      <c r="H45" s="1623">
        <f>FORM!V33</f>
        <v>0</v>
      </c>
      <c r="I45" s="1624"/>
      <c r="J45" s="124"/>
      <c r="K45" s="124"/>
    </row>
    <row r="46" spans="1:19">
      <c r="A46" s="162"/>
      <c r="B46" s="1731"/>
      <c r="C46" s="1733"/>
      <c r="D46" s="1731"/>
      <c r="E46" s="1732"/>
      <c r="F46" s="1732"/>
      <c r="G46" s="1733"/>
      <c r="H46" s="1625"/>
      <c r="I46" s="1626"/>
      <c r="J46" s="124"/>
      <c r="K46" s="124"/>
    </row>
    <row r="47" spans="1:19" ht="12.75" customHeight="1">
      <c r="A47" s="162"/>
      <c r="B47" s="124"/>
      <c r="C47" s="124"/>
      <c r="D47" s="124"/>
      <c r="E47" s="124"/>
      <c r="F47" s="124"/>
      <c r="G47" s="124"/>
      <c r="H47" s="124"/>
      <c r="I47" s="124"/>
      <c r="J47" s="124"/>
      <c r="K47" s="124"/>
    </row>
    <row r="48" spans="1:19" ht="12.75" customHeight="1">
      <c r="A48" s="162"/>
      <c r="B48" s="124"/>
      <c r="C48" s="124"/>
      <c r="D48" s="124"/>
      <c r="E48" s="124"/>
      <c r="F48" s="124"/>
      <c r="G48" s="124"/>
      <c r="H48" s="124"/>
      <c r="I48" s="124"/>
      <c r="J48" s="124"/>
      <c r="K48" s="124"/>
    </row>
    <row r="49" spans="1:11" ht="12.75" customHeight="1">
      <c r="A49" s="162"/>
      <c r="B49" s="125"/>
      <c r="C49" s="250" t="s">
        <v>872</v>
      </c>
      <c r="D49" s="1547"/>
      <c r="E49" s="1547"/>
      <c r="F49" s="1547"/>
      <c r="G49" s="1547"/>
      <c r="H49" s="124"/>
      <c r="I49" s="124"/>
      <c r="J49" s="124"/>
      <c r="K49" s="124"/>
    </row>
    <row r="50" spans="1:11" ht="12.75" customHeight="1">
      <c r="A50" s="162"/>
      <c r="B50" s="230"/>
      <c r="C50" s="112"/>
      <c r="D50" s="112"/>
      <c r="E50" s="112"/>
      <c r="F50" s="124"/>
      <c r="G50" s="124"/>
      <c r="H50" s="124"/>
      <c r="I50" s="124"/>
      <c r="J50" s="124"/>
      <c r="K50" s="124"/>
    </row>
    <row r="51" spans="1:11" ht="12.75" customHeight="1">
      <c r="A51" s="162"/>
      <c r="B51" s="230"/>
      <c r="C51" s="112"/>
      <c r="D51" s="112"/>
      <c r="E51" s="112"/>
      <c r="F51" s="124"/>
      <c r="G51" s="124"/>
      <c r="H51" s="124"/>
      <c r="I51" s="124"/>
      <c r="J51" s="124"/>
      <c r="K51" s="124"/>
    </row>
    <row r="52" spans="1:11" ht="12.75" customHeight="1">
      <c r="A52" s="162"/>
      <c r="B52" s="230"/>
      <c r="C52" s="112"/>
      <c r="D52" s="112"/>
      <c r="E52" s="112"/>
      <c r="F52" s="124"/>
      <c r="G52" s="124"/>
      <c r="H52" s="124"/>
      <c r="I52" s="124"/>
      <c r="J52" s="124"/>
      <c r="K52" s="124"/>
    </row>
    <row r="53" spans="1:11" ht="12.75" customHeight="1">
      <c r="A53" s="162"/>
      <c r="B53" s="230"/>
      <c r="C53" s="112"/>
      <c r="D53" s="112"/>
      <c r="E53" s="112"/>
      <c r="F53" s="124"/>
      <c r="G53" s="124"/>
      <c r="H53" s="124"/>
      <c r="I53" s="124"/>
      <c r="J53" s="124"/>
      <c r="K53" s="124"/>
    </row>
    <row r="54" spans="1:11" ht="12.75" customHeight="1">
      <c r="A54" s="162"/>
      <c r="B54" s="230"/>
      <c r="C54" s="112"/>
      <c r="D54" s="112"/>
      <c r="E54" s="112"/>
      <c r="F54" s="124"/>
      <c r="G54" s="124"/>
      <c r="H54" s="124"/>
      <c r="I54" s="124"/>
      <c r="J54" s="124"/>
      <c r="K54" s="124"/>
    </row>
    <row r="55" spans="1:11" ht="12.75" customHeight="1">
      <c r="A55" s="162"/>
      <c r="B55" s="230"/>
      <c r="C55" s="112"/>
      <c r="D55" s="112"/>
      <c r="E55" s="112"/>
      <c r="F55" s="124"/>
      <c r="G55" s="124"/>
      <c r="H55" s="124"/>
      <c r="I55" s="124"/>
      <c r="J55" s="124"/>
      <c r="K55" s="124"/>
    </row>
    <row r="56" spans="1:11" ht="12.75" customHeight="1">
      <c r="A56" s="162"/>
      <c r="B56" s="230"/>
      <c r="C56" s="112"/>
      <c r="D56" s="112"/>
      <c r="E56" s="112"/>
      <c r="F56" s="124"/>
      <c r="G56" s="124"/>
      <c r="H56" s="124"/>
      <c r="I56" s="124"/>
      <c r="J56" s="124"/>
      <c r="K56" s="124"/>
    </row>
    <row r="57" spans="1:11" ht="12.75" customHeight="1">
      <c r="A57" s="162"/>
      <c r="B57" s="230"/>
      <c r="C57" s="112"/>
      <c r="D57" s="112"/>
      <c r="E57" s="112"/>
      <c r="F57" s="124"/>
      <c r="G57" s="124"/>
      <c r="H57" s="124"/>
      <c r="I57" s="124"/>
      <c r="J57" s="124"/>
      <c r="K57" s="124"/>
    </row>
    <row r="58" spans="1:11" ht="12.75" customHeight="1">
      <c r="A58" s="162"/>
      <c r="B58" s="230"/>
      <c r="C58" s="112"/>
      <c r="D58" s="112"/>
      <c r="E58" s="112"/>
      <c r="F58" s="124"/>
      <c r="G58" s="124"/>
      <c r="H58" s="124"/>
      <c r="I58" s="124"/>
      <c r="J58" s="124"/>
      <c r="K58" s="124"/>
    </row>
    <row r="59" spans="1:11" ht="12.75" customHeight="1">
      <c r="A59" s="162"/>
      <c r="B59" s="230"/>
      <c r="C59" s="112"/>
      <c r="D59" s="112"/>
      <c r="E59" s="112"/>
      <c r="F59" s="124"/>
      <c r="G59" s="124"/>
      <c r="H59" s="124"/>
      <c r="I59" s="124"/>
      <c r="J59" s="124"/>
      <c r="K59" s="124"/>
    </row>
    <row r="60" spans="1:11" ht="12.75" customHeight="1">
      <c r="A60" s="162"/>
      <c r="B60" s="124"/>
      <c r="C60" s="124"/>
      <c r="D60" s="234"/>
      <c r="E60" s="124"/>
      <c r="F60" s="124"/>
      <c r="G60" s="124"/>
      <c r="H60" s="124"/>
      <c r="I60" s="124"/>
      <c r="J60" s="124"/>
      <c r="K60" s="124"/>
    </row>
    <row r="61" spans="1:11" ht="12.75" customHeight="1">
      <c r="A61" s="162"/>
      <c r="B61" s="124"/>
      <c r="C61" s="124"/>
      <c r="D61" s="234"/>
      <c r="E61" s="124"/>
      <c r="F61" s="124"/>
      <c r="G61" s="124"/>
      <c r="H61" s="124"/>
      <c r="I61" s="124"/>
      <c r="J61" s="124"/>
      <c r="K61" s="124"/>
    </row>
    <row r="62" spans="1:11" ht="12.75" customHeight="1">
      <c r="A62" s="162"/>
      <c r="B62" s="205" t="s">
        <v>869</v>
      </c>
      <c r="C62" s="205"/>
      <c r="D62" s="231"/>
      <c r="E62" s="205"/>
      <c r="G62" s="205" t="s">
        <v>870</v>
      </c>
      <c r="H62" s="124"/>
      <c r="I62" s="124"/>
      <c r="J62" s="124"/>
      <c r="K62" s="124"/>
    </row>
    <row r="63" spans="1:11">
      <c r="A63" s="162"/>
      <c r="B63" s="124"/>
      <c r="C63" s="124"/>
      <c r="D63" s="234"/>
      <c r="E63" s="124"/>
      <c r="F63" s="124"/>
      <c r="G63" s="124"/>
      <c r="H63" s="124"/>
      <c r="I63" s="124"/>
      <c r="J63" s="124"/>
      <c r="K63" s="124"/>
    </row>
    <row r="64" spans="1:11">
      <c r="A64" s="162"/>
      <c r="B64" s="124"/>
      <c r="C64" s="124"/>
      <c r="D64" s="234"/>
      <c r="E64" s="124"/>
      <c r="F64" s="124"/>
      <c r="G64" s="124"/>
      <c r="H64" s="124"/>
      <c r="I64" s="124"/>
      <c r="J64" s="205"/>
      <c r="K64" s="124"/>
    </row>
    <row r="65" spans="1:11" ht="12.75" customHeight="1">
      <c r="A65" s="162"/>
      <c r="B65" s="1681">
        <f>FORM!I28</f>
        <v>0</v>
      </c>
      <c r="C65" s="1681"/>
      <c r="D65" s="1681"/>
      <c r="E65" s="205"/>
      <c r="F65" s="205"/>
      <c r="G65" s="1681">
        <f>FORM!I26</f>
        <v>0</v>
      </c>
      <c r="H65" s="1681"/>
      <c r="I65" s="1681"/>
      <c r="J65" s="124"/>
      <c r="K65" s="124"/>
    </row>
    <row r="66" spans="1:11" ht="12.75" customHeight="1">
      <c r="A66" s="162"/>
      <c r="B66" s="277" t="s">
        <v>871</v>
      </c>
      <c r="C66" s="1727"/>
      <c r="D66" s="1566"/>
      <c r="E66" s="112"/>
      <c r="F66" s="112"/>
      <c r="G66" s="126" t="s">
        <v>871</v>
      </c>
      <c r="H66" s="1727"/>
      <c r="I66" s="1566"/>
      <c r="J66" s="124"/>
      <c r="K66" s="124"/>
    </row>
    <row r="67" spans="1:11" ht="12.75" customHeight="1">
      <c r="A67" s="162"/>
      <c r="B67" s="124"/>
      <c r="C67" s="124"/>
      <c r="D67" s="234"/>
      <c r="E67" s="124"/>
      <c r="F67" s="124"/>
      <c r="G67" s="124"/>
      <c r="H67" s="124"/>
      <c r="I67" s="124"/>
      <c r="J67" s="124"/>
      <c r="K67" s="124"/>
    </row>
    <row r="68" spans="1:11" ht="12.75" customHeight="1">
      <c r="B68" s="124"/>
      <c r="C68" s="124"/>
      <c r="D68" s="234"/>
      <c r="E68" s="124"/>
      <c r="F68" s="124"/>
      <c r="G68" s="124"/>
      <c r="H68" s="124"/>
      <c r="I68" s="124"/>
      <c r="J68" s="2"/>
      <c r="K68" s="205"/>
    </row>
    <row r="69" spans="1:11" ht="12.75" customHeight="1">
      <c r="B69" s="2"/>
      <c r="C69" s="2"/>
      <c r="D69" s="85"/>
      <c r="E69" s="2"/>
      <c r="F69" s="2"/>
      <c r="G69" s="2"/>
      <c r="H69" s="2"/>
      <c r="I69" s="2"/>
      <c r="J69" s="2"/>
      <c r="K69" s="2"/>
    </row>
    <row r="70" spans="1:11">
      <c r="B70" s="2"/>
      <c r="C70" s="2"/>
      <c r="D70" s="85"/>
      <c r="E70" s="2"/>
      <c r="F70" s="2"/>
      <c r="G70" s="2"/>
      <c r="H70" s="2"/>
      <c r="I70" s="2"/>
      <c r="J70" s="2"/>
      <c r="K70" s="2"/>
    </row>
    <row r="71" spans="1:11">
      <c r="B71" s="2"/>
      <c r="C71" s="2"/>
      <c r="D71" s="85"/>
      <c r="E71" s="2"/>
      <c r="F71" s="2"/>
      <c r="G71" s="2"/>
      <c r="H71" s="2"/>
      <c r="I71" s="2"/>
      <c r="J71" s="2"/>
      <c r="K71" s="2"/>
    </row>
    <row r="72" spans="1:11">
      <c r="A72" s="239">
        <f>F19*E21</f>
        <v>385285.00971361186</v>
      </c>
      <c r="B72" s="2"/>
      <c r="C72" s="2"/>
      <c r="D72" s="85"/>
      <c r="E72" s="2"/>
      <c r="F72" s="2"/>
      <c r="G72" s="2"/>
      <c r="H72" s="2"/>
      <c r="I72" s="2"/>
      <c r="J72" s="2"/>
      <c r="K72" s="2"/>
    </row>
    <row r="73" spans="1:11">
      <c r="B73" s="2"/>
      <c r="C73" s="2"/>
      <c r="D73" s="85"/>
      <c r="E73" s="2"/>
      <c r="F73" s="2"/>
      <c r="G73" s="2"/>
      <c r="H73" s="2"/>
      <c r="I73" s="2"/>
      <c r="J73" s="2"/>
      <c r="K73" s="2"/>
    </row>
    <row r="74" spans="1:11">
      <c r="A74" s="240">
        <f>F19*12%</f>
        <v>385285.00971361186</v>
      </c>
      <c r="B74" s="2"/>
      <c r="C74" s="2"/>
      <c r="D74" s="85"/>
      <c r="E74" s="2"/>
      <c r="F74" s="2"/>
      <c r="G74" s="2"/>
      <c r="H74" s="2"/>
      <c r="I74" s="2"/>
      <c r="K74" s="2"/>
    </row>
    <row r="75" spans="1:11">
      <c r="K75" s="2"/>
    </row>
    <row r="76" spans="1:11">
      <c r="K76" s="2"/>
    </row>
    <row r="77" spans="1:11">
      <c r="K77" s="2"/>
    </row>
  </sheetData>
  <sheetProtection algorithmName="SHA-512" hashValue="/Jii55O1JzwzLj0+l5yiqtLsoNI01bbp0Xm8gttnHec20q68yeMUaEpCbkH10eFj2m/W9zorsrevYZhvevlLkQ==" saltValue="s/Cq9SFcD33mq9sD59Giug==" spinCount="100000" sheet="1" formatCells="0" formatColumns="0" formatRows="0"/>
  <mergeCells count="79">
    <mergeCell ref="B41:C42"/>
    <mergeCell ref="D41:G42"/>
    <mergeCell ref="H41:I42"/>
    <mergeCell ref="B43:C44"/>
    <mergeCell ref="D43:G44"/>
    <mergeCell ref="H43:I44"/>
    <mergeCell ref="B37:C38"/>
    <mergeCell ref="D37:G38"/>
    <mergeCell ref="H37:I38"/>
    <mergeCell ref="B39:C40"/>
    <mergeCell ref="D39:G40"/>
    <mergeCell ref="H39:I40"/>
    <mergeCell ref="C66:D66"/>
    <mergeCell ref="H66:I66"/>
    <mergeCell ref="B28:C28"/>
    <mergeCell ref="M29:N29"/>
    <mergeCell ref="B65:D65"/>
    <mergeCell ref="H34:I34"/>
    <mergeCell ref="D34:G34"/>
    <mergeCell ref="B34:C34"/>
    <mergeCell ref="H45:I46"/>
    <mergeCell ref="D45:G46"/>
    <mergeCell ref="B45:C46"/>
    <mergeCell ref="G65:I65"/>
    <mergeCell ref="D49:G49"/>
    <mergeCell ref="B35:C36"/>
    <mergeCell ref="D35:G36"/>
    <mergeCell ref="H35:I36"/>
    <mergeCell ref="H2:I2"/>
    <mergeCell ref="R2:S2"/>
    <mergeCell ref="O11:S11"/>
    <mergeCell ref="R3:S3"/>
    <mergeCell ref="O9:S9"/>
    <mergeCell ref="O10:S10"/>
    <mergeCell ref="E7:I7"/>
    <mergeCell ref="E9:I9"/>
    <mergeCell ref="E10:I10"/>
    <mergeCell ref="B4:I5"/>
    <mergeCell ref="L4:S5"/>
    <mergeCell ref="O7:S7"/>
    <mergeCell ref="O8:S8"/>
    <mergeCell ref="E11:I11"/>
    <mergeCell ref="E8:G8"/>
    <mergeCell ref="E14:F14"/>
    <mergeCell ref="O14:P14"/>
    <mergeCell ref="L20:M20"/>
    <mergeCell ref="O20:P20"/>
    <mergeCell ref="O12:P12"/>
    <mergeCell ref="E13:F13"/>
    <mergeCell ref="O13:P13"/>
    <mergeCell ref="L16:M17"/>
    <mergeCell ref="N16:N17"/>
    <mergeCell ref="O16:P17"/>
    <mergeCell ref="F17:H17"/>
    <mergeCell ref="F16:H16"/>
    <mergeCell ref="E12:F12"/>
    <mergeCell ref="F20:I20"/>
    <mergeCell ref="Q20:R20"/>
    <mergeCell ref="F19:I19"/>
    <mergeCell ref="Q16:S17"/>
    <mergeCell ref="Q18:S18"/>
    <mergeCell ref="Q19:S19"/>
    <mergeCell ref="L19:M19"/>
    <mergeCell ref="L18:M18"/>
    <mergeCell ref="O18:P18"/>
    <mergeCell ref="O19:P19"/>
    <mergeCell ref="F18:I18"/>
    <mergeCell ref="Q28:S28"/>
    <mergeCell ref="L33:N33"/>
    <mergeCell ref="F28:I28"/>
    <mergeCell ref="L28:N28"/>
    <mergeCell ref="B26:C26"/>
    <mergeCell ref="B27:C27"/>
    <mergeCell ref="R29:S29"/>
    <mergeCell ref="F24:H24"/>
    <mergeCell ref="F21:H21"/>
    <mergeCell ref="F26:I26"/>
    <mergeCell ref="F27:I27"/>
    <mergeCell ref="F22:H22"/>
  </mergeCells>
  <pageMargins left="0.59055118110236227" right="0.59055118110236227" top="0.85069444444444442" bottom="0.74803149606299213" header="0.31496062992125984" footer="0.31496062992125984"/>
  <pageSetup paperSize="14" scale="70" orientation="portrait" r:id="rId1"/>
  <headerFooter>
    <oddHeader xml:space="preserve">&amp;R&amp;"Century Gothic,Bold"&amp;18ANNEX A: 
SAMPLE PACKAGE COMPUTATION
</oddHeader>
  </headerFooter>
  <colBreaks count="1" manualBreakCount="1">
    <brk id="10" max="6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dimension ref="A1:U123"/>
  <sheetViews>
    <sheetView showGridLines="0" showZeros="0" view="pageLayout" topLeftCell="A100" zoomScaleNormal="100" zoomScaleSheetLayoutView="85" workbookViewId="0">
      <selection activeCell="V101" sqref="V101"/>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671">
        <f>'SPOT CASH_30 DAYS'!F16</f>
        <v>3379693.0676632621</v>
      </c>
      <c r="J27" s="1672"/>
      <c r="K27" s="1672"/>
      <c r="L27" s="1672"/>
      <c r="M27" s="1672"/>
      <c r="N27" s="1672"/>
      <c r="O27" s="1672"/>
      <c r="P27" s="1672"/>
      <c r="Q27" s="1672"/>
      <c r="R27" s="1672"/>
      <c r="S27" s="1672"/>
      <c r="T27" s="1672"/>
      <c r="U27" s="1673"/>
    </row>
    <row r="28" spans="1:21" ht="14.1">
      <c r="A28" s="41" t="s">
        <v>912</v>
      </c>
      <c r="B28" s="42"/>
      <c r="C28" s="44"/>
      <c r="D28" s="44"/>
      <c r="E28" s="44"/>
      <c r="F28" s="44"/>
      <c r="G28" s="44"/>
      <c r="H28" s="45"/>
      <c r="I28" s="1514">
        <f>'SPOT CASH_30 DAYS'!F17+'SPOT CASH_30 DAYS'!F18</f>
        <v>168984.65338316312</v>
      </c>
      <c r="J28" s="1515"/>
      <c r="K28" s="1515"/>
      <c r="L28" s="1515"/>
      <c r="M28" s="1515"/>
      <c r="N28" s="1515"/>
      <c r="O28" s="1515"/>
      <c r="P28" s="1515"/>
      <c r="Q28" s="1515"/>
      <c r="R28" s="1515"/>
      <c r="S28" s="1515"/>
      <c r="T28" s="1515"/>
      <c r="U28" s="1516"/>
    </row>
    <row r="29" spans="1:21" ht="14.1">
      <c r="A29" s="51" t="s">
        <v>913</v>
      </c>
      <c r="B29" s="52"/>
      <c r="C29" s="53"/>
      <c r="D29" s="53"/>
      <c r="E29" s="53"/>
      <c r="F29" s="53"/>
      <c r="G29" s="53"/>
      <c r="H29" s="50"/>
      <c r="I29" s="1671">
        <f>'SPOT CASH_30 DAYS'!F19</f>
        <v>3210708.4142800989</v>
      </c>
      <c r="J29" s="1672"/>
      <c r="K29" s="1672"/>
      <c r="L29" s="1672"/>
      <c r="M29" s="1672"/>
      <c r="N29" s="1672"/>
      <c r="O29" s="1672"/>
      <c r="P29" s="1672"/>
      <c r="Q29" s="1672"/>
      <c r="R29" s="1672"/>
      <c r="S29" s="1672"/>
      <c r="T29" s="1672"/>
      <c r="U29" s="1673"/>
    </row>
    <row r="30" spans="1:21" ht="14.1">
      <c r="A30" s="41" t="s">
        <v>914</v>
      </c>
      <c r="B30" s="42"/>
      <c r="C30" s="44"/>
      <c r="D30" s="44"/>
      <c r="E30" s="44"/>
      <c r="F30" s="44"/>
      <c r="G30" s="44"/>
      <c r="H30" s="45"/>
      <c r="I30" s="1671">
        <f>'SPOT CASH_30 DAYS'!F22</f>
        <v>346418.53943548433</v>
      </c>
      <c r="J30" s="1672"/>
      <c r="K30" s="1672"/>
      <c r="L30" s="1672"/>
      <c r="M30" s="1672"/>
      <c r="N30" s="1672"/>
      <c r="O30" s="1672"/>
      <c r="P30" s="1672"/>
      <c r="Q30" s="1672"/>
      <c r="R30" s="1672"/>
      <c r="S30" s="1672"/>
      <c r="T30" s="1672"/>
      <c r="U30" s="1673"/>
    </row>
    <row r="31" spans="1:21" ht="14.1">
      <c r="A31" s="41" t="s">
        <v>915</v>
      </c>
      <c r="B31" s="42"/>
      <c r="C31" s="44"/>
      <c r="D31" s="44"/>
      <c r="E31" s="44"/>
      <c r="F31" s="44"/>
      <c r="G31" s="44"/>
      <c r="H31" s="45"/>
      <c r="I31" s="1671">
        <f>'SPOT CASH_30 DAYS'!F21</f>
        <v>0</v>
      </c>
      <c r="J31" s="1672"/>
      <c r="K31" s="1672"/>
      <c r="L31" s="1672"/>
      <c r="M31" s="1672"/>
      <c r="N31" s="1672"/>
      <c r="O31" s="1672"/>
      <c r="P31" s="1672"/>
      <c r="Q31" s="1672"/>
      <c r="R31" s="1672"/>
      <c r="S31" s="1672"/>
      <c r="T31" s="1672"/>
      <c r="U31" s="1673"/>
    </row>
    <row r="32" spans="1:21" ht="14.1">
      <c r="A32" s="41" t="s">
        <v>77</v>
      </c>
      <c r="B32" s="42"/>
      <c r="C32" s="44"/>
      <c r="D32" s="44"/>
      <c r="E32" s="44"/>
      <c r="F32" s="44"/>
      <c r="G32" s="44"/>
      <c r="H32" s="45"/>
      <c r="I32" s="1671">
        <f>'SPOT CASH_30 DAYS'!F24</f>
        <v>3557126.9537155833</v>
      </c>
      <c r="J32" s="1672"/>
      <c r="K32" s="1672"/>
      <c r="L32" s="1672"/>
      <c r="M32" s="1672"/>
      <c r="N32" s="1672"/>
      <c r="O32" s="1672"/>
      <c r="P32" s="1672"/>
      <c r="Q32" s="1672"/>
      <c r="R32" s="1672"/>
      <c r="S32" s="1672"/>
      <c r="T32" s="1672"/>
      <c r="U32" s="1673"/>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VFDcj5MaYUZAl5wciHvixfCEGNYL6lVl2LPFnO3hnNWSXSiT1Rae6QBdacAtd8vbQGCb4guuEkwGqXpWcictnA==" saltValue="RmEXJ8g7Su/AK88GaNZ3Yg=="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80"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1681"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1682"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1683"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1684"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1685"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1686"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1687"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1688"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1689"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1690"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1691"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1692"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1693"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1694"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1695"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1696"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1697"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1698"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1699"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8">
    <tabColor rgb="FFFF0000"/>
  </sheetPr>
  <dimension ref="A1:BA67"/>
  <sheetViews>
    <sheetView showGridLines="0" showZeros="0" view="pageLayout" topLeftCell="A13" zoomScale="90" zoomScaleNormal="100" zoomScaleSheetLayoutView="80" zoomScalePageLayoutView="90" workbookViewId="0">
      <selection activeCell="F29" sqref="F29"/>
    </sheetView>
  </sheetViews>
  <sheetFormatPr defaultColWidth="9.140625" defaultRowHeight="14.45"/>
  <cols>
    <col min="1" max="1" width="2.140625" customWidth="1"/>
    <col min="2" max="2" width="11.140625" customWidth="1"/>
    <col min="3" max="3" width="20.140625" customWidth="1"/>
    <col min="4" max="4" width="13.140625" style="130" customWidth="1"/>
    <col min="5" max="5" width="14" customWidth="1"/>
    <col min="6" max="6" width="22.5703125" customWidth="1"/>
    <col min="7" max="7" width="3.140625" customWidth="1"/>
    <col min="8" max="8" width="11.140625" customWidth="1"/>
    <col min="9" max="9" width="14.5703125" customWidth="1"/>
    <col min="10" max="10" width="0.85546875" customWidth="1"/>
    <col min="11" max="11" width="0.42578125" customWidth="1"/>
    <col min="13" max="13" width="18.42578125" customWidth="1"/>
    <col min="14" max="14" width="16.140625" style="131" customWidth="1"/>
    <col min="15" max="15" width="8" customWidth="1"/>
    <col min="16" max="16" width="15.42578125" customWidth="1"/>
    <col min="17" max="17" width="16.140625" customWidth="1"/>
    <col min="18" max="18" width="4.85546875" customWidth="1"/>
    <col min="19" max="19" width="22.5703125" customWidth="1"/>
  </cols>
  <sheetData>
    <row r="1" spans="1:53">
      <c r="A1" s="2"/>
      <c r="B1" s="86" t="s">
        <v>783</v>
      </c>
      <c r="C1" s="481">
        <f>FORM!I20</f>
        <v>45901</v>
      </c>
      <c r="D1" s="242"/>
      <c r="F1" s="242"/>
      <c r="G1" s="242"/>
      <c r="H1" s="175" t="s">
        <v>786</v>
      </c>
      <c r="I1" s="241" t="s">
        <v>785</v>
      </c>
      <c r="J1" s="87"/>
      <c r="K1" s="2"/>
      <c r="L1" s="243" t="s">
        <v>783</v>
      </c>
      <c r="M1" s="481">
        <f>C1</f>
        <v>45901</v>
      </c>
      <c r="N1" s="242"/>
      <c r="O1" s="111"/>
      <c r="Q1" s="243" t="s">
        <v>786</v>
      </c>
      <c r="R1" s="1743" t="s">
        <v>787</v>
      </c>
      <c r="S1" s="1743"/>
      <c r="T1" s="2"/>
    </row>
    <row r="2" spans="1:53" s="1" customFormat="1" ht="12.6">
      <c r="A2" s="90"/>
      <c r="B2" s="90"/>
      <c r="C2" s="91"/>
      <c r="D2" s="91"/>
      <c r="E2" s="90"/>
      <c r="F2" s="90"/>
      <c r="G2" s="92"/>
      <c r="H2" s="92"/>
      <c r="I2" s="92"/>
      <c r="J2" s="96"/>
      <c r="K2" s="92"/>
      <c r="L2" s="90"/>
      <c r="M2" s="91"/>
      <c r="N2" s="91"/>
      <c r="O2" s="90"/>
      <c r="P2" s="90"/>
      <c r="Q2" s="90"/>
      <c r="R2" s="1721"/>
      <c r="S2" s="1721"/>
      <c r="T2" s="90"/>
    </row>
    <row r="3" spans="1:53" s="138" customFormat="1" ht="12.75" customHeight="1">
      <c r="A3" s="92"/>
      <c r="B3" s="1415" t="s">
        <v>975</v>
      </c>
      <c r="C3" s="1415"/>
      <c r="D3" s="1415"/>
      <c r="E3" s="1415"/>
      <c r="F3" s="1415"/>
      <c r="G3" s="1415"/>
      <c r="H3" s="1415"/>
      <c r="I3" s="1415"/>
      <c r="J3" s="178"/>
      <c r="K3" s="179"/>
      <c r="L3" s="1415" t="s">
        <v>788</v>
      </c>
      <c r="M3" s="1415"/>
      <c r="N3" s="1415"/>
      <c r="O3" s="1415"/>
      <c r="P3" s="1415"/>
      <c r="Q3" s="1415"/>
      <c r="R3" s="1415"/>
      <c r="S3" s="1415"/>
      <c r="T3" s="90"/>
    </row>
    <row r="4" spans="1:53" s="138" customFormat="1" ht="12.75" customHeight="1">
      <c r="A4" s="92"/>
      <c r="B4" s="1415"/>
      <c r="C4" s="1415"/>
      <c r="D4" s="1415"/>
      <c r="E4" s="1415"/>
      <c r="F4" s="1415"/>
      <c r="G4" s="1415"/>
      <c r="H4" s="1415"/>
      <c r="I4" s="1415"/>
      <c r="J4" s="178"/>
      <c r="K4" s="179"/>
      <c r="L4" s="1415"/>
      <c r="M4" s="1415"/>
      <c r="N4" s="1415"/>
      <c r="O4" s="1415"/>
      <c r="P4" s="1415"/>
      <c r="Q4" s="1415"/>
      <c r="R4" s="1415"/>
      <c r="S4" s="1415"/>
      <c r="T4" s="90"/>
    </row>
    <row r="5" spans="1:53" s="138" customFormat="1" ht="12.75" customHeight="1">
      <c r="A5" s="92"/>
      <c r="B5" s="180"/>
      <c r="C5" s="180"/>
      <c r="D5" s="181"/>
      <c r="E5" s="180"/>
      <c r="F5" s="180"/>
      <c r="G5" s="180"/>
      <c r="H5" s="180"/>
      <c r="I5" s="180"/>
      <c r="J5" s="180"/>
      <c r="K5" s="180"/>
      <c r="L5" s="97"/>
      <c r="M5" s="98"/>
      <c r="N5" s="100"/>
      <c r="O5" s="98"/>
      <c r="P5" s="98"/>
      <c r="Q5" s="98"/>
      <c r="R5" s="98"/>
      <c r="S5" s="100"/>
      <c r="T5" s="90"/>
    </row>
    <row r="6" spans="1:53" s="183" customFormat="1" ht="11.45">
      <c r="A6" s="105"/>
      <c r="B6" s="145" t="s">
        <v>789</v>
      </c>
      <c r="C6" s="103"/>
      <c r="D6" s="297" t="s">
        <v>741</v>
      </c>
      <c r="E6" s="1693">
        <f>FORM!I26</f>
        <v>0</v>
      </c>
      <c r="F6" s="1693"/>
      <c r="G6" s="1693"/>
      <c r="H6" s="1693"/>
      <c r="I6" s="1693"/>
      <c r="J6" s="106"/>
      <c r="K6" s="127"/>
      <c r="L6" s="145" t="s">
        <v>789</v>
      </c>
      <c r="M6" s="117"/>
      <c r="N6" s="297" t="s">
        <v>741</v>
      </c>
      <c r="O6" s="1693">
        <f t="shared" ref="O6:O13" si="0">E6</f>
        <v>0</v>
      </c>
      <c r="P6" s="1693"/>
      <c r="Q6" s="1693"/>
      <c r="R6" s="1693"/>
      <c r="S6" s="1693"/>
      <c r="T6" s="24"/>
      <c r="AM6" s="184"/>
      <c r="AZ6" s="185"/>
      <c r="BA6" s="186"/>
    </row>
    <row r="7" spans="1:53" s="183" customFormat="1" ht="11.45">
      <c r="A7" s="105"/>
      <c r="B7" s="295" t="s">
        <v>740</v>
      </c>
      <c r="C7" s="104"/>
      <c r="D7" s="297" t="s">
        <v>741</v>
      </c>
      <c r="E7" s="1758" t="str">
        <f>FORM!I11</f>
        <v>The Southprime Flats</v>
      </c>
      <c r="F7" s="1759"/>
      <c r="G7" s="300" t="str">
        <f>FORM!I14</f>
        <v>B2</v>
      </c>
      <c r="H7" s="300"/>
      <c r="I7" s="576"/>
      <c r="J7" s="106"/>
      <c r="K7" s="127"/>
      <c r="L7" s="295" t="s">
        <v>740</v>
      </c>
      <c r="M7" s="108"/>
      <c r="N7" s="297" t="s">
        <v>741</v>
      </c>
      <c r="O7" s="1693" t="str">
        <f t="shared" si="0"/>
        <v>The Southprime Flats</v>
      </c>
      <c r="P7" s="1693"/>
      <c r="Q7" s="1693"/>
      <c r="R7" s="1693"/>
      <c r="S7" s="1693"/>
      <c r="T7" s="24"/>
      <c r="AM7" s="184"/>
      <c r="AZ7" s="185"/>
      <c r="BA7" s="186"/>
    </row>
    <row r="8" spans="1:53" s="183" customFormat="1" ht="11.45">
      <c r="A8" s="105"/>
      <c r="B8" s="295" t="s">
        <v>790</v>
      </c>
      <c r="C8" s="104"/>
      <c r="D8" s="297" t="s">
        <v>741</v>
      </c>
      <c r="E8" s="1755" t="str">
        <f>'STANDARD COMP.'!E8</f>
        <v>2L</v>
      </c>
      <c r="F8" s="1756"/>
      <c r="G8" s="1756"/>
      <c r="H8" s="1756"/>
      <c r="I8" s="1757"/>
      <c r="J8" s="106"/>
      <c r="K8" s="127"/>
      <c r="L8" s="295" t="s">
        <v>790</v>
      </c>
      <c r="M8" s="108"/>
      <c r="N8" s="297" t="s">
        <v>741</v>
      </c>
      <c r="O8" s="1693" t="str">
        <f t="shared" si="0"/>
        <v>2L</v>
      </c>
      <c r="P8" s="1693"/>
      <c r="Q8" s="1693"/>
      <c r="R8" s="1693"/>
      <c r="S8" s="1693"/>
      <c r="T8" s="24"/>
      <c r="AM8" s="184"/>
      <c r="AZ8" s="185"/>
      <c r="BA8" s="186"/>
    </row>
    <row r="9" spans="1:53" s="183" customFormat="1" ht="11.45" hidden="1">
      <c r="A9" s="105"/>
      <c r="B9" s="295" t="s">
        <v>791</v>
      </c>
      <c r="C9" s="104"/>
      <c r="D9" s="297" t="s">
        <v>741</v>
      </c>
      <c r="E9" s="1693" t="e">
        <f>FORM!#REF!</f>
        <v>#REF!</v>
      </c>
      <c r="F9" s="1693"/>
      <c r="G9" s="1693"/>
      <c r="H9" s="1693"/>
      <c r="I9" s="1693"/>
      <c r="J9" s="106"/>
      <c r="K9" s="127"/>
      <c r="L9" s="295" t="s">
        <v>791</v>
      </c>
      <c r="M9" s="108"/>
      <c r="N9" s="297" t="s">
        <v>741</v>
      </c>
      <c r="O9" s="1693" t="e">
        <f t="shared" si="0"/>
        <v>#REF!</v>
      </c>
      <c r="P9" s="1693"/>
      <c r="Q9" s="1693"/>
      <c r="R9" s="1693"/>
      <c r="S9" s="1693"/>
      <c r="T9" s="24"/>
      <c r="AM9" s="184"/>
      <c r="AZ9" s="185"/>
      <c r="BA9" s="186"/>
    </row>
    <row r="10" spans="1:53" s="183" customFormat="1" ht="11.45">
      <c r="A10" s="105"/>
      <c r="B10" s="295" t="s">
        <v>792</v>
      </c>
      <c r="C10" s="104"/>
      <c r="D10" s="297" t="s">
        <v>741</v>
      </c>
      <c r="E10" s="1693" t="str">
        <f>'STANDARD COMP.'!E10</f>
        <v>Studio</v>
      </c>
      <c r="F10" s="1693"/>
      <c r="G10" s="1693"/>
      <c r="H10" s="1693"/>
      <c r="I10" s="1693"/>
      <c r="J10" s="106"/>
      <c r="K10" s="127"/>
      <c r="L10" s="295" t="s">
        <v>792</v>
      </c>
      <c r="M10" s="108"/>
      <c r="N10" s="297" t="s">
        <v>741</v>
      </c>
      <c r="O10" s="1693" t="str">
        <f t="shared" si="0"/>
        <v>Studio</v>
      </c>
      <c r="P10" s="1693"/>
      <c r="Q10" s="1693"/>
      <c r="R10" s="1693"/>
      <c r="S10" s="1693"/>
      <c r="T10" s="24"/>
      <c r="AM10" s="184"/>
      <c r="AZ10" s="185"/>
      <c r="BA10" s="186"/>
    </row>
    <row r="11" spans="1:53" s="183" customFormat="1" ht="11.45">
      <c r="A11" s="105"/>
      <c r="B11" s="295" t="s">
        <v>793</v>
      </c>
      <c r="C11" s="104"/>
      <c r="D11" s="297" t="s">
        <v>741</v>
      </c>
      <c r="E11" s="1751">
        <f>'STANDARD COMP.'!E11:F11</f>
        <v>22</v>
      </c>
      <c r="F11" s="1756"/>
      <c r="G11" s="1753" t="s">
        <v>794</v>
      </c>
      <c r="H11" s="1753"/>
      <c r="I11" s="1754"/>
      <c r="J11" s="106"/>
      <c r="K11" s="127"/>
      <c r="L11" s="295" t="s">
        <v>793</v>
      </c>
      <c r="M11" s="108"/>
      <c r="N11" s="297" t="s">
        <v>741</v>
      </c>
      <c r="O11" s="1751">
        <f t="shared" si="0"/>
        <v>22</v>
      </c>
      <c r="P11" s="1752"/>
      <c r="Q11" s="1753" t="s">
        <v>794</v>
      </c>
      <c r="R11" s="1753"/>
      <c r="S11" s="1754"/>
      <c r="T11" s="24"/>
      <c r="AM11" s="184"/>
      <c r="AZ11" s="185"/>
      <c r="BA11" s="186"/>
    </row>
    <row r="12" spans="1:53" s="183" customFormat="1" ht="11.45">
      <c r="A12" s="105"/>
      <c r="B12" s="108" t="s">
        <v>795</v>
      </c>
      <c r="C12" s="104"/>
      <c r="D12" s="297" t="s">
        <v>741</v>
      </c>
      <c r="E12" s="1760">
        <f>'STANDARD COMP.'!E12:F12</f>
        <v>0</v>
      </c>
      <c r="F12" s="1761"/>
      <c r="G12" s="1753" t="s">
        <v>794</v>
      </c>
      <c r="H12" s="1753"/>
      <c r="I12" s="1754"/>
      <c r="J12" s="105"/>
      <c r="K12" s="127"/>
      <c r="L12" s="108" t="s">
        <v>795</v>
      </c>
      <c r="M12" s="108"/>
      <c r="N12" s="297" t="s">
        <v>741</v>
      </c>
      <c r="O12" s="1760">
        <f t="shared" si="0"/>
        <v>0</v>
      </c>
      <c r="P12" s="1761"/>
      <c r="Q12" s="1753" t="s">
        <v>794</v>
      </c>
      <c r="R12" s="1753"/>
      <c r="S12" s="1754"/>
      <c r="T12" s="24"/>
      <c r="AM12" s="184"/>
      <c r="AZ12" s="185"/>
      <c r="BA12" s="186"/>
    </row>
    <row r="13" spans="1:53" s="183" customFormat="1" ht="11.45">
      <c r="A13" s="105"/>
      <c r="B13" s="102" t="s">
        <v>796</v>
      </c>
      <c r="C13" s="110"/>
      <c r="D13" s="297" t="s">
        <v>741</v>
      </c>
      <c r="E13" s="1760">
        <f>'STANDARD COMP.'!E13:F13</f>
        <v>22</v>
      </c>
      <c r="F13" s="1761"/>
      <c r="G13" s="1753" t="s">
        <v>794</v>
      </c>
      <c r="H13" s="1753"/>
      <c r="I13" s="1754"/>
      <c r="J13" s="105" t="s">
        <v>757</v>
      </c>
      <c r="K13" s="127"/>
      <c r="L13" s="102" t="s">
        <v>796</v>
      </c>
      <c r="M13" s="120"/>
      <c r="N13" s="297" t="s">
        <v>741</v>
      </c>
      <c r="O13" s="1760">
        <f t="shared" si="0"/>
        <v>22</v>
      </c>
      <c r="P13" s="1761"/>
      <c r="Q13" s="1753" t="s">
        <v>794</v>
      </c>
      <c r="R13" s="1753"/>
      <c r="S13" s="1754"/>
      <c r="T13" s="24"/>
      <c r="AM13" s="184"/>
      <c r="AZ13" s="185"/>
      <c r="BA13" s="186"/>
    </row>
    <row r="14" spans="1:53">
      <c r="A14" s="124"/>
      <c r="B14" s="105"/>
      <c r="C14" s="105"/>
      <c r="D14" s="297"/>
      <c r="E14" s="105"/>
      <c r="F14" s="105"/>
      <c r="G14" s="105"/>
      <c r="H14" s="105"/>
      <c r="I14" s="105"/>
      <c r="J14" s="124"/>
      <c r="K14" s="124"/>
      <c r="L14" s="124"/>
      <c r="M14" s="124"/>
      <c r="N14" s="200"/>
      <c r="O14" s="124"/>
      <c r="P14" s="124"/>
      <c r="Q14" s="124"/>
      <c r="R14" s="124"/>
      <c r="S14" s="124"/>
      <c r="T14" s="2"/>
    </row>
    <row r="15" spans="1:53">
      <c r="A15" s="124"/>
      <c r="B15" s="296" t="s">
        <v>797</v>
      </c>
      <c r="C15" s="103"/>
      <c r="D15" s="127" t="s">
        <v>741</v>
      </c>
      <c r="E15" s="749">
        <f>'STANDARD COMP.'!E28</f>
        <v>18</v>
      </c>
      <c r="F15" s="1762">
        <f>'STANDARD COMP.'!F15</f>
        <v>3379693.0676632621</v>
      </c>
      <c r="G15" s="1762"/>
      <c r="H15" s="1762"/>
      <c r="I15" s="1762"/>
      <c r="J15" s="205"/>
      <c r="K15" s="205"/>
      <c r="L15" s="1633" t="s">
        <v>798</v>
      </c>
      <c r="M15" s="1633"/>
      <c r="N15" s="1744" t="s">
        <v>709</v>
      </c>
      <c r="O15" s="1633" t="s">
        <v>712</v>
      </c>
      <c r="P15" s="1633"/>
      <c r="Q15" s="1745" t="s">
        <v>458</v>
      </c>
      <c r="R15" s="1746"/>
      <c r="S15" s="1747"/>
      <c r="T15" s="2"/>
    </row>
    <row r="16" spans="1:53" s="209" customFormat="1">
      <c r="A16" s="124"/>
      <c r="B16" s="295" t="s">
        <v>971</v>
      </c>
      <c r="C16" s="108"/>
      <c r="D16" s="297" t="s">
        <v>741</v>
      </c>
      <c r="E16" s="244">
        <f>IF(E15&gt;11,5%,IF(E15&gt;5,2.5%,))</f>
        <v>0.05</v>
      </c>
      <c r="F16" s="1763">
        <f>F15*E16</f>
        <v>168984.65338316312</v>
      </c>
      <c r="G16" s="1763"/>
      <c r="H16" s="1763"/>
      <c r="I16" s="1763"/>
      <c r="J16" s="124"/>
      <c r="K16" s="124"/>
      <c r="L16" s="1633"/>
      <c r="M16" s="1633"/>
      <c r="N16" s="1744"/>
      <c r="O16" s="1633"/>
      <c r="P16" s="1633"/>
      <c r="Q16" s="1748"/>
      <c r="R16" s="1749"/>
      <c r="S16" s="1750"/>
      <c r="T16" s="245"/>
    </row>
    <row r="17" spans="1:20">
      <c r="A17" s="205"/>
      <c r="B17" s="295" t="s">
        <v>799</v>
      </c>
      <c r="C17" s="108"/>
      <c r="D17" s="297" t="s">
        <v>741</v>
      </c>
      <c r="E17" s="244"/>
      <c r="F17" s="1763">
        <f>'STANDARD COMP.'!F16:I16</f>
        <v>0</v>
      </c>
      <c r="G17" s="1763"/>
      <c r="H17" s="1763"/>
      <c r="I17" s="1763"/>
      <c r="J17" s="205"/>
      <c r="K17" s="205"/>
      <c r="L17" s="1693" t="s">
        <v>758</v>
      </c>
      <c r="M17" s="1693"/>
      <c r="N17" s="118">
        <f>C1</f>
        <v>45901</v>
      </c>
      <c r="O17" s="1694">
        <f>F26</f>
        <v>30000</v>
      </c>
      <c r="P17" s="1694"/>
      <c r="Q17" s="1690"/>
      <c r="R17" s="1691"/>
      <c r="S17" s="1692"/>
      <c r="T17" s="2"/>
    </row>
    <row r="18" spans="1:20" s="209" customFormat="1">
      <c r="A18" s="124"/>
      <c r="B18" s="271" t="s">
        <v>913</v>
      </c>
      <c r="C18" s="110"/>
      <c r="D18" s="127" t="s">
        <v>741</v>
      </c>
      <c r="E18" s="246"/>
      <c r="F18" s="1762">
        <f>F15-(F16+F17)</f>
        <v>3210708.4142800989</v>
      </c>
      <c r="G18" s="1762"/>
      <c r="H18" s="1762"/>
      <c r="I18" s="1762"/>
      <c r="J18" s="124"/>
      <c r="K18" s="124"/>
      <c r="L18" s="1693" t="s">
        <v>972</v>
      </c>
      <c r="M18" s="1693"/>
      <c r="N18" s="118">
        <f>N17+60</f>
        <v>45961</v>
      </c>
      <c r="O18" s="1694">
        <f>F27</f>
        <v>3889470.4040684551</v>
      </c>
      <c r="P18" s="1694"/>
      <c r="Q18" s="1690"/>
      <c r="R18" s="1691"/>
      <c r="S18" s="1692"/>
      <c r="T18" s="245"/>
    </row>
    <row r="19" spans="1:20">
      <c r="A19" s="124"/>
      <c r="B19" s="115"/>
      <c r="C19" s="105"/>
      <c r="D19" s="297"/>
      <c r="E19" s="564">
        <v>70000</v>
      </c>
      <c r="F19" s="501">
        <f>E20*F18</f>
        <v>385285.00971361186</v>
      </c>
      <c r="G19" s="116"/>
      <c r="H19" s="116"/>
      <c r="I19" s="105"/>
      <c r="J19" s="124"/>
      <c r="K19" s="124"/>
      <c r="L19" s="127"/>
      <c r="M19" s="127"/>
      <c r="N19" s="171"/>
      <c r="O19" s="254"/>
      <c r="P19" s="254"/>
      <c r="Q19" s="255"/>
      <c r="R19" s="106"/>
      <c r="S19" s="106"/>
      <c r="T19" s="2"/>
    </row>
    <row r="20" spans="1:20">
      <c r="A20" s="124"/>
      <c r="B20" s="108" t="s">
        <v>803</v>
      </c>
      <c r="C20" s="108"/>
      <c r="D20" s="297" t="s">
        <v>741</v>
      </c>
      <c r="E20" s="247">
        <v>0.12</v>
      </c>
      <c r="F20" s="1740">
        <f>IF(F18&lt;='INTERNAL PRICELIST'!S2,"",E20*F18)</f>
        <v>385285.00971361186</v>
      </c>
      <c r="G20" s="1740"/>
      <c r="H20" s="1740"/>
      <c r="I20" s="1740"/>
      <c r="J20" s="124"/>
      <c r="K20" s="124"/>
      <c r="L20" s="127"/>
      <c r="M20" s="127"/>
      <c r="N20" s="171"/>
      <c r="O20" s="254"/>
      <c r="P20" s="254"/>
      <c r="Q20" s="255"/>
      <c r="R20" s="106"/>
      <c r="S20" s="106"/>
      <c r="T20" s="2"/>
    </row>
    <row r="21" spans="1:20">
      <c r="A21" s="124"/>
      <c r="B21" s="102" t="s">
        <v>806</v>
      </c>
      <c r="C21" s="120"/>
      <c r="D21" s="297" t="s">
        <v>741</v>
      </c>
      <c r="E21" s="565">
        <v>7.4999999999999997E-2</v>
      </c>
      <c r="F21" s="1740">
        <f>E21*F15+E19</f>
        <v>323476.98007474467</v>
      </c>
      <c r="G21" s="1740"/>
      <c r="H21" s="1740"/>
      <c r="I21" s="1740"/>
      <c r="J21" s="124"/>
      <c r="K21" s="124"/>
      <c r="L21" s="127"/>
      <c r="M21" s="127"/>
      <c r="N21" s="171"/>
      <c r="O21" s="254"/>
      <c r="P21" s="254"/>
      <c r="Q21" s="255"/>
      <c r="R21" s="106"/>
      <c r="S21" s="106"/>
      <c r="T21" s="2"/>
    </row>
    <row r="22" spans="1:20">
      <c r="A22" s="205"/>
      <c r="B22" s="115"/>
      <c r="C22" s="105"/>
      <c r="D22" s="297"/>
      <c r="E22" s="297"/>
      <c r="F22" s="116"/>
      <c r="G22" s="116"/>
      <c r="H22" s="116"/>
      <c r="I22" s="105"/>
      <c r="J22" s="124"/>
      <c r="K22" s="124"/>
      <c r="L22" s="127"/>
      <c r="M22" s="127"/>
      <c r="N22" s="171"/>
      <c r="O22" s="254"/>
      <c r="P22" s="254"/>
      <c r="Q22" s="255"/>
      <c r="R22" s="106"/>
      <c r="S22" s="106"/>
      <c r="T22" s="2"/>
    </row>
    <row r="23" spans="1:20">
      <c r="A23" s="124"/>
      <c r="B23" s="271" t="s">
        <v>810</v>
      </c>
      <c r="C23" s="110"/>
      <c r="D23" s="127" t="s">
        <v>741</v>
      </c>
      <c r="E23" s="248"/>
      <c r="F23" s="1738">
        <f>SUM(F20,F21,F18)</f>
        <v>3919470.4040684551</v>
      </c>
      <c r="G23" s="1738"/>
      <c r="H23" s="1738"/>
      <c r="I23" s="1738"/>
      <c r="J23" s="205"/>
      <c r="K23" s="205"/>
      <c r="L23" s="128"/>
      <c r="M23" s="105"/>
      <c r="N23" s="256"/>
      <c r="O23" s="105"/>
      <c r="P23" s="105"/>
      <c r="Q23" s="105"/>
      <c r="R23" s="105"/>
      <c r="S23" s="105"/>
      <c r="T23" s="2"/>
    </row>
    <row r="24" spans="1:20" s="209" customFormat="1">
      <c r="A24" s="124"/>
      <c r="B24" s="115"/>
      <c r="C24" s="105"/>
      <c r="D24" s="297"/>
      <c r="E24" s="297"/>
      <c r="F24" s="116"/>
      <c r="G24" s="116"/>
      <c r="H24" s="116"/>
      <c r="I24" s="105"/>
      <c r="J24" s="124"/>
      <c r="K24" s="124"/>
      <c r="L24" s="128"/>
      <c r="M24" s="105"/>
      <c r="N24" s="256"/>
      <c r="O24" s="105"/>
      <c r="P24" s="105"/>
      <c r="Q24" s="105"/>
      <c r="R24" s="105"/>
      <c r="S24" s="105"/>
      <c r="T24" s="245"/>
    </row>
    <row r="25" spans="1:20">
      <c r="A25" s="205"/>
      <c r="B25" s="1683" t="s">
        <v>972</v>
      </c>
      <c r="C25" s="1683"/>
      <c r="D25" s="297" t="s">
        <v>741</v>
      </c>
      <c r="E25" s="291">
        <v>1</v>
      </c>
      <c r="F25" s="1738">
        <f>E25*F23</f>
        <v>3919470.4040684551</v>
      </c>
      <c r="G25" s="1738"/>
      <c r="H25" s="1738"/>
      <c r="I25" s="1738"/>
      <c r="J25" s="124"/>
      <c r="K25" s="124"/>
      <c r="L25" s="106" t="s">
        <v>869</v>
      </c>
      <c r="M25" s="106"/>
      <c r="N25" s="127"/>
      <c r="O25" s="106"/>
      <c r="P25" s="150"/>
      <c r="Q25" s="106" t="s">
        <v>870</v>
      </c>
      <c r="R25" s="105"/>
      <c r="S25" s="105"/>
      <c r="T25" s="2"/>
    </row>
    <row r="26" spans="1:20" s="209" customFormat="1">
      <c r="A26" s="124"/>
      <c r="B26" s="1588" t="s">
        <v>973</v>
      </c>
      <c r="C26" s="1588"/>
      <c r="D26" s="127" t="s">
        <v>741</v>
      </c>
      <c r="E26" s="248"/>
      <c r="F26" s="1740">
        <f>'STANDARD COMP.'!F25</f>
        <v>30000</v>
      </c>
      <c r="G26" s="1740"/>
      <c r="H26" s="1740"/>
      <c r="I26" s="1740"/>
      <c r="J26" s="205"/>
      <c r="K26" s="205"/>
      <c r="L26" s="105"/>
      <c r="M26" s="105"/>
      <c r="N26" s="297"/>
      <c r="O26" s="105"/>
      <c r="P26" s="105"/>
      <c r="Q26" s="105"/>
      <c r="R26" s="105"/>
      <c r="S26" s="105"/>
      <c r="T26" s="245"/>
    </row>
    <row r="27" spans="1:20" s="209" customFormat="1">
      <c r="A27" s="205"/>
      <c r="B27" s="1736" t="s">
        <v>974</v>
      </c>
      <c r="C27" s="1736"/>
      <c r="D27" s="297" t="s">
        <v>741</v>
      </c>
      <c r="E27" s="294"/>
      <c r="F27" s="1738">
        <f>F25-F26</f>
        <v>3889470.4040684551</v>
      </c>
      <c r="G27" s="1738"/>
      <c r="H27" s="1738"/>
      <c r="I27" s="1738"/>
      <c r="J27" s="205"/>
      <c r="K27" s="205"/>
      <c r="L27" s="105"/>
      <c r="M27" s="105"/>
      <c r="N27" s="297"/>
      <c r="O27" s="105"/>
      <c r="P27" s="105"/>
      <c r="Q27" s="105"/>
      <c r="R27" s="105"/>
      <c r="S27" s="105"/>
      <c r="T27" s="245"/>
    </row>
    <row r="28" spans="1:20">
      <c r="A28" s="124"/>
      <c r="B28" s="289"/>
      <c r="C28" s="289"/>
      <c r="D28" s="297" t="s">
        <v>741</v>
      </c>
      <c r="E28" s="297"/>
      <c r="F28" s="292"/>
      <c r="G28" s="292"/>
      <c r="H28" s="292"/>
      <c r="I28" s="292"/>
      <c r="J28" s="124"/>
      <c r="K28" s="124"/>
      <c r="L28" s="1739">
        <f>FORM!I28</f>
        <v>0</v>
      </c>
      <c r="M28" s="1739"/>
      <c r="N28" s="1739"/>
      <c r="O28" s="106"/>
      <c r="P28" s="106"/>
      <c r="Q28" s="1739">
        <f>FORM!I26</f>
        <v>0</v>
      </c>
      <c r="R28" s="1739"/>
      <c r="S28" s="1739"/>
      <c r="T28" s="2"/>
    </row>
    <row r="29" spans="1:20">
      <c r="A29" s="124"/>
      <c r="B29" s="290"/>
      <c r="C29" s="112"/>
      <c r="D29" s="197"/>
      <c r="E29" s="112"/>
      <c r="F29" s="112"/>
      <c r="G29" s="112"/>
      <c r="H29" s="112"/>
      <c r="I29" s="112"/>
      <c r="J29" s="124"/>
      <c r="K29" s="124"/>
      <c r="L29" s="300" t="s">
        <v>953</v>
      </c>
      <c r="M29" s="1741"/>
      <c r="N29" s="1742"/>
      <c r="O29" s="105"/>
      <c r="P29" s="105"/>
      <c r="Q29" s="129" t="s">
        <v>871</v>
      </c>
      <c r="R29" s="1741"/>
      <c r="S29" s="1742"/>
      <c r="T29" s="2"/>
    </row>
    <row r="30" spans="1:20" s="209" customFormat="1">
      <c r="A30" s="124"/>
      <c r="B30" s="250"/>
      <c r="C30" s="153"/>
      <c r="D30" s="251"/>
      <c r="E30" s="169"/>
      <c r="F30" s="153"/>
      <c r="G30" s="153"/>
      <c r="H30" s="1737"/>
      <c r="I30" s="1737"/>
      <c r="J30" s="205"/>
      <c r="K30" s="205"/>
      <c r="L30" s="111"/>
      <c r="M30" s="111"/>
      <c r="N30" s="111"/>
      <c r="O30" s="111"/>
      <c r="P30" s="111"/>
      <c r="Q30" s="111"/>
      <c r="R30" s="111"/>
      <c r="S30" s="111"/>
      <c r="T30" s="245"/>
    </row>
    <row r="31" spans="1:20">
      <c r="A31" s="124"/>
      <c r="B31" s="122" t="s">
        <v>864</v>
      </c>
      <c r="C31" s="252"/>
      <c r="D31" s="114"/>
      <c r="E31" s="114"/>
      <c r="F31" s="114"/>
      <c r="G31" s="114"/>
      <c r="H31" s="114"/>
      <c r="I31" s="253"/>
      <c r="J31" s="124"/>
      <c r="K31" s="124"/>
      <c r="M31" s="131"/>
      <c r="T31" s="2"/>
    </row>
    <row r="32" spans="1:20">
      <c r="A32" s="124"/>
      <c r="B32" s="114"/>
      <c r="C32" s="114"/>
      <c r="D32" s="114"/>
      <c r="E32" s="114"/>
      <c r="F32" s="114"/>
      <c r="G32" s="114"/>
      <c r="H32" s="114"/>
      <c r="I32" s="114"/>
      <c r="J32" s="124"/>
      <c r="K32" s="124"/>
      <c r="M32" s="131"/>
      <c r="T32" s="2"/>
    </row>
    <row r="33" spans="1:20">
      <c r="A33" s="124"/>
      <c r="B33" s="1633" t="s">
        <v>753</v>
      </c>
      <c r="C33" s="1633"/>
      <c r="D33" s="1633" t="s">
        <v>754</v>
      </c>
      <c r="E33" s="1633"/>
      <c r="F33" s="1633"/>
      <c r="G33" s="1633" t="s">
        <v>868</v>
      </c>
      <c r="H33" s="1633"/>
      <c r="I33" s="1633"/>
      <c r="J33" s="124"/>
      <c r="K33" s="124"/>
      <c r="M33" s="131"/>
      <c r="T33" s="2"/>
    </row>
    <row r="34" spans="1:20">
      <c r="A34" s="124"/>
      <c r="B34" s="1728">
        <f>FORM!O19</f>
        <v>0</v>
      </c>
      <c r="C34" s="1730"/>
      <c r="D34" s="1728">
        <f>FORM!S19</f>
        <v>0</v>
      </c>
      <c r="E34" s="1729"/>
      <c r="F34" s="1730"/>
      <c r="G34" s="1623">
        <f>FORM!V19</f>
        <v>0</v>
      </c>
      <c r="H34" s="1734"/>
      <c r="I34" s="1624"/>
      <c r="J34" s="124"/>
      <c r="K34" s="124"/>
      <c r="M34" s="131"/>
      <c r="T34" s="2"/>
    </row>
    <row r="35" spans="1:20">
      <c r="A35" s="124"/>
      <c r="B35" s="1731"/>
      <c r="C35" s="1733"/>
      <c r="D35" s="1731"/>
      <c r="E35" s="1732"/>
      <c r="F35" s="1733"/>
      <c r="G35" s="1625"/>
      <c r="H35" s="1735"/>
      <c r="I35" s="1626"/>
      <c r="J35" s="124"/>
      <c r="K35" s="124"/>
      <c r="M35" s="131"/>
      <c r="T35" s="2"/>
    </row>
    <row r="36" spans="1:20">
      <c r="A36" s="124"/>
      <c r="B36" s="1728">
        <f>FORM!O21</f>
        <v>0</v>
      </c>
      <c r="C36" s="1730"/>
      <c r="D36" s="1728">
        <f>FORM!S21</f>
        <v>0</v>
      </c>
      <c r="E36" s="1729"/>
      <c r="F36" s="1730"/>
      <c r="G36" s="1623">
        <f>FORM!V21</f>
        <v>0</v>
      </c>
      <c r="H36" s="1734"/>
      <c r="I36" s="1624"/>
      <c r="J36" s="124"/>
      <c r="K36" s="124"/>
      <c r="M36" s="131"/>
      <c r="T36" s="2"/>
    </row>
    <row r="37" spans="1:20">
      <c r="A37" s="124"/>
      <c r="B37" s="1731"/>
      <c r="C37" s="1733"/>
      <c r="D37" s="1731"/>
      <c r="E37" s="1732"/>
      <c r="F37" s="1733"/>
      <c r="G37" s="1625"/>
      <c r="H37" s="1735"/>
      <c r="I37" s="1626"/>
      <c r="J37" s="124"/>
      <c r="K37" s="124"/>
      <c r="T37" s="2"/>
    </row>
    <row r="38" spans="1:20" ht="16.5" customHeight="1">
      <c r="A38" s="124"/>
      <c r="B38" s="1728">
        <f>FORM!O25</f>
        <v>0</v>
      </c>
      <c r="C38" s="1730"/>
      <c r="D38" s="1728">
        <f>FORM!S25</f>
        <v>0</v>
      </c>
      <c r="E38" s="1729"/>
      <c r="F38" s="1730"/>
      <c r="G38" s="1623">
        <f>FORM!V25</f>
        <v>0</v>
      </c>
      <c r="H38" s="1734"/>
      <c r="I38" s="1624"/>
      <c r="J38" s="124"/>
      <c r="K38" s="124"/>
      <c r="T38" s="2"/>
    </row>
    <row r="39" spans="1:20">
      <c r="A39" s="124"/>
      <c r="B39" s="1731"/>
      <c r="C39" s="1733"/>
      <c r="D39" s="1731"/>
      <c r="E39" s="1732"/>
      <c r="F39" s="1733"/>
      <c r="G39" s="1625"/>
      <c r="H39" s="1735"/>
      <c r="I39" s="1626"/>
      <c r="J39" s="124"/>
      <c r="K39" s="124"/>
      <c r="T39" s="2"/>
    </row>
    <row r="40" spans="1:20" ht="16.5" customHeight="1">
      <c r="A40" s="124"/>
      <c r="B40" s="1728">
        <f>FORM!O27</f>
        <v>0</v>
      </c>
      <c r="C40" s="1730"/>
      <c r="D40" s="1728">
        <f>FORM!S27</f>
        <v>0</v>
      </c>
      <c r="E40" s="1729"/>
      <c r="F40" s="1730"/>
      <c r="G40" s="1623">
        <f>FORM!V27</f>
        <v>0</v>
      </c>
      <c r="H40" s="1734"/>
      <c r="I40" s="1624"/>
      <c r="J40" s="124"/>
      <c r="K40" s="124"/>
      <c r="T40" s="2"/>
    </row>
    <row r="41" spans="1:20">
      <c r="A41" s="124"/>
      <c r="B41" s="1731"/>
      <c r="C41" s="1733"/>
      <c r="D41" s="1731"/>
      <c r="E41" s="1732"/>
      <c r="F41" s="1733"/>
      <c r="G41" s="1625"/>
      <c r="H41" s="1735"/>
      <c r="I41" s="1626"/>
      <c r="J41" s="124"/>
      <c r="K41" s="124"/>
      <c r="T41" s="2"/>
    </row>
    <row r="42" spans="1:20" ht="12.75" customHeight="1">
      <c r="A42" s="124"/>
      <c r="B42" s="1728">
        <f>FORM!O31</f>
        <v>0</v>
      </c>
      <c r="C42" s="1730"/>
      <c r="D42" s="1728">
        <f>FORM!S31</f>
        <v>0</v>
      </c>
      <c r="E42" s="1729"/>
      <c r="F42" s="1730"/>
      <c r="G42" s="1623">
        <f>FORM!V31</f>
        <v>0</v>
      </c>
      <c r="H42" s="1734"/>
      <c r="I42" s="1624"/>
      <c r="J42" s="124"/>
      <c r="K42" s="124"/>
      <c r="T42" s="2"/>
    </row>
    <row r="43" spans="1:20" ht="15" customHeight="1">
      <c r="A43" s="124"/>
      <c r="B43" s="1731"/>
      <c r="C43" s="1733"/>
      <c r="D43" s="1731"/>
      <c r="E43" s="1732"/>
      <c r="F43" s="1733"/>
      <c r="G43" s="1625"/>
      <c r="H43" s="1735"/>
      <c r="I43" s="1626"/>
      <c r="J43" s="124"/>
      <c r="K43" s="124"/>
      <c r="T43" s="2"/>
    </row>
    <row r="44" spans="1:20" ht="12.75" customHeight="1">
      <c r="A44" s="124"/>
      <c r="B44" s="1728">
        <f>FORM!O33</f>
        <v>0</v>
      </c>
      <c r="C44" s="1730"/>
      <c r="D44" s="1728">
        <f>FORM!S33</f>
        <v>0</v>
      </c>
      <c r="E44" s="1729"/>
      <c r="F44" s="1730"/>
      <c r="G44" s="1623">
        <f>FORM!V33</f>
        <v>0</v>
      </c>
      <c r="H44" s="1734"/>
      <c r="I44" s="1624"/>
      <c r="J44" s="205"/>
      <c r="K44" s="205"/>
      <c r="T44" s="2"/>
    </row>
    <row r="45" spans="1:20" ht="12.75" customHeight="1">
      <c r="A45" s="124"/>
      <c r="B45" s="1731"/>
      <c r="C45" s="1733"/>
      <c r="D45" s="1731"/>
      <c r="E45" s="1732"/>
      <c r="F45" s="1733"/>
      <c r="G45" s="1625"/>
      <c r="H45" s="1735"/>
      <c r="I45" s="1626"/>
      <c r="J45" s="205"/>
      <c r="K45" s="205"/>
      <c r="T45" s="2"/>
    </row>
    <row r="46" spans="1:20" ht="12.75" customHeight="1">
      <c r="A46" s="124"/>
      <c r="J46" s="205"/>
      <c r="K46" s="205"/>
      <c r="T46" s="2"/>
    </row>
    <row r="47" spans="1:20" ht="12.75" customHeight="1">
      <c r="A47" s="124"/>
      <c r="B47" s="125"/>
      <c r="C47" s="125" t="s">
        <v>954</v>
      </c>
      <c r="D47" s="1547"/>
      <c r="E47" s="1547"/>
      <c r="F47" s="1547"/>
      <c r="G47" s="205"/>
      <c r="H47" s="205"/>
      <c r="I47" s="205"/>
      <c r="J47" s="205"/>
      <c r="K47" s="205"/>
      <c r="T47" s="2"/>
    </row>
    <row r="48" spans="1:20" ht="12.75" customHeight="1">
      <c r="A48" s="124"/>
      <c r="B48" s="205"/>
      <c r="C48" s="205"/>
      <c r="D48" s="205"/>
      <c r="E48" s="205"/>
      <c r="F48" s="205"/>
      <c r="G48" s="205"/>
      <c r="H48" s="205"/>
      <c r="I48" s="205"/>
      <c r="J48" s="205"/>
      <c r="K48" s="205"/>
      <c r="T48" s="2"/>
    </row>
    <row r="49" spans="1:20" ht="12.75" customHeight="1">
      <c r="A49" s="124"/>
      <c r="G49" s="205"/>
      <c r="H49" s="205"/>
      <c r="I49" s="205"/>
      <c r="J49" s="205"/>
      <c r="K49" s="205"/>
      <c r="T49" s="2"/>
    </row>
    <row r="50" spans="1:20" ht="12.75" customHeight="1">
      <c r="A50" s="124"/>
      <c r="B50" s="124"/>
      <c r="C50" s="124"/>
      <c r="D50" s="234"/>
      <c r="E50" s="124"/>
      <c r="F50" s="124"/>
      <c r="G50" s="124"/>
      <c r="H50" s="124"/>
      <c r="I50" s="124"/>
      <c r="J50" s="205"/>
      <c r="K50" s="205"/>
      <c r="T50" s="2"/>
    </row>
    <row r="51" spans="1:20">
      <c r="A51" s="2"/>
      <c r="B51" s="106" t="s">
        <v>869</v>
      </c>
      <c r="C51" s="106"/>
      <c r="D51" s="127"/>
      <c r="E51" s="106"/>
      <c r="F51" s="106" t="s">
        <v>870</v>
      </c>
      <c r="G51" s="106"/>
      <c r="H51" s="105"/>
      <c r="I51" s="105"/>
      <c r="J51" s="124"/>
      <c r="K51" s="205"/>
      <c r="T51" s="2"/>
    </row>
    <row r="52" spans="1:20">
      <c r="A52" s="2"/>
      <c r="B52" s="105"/>
      <c r="C52" s="105"/>
      <c r="D52" s="297"/>
      <c r="E52" s="105"/>
      <c r="F52" s="105"/>
      <c r="G52" s="105"/>
      <c r="H52" s="105"/>
      <c r="I52" s="105"/>
      <c r="J52" s="124"/>
      <c r="K52" s="205"/>
      <c r="T52" s="2"/>
    </row>
    <row r="53" spans="1:20">
      <c r="A53" s="2"/>
      <c r="B53" s="105"/>
      <c r="C53" s="105"/>
      <c r="D53" s="297"/>
      <c r="E53" s="105"/>
      <c r="F53" s="105"/>
      <c r="G53" s="105"/>
      <c r="H53" s="105"/>
      <c r="I53" s="105"/>
      <c r="J53" s="124"/>
      <c r="K53" s="205"/>
      <c r="T53" s="2"/>
    </row>
    <row r="54" spans="1:20">
      <c r="B54" s="1739">
        <f>FORM!I28</f>
        <v>0</v>
      </c>
      <c r="C54" s="1739"/>
      <c r="D54" s="1739"/>
      <c r="E54" s="106"/>
      <c r="F54" s="106"/>
      <c r="G54" s="1739">
        <f>FORM!I26</f>
        <v>0</v>
      </c>
      <c r="H54" s="1739"/>
      <c r="I54" s="1739"/>
      <c r="J54" s="124"/>
      <c r="K54" s="205"/>
      <c r="T54" s="2"/>
    </row>
    <row r="55" spans="1:20">
      <c r="A55" s="239">
        <f>F18*E20</f>
        <v>385285.00971361186</v>
      </c>
      <c r="B55" s="300" t="s">
        <v>953</v>
      </c>
      <c r="C55" s="1741"/>
      <c r="D55" s="1742"/>
      <c r="E55" s="105"/>
      <c r="F55" s="105"/>
      <c r="G55" s="1742" t="s">
        <v>953</v>
      </c>
      <c r="H55" s="1742"/>
      <c r="I55" s="1742"/>
      <c r="J55" s="124"/>
      <c r="K55" s="2"/>
      <c r="T55" s="2"/>
    </row>
    <row r="56" spans="1:20">
      <c r="B56" s="105"/>
      <c r="C56" s="105"/>
      <c r="D56" s="297"/>
      <c r="E56" s="105"/>
      <c r="F56" s="105"/>
      <c r="G56" s="105"/>
      <c r="H56" s="105"/>
      <c r="I56" s="105"/>
      <c r="J56" s="124"/>
      <c r="K56" s="2"/>
      <c r="T56" s="2"/>
    </row>
    <row r="57" spans="1:20">
      <c r="A57" s="477">
        <f>F18*12%</f>
        <v>385285.00971361186</v>
      </c>
      <c r="B57" s="124"/>
      <c r="C57" s="124"/>
      <c r="D57" s="234"/>
      <c r="E57" s="124"/>
      <c r="F57" s="124"/>
      <c r="G57" s="124"/>
      <c r="H57" s="124"/>
      <c r="I57" s="124"/>
      <c r="J57" s="124"/>
      <c r="K57" s="2"/>
      <c r="T57" s="2"/>
    </row>
    <row r="58" spans="1:20">
      <c r="B58" s="124"/>
      <c r="C58" s="124"/>
      <c r="D58" s="234"/>
      <c r="E58" s="124"/>
      <c r="F58" s="124"/>
      <c r="G58" s="124"/>
      <c r="H58" s="124"/>
      <c r="I58" s="124"/>
      <c r="J58" s="124"/>
      <c r="K58" s="2"/>
      <c r="T58" s="2"/>
    </row>
    <row r="59" spans="1:20">
      <c r="B59" s="2"/>
      <c r="C59" s="2"/>
      <c r="D59" s="85"/>
      <c r="E59" s="2"/>
      <c r="F59" s="2"/>
      <c r="G59" s="2"/>
      <c r="H59" s="2"/>
      <c r="I59" s="2"/>
      <c r="J59" s="2"/>
      <c r="K59" s="2"/>
      <c r="T59" s="2"/>
    </row>
    <row r="60" spans="1:20">
      <c r="B60" s="2"/>
      <c r="C60" s="2"/>
      <c r="D60" s="85"/>
      <c r="E60" s="2"/>
      <c r="F60" s="2"/>
      <c r="G60" s="2"/>
      <c r="H60" s="2"/>
      <c r="I60" s="2"/>
      <c r="J60" s="2"/>
      <c r="K60" s="2"/>
      <c r="T60" s="2"/>
    </row>
    <row r="61" spans="1:20">
      <c r="B61" s="2"/>
      <c r="C61" s="2"/>
      <c r="D61" s="85"/>
      <c r="E61" s="2"/>
      <c r="F61" s="2"/>
      <c r="G61" s="2"/>
      <c r="H61" s="2"/>
      <c r="I61" s="2"/>
      <c r="J61" s="2"/>
      <c r="K61" s="2"/>
    </row>
    <row r="62" spans="1:20">
      <c r="K62" s="2"/>
    </row>
    <row r="63" spans="1:20">
      <c r="K63" s="2"/>
    </row>
    <row r="64" spans="1:20">
      <c r="K64" s="2"/>
    </row>
    <row r="65" spans="11:11">
      <c r="K65" s="2"/>
    </row>
    <row r="66" spans="11:11">
      <c r="K66" s="2"/>
    </row>
    <row r="67" spans="11:11">
      <c r="K67" s="2"/>
    </row>
  </sheetData>
  <sheetProtection sheet="1" formatCells="0" formatColumns="0" formatRows="0"/>
  <mergeCells count="80">
    <mergeCell ref="D44:F45"/>
    <mergeCell ref="B44:C45"/>
    <mergeCell ref="G55:I55"/>
    <mergeCell ref="D47:F47"/>
    <mergeCell ref="D40:F41"/>
    <mergeCell ref="G40:I41"/>
    <mergeCell ref="B40:C41"/>
    <mergeCell ref="B42:C43"/>
    <mergeCell ref="D42:F43"/>
    <mergeCell ref="G42:I43"/>
    <mergeCell ref="G44:I45"/>
    <mergeCell ref="C55:D55"/>
    <mergeCell ref="B54:D54"/>
    <mergeCell ref="G54:I54"/>
    <mergeCell ref="B36:C37"/>
    <mergeCell ref="D36:F37"/>
    <mergeCell ref="G36:I37"/>
    <mergeCell ref="B38:C39"/>
    <mergeCell ref="D38:F39"/>
    <mergeCell ref="G38:I39"/>
    <mergeCell ref="F21:I21"/>
    <mergeCell ref="F17:I17"/>
    <mergeCell ref="L18:M18"/>
    <mergeCell ref="F18:I18"/>
    <mergeCell ref="F20:I20"/>
    <mergeCell ref="E13:F13"/>
    <mergeCell ref="F15:I15"/>
    <mergeCell ref="F16:I16"/>
    <mergeCell ref="O15:P16"/>
    <mergeCell ref="E10:I10"/>
    <mergeCell ref="O10:S10"/>
    <mergeCell ref="E11:F11"/>
    <mergeCell ref="E12:F12"/>
    <mergeCell ref="G12:I12"/>
    <mergeCell ref="O12:P12"/>
    <mergeCell ref="Q12:S12"/>
    <mergeCell ref="G13:I13"/>
    <mergeCell ref="G11:I11"/>
    <mergeCell ref="O13:P13"/>
    <mergeCell ref="Q13:S13"/>
    <mergeCell ref="E6:I6"/>
    <mergeCell ref="O6:S6"/>
    <mergeCell ref="B3:I4"/>
    <mergeCell ref="O11:P11"/>
    <mergeCell ref="Q11:S11"/>
    <mergeCell ref="O7:S7"/>
    <mergeCell ref="E8:I8"/>
    <mergeCell ref="O8:S8"/>
    <mergeCell ref="E9:I9"/>
    <mergeCell ref="O9:S9"/>
    <mergeCell ref="E7:F7"/>
    <mergeCell ref="M29:N29"/>
    <mergeCell ref="R29:S29"/>
    <mergeCell ref="R1:S1"/>
    <mergeCell ref="R2:S2"/>
    <mergeCell ref="L3:S4"/>
    <mergeCell ref="L15:M16"/>
    <mergeCell ref="N15:N16"/>
    <mergeCell ref="Q15:S16"/>
    <mergeCell ref="O17:P17"/>
    <mergeCell ref="O18:P18"/>
    <mergeCell ref="L17:M17"/>
    <mergeCell ref="Q17:S17"/>
    <mergeCell ref="Q18:S18"/>
    <mergeCell ref="F23:I23"/>
    <mergeCell ref="L28:N28"/>
    <mergeCell ref="Q28:S28"/>
    <mergeCell ref="F25:I25"/>
    <mergeCell ref="F26:I26"/>
    <mergeCell ref="F27:I27"/>
    <mergeCell ref="B34:C35"/>
    <mergeCell ref="D34:F35"/>
    <mergeCell ref="G34:I35"/>
    <mergeCell ref="B25:C25"/>
    <mergeCell ref="B26:C26"/>
    <mergeCell ref="B27:C27"/>
    <mergeCell ref="G33:I33"/>
    <mergeCell ref="D33:F33"/>
    <mergeCell ref="H30:I30"/>
    <mergeCell ref="B33:C33"/>
  </mergeCells>
  <pageMargins left="0.59055118110236227" right="0.59055118110236227" top="0.89212962962962961"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60" max="18" man="1"/>
  </rowBreaks>
  <colBreaks count="1" manualBreakCount="1">
    <brk id="9" max="5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dimension ref="A1:BA67"/>
  <sheetViews>
    <sheetView showGridLines="0" showZeros="0" view="pageLayout" topLeftCell="A4" zoomScale="90" zoomScaleNormal="100" zoomScaleSheetLayoutView="80" zoomScalePageLayoutView="90" workbookViewId="0">
      <selection activeCell="F20" sqref="F20:I20"/>
    </sheetView>
  </sheetViews>
  <sheetFormatPr defaultColWidth="9.140625" defaultRowHeight="14.45"/>
  <cols>
    <col min="1" max="1" width="2.140625" customWidth="1"/>
    <col min="2" max="2" width="11.140625" customWidth="1"/>
    <col min="3" max="3" width="20.140625" customWidth="1"/>
    <col min="4" max="4" width="13.140625" style="130" customWidth="1"/>
    <col min="5" max="5" width="14" customWidth="1"/>
    <col min="6" max="6" width="22.5703125" customWidth="1"/>
    <col min="7" max="7" width="3.140625" customWidth="1"/>
    <col min="8" max="8" width="11.140625" customWidth="1"/>
    <col min="9" max="9" width="14.5703125" customWidth="1"/>
    <col min="10" max="10" width="0.85546875" customWidth="1"/>
    <col min="11" max="11" width="0.42578125" customWidth="1"/>
    <col min="13" max="13" width="18.42578125" customWidth="1"/>
    <col min="14" max="14" width="16.140625" style="131" customWidth="1"/>
    <col min="15" max="15" width="8" customWidth="1"/>
    <col min="16" max="16" width="15.42578125" customWidth="1"/>
    <col min="17" max="17" width="16.140625" customWidth="1"/>
    <col min="18" max="18" width="4.85546875" customWidth="1"/>
    <col min="19" max="19" width="22.5703125" customWidth="1"/>
  </cols>
  <sheetData>
    <row r="1" spans="1:53">
      <c r="A1" s="2"/>
      <c r="B1" s="86" t="s">
        <v>783</v>
      </c>
      <c r="C1" s="481">
        <f>FORM!I20</f>
        <v>45901</v>
      </c>
      <c r="D1" s="242"/>
      <c r="F1" s="242"/>
      <c r="G1" s="242"/>
      <c r="H1" s="175" t="s">
        <v>786</v>
      </c>
      <c r="I1" s="241" t="s">
        <v>785</v>
      </c>
      <c r="J1" s="87"/>
      <c r="K1" s="2"/>
      <c r="L1" s="243" t="s">
        <v>783</v>
      </c>
      <c r="M1" s="481">
        <f>C1</f>
        <v>45901</v>
      </c>
      <c r="N1" s="242"/>
      <c r="O1" s="111"/>
      <c r="Q1" s="243" t="s">
        <v>786</v>
      </c>
      <c r="R1" s="1743" t="s">
        <v>787</v>
      </c>
      <c r="S1" s="1743"/>
      <c r="T1" s="2"/>
    </row>
    <row r="2" spans="1:53" s="1" customFormat="1" ht="12.6">
      <c r="A2" s="90"/>
      <c r="B2" s="90"/>
      <c r="C2" s="91"/>
      <c r="D2" s="91"/>
      <c r="E2" s="90"/>
      <c r="F2" s="90"/>
      <c r="G2" s="92"/>
      <c r="H2" s="92"/>
      <c r="I2" s="92"/>
      <c r="J2" s="96"/>
      <c r="K2" s="92"/>
      <c r="L2" s="90"/>
      <c r="M2" s="91"/>
      <c r="N2" s="91"/>
      <c r="O2" s="90"/>
      <c r="P2" s="90"/>
      <c r="Q2" s="90"/>
      <c r="R2" s="1721"/>
      <c r="S2" s="1721"/>
      <c r="T2" s="90"/>
    </row>
    <row r="3" spans="1:53" s="138" customFormat="1" ht="12.75" customHeight="1">
      <c r="A3" s="92"/>
      <c r="B3" s="1415" t="s">
        <v>975</v>
      </c>
      <c r="C3" s="1415"/>
      <c r="D3" s="1415"/>
      <c r="E3" s="1415"/>
      <c r="F3" s="1415"/>
      <c r="G3" s="1415"/>
      <c r="H3" s="1415"/>
      <c r="I3" s="1415"/>
      <c r="J3" s="178"/>
      <c r="K3" s="179"/>
      <c r="L3" s="1415" t="s">
        <v>788</v>
      </c>
      <c r="M3" s="1415"/>
      <c r="N3" s="1415"/>
      <c r="O3" s="1415"/>
      <c r="P3" s="1415"/>
      <c r="Q3" s="1415"/>
      <c r="R3" s="1415"/>
      <c r="S3" s="1415"/>
      <c r="T3" s="90"/>
    </row>
    <row r="4" spans="1:53" s="138" customFormat="1" ht="12.75" customHeight="1">
      <c r="A4" s="92"/>
      <c r="B4" s="1415"/>
      <c r="C4" s="1415"/>
      <c r="D4" s="1415"/>
      <c r="E4" s="1415"/>
      <c r="F4" s="1415"/>
      <c r="G4" s="1415"/>
      <c r="H4" s="1415"/>
      <c r="I4" s="1415"/>
      <c r="J4" s="178"/>
      <c r="K4" s="179"/>
      <c r="L4" s="1415"/>
      <c r="M4" s="1415"/>
      <c r="N4" s="1415"/>
      <c r="O4" s="1415"/>
      <c r="P4" s="1415"/>
      <c r="Q4" s="1415"/>
      <c r="R4" s="1415"/>
      <c r="S4" s="1415"/>
      <c r="T4" s="90"/>
    </row>
    <row r="5" spans="1:53" s="138" customFormat="1" ht="12.75" customHeight="1">
      <c r="A5" s="92"/>
      <c r="B5" s="180"/>
      <c r="C5" s="180"/>
      <c r="D5" s="181"/>
      <c r="E5" s="180"/>
      <c r="F5" s="180"/>
      <c r="G5" s="180"/>
      <c r="H5" s="180"/>
      <c r="I5" s="180"/>
      <c r="J5" s="180"/>
      <c r="K5" s="180"/>
      <c r="L5" s="97"/>
      <c r="M5" s="98"/>
      <c r="N5" s="100"/>
      <c r="O5" s="98"/>
      <c r="P5" s="98"/>
      <c r="Q5" s="98"/>
      <c r="R5" s="98"/>
      <c r="S5" s="100"/>
      <c r="T5" s="90"/>
    </row>
    <row r="6" spans="1:53" s="183" customFormat="1" ht="11.45">
      <c r="A6" s="105"/>
      <c r="B6" s="145" t="s">
        <v>789</v>
      </c>
      <c r="C6" s="103"/>
      <c r="D6" s="297" t="s">
        <v>741</v>
      </c>
      <c r="E6" s="1693">
        <f>FORM!I26</f>
        <v>0</v>
      </c>
      <c r="F6" s="1693"/>
      <c r="G6" s="1693"/>
      <c r="H6" s="1693"/>
      <c r="I6" s="1693"/>
      <c r="J6" s="106"/>
      <c r="K6" s="127"/>
      <c r="L6" s="145" t="s">
        <v>789</v>
      </c>
      <c r="M6" s="117"/>
      <c r="N6" s="297" t="s">
        <v>741</v>
      </c>
      <c r="O6" s="1693">
        <f t="shared" ref="O6:O13" si="0">E6</f>
        <v>0</v>
      </c>
      <c r="P6" s="1693"/>
      <c r="Q6" s="1693"/>
      <c r="R6" s="1693"/>
      <c r="S6" s="1693"/>
      <c r="T6" s="24"/>
      <c r="AM6" s="184"/>
      <c r="AZ6" s="185"/>
      <c r="BA6" s="186"/>
    </row>
    <row r="7" spans="1:53" s="183" customFormat="1" ht="11.45">
      <c r="A7" s="105"/>
      <c r="B7" s="295" t="s">
        <v>740</v>
      </c>
      <c r="C7" s="104"/>
      <c r="D7" s="297" t="s">
        <v>741</v>
      </c>
      <c r="E7" s="1758" t="str">
        <f>FORM!I11</f>
        <v>The Southprime Flats</v>
      </c>
      <c r="F7" s="1759"/>
      <c r="G7" s="300" t="str">
        <f>FORM!I14</f>
        <v>B2</v>
      </c>
      <c r="H7" s="300"/>
      <c r="I7" s="576"/>
      <c r="J7" s="106"/>
      <c r="K7" s="127"/>
      <c r="L7" s="295" t="s">
        <v>740</v>
      </c>
      <c r="M7" s="108"/>
      <c r="N7" s="297" t="s">
        <v>741</v>
      </c>
      <c r="O7" s="1693" t="str">
        <f t="shared" si="0"/>
        <v>The Southprime Flats</v>
      </c>
      <c r="P7" s="1693"/>
      <c r="Q7" s="1693"/>
      <c r="R7" s="1693"/>
      <c r="S7" s="1693"/>
      <c r="T7" s="24"/>
      <c r="AM7" s="184"/>
      <c r="AZ7" s="185"/>
      <c r="BA7" s="186"/>
    </row>
    <row r="8" spans="1:53" s="183" customFormat="1" ht="11.45">
      <c r="A8" s="105"/>
      <c r="B8" s="295" t="s">
        <v>790</v>
      </c>
      <c r="C8" s="104"/>
      <c r="D8" s="297" t="s">
        <v>741</v>
      </c>
      <c r="E8" s="1755" t="str">
        <f>'STANDARD COMP.'!E8</f>
        <v>2L</v>
      </c>
      <c r="F8" s="1756"/>
      <c r="G8" s="1756"/>
      <c r="H8" s="1756"/>
      <c r="I8" s="1757"/>
      <c r="J8" s="106"/>
      <c r="K8" s="127"/>
      <c r="L8" s="295" t="s">
        <v>790</v>
      </c>
      <c r="M8" s="108"/>
      <c r="N8" s="297" t="s">
        <v>741</v>
      </c>
      <c r="O8" s="1693" t="str">
        <f t="shared" si="0"/>
        <v>2L</v>
      </c>
      <c r="P8" s="1693"/>
      <c r="Q8" s="1693"/>
      <c r="R8" s="1693"/>
      <c r="S8" s="1693"/>
      <c r="T8" s="24"/>
      <c r="AM8" s="184"/>
      <c r="AZ8" s="185"/>
      <c r="BA8" s="186"/>
    </row>
    <row r="9" spans="1:53" s="183" customFormat="1" ht="11.45" hidden="1">
      <c r="A9" s="105"/>
      <c r="B9" s="295" t="s">
        <v>791</v>
      </c>
      <c r="C9" s="104"/>
      <c r="D9" s="297" t="s">
        <v>741</v>
      </c>
      <c r="E9" s="1693" t="e">
        <f>FORM!#REF!</f>
        <v>#REF!</v>
      </c>
      <c r="F9" s="1693"/>
      <c r="G9" s="1693"/>
      <c r="H9" s="1693"/>
      <c r="I9" s="1693"/>
      <c r="J9" s="106"/>
      <c r="K9" s="127"/>
      <c r="L9" s="295" t="s">
        <v>791</v>
      </c>
      <c r="M9" s="108"/>
      <c r="N9" s="297" t="s">
        <v>741</v>
      </c>
      <c r="O9" s="1693" t="e">
        <f t="shared" si="0"/>
        <v>#REF!</v>
      </c>
      <c r="P9" s="1693"/>
      <c r="Q9" s="1693"/>
      <c r="R9" s="1693"/>
      <c r="S9" s="1693"/>
      <c r="T9" s="24"/>
      <c r="AM9" s="184"/>
      <c r="AZ9" s="185"/>
      <c r="BA9" s="186"/>
    </row>
    <row r="10" spans="1:53" s="183" customFormat="1" ht="11.45">
      <c r="A10" s="105"/>
      <c r="B10" s="295" t="s">
        <v>792</v>
      </c>
      <c r="C10" s="104"/>
      <c r="D10" s="297" t="s">
        <v>741</v>
      </c>
      <c r="E10" s="1693" t="str">
        <f>'STANDARD COMP.'!E10</f>
        <v>Studio</v>
      </c>
      <c r="F10" s="1693"/>
      <c r="G10" s="1693"/>
      <c r="H10" s="1693"/>
      <c r="I10" s="1693"/>
      <c r="J10" s="106"/>
      <c r="K10" s="127"/>
      <c r="L10" s="295" t="s">
        <v>792</v>
      </c>
      <c r="M10" s="108"/>
      <c r="N10" s="297" t="s">
        <v>741</v>
      </c>
      <c r="O10" s="1693" t="str">
        <f t="shared" si="0"/>
        <v>Studio</v>
      </c>
      <c r="P10" s="1693"/>
      <c r="Q10" s="1693"/>
      <c r="R10" s="1693"/>
      <c r="S10" s="1693"/>
      <c r="T10" s="24"/>
      <c r="AM10" s="184"/>
      <c r="AZ10" s="185"/>
      <c r="BA10" s="186"/>
    </row>
    <row r="11" spans="1:53" s="183" customFormat="1" ht="11.45">
      <c r="A11" s="105"/>
      <c r="B11" s="295" t="s">
        <v>793</v>
      </c>
      <c r="C11" s="104"/>
      <c r="D11" s="297" t="s">
        <v>741</v>
      </c>
      <c r="E11" s="1751">
        <f>'STANDARD COMP.'!E11:F11</f>
        <v>22</v>
      </c>
      <c r="F11" s="1756"/>
      <c r="G11" s="1753" t="s">
        <v>794</v>
      </c>
      <c r="H11" s="1753"/>
      <c r="I11" s="1754"/>
      <c r="J11" s="106"/>
      <c r="K11" s="127"/>
      <c r="L11" s="295" t="s">
        <v>793</v>
      </c>
      <c r="M11" s="108"/>
      <c r="N11" s="297" t="s">
        <v>741</v>
      </c>
      <c r="O11" s="1751">
        <f t="shared" si="0"/>
        <v>22</v>
      </c>
      <c r="P11" s="1752"/>
      <c r="Q11" s="1753" t="s">
        <v>794</v>
      </c>
      <c r="R11" s="1753"/>
      <c r="S11" s="1754"/>
      <c r="T11" s="24"/>
      <c r="AM11" s="184"/>
      <c r="AZ11" s="185"/>
      <c r="BA11" s="186"/>
    </row>
    <row r="12" spans="1:53" s="183" customFormat="1" ht="11.45">
      <c r="A12" s="105"/>
      <c r="B12" s="108" t="s">
        <v>795</v>
      </c>
      <c r="C12" s="104"/>
      <c r="D12" s="297" t="s">
        <v>741</v>
      </c>
      <c r="E12" s="1760">
        <f>'STANDARD COMP.'!E12:F12</f>
        <v>0</v>
      </c>
      <c r="F12" s="1761"/>
      <c r="G12" s="1753" t="s">
        <v>794</v>
      </c>
      <c r="H12" s="1753"/>
      <c r="I12" s="1754"/>
      <c r="J12" s="105"/>
      <c r="K12" s="127"/>
      <c r="L12" s="108" t="s">
        <v>795</v>
      </c>
      <c r="M12" s="108"/>
      <c r="N12" s="297" t="s">
        <v>741</v>
      </c>
      <c r="O12" s="1760">
        <f t="shared" si="0"/>
        <v>0</v>
      </c>
      <c r="P12" s="1761"/>
      <c r="Q12" s="1753" t="s">
        <v>794</v>
      </c>
      <c r="R12" s="1753"/>
      <c r="S12" s="1754"/>
      <c r="T12" s="24"/>
      <c r="AM12" s="184"/>
      <c r="AZ12" s="185"/>
      <c r="BA12" s="186"/>
    </row>
    <row r="13" spans="1:53" s="183" customFormat="1" ht="11.45">
      <c r="A13" s="105"/>
      <c r="B13" s="102" t="s">
        <v>796</v>
      </c>
      <c r="C13" s="110"/>
      <c r="D13" s="297" t="s">
        <v>741</v>
      </c>
      <c r="E13" s="1760">
        <f>'STANDARD COMP.'!E13:F13</f>
        <v>22</v>
      </c>
      <c r="F13" s="1761"/>
      <c r="G13" s="1753" t="s">
        <v>794</v>
      </c>
      <c r="H13" s="1753"/>
      <c r="I13" s="1754"/>
      <c r="J13" s="105" t="s">
        <v>757</v>
      </c>
      <c r="K13" s="127"/>
      <c r="L13" s="102" t="s">
        <v>796</v>
      </c>
      <c r="M13" s="120"/>
      <c r="N13" s="297" t="s">
        <v>741</v>
      </c>
      <c r="O13" s="1760">
        <f t="shared" si="0"/>
        <v>22</v>
      </c>
      <c r="P13" s="1761"/>
      <c r="Q13" s="1753" t="s">
        <v>794</v>
      </c>
      <c r="R13" s="1753"/>
      <c r="S13" s="1754"/>
      <c r="T13" s="24"/>
      <c r="AM13" s="184"/>
      <c r="AZ13" s="185"/>
      <c r="BA13" s="186"/>
    </row>
    <row r="14" spans="1:53">
      <c r="A14" s="124"/>
      <c r="B14" s="105"/>
      <c r="C14" s="105"/>
      <c r="D14" s="297"/>
      <c r="E14" s="105"/>
      <c r="F14" s="105"/>
      <c r="G14" s="105"/>
      <c r="H14" s="105"/>
      <c r="I14" s="105"/>
      <c r="J14" s="124"/>
      <c r="K14" s="124"/>
      <c r="L14" s="124"/>
      <c r="M14" s="124"/>
      <c r="N14" s="200"/>
      <c r="O14" s="124"/>
      <c r="P14" s="124"/>
      <c r="Q14" s="124"/>
      <c r="R14" s="124"/>
      <c r="S14" s="124"/>
      <c r="T14" s="2"/>
    </row>
    <row r="15" spans="1:53">
      <c r="A15" s="124"/>
      <c r="B15" s="296" t="s">
        <v>797</v>
      </c>
      <c r="C15" s="103"/>
      <c r="D15" s="127" t="s">
        <v>741</v>
      </c>
      <c r="E15" s="749">
        <f>'STANDARD COMP.'!E28</f>
        <v>18</v>
      </c>
      <c r="F15" s="1762">
        <f>'STANDARD COMP.'!F15</f>
        <v>3379693.0676632621</v>
      </c>
      <c r="G15" s="1762"/>
      <c r="H15" s="1762"/>
      <c r="I15" s="1762"/>
      <c r="J15" s="205"/>
      <c r="K15" s="205"/>
      <c r="L15" s="1633" t="s">
        <v>798</v>
      </c>
      <c r="M15" s="1633"/>
      <c r="N15" s="1744" t="s">
        <v>709</v>
      </c>
      <c r="O15" s="1633" t="s">
        <v>712</v>
      </c>
      <c r="P15" s="1633"/>
      <c r="Q15" s="1745" t="s">
        <v>458</v>
      </c>
      <c r="R15" s="1746"/>
      <c r="S15" s="1747"/>
      <c r="T15" s="2"/>
    </row>
    <row r="16" spans="1:53" s="209" customFormat="1">
      <c r="A16" s="124"/>
      <c r="B16" s="295" t="s">
        <v>971</v>
      </c>
      <c r="C16" s="108"/>
      <c r="D16" s="297" t="s">
        <v>741</v>
      </c>
      <c r="E16" s="244">
        <f>IF(E15&gt;11,5%,IF(E15&gt;5,2.5%,))</f>
        <v>0.05</v>
      </c>
      <c r="F16" s="1763">
        <f>F15*E16</f>
        <v>168984.65338316312</v>
      </c>
      <c r="G16" s="1763"/>
      <c r="H16" s="1763"/>
      <c r="I16" s="1763"/>
      <c r="J16" s="124"/>
      <c r="K16" s="124"/>
      <c r="L16" s="1633"/>
      <c r="M16" s="1633"/>
      <c r="N16" s="1744"/>
      <c r="O16" s="1633"/>
      <c r="P16" s="1633"/>
      <c r="Q16" s="1748"/>
      <c r="R16" s="1749"/>
      <c r="S16" s="1750"/>
      <c r="T16" s="245"/>
    </row>
    <row r="17" spans="1:20">
      <c r="A17" s="205"/>
      <c r="B17" s="295" t="s">
        <v>799</v>
      </c>
      <c r="C17" s="108"/>
      <c r="D17" s="297" t="s">
        <v>741</v>
      </c>
      <c r="E17" s="244"/>
      <c r="F17" s="1763">
        <f>'STANDARD COMP.'!F16:I16</f>
        <v>0</v>
      </c>
      <c r="G17" s="1763"/>
      <c r="H17" s="1763"/>
      <c r="I17" s="1763"/>
      <c r="J17" s="205"/>
      <c r="K17" s="205"/>
      <c r="L17" s="1693" t="s">
        <v>758</v>
      </c>
      <c r="M17" s="1693"/>
      <c r="N17" s="118">
        <f>C1</f>
        <v>45901</v>
      </c>
      <c r="O17" s="1694">
        <f>F26</f>
        <v>30000</v>
      </c>
      <c r="P17" s="1694"/>
      <c r="Q17" s="1690"/>
      <c r="R17" s="1691"/>
      <c r="S17" s="1692"/>
      <c r="T17" s="2"/>
    </row>
    <row r="18" spans="1:20" s="209" customFormat="1">
      <c r="A18" s="124"/>
      <c r="B18" s="271" t="s">
        <v>913</v>
      </c>
      <c r="C18" s="110"/>
      <c r="D18" s="127" t="s">
        <v>741</v>
      </c>
      <c r="E18" s="246"/>
      <c r="F18" s="1762">
        <f>F15-(F16+F17)</f>
        <v>3210708.4142800989</v>
      </c>
      <c r="G18" s="1762"/>
      <c r="H18" s="1762"/>
      <c r="I18" s="1762"/>
      <c r="J18" s="124"/>
      <c r="K18" s="124"/>
      <c r="L18" s="1693" t="s">
        <v>976</v>
      </c>
      <c r="M18" s="1693"/>
      <c r="N18" s="118">
        <f>N17+30</f>
        <v>45931</v>
      </c>
      <c r="O18" s="1694">
        <f>F27</f>
        <v>1763563.4768577917</v>
      </c>
      <c r="P18" s="1694"/>
      <c r="Q18" s="1690"/>
      <c r="R18" s="1691"/>
      <c r="S18" s="1692"/>
      <c r="T18" s="245"/>
    </row>
    <row r="19" spans="1:20">
      <c r="A19" s="124"/>
      <c r="B19" s="115"/>
      <c r="C19" s="105"/>
      <c r="D19" s="297"/>
      <c r="E19" s="564"/>
      <c r="F19" s="501">
        <f>E20*F18</f>
        <v>385285.00971361186</v>
      </c>
      <c r="G19" s="116"/>
      <c r="H19" s="116"/>
      <c r="I19" s="105"/>
      <c r="J19" s="124"/>
      <c r="K19" s="124"/>
      <c r="L19" s="1693" t="s">
        <v>977</v>
      </c>
      <c r="M19" s="1693"/>
      <c r="N19" s="118">
        <f>N17+60</f>
        <v>45961</v>
      </c>
      <c r="O19" s="1694">
        <f>F28</f>
        <v>1763563.4768577917</v>
      </c>
      <c r="P19" s="1694"/>
      <c r="Q19" s="1690"/>
      <c r="R19" s="1691"/>
      <c r="S19" s="1692"/>
      <c r="T19" s="2"/>
    </row>
    <row r="20" spans="1:20">
      <c r="A20" s="124"/>
      <c r="B20" s="108" t="s">
        <v>803</v>
      </c>
      <c r="C20" s="108"/>
      <c r="D20" s="297" t="s">
        <v>741</v>
      </c>
      <c r="E20" s="247">
        <v>0.12</v>
      </c>
      <c r="F20" s="1740"/>
      <c r="G20" s="1740"/>
      <c r="H20" s="1740"/>
      <c r="I20" s="1740"/>
      <c r="J20" s="124"/>
      <c r="K20" s="124"/>
      <c r="L20" s="127"/>
      <c r="M20" s="127"/>
      <c r="N20" s="171"/>
      <c r="O20" s="254"/>
      <c r="P20" s="254"/>
      <c r="Q20" s="255"/>
      <c r="R20" s="106"/>
      <c r="S20" s="106"/>
      <c r="T20" s="2"/>
    </row>
    <row r="21" spans="1:20">
      <c r="A21" s="124"/>
      <c r="B21" s="102" t="s">
        <v>806</v>
      </c>
      <c r="C21" s="120"/>
      <c r="D21" s="297" t="s">
        <v>741</v>
      </c>
      <c r="E21" s="565">
        <f>7.5%+2.75%</f>
        <v>0.10249999999999999</v>
      </c>
      <c r="F21" s="1740">
        <f>E21*F15+E19</f>
        <v>346418.53943548433</v>
      </c>
      <c r="G21" s="1740"/>
      <c r="H21" s="1740"/>
      <c r="I21" s="1740"/>
      <c r="J21" s="124"/>
      <c r="K21" s="124"/>
      <c r="L21" s="127"/>
      <c r="M21" s="127"/>
      <c r="N21" s="171"/>
      <c r="O21" s="254"/>
      <c r="P21" s="254"/>
      <c r="Q21" s="255"/>
      <c r="R21" s="106"/>
      <c r="S21" s="106"/>
      <c r="T21" s="2"/>
    </row>
    <row r="22" spans="1:20">
      <c r="A22" s="205"/>
      <c r="B22" s="115"/>
      <c r="C22" s="105"/>
      <c r="D22" s="297"/>
      <c r="E22" s="297"/>
      <c r="F22" s="116"/>
      <c r="G22" s="116"/>
      <c r="H22" s="116"/>
      <c r="I22" s="105"/>
      <c r="J22" s="124"/>
      <c r="K22" s="124"/>
      <c r="L22" s="127"/>
      <c r="M22" s="127"/>
      <c r="N22" s="171"/>
      <c r="O22" s="254"/>
      <c r="P22" s="254"/>
      <c r="Q22" s="255"/>
      <c r="R22" s="106"/>
      <c r="S22" s="106"/>
      <c r="T22" s="2"/>
    </row>
    <row r="23" spans="1:20">
      <c r="A23" s="124"/>
      <c r="B23" s="271" t="s">
        <v>810</v>
      </c>
      <c r="C23" s="110"/>
      <c r="D23" s="127" t="s">
        <v>741</v>
      </c>
      <c r="E23" s="248"/>
      <c r="F23" s="1738">
        <f>SUM(F20,F21,F18)</f>
        <v>3557126.9537155833</v>
      </c>
      <c r="G23" s="1738"/>
      <c r="H23" s="1738"/>
      <c r="I23" s="1738"/>
      <c r="J23" s="205"/>
      <c r="K23" s="205"/>
      <c r="L23" s="128"/>
      <c r="M23" s="105"/>
      <c r="N23" s="256"/>
      <c r="O23" s="105"/>
      <c r="P23" s="105"/>
      <c r="Q23" s="105"/>
      <c r="R23" s="105"/>
      <c r="S23" s="105"/>
      <c r="T23" s="2"/>
    </row>
    <row r="24" spans="1:20" s="209" customFormat="1">
      <c r="A24" s="124"/>
      <c r="B24" s="115"/>
      <c r="C24" s="105"/>
      <c r="D24" s="297"/>
      <c r="E24" s="297"/>
      <c r="F24" s="116"/>
      <c r="G24" s="116"/>
      <c r="H24" s="116"/>
      <c r="I24" s="105"/>
      <c r="J24" s="124"/>
      <c r="K24" s="124"/>
      <c r="L24" s="128"/>
      <c r="M24" s="105"/>
      <c r="N24" s="256"/>
      <c r="O24" s="105"/>
      <c r="P24" s="105"/>
      <c r="Q24" s="105"/>
      <c r="R24" s="105"/>
      <c r="S24" s="105"/>
      <c r="T24" s="245"/>
    </row>
    <row r="25" spans="1:20">
      <c r="A25" s="205"/>
      <c r="B25" s="1683" t="s">
        <v>972</v>
      </c>
      <c r="C25" s="1683"/>
      <c r="D25" s="297" t="s">
        <v>741</v>
      </c>
      <c r="E25" s="291">
        <v>1</v>
      </c>
      <c r="F25" s="1738">
        <f>E25*F23</f>
        <v>3557126.9537155833</v>
      </c>
      <c r="G25" s="1738"/>
      <c r="H25" s="1738"/>
      <c r="I25" s="1738"/>
      <c r="J25" s="124"/>
      <c r="K25" s="124"/>
      <c r="L25" s="106" t="s">
        <v>869</v>
      </c>
      <c r="M25" s="106"/>
      <c r="N25" s="127"/>
      <c r="O25" s="106"/>
      <c r="P25" s="150"/>
      <c r="Q25" s="106" t="s">
        <v>870</v>
      </c>
      <c r="R25" s="105"/>
      <c r="S25" s="105"/>
      <c r="T25" s="2"/>
    </row>
    <row r="26" spans="1:20" s="209" customFormat="1">
      <c r="A26" s="124"/>
      <c r="B26" s="1588" t="s">
        <v>973</v>
      </c>
      <c r="C26" s="1588"/>
      <c r="D26" s="127" t="s">
        <v>741</v>
      </c>
      <c r="E26" s="248"/>
      <c r="F26" s="1740">
        <f>'STANDARD COMP.'!F25</f>
        <v>30000</v>
      </c>
      <c r="G26" s="1740"/>
      <c r="H26" s="1740"/>
      <c r="I26" s="1740"/>
      <c r="J26" s="205"/>
      <c r="K26" s="205"/>
      <c r="L26" s="105"/>
      <c r="M26" s="105"/>
      <c r="N26" s="297"/>
      <c r="O26" s="105"/>
      <c r="P26" s="105"/>
      <c r="Q26" s="105"/>
      <c r="R26" s="105"/>
      <c r="S26" s="105"/>
      <c r="T26" s="245"/>
    </row>
    <row r="27" spans="1:20" s="209" customFormat="1">
      <c r="A27" s="205"/>
      <c r="B27" s="1736" t="s">
        <v>978</v>
      </c>
      <c r="C27" s="1736"/>
      <c r="D27" s="297" t="s">
        <v>741</v>
      </c>
      <c r="E27" s="294"/>
      <c r="F27" s="1738">
        <f>(F25-F26)/2</f>
        <v>1763563.4768577917</v>
      </c>
      <c r="G27" s="1738"/>
      <c r="H27" s="1738"/>
      <c r="I27" s="1738"/>
      <c r="J27" s="205"/>
      <c r="K27" s="205"/>
      <c r="L27" s="105"/>
      <c r="M27" s="105"/>
      <c r="N27" s="297"/>
      <c r="O27" s="105"/>
      <c r="P27" s="105"/>
      <c r="Q27" s="105"/>
      <c r="R27" s="105"/>
      <c r="S27" s="105"/>
      <c r="T27" s="245"/>
    </row>
    <row r="28" spans="1:20">
      <c r="A28" s="124"/>
      <c r="B28" s="1736" t="s">
        <v>979</v>
      </c>
      <c r="C28" s="1736"/>
      <c r="D28" s="297" t="s">
        <v>741</v>
      </c>
      <c r="E28" s="294"/>
      <c r="F28" s="1738">
        <f>F27</f>
        <v>1763563.4768577917</v>
      </c>
      <c r="G28" s="1738"/>
      <c r="H28" s="1738"/>
      <c r="I28" s="1738"/>
      <c r="J28" s="124"/>
      <c r="K28" s="124"/>
      <c r="L28" s="1739">
        <f>FORM!I28</f>
        <v>0</v>
      </c>
      <c r="M28" s="1739"/>
      <c r="N28" s="1739"/>
      <c r="O28" s="106"/>
      <c r="P28" s="106"/>
      <c r="Q28" s="1739">
        <f>FORM!I26</f>
        <v>0</v>
      </c>
      <c r="R28" s="1739"/>
      <c r="S28" s="1739"/>
      <c r="T28" s="2"/>
    </row>
    <row r="29" spans="1:20">
      <c r="A29" s="124"/>
      <c r="B29" s="290"/>
      <c r="C29" s="112"/>
      <c r="D29" s="197"/>
      <c r="E29" s="112"/>
      <c r="F29" s="112"/>
      <c r="G29" s="112"/>
      <c r="H29" s="112"/>
      <c r="I29" s="112"/>
      <c r="J29" s="124"/>
      <c r="K29" s="124"/>
      <c r="L29" s="300" t="s">
        <v>953</v>
      </c>
      <c r="M29" s="1741"/>
      <c r="N29" s="1742"/>
      <c r="O29" s="105"/>
      <c r="P29" s="105"/>
      <c r="Q29" s="129" t="s">
        <v>871</v>
      </c>
      <c r="R29" s="1741"/>
      <c r="S29" s="1742"/>
      <c r="T29" s="2"/>
    </row>
    <row r="30" spans="1:20" s="209" customFormat="1">
      <c r="A30" s="124"/>
      <c r="B30" s="250"/>
      <c r="C30" s="153"/>
      <c r="D30" s="251"/>
      <c r="E30" s="169"/>
      <c r="F30" s="153"/>
      <c r="G30" s="153"/>
      <c r="H30" s="1737"/>
      <c r="I30" s="1737"/>
      <c r="J30" s="205"/>
      <c r="K30" s="205"/>
      <c r="L30" s="111"/>
      <c r="M30" s="111"/>
      <c r="N30" s="111"/>
      <c r="O30" s="111"/>
      <c r="P30" s="111"/>
      <c r="Q30" s="111"/>
      <c r="R30" s="111"/>
      <c r="S30" s="111"/>
      <c r="T30" s="245"/>
    </row>
    <row r="31" spans="1:20">
      <c r="A31" s="124"/>
      <c r="B31" s="122" t="s">
        <v>864</v>
      </c>
      <c r="C31" s="252"/>
      <c r="D31" s="114"/>
      <c r="E31" s="114"/>
      <c r="F31" s="114"/>
      <c r="G31" s="114"/>
      <c r="H31" s="114"/>
      <c r="I31" s="253"/>
      <c r="J31" s="124"/>
      <c r="K31" s="124"/>
      <c r="M31" s="131"/>
      <c r="T31" s="2"/>
    </row>
    <row r="32" spans="1:20">
      <c r="A32" s="124"/>
      <c r="B32" s="114"/>
      <c r="C32" s="114"/>
      <c r="D32" s="114"/>
      <c r="E32" s="114"/>
      <c r="F32" s="114"/>
      <c r="G32" s="114"/>
      <c r="H32" s="114"/>
      <c r="I32" s="114"/>
      <c r="J32" s="124"/>
      <c r="K32" s="124"/>
      <c r="M32" s="131"/>
      <c r="T32" s="2"/>
    </row>
    <row r="33" spans="1:20">
      <c r="A33" s="124"/>
      <c r="B33" s="1633" t="s">
        <v>753</v>
      </c>
      <c r="C33" s="1633"/>
      <c r="D33" s="1633" t="s">
        <v>754</v>
      </c>
      <c r="E33" s="1633"/>
      <c r="F33" s="1633"/>
      <c r="G33" s="1633" t="s">
        <v>868</v>
      </c>
      <c r="H33" s="1633"/>
      <c r="I33" s="1633"/>
      <c r="J33" s="124"/>
      <c r="K33" s="124"/>
      <c r="M33" s="131"/>
      <c r="T33" s="2"/>
    </row>
    <row r="34" spans="1:20">
      <c r="A34" s="124"/>
      <c r="B34" s="1728">
        <f>FORM!O19</f>
        <v>0</v>
      </c>
      <c r="C34" s="1730"/>
      <c r="D34" s="1728">
        <f>FORM!S19</f>
        <v>0</v>
      </c>
      <c r="E34" s="1729"/>
      <c r="F34" s="1730"/>
      <c r="G34" s="1623">
        <f>FORM!V19</f>
        <v>0</v>
      </c>
      <c r="H34" s="1734"/>
      <c r="I34" s="1624"/>
      <c r="J34" s="124"/>
      <c r="K34" s="124"/>
      <c r="M34" s="131"/>
      <c r="T34" s="2"/>
    </row>
    <row r="35" spans="1:20">
      <c r="A35" s="124"/>
      <c r="B35" s="1731"/>
      <c r="C35" s="1733"/>
      <c r="D35" s="1731"/>
      <c r="E35" s="1732"/>
      <c r="F35" s="1733"/>
      <c r="G35" s="1625"/>
      <c r="H35" s="1735"/>
      <c r="I35" s="1626"/>
      <c r="J35" s="124"/>
      <c r="K35" s="124"/>
      <c r="M35" s="131"/>
      <c r="T35" s="2"/>
    </row>
    <row r="36" spans="1:20">
      <c r="A36" s="124"/>
      <c r="B36" s="1728">
        <f>FORM!O21</f>
        <v>0</v>
      </c>
      <c r="C36" s="1730"/>
      <c r="D36" s="1728">
        <f>FORM!S21</f>
        <v>0</v>
      </c>
      <c r="E36" s="1729"/>
      <c r="F36" s="1730"/>
      <c r="G36" s="1623">
        <f>FORM!V21</f>
        <v>0</v>
      </c>
      <c r="H36" s="1734"/>
      <c r="I36" s="1624"/>
      <c r="J36" s="124"/>
      <c r="K36" s="124"/>
      <c r="M36" s="131"/>
      <c r="T36" s="2"/>
    </row>
    <row r="37" spans="1:20">
      <c r="A37" s="124"/>
      <c r="B37" s="1731"/>
      <c r="C37" s="1733"/>
      <c r="D37" s="1731"/>
      <c r="E37" s="1732"/>
      <c r="F37" s="1733"/>
      <c r="G37" s="1625"/>
      <c r="H37" s="1735"/>
      <c r="I37" s="1626"/>
      <c r="J37" s="124"/>
      <c r="K37" s="124"/>
      <c r="T37" s="2"/>
    </row>
    <row r="38" spans="1:20" ht="16.5" customHeight="1">
      <c r="A38" s="124"/>
      <c r="B38" s="1728">
        <f>FORM!O25</f>
        <v>0</v>
      </c>
      <c r="C38" s="1730"/>
      <c r="D38" s="1728">
        <f>FORM!S25</f>
        <v>0</v>
      </c>
      <c r="E38" s="1729"/>
      <c r="F38" s="1730"/>
      <c r="G38" s="1623">
        <f>FORM!V25</f>
        <v>0</v>
      </c>
      <c r="H38" s="1734"/>
      <c r="I38" s="1624"/>
      <c r="J38" s="124"/>
      <c r="K38" s="124"/>
      <c r="T38" s="2"/>
    </row>
    <row r="39" spans="1:20">
      <c r="A39" s="124"/>
      <c r="B39" s="1731"/>
      <c r="C39" s="1733"/>
      <c r="D39" s="1731"/>
      <c r="E39" s="1732"/>
      <c r="F39" s="1733"/>
      <c r="G39" s="1625"/>
      <c r="H39" s="1735"/>
      <c r="I39" s="1626"/>
      <c r="J39" s="124"/>
      <c r="K39" s="124"/>
      <c r="T39" s="2"/>
    </row>
    <row r="40" spans="1:20" ht="16.5" customHeight="1">
      <c r="A40" s="124"/>
      <c r="B40" s="1728">
        <f>FORM!O27</f>
        <v>0</v>
      </c>
      <c r="C40" s="1730"/>
      <c r="D40" s="1728">
        <f>FORM!S27</f>
        <v>0</v>
      </c>
      <c r="E40" s="1729"/>
      <c r="F40" s="1730"/>
      <c r="G40" s="1623">
        <f>FORM!V27</f>
        <v>0</v>
      </c>
      <c r="H40" s="1734"/>
      <c r="I40" s="1624"/>
      <c r="J40" s="124"/>
      <c r="K40" s="124"/>
      <c r="T40" s="2"/>
    </row>
    <row r="41" spans="1:20">
      <c r="A41" s="124"/>
      <c r="B41" s="1731"/>
      <c r="C41" s="1733"/>
      <c r="D41" s="1731"/>
      <c r="E41" s="1732"/>
      <c r="F41" s="1733"/>
      <c r="G41" s="1625"/>
      <c r="H41" s="1735"/>
      <c r="I41" s="1626"/>
      <c r="J41" s="124"/>
      <c r="K41" s="124"/>
      <c r="T41" s="2"/>
    </row>
    <row r="42" spans="1:20" ht="12.75" customHeight="1">
      <c r="A42" s="124"/>
      <c r="B42" s="1728">
        <f>FORM!O31</f>
        <v>0</v>
      </c>
      <c r="C42" s="1730"/>
      <c r="D42" s="1728">
        <f>FORM!S31</f>
        <v>0</v>
      </c>
      <c r="E42" s="1729"/>
      <c r="F42" s="1730"/>
      <c r="G42" s="1623">
        <f>FORM!V31</f>
        <v>0</v>
      </c>
      <c r="H42" s="1734"/>
      <c r="I42" s="1624"/>
      <c r="J42" s="124"/>
      <c r="K42" s="124"/>
      <c r="T42" s="2"/>
    </row>
    <row r="43" spans="1:20" ht="15" customHeight="1">
      <c r="A43" s="124"/>
      <c r="B43" s="1731"/>
      <c r="C43" s="1733"/>
      <c r="D43" s="1731"/>
      <c r="E43" s="1732"/>
      <c r="F43" s="1733"/>
      <c r="G43" s="1625"/>
      <c r="H43" s="1735"/>
      <c r="I43" s="1626"/>
      <c r="J43" s="124"/>
      <c r="K43" s="124"/>
      <c r="T43" s="2"/>
    </row>
    <row r="44" spans="1:20" ht="12.75" customHeight="1">
      <c r="A44" s="124"/>
      <c r="B44" s="1728">
        <f>FORM!O33</f>
        <v>0</v>
      </c>
      <c r="C44" s="1730"/>
      <c r="D44" s="1728">
        <f>FORM!S33</f>
        <v>0</v>
      </c>
      <c r="E44" s="1729"/>
      <c r="F44" s="1730"/>
      <c r="G44" s="1623">
        <f>FORM!V33</f>
        <v>0</v>
      </c>
      <c r="H44" s="1734"/>
      <c r="I44" s="1624"/>
      <c r="J44" s="205"/>
      <c r="K44" s="205"/>
      <c r="T44" s="2"/>
    </row>
    <row r="45" spans="1:20" ht="12.75" customHeight="1">
      <c r="A45" s="124"/>
      <c r="B45" s="1731"/>
      <c r="C45" s="1733"/>
      <c r="D45" s="1731"/>
      <c r="E45" s="1732"/>
      <c r="F45" s="1733"/>
      <c r="G45" s="1625"/>
      <c r="H45" s="1735"/>
      <c r="I45" s="1626"/>
      <c r="J45" s="205"/>
      <c r="K45" s="205"/>
      <c r="T45" s="2"/>
    </row>
    <row r="46" spans="1:20" ht="12.75" customHeight="1">
      <c r="A46" s="124"/>
      <c r="J46" s="205"/>
      <c r="K46" s="205"/>
      <c r="T46" s="2"/>
    </row>
    <row r="47" spans="1:20" ht="12.75" customHeight="1">
      <c r="A47" s="124"/>
      <c r="B47" s="125"/>
      <c r="C47" s="125" t="s">
        <v>954</v>
      </c>
      <c r="D47" s="1547"/>
      <c r="E47" s="1547"/>
      <c r="F47" s="1547"/>
      <c r="G47" s="205"/>
      <c r="H47" s="205"/>
      <c r="I47" s="205"/>
      <c r="J47" s="205"/>
      <c r="K47" s="205"/>
      <c r="T47" s="2"/>
    </row>
    <row r="48" spans="1:20" ht="12.75" customHeight="1">
      <c r="A48" s="124"/>
      <c r="B48" s="205"/>
      <c r="C48" s="205"/>
      <c r="D48" s="205"/>
      <c r="E48" s="205"/>
      <c r="F48" s="205"/>
      <c r="G48" s="205"/>
      <c r="H48" s="205"/>
      <c r="I48" s="205"/>
      <c r="J48" s="205"/>
      <c r="K48" s="205"/>
      <c r="T48" s="2"/>
    </row>
    <row r="49" spans="1:20" ht="12.75" customHeight="1">
      <c r="A49" s="124"/>
      <c r="G49" s="205"/>
      <c r="H49" s="205"/>
      <c r="I49" s="205"/>
      <c r="J49" s="205"/>
      <c r="K49" s="205"/>
      <c r="T49" s="2"/>
    </row>
    <row r="50" spans="1:20" ht="12.75" customHeight="1">
      <c r="A50" s="124"/>
      <c r="B50" s="124"/>
      <c r="C50" s="124"/>
      <c r="D50" s="234"/>
      <c r="E50" s="124"/>
      <c r="F50" s="124"/>
      <c r="G50" s="124"/>
      <c r="H50" s="124"/>
      <c r="I50" s="124"/>
      <c r="J50" s="205"/>
      <c r="K50" s="205"/>
      <c r="T50" s="2"/>
    </row>
    <row r="51" spans="1:20">
      <c r="A51" s="2"/>
      <c r="B51" s="106" t="s">
        <v>869</v>
      </c>
      <c r="C51" s="106"/>
      <c r="D51" s="127"/>
      <c r="E51" s="106"/>
      <c r="F51" s="106" t="s">
        <v>870</v>
      </c>
      <c r="G51" s="106"/>
      <c r="H51" s="105"/>
      <c r="I51" s="105"/>
      <c r="J51" s="124"/>
      <c r="K51" s="205"/>
      <c r="T51" s="2"/>
    </row>
    <row r="52" spans="1:20">
      <c r="A52" s="2"/>
      <c r="B52" s="105"/>
      <c r="C52" s="105"/>
      <c r="D52" s="297"/>
      <c r="E52" s="105"/>
      <c r="F52" s="105"/>
      <c r="G52" s="105"/>
      <c r="H52" s="105"/>
      <c r="I52" s="105"/>
      <c r="J52" s="124"/>
      <c r="K52" s="205"/>
      <c r="T52" s="2"/>
    </row>
    <row r="53" spans="1:20">
      <c r="A53" s="2"/>
      <c r="B53" s="105"/>
      <c r="C53" s="105"/>
      <c r="D53" s="297"/>
      <c r="E53" s="105"/>
      <c r="F53" s="105"/>
      <c r="G53" s="105"/>
      <c r="H53" s="105"/>
      <c r="I53" s="105"/>
      <c r="J53" s="124"/>
      <c r="K53" s="205"/>
      <c r="T53" s="2"/>
    </row>
    <row r="54" spans="1:20">
      <c r="B54" s="1739">
        <f>FORM!I28</f>
        <v>0</v>
      </c>
      <c r="C54" s="1739"/>
      <c r="D54" s="1739"/>
      <c r="E54" s="106"/>
      <c r="F54" s="106"/>
      <c r="G54" s="1739">
        <f>FORM!I26</f>
        <v>0</v>
      </c>
      <c r="H54" s="1739"/>
      <c r="I54" s="1739"/>
      <c r="J54" s="124"/>
      <c r="K54" s="205"/>
      <c r="T54" s="2"/>
    </row>
    <row r="55" spans="1:20">
      <c r="A55" s="239">
        <f>F18*E20</f>
        <v>385285.00971361186</v>
      </c>
      <c r="B55" s="300" t="s">
        <v>953</v>
      </c>
      <c r="C55" s="1741"/>
      <c r="D55" s="1742"/>
      <c r="E55" s="105"/>
      <c r="F55" s="105"/>
      <c r="G55" s="1742" t="s">
        <v>953</v>
      </c>
      <c r="H55" s="1742"/>
      <c r="I55" s="1742"/>
      <c r="J55" s="124"/>
      <c r="K55" s="2"/>
      <c r="T55" s="2"/>
    </row>
    <row r="56" spans="1:20">
      <c r="B56" s="105"/>
      <c r="C56" s="105"/>
      <c r="D56" s="297"/>
      <c r="E56" s="105"/>
      <c r="F56" s="105"/>
      <c r="G56" s="105"/>
      <c r="H56" s="105"/>
      <c r="I56" s="105"/>
      <c r="J56" s="124"/>
      <c r="K56" s="2"/>
      <c r="T56" s="2"/>
    </row>
    <row r="57" spans="1:20">
      <c r="A57" s="477">
        <f>F18*12%</f>
        <v>385285.00971361186</v>
      </c>
      <c r="B57" s="124"/>
      <c r="C57" s="124"/>
      <c r="D57" s="234"/>
      <c r="E57" s="124"/>
      <c r="F57" s="124"/>
      <c r="G57" s="124"/>
      <c r="H57" s="124"/>
      <c r="I57" s="124"/>
      <c r="J57" s="124"/>
      <c r="K57" s="2"/>
      <c r="T57" s="2"/>
    </row>
    <row r="58" spans="1:20">
      <c r="B58" s="124"/>
      <c r="C58" s="124"/>
      <c r="D58" s="234"/>
      <c r="E58" s="124"/>
      <c r="F58" s="124"/>
      <c r="G58" s="124"/>
      <c r="H58" s="124"/>
      <c r="I58" s="124"/>
      <c r="J58" s="124"/>
      <c r="K58" s="2"/>
      <c r="T58" s="2"/>
    </row>
    <row r="59" spans="1:20">
      <c r="B59" s="2"/>
      <c r="C59" s="2"/>
      <c r="D59" s="85"/>
      <c r="E59" s="2"/>
      <c r="F59" s="2"/>
      <c r="G59" s="2"/>
      <c r="H59" s="2"/>
      <c r="I59" s="2"/>
      <c r="J59" s="2"/>
      <c r="K59" s="2"/>
      <c r="T59" s="2"/>
    </row>
    <row r="60" spans="1:20">
      <c r="B60" s="2"/>
      <c r="C60" s="2"/>
      <c r="D60" s="85"/>
      <c r="E60" s="2"/>
      <c r="F60" s="2"/>
      <c r="G60" s="2"/>
      <c r="H60" s="2"/>
      <c r="I60" s="2"/>
      <c r="J60" s="2"/>
      <c r="K60" s="2"/>
      <c r="T60" s="2"/>
    </row>
    <row r="61" spans="1:20">
      <c r="B61" s="2"/>
      <c r="C61" s="2"/>
      <c r="D61" s="85"/>
      <c r="E61" s="2"/>
      <c r="F61" s="2"/>
      <c r="G61" s="2"/>
      <c r="H61" s="2"/>
      <c r="I61" s="2"/>
      <c r="J61" s="2"/>
      <c r="K61" s="2"/>
    </row>
    <row r="62" spans="1:20">
      <c r="K62" s="2"/>
    </row>
    <row r="63" spans="1:20">
      <c r="K63" s="2"/>
    </row>
    <row r="64" spans="1:20">
      <c r="K64" s="2"/>
    </row>
    <row r="65" spans="11:11">
      <c r="K65" s="2"/>
    </row>
    <row r="66" spans="11:11">
      <c r="K66" s="2"/>
    </row>
    <row r="67" spans="11:11">
      <c r="K67" s="2"/>
    </row>
  </sheetData>
  <sheetProtection algorithmName="SHA-512" hashValue="52sHHoDzFJJW44DT/zPcdFNWb+6rHXk/L/TS8w37InNZ0Nh7KbyOtg7divtV2aJgVESOdfgi7zIxNg5J7Z+a0g==" saltValue="igsO+OzWqUT8gQjapekN4A==" spinCount="100000" sheet="1" formatCells="0" formatColumns="0" formatRows="0"/>
  <mergeCells count="85">
    <mergeCell ref="Q19:S19"/>
    <mergeCell ref="C55:D55"/>
    <mergeCell ref="G55:I55"/>
    <mergeCell ref="B28:C28"/>
    <mergeCell ref="F28:I28"/>
    <mergeCell ref="L19:M19"/>
    <mergeCell ref="O19:P19"/>
    <mergeCell ref="B44:C45"/>
    <mergeCell ref="D44:F45"/>
    <mergeCell ref="G44:I45"/>
    <mergeCell ref="D47:F47"/>
    <mergeCell ref="B54:D54"/>
    <mergeCell ref="G54:I54"/>
    <mergeCell ref="B40:C41"/>
    <mergeCell ref="D40:F41"/>
    <mergeCell ref="G40:I41"/>
    <mergeCell ref="B42:C43"/>
    <mergeCell ref="D42:F43"/>
    <mergeCell ref="G42:I43"/>
    <mergeCell ref="B36:C37"/>
    <mergeCell ref="D36:F37"/>
    <mergeCell ref="G36:I37"/>
    <mergeCell ref="B38:C39"/>
    <mergeCell ref="D38:F39"/>
    <mergeCell ref="G38:I39"/>
    <mergeCell ref="H30:I30"/>
    <mergeCell ref="B33:C33"/>
    <mergeCell ref="D33:F33"/>
    <mergeCell ref="G33:I33"/>
    <mergeCell ref="B34:C35"/>
    <mergeCell ref="D34:F35"/>
    <mergeCell ref="G34:I35"/>
    <mergeCell ref="B27:C27"/>
    <mergeCell ref="F27:I27"/>
    <mergeCell ref="L28:N28"/>
    <mergeCell ref="Q28:S28"/>
    <mergeCell ref="M29:N29"/>
    <mergeCell ref="R29:S29"/>
    <mergeCell ref="B26:C26"/>
    <mergeCell ref="F26:I26"/>
    <mergeCell ref="F17:I17"/>
    <mergeCell ref="L17:M17"/>
    <mergeCell ref="O17:P17"/>
    <mergeCell ref="F20:I20"/>
    <mergeCell ref="F21:I21"/>
    <mergeCell ref="F23:I23"/>
    <mergeCell ref="B25:C25"/>
    <mergeCell ref="F25:I25"/>
    <mergeCell ref="Q17:S17"/>
    <mergeCell ref="F18:I18"/>
    <mergeCell ref="L18:M18"/>
    <mergeCell ref="O18:P18"/>
    <mergeCell ref="Q18:S18"/>
    <mergeCell ref="F15:I15"/>
    <mergeCell ref="L15:M16"/>
    <mergeCell ref="N15:N16"/>
    <mergeCell ref="O15:P16"/>
    <mergeCell ref="Q15:S16"/>
    <mergeCell ref="F16:I16"/>
    <mergeCell ref="E12:F12"/>
    <mergeCell ref="G12:I12"/>
    <mergeCell ref="O12:P12"/>
    <mergeCell ref="Q12:S12"/>
    <mergeCell ref="E13:F13"/>
    <mergeCell ref="G13:I13"/>
    <mergeCell ref="O13:P13"/>
    <mergeCell ref="Q13:S13"/>
    <mergeCell ref="E10:I10"/>
    <mergeCell ref="O10:S10"/>
    <mergeCell ref="E11:F11"/>
    <mergeCell ref="G11:I11"/>
    <mergeCell ref="O11:P11"/>
    <mergeCell ref="Q11:S11"/>
    <mergeCell ref="E7:F7"/>
    <mergeCell ref="O7:S7"/>
    <mergeCell ref="E8:I8"/>
    <mergeCell ref="O8:S8"/>
    <mergeCell ref="E9:I9"/>
    <mergeCell ref="O9:S9"/>
    <mergeCell ref="R1:S1"/>
    <mergeCell ref="R2:S2"/>
    <mergeCell ref="B3:I4"/>
    <mergeCell ref="L3:S4"/>
    <mergeCell ref="E6:I6"/>
    <mergeCell ref="O6:S6"/>
  </mergeCells>
  <pageMargins left="0.59055118110236227" right="0.59055118110236227" top="0.89212962962962961"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60" max="18" man="1"/>
  </rowBreaks>
  <colBreaks count="1" manualBreakCount="1">
    <brk id="9" max="55" man="1"/>
  </col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dimension ref="A1:U123"/>
  <sheetViews>
    <sheetView showGridLines="0" showZeros="0" view="pageLayout" topLeftCell="A93" zoomScaleNormal="100" zoomScaleSheetLayoutView="85" workbookViewId="0">
      <selection activeCell="A113" sqref="A113:U11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671">
        <f>'SPOT CASH_60 DAYS'!F15</f>
        <v>3379693.0676632621</v>
      </c>
      <c r="J27" s="1672"/>
      <c r="K27" s="1672"/>
      <c r="L27" s="1672"/>
      <c r="M27" s="1672"/>
      <c r="N27" s="1672"/>
      <c r="O27" s="1672"/>
      <c r="P27" s="1672"/>
      <c r="Q27" s="1672"/>
      <c r="R27" s="1672"/>
      <c r="S27" s="1672"/>
      <c r="T27" s="1672"/>
      <c r="U27" s="1673"/>
    </row>
    <row r="28" spans="1:21" ht="14.1">
      <c r="A28" s="41" t="s">
        <v>912</v>
      </c>
      <c r="B28" s="42"/>
      <c r="C28" s="44"/>
      <c r="D28" s="44"/>
      <c r="E28" s="44"/>
      <c r="F28" s="44"/>
      <c r="G28" s="44"/>
      <c r="H28" s="45"/>
      <c r="I28" s="1514">
        <f>'SPOT CASH_60 DAYS'!F16+'SPOT CASH_60 DAYS'!F17</f>
        <v>168984.65338316312</v>
      </c>
      <c r="J28" s="1515"/>
      <c r="K28" s="1515"/>
      <c r="L28" s="1515"/>
      <c r="M28" s="1515"/>
      <c r="N28" s="1515"/>
      <c r="O28" s="1515"/>
      <c r="P28" s="1515"/>
      <c r="Q28" s="1515"/>
      <c r="R28" s="1515"/>
      <c r="S28" s="1515"/>
      <c r="T28" s="1515"/>
      <c r="U28" s="1516"/>
    </row>
    <row r="29" spans="1:21" ht="14.1">
      <c r="A29" s="51" t="s">
        <v>913</v>
      </c>
      <c r="B29" s="52"/>
      <c r="C29" s="53"/>
      <c r="D29" s="53"/>
      <c r="E29" s="53"/>
      <c r="F29" s="53"/>
      <c r="G29" s="53"/>
      <c r="H29" s="50"/>
      <c r="I29" s="1671">
        <f>'SPOT CASH_60 DAYS'!F18</f>
        <v>3210708.4142800989</v>
      </c>
      <c r="J29" s="1672"/>
      <c r="K29" s="1672"/>
      <c r="L29" s="1672"/>
      <c r="M29" s="1672"/>
      <c r="N29" s="1672"/>
      <c r="O29" s="1672"/>
      <c r="P29" s="1672"/>
      <c r="Q29" s="1672"/>
      <c r="R29" s="1672"/>
      <c r="S29" s="1672"/>
      <c r="T29" s="1672"/>
      <c r="U29" s="1673"/>
    </row>
    <row r="30" spans="1:21" ht="14.1">
      <c r="A30" s="41" t="s">
        <v>914</v>
      </c>
      <c r="B30" s="42"/>
      <c r="C30" s="44"/>
      <c r="D30" s="44"/>
      <c r="E30" s="44"/>
      <c r="F30" s="44"/>
      <c r="G30" s="44"/>
      <c r="H30" s="45"/>
      <c r="I30" s="1671">
        <f>'SPOT CASH_60 DAYS'!F21</f>
        <v>323476.98007474467</v>
      </c>
      <c r="J30" s="1672"/>
      <c r="K30" s="1672"/>
      <c r="L30" s="1672"/>
      <c r="M30" s="1672"/>
      <c r="N30" s="1672"/>
      <c r="O30" s="1672"/>
      <c r="P30" s="1672"/>
      <c r="Q30" s="1672"/>
      <c r="R30" s="1672"/>
      <c r="S30" s="1672"/>
      <c r="T30" s="1672"/>
      <c r="U30" s="1673"/>
    </row>
    <row r="31" spans="1:21" ht="14.1">
      <c r="A31" s="41" t="s">
        <v>915</v>
      </c>
      <c r="B31" s="42"/>
      <c r="C31" s="44"/>
      <c r="D31" s="44"/>
      <c r="E31" s="44"/>
      <c r="F31" s="44"/>
      <c r="G31" s="44"/>
      <c r="H31" s="45"/>
      <c r="I31" s="1671">
        <f>'SPOT CASH_60 DAYS'!F20</f>
        <v>385285.00971361186</v>
      </c>
      <c r="J31" s="1672"/>
      <c r="K31" s="1672"/>
      <c r="L31" s="1672"/>
      <c r="M31" s="1672"/>
      <c r="N31" s="1672"/>
      <c r="O31" s="1672"/>
      <c r="P31" s="1672"/>
      <c r="Q31" s="1672"/>
      <c r="R31" s="1672"/>
      <c r="S31" s="1672"/>
      <c r="T31" s="1672"/>
      <c r="U31" s="1673"/>
    </row>
    <row r="32" spans="1:21" ht="14.1">
      <c r="A32" s="41" t="s">
        <v>77</v>
      </c>
      <c r="B32" s="42"/>
      <c r="C32" s="44"/>
      <c r="D32" s="44"/>
      <c r="E32" s="44"/>
      <c r="F32" s="44"/>
      <c r="G32" s="44"/>
      <c r="H32" s="45"/>
      <c r="I32" s="1671">
        <f>'SPOT CASH_60 DAYS'!F23</f>
        <v>3919470.4040684551</v>
      </c>
      <c r="J32" s="1672"/>
      <c r="K32" s="1672"/>
      <c r="L32" s="1672"/>
      <c r="M32" s="1672"/>
      <c r="N32" s="1672"/>
      <c r="O32" s="1672"/>
      <c r="P32" s="1672"/>
      <c r="Q32" s="1672"/>
      <c r="R32" s="1672"/>
      <c r="S32" s="1672"/>
      <c r="T32" s="1672"/>
      <c r="U32" s="1673"/>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sFP/zhSYeVowkQTNim+u0raVSlbLtEckKk8580Aq3l7fc5DMiWD8SL8sk/PpqPPIam6FbhP/piLihBOvPeOZtg==" saltValue="4Am8ASbvjIxo+SAUqdOk5Q=="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2705"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2706"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2707"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2708"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2709"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2710"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2711"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2712"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2713"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2714"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2715"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2716"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2717"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2718"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2719"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2720"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2721"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2722"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2723"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
  <dimension ref="A1:AW68"/>
  <sheetViews>
    <sheetView showGridLines="0" showZeros="0" view="pageLayout" topLeftCell="A5" zoomScale="85" zoomScaleNormal="100" zoomScaleSheetLayoutView="80" zoomScalePageLayoutView="85" workbookViewId="0">
      <selection activeCell="F19" sqref="F19:I19"/>
    </sheetView>
  </sheetViews>
  <sheetFormatPr defaultColWidth="9.140625" defaultRowHeight="14.45"/>
  <cols>
    <col min="1" max="1" width="0.85546875" customWidth="1"/>
    <col min="2" max="2" width="11.42578125" customWidth="1"/>
    <col min="3" max="3" width="17.140625" customWidth="1"/>
    <col min="4" max="4" width="12.85546875" style="130" customWidth="1"/>
    <col min="5" max="5" width="15.140625" customWidth="1"/>
    <col min="6" max="6" width="8.42578125" customWidth="1"/>
    <col min="7" max="7" width="14.140625" customWidth="1"/>
    <col min="8" max="8" width="11.85546875" customWidth="1"/>
    <col min="9" max="9" width="19" customWidth="1"/>
    <col min="10" max="10" width="0.42578125" customWidth="1"/>
    <col min="12" max="12" width="17.5703125" customWidth="1"/>
    <col min="13" max="13" width="16.5703125" style="131" customWidth="1"/>
    <col min="14" max="14" width="5.42578125" customWidth="1"/>
    <col min="15" max="15" width="19.140625" customWidth="1"/>
    <col min="16" max="16" width="11.85546875" customWidth="1"/>
    <col min="17" max="17" width="7.85546875" customWidth="1"/>
    <col min="18" max="18" width="22.5703125" customWidth="1"/>
    <col min="20" max="20" width="21.42578125" style="284" hidden="1" customWidth="1"/>
    <col min="21" max="21" width="9.140625" style="284" hidden="1" customWidth="1"/>
    <col min="22" max="22" width="11.140625" style="284" hidden="1" customWidth="1"/>
    <col min="23" max="23" width="9.140625" hidden="1" customWidth="1"/>
    <col min="24" max="25" width="8" hidden="1" customWidth="1"/>
    <col min="26" max="26" width="10.140625" hidden="1" customWidth="1"/>
  </cols>
  <sheetData>
    <row r="1" spans="1:49" ht="16.5" customHeight="1">
      <c r="A1" s="2"/>
      <c r="B1" s="175" t="s">
        <v>783</v>
      </c>
      <c r="C1" s="478">
        <f>FORM!I20</f>
        <v>45901</v>
      </c>
      <c r="D1" s="242"/>
      <c r="F1" s="242"/>
      <c r="G1" s="242"/>
      <c r="H1" s="175" t="s">
        <v>786</v>
      </c>
      <c r="I1" s="257" t="s">
        <v>785</v>
      </c>
      <c r="J1" s="2"/>
      <c r="K1" s="258" t="s">
        <v>783</v>
      </c>
      <c r="L1" s="481">
        <f>C1</f>
        <v>45901</v>
      </c>
      <c r="M1" s="242"/>
      <c r="N1" s="111"/>
      <c r="P1" s="243" t="s">
        <v>786</v>
      </c>
      <c r="Q1" s="1764" t="s">
        <v>787</v>
      </c>
      <c r="R1" s="1764"/>
    </row>
    <row r="2" spans="1:49" ht="16.5" customHeight="1">
      <c r="A2" s="90"/>
      <c r="B2" s="90"/>
      <c r="C2" s="91"/>
      <c r="D2" s="91"/>
      <c r="E2" s="90"/>
      <c r="F2" s="90"/>
      <c r="G2" s="92"/>
      <c r="H2" s="92"/>
      <c r="I2" s="92"/>
      <c r="J2" s="2"/>
      <c r="K2" s="90"/>
      <c r="L2" s="91"/>
      <c r="M2" s="91"/>
      <c r="N2" s="90"/>
      <c r="O2" s="90"/>
      <c r="P2" s="90"/>
      <c r="Q2" s="1721"/>
      <c r="R2" s="1721"/>
    </row>
    <row r="3" spans="1:49" ht="15.75" customHeight="1">
      <c r="A3" s="92"/>
      <c r="B3" s="1415" t="s">
        <v>980</v>
      </c>
      <c r="C3" s="1415"/>
      <c r="D3" s="1415"/>
      <c r="E3" s="1415"/>
      <c r="F3" s="1415"/>
      <c r="G3" s="1415"/>
      <c r="H3" s="1415"/>
      <c r="I3" s="1415"/>
      <c r="J3" s="92"/>
      <c r="K3" s="1415" t="s">
        <v>788</v>
      </c>
      <c r="L3" s="1415"/>
      <c r="M3" s="1415"/>
      <c r="N3" s="1415"/>
      <c r="O3" s="1415"/>
      <c r="P3" s="1415"/>
      <c r="Q3" s="1415"/>
      <c r="R3" s="1415"/>
    </row>
    <row r="4" spans="1:49" ht="15.75" customHeight="1">
      <c r="A4" s="92"/>
      <c r="B4" s="1415"/>
      <c r="C4" s="1415"/>
      <c r="D4" s="1415"/>
      <c r="E4" s="1415"/>
      <c r="F4" s="1415"/>
      <c r="G4" s="1415"/>
      <c r="H4" s="1415"/>
      <c r="I4" s="1415"/>
      <c r="J4" s="92"/>
      <c r="K4" s="1415"/>
      <c r="L4" s="1415"/>
      <c r="M4" s="1415"/>
      <c r="N4" s="1415"/>
      <c r="O4" s="1415"/>
      <c r="P4" s="1415"/>
      <c r="Q4" s="1415"/>
      <c r="R4" s="1415"/>
    </row>
    <row r="5" spans="1:49" ht="15.95">
      <c r="A5" s="92"/>
      <c r="B5" s="180"/>
      <c r="C5" s="180"/>
      <c r="D5" s="181"/>
      <c r="E5" s="180"/>
      <c r="F5" s="180"/>
      <c r="G5" s="180"/>
      <c r="H5" s="180"/>
      <c r="I5" s="180"/>
      <c r="J5" s="87"/>
      <c r="K5" s="97"/>
      <c r="L5" s="98"/>
      <c r="M5" s="100"/>
      <c r="N5" s="98"/>
      <c r="O5" s="98" t="s">
        <v>757</v>
      </c>
      <c r="P5" s="98"/>
      <c r="Q5" s="98"/>
      <c r="R5" s="100"/>
    </row>
    <row r="6" spans="1:49" s="260" customFormat="1" ht="11.45">
      <c r="A6" s="105"/>
      <c r="B6" s="145" t="s">
        <v>789</v>
      </c>
      <c r="C6" s="103"/>
      <c r="D6" s="297" t="s">
        <v>741</v>
      </c>
      <c r="E6" s="1693">
        <f>FORM!I26</f>
        <v>0</v>
      </c>
      <c r="F6" s="1693"/>
      <c r="G6" s="1693"/>
      <c r="H6" s="1693"/>
      <c r="I6" s="1693"/>
      <c r="J6" s="259"/>
      <c r="K6" s="145" t="s">
        <v>789</v>
      </c>
      <c r="L6" s="117"/>
      <c r="M6" s="297" t="s">
        <v>741</v>
      </c>
      <c r="N6" s="1693">
        <f t="shared" ref="N6:N13" si="0">E6</f>
        <v>0</v>
      </c>
      <c r="O6" s="1693"/>
      <c r="P6" s="1693"/>
      <c r="Q6" s="1693"/>
      <c r="R6" s="1693"/>
    </row>
    <row r="7" spans="1:49" s="147" customFormat="1" ht="12">
      <c r="A7" s="105"/>
      <c r="B7" s="295" t="s">
        <v>740</v>
      </c>
      <c r="C7" s="104"/>
      <c r="D7" s="297" t="s">
        <v>741</v>
      </c>
      <c r="E7" s="1758" t="str">
        <f>FORM!I11</f>
        <v>The Southprime Flats</v>
      </c>
      <c r="F7" s="1759"/>
      <c r="G7" s="1759"/>
      <c r="H7" s="300" t="str">
        <f>FORM!I14</f>
        <v>B2</v>
      </c>
      <c r="I7" s="576"/>
      <c r="J7" s="261"/>
      <c r="K7" s="295" t="s">
        <v>740</v>
      </c>
      <c r="L7" s="108"/>
      <c r="M7" s="297" t="s">
        <v>741</v>
      </c>
      <c r="N7" s="1693" t="str">
        <f t="shared" si="0"/>
        <v>The Southprime Flats</v>
      </c>
      <c r="O7" s="1693"/>
      <c r="P7" s="1693"/>
      <c r="Q7" s="1693"/>
      <c r="R7" s="1693"/>
    </row>
    <row r="8" spans="1:49" s="147" customFormat="1" ht="12">
      <c r="A8" s="105"/>
      <c r="B8" s="295" t="s">
        <v>790</v>
      </c>
      <c r="C8" s="104"/>
      <c r="D8" s="297" t="s">
        <v>741</v>
      </c>
      <c r="E8" s="1693" t="str">
        <f>'STANDARD COMP.'!E8</f>
        <v>2L</v>
      </c>
      <c r="F8" s="1693"/>
      <c r="G8" s="1693"/>
      <c r="H8" s="1693"/>
      <c r="I8" s="1693"/>
      <c r="J8" s="261"/>
      <c r="K8" s="295" t="s">
        <v>790</v>
      </c>
      <c r="L8" s="108"/>
      <c r="M8" s="297" t="s">
        <v>741</v>
      </c>
      <c r="N8" s="1693" t="str">
        <f t="shared" si="0"/>
        <v>2L</v>
      </c>
      <c r="O8" s="1693"/>
      <c r="P8" s="1693"/>
      <c r="Q8" s="1693"/>
      <c r="R8" s="1693"/>
    </row>
    <row r="9" spans="1:49" s="147" customFormat="1" ht="12" hidden="1">
      <c r="A9" s="105"/>
      <c r="B9" s="295" t="s">
        <v>791</v>
      </c>
      <c r="C9" s="104"/>
      <c r="D9" s="297" t="s">
        <v>741</v>
      </c>
      <c r="E9" s="1693" t="e">
        <f>FORM!#REF!</f>
        <v>#REF!</v>
      </c>
      <c r="F9" s="1693"/>
      <c r="G9" s="1693"/>
      <c r="H9" s="1693"/>
      <c r="I9" s="1693"/>
      <c r="J9" s="101"/>
      <c r="K9" s="295" t="s">
        <v>791</v>
      </c>
      <c r="L9" s="108"/>
      <c r="M9" s="297" t="s">
        <v>741</v>
      </c>
      <c r="N9" s="1693" t="e">
        <f t="shared" si="0"/>
        <v>#REF!</v>
      </c>
      <c r="O9" s="1693"/>
      <c r="P9" s="1693"/>
      <c r="Q9" s="1693"/>
      <c r="R9" s="1693"/>
    </row>
    <row r="10" spans="1:49" s="183" customFormat="1" ht="11.45">
      <c r="A10" s="105"/>
      <c r="B10" s="295" t="s">
        <v>792</v>
      </c>
      <c r="C10" s="104"/>
      <c r="D10" s="297" t="s">
        <v>741</v>
      </c>
      <c r="E10" s="1693" t="str">
        <f>'STANDARD COMP.'!E10</f>
        <v>Studio</v>
      </c>
      <c r="F10" s="1693"/>
      <c r="G10" s="1693"/>
      <c r="H10" s="1693"/>
      <c r="I10" s="1693"/>
      <c r="J10" s="106"/>
      <c r="K10" s="295" t="s">
        <v>792</v>
      </c>
      <c r="L10" s="108"/>
      <c r="M10" s="297" t="s">
        <v>741</v>
      </c>
      <c r="N10" s="1693" t="str">
        <f t="shared" si="0"/>
        <v>Studio</v>
      </c>
      <c r="O10" s="1693"/>
      <c r="P10" s="1693"/>
      <c r="Q10" s="1693"/>
      <c r="R10" s="1693"/>
      <c r="T10" s="260"/>
      <c r="U10" s="260"/>
      <c r="V10" s="260"/>
      <c r="AI10" s="184"/>
      <c r="AV10" s="185"/>
      <c r="AW10" s="186"/>
    </row>
    <row r="11" spans="1:49" s="183" customFormat="1" ht="11.45">
      <c r="A11" s="105"/>
      <c r="B11" s="295" t="s">
        <v>793</v>
      </c>
      <c r="C11" s="104"/>
      <c r="D11" s="297" t="s">
        <v>741</v>
      </c>
      <c r="E11" s="1751">
        <f>'STANDARD COMP.'!E11:F11</f>
        <v>22</v>
      </c>
      <c r="F11" s="1756"/>
      <c r="G11" s="1753" t="s">
        <v>794</v>
      </c>
      <c r="H11" s="1753"/>
      <c r="I11" s="1754"/>
      <c r="J11" s="106"/>
      <c r="K11" s="295" t="s">
        <v>793</v>
      </c>
      <c r="L11" s="108"/>
      <c r="M11" s="297" t="s">
        <v>741</v>
      </c>
      <c r="N11" s="1751">
        <f t="shared" si="0"/>
        <v>22</v>
      </c>
      <c r="O11" s="1752"/>
      <c r="P11" s="1753" t="s">
        <v>794</v>
      </c>
      <c r="Q11" s="1753"/>
      <c r="R11" s="1754"/>
      <c r="T11" s="260"/>
      <c r="U11" s="260"/>
      <c r="V11" s="260"/>
      <c r="AI11" s="184"/>
      <c r="AV11" s="185"/>
      <c r="AW11" s="186"/>
    </row>
    <row r="12" spans="1:49" s="183" customFormat="1" ht="11.45">
      <c r="A12" s="105"/>
      <c r="B12" s="108" t="s">
        <v>795</v>
      </c>
      <c r="C12" s="104"/>
      <c r="D12" s="297" t="s">
        <v>741</v>
      </c>
      <c r="E12" s="1760">
        <f>'STANDARD COMP.'!E12:F12</f>
        <v>0</v>
      </c>
      <c r="F12" s="1761"/>
      <c r="G12" s="1753" t="s">
        <v>794</v>
      </c>
      <c r="H12" s="1753"/>
      <c r="I12" s="1754"/>
      <c r="J12" s="106"/>
      <c r="K12" s="108" t="s">
        <v>795</v>
      </c>
      <c r="L12" s="108"/>
      <c r="M12" s="297" t="s">
        <v>741</v>
      </c>
      <c r="N12" s="1760">
        <f t="shared" si="0"/>
        <v>0</v>
      </c>
      <c r="O12" s="1761"/>
      <c r="P12" s="1753" t="s">
        <v>794</v>
      </c>
      <c r="Q12" s="1753"/>
      <c r="R12" s="1754"/>
      <c r="T12" s="260"/>
      <c r="U12" s="260"/>
      <c r="V12" s="260"/>
      <c r="AI12" s="184"/>
      <c r="AV12" s="185"/>
      <c r="AW12" s="186"/>
    </row>
    <row r="13" spans="1:49" s="183" customFormat="1" ht="11.45">
      <c r="A13" s="105"/>
      <c r="B13" s="102" t="s">
        <v>796</v>
      </c>
      <c r="C13" s="110"/>
      <c r="D13" s="297" t="s">
        <v>741</v>
      </c>
      <c r="E13" s="1760">
        <f>'STANDARD COMP.'!E13:F13</f>
        <v>22</v>
      </c>
      <c r="F13" s="1761"/>
      <c r="G13" s="1753" t="s">
        <v>794</v>
      </c>
      <c r="H13" s="1753"/>
      <c r="I13" s="1754"/>
      <c r="J13" s="106"/>
      <c r="K13" s="102" t="s">
        <v>796</v>
      </c>
      <c r="L13" s="120"/>
      <c r="M13" s="297" t="s">
        <v>741</v>
      </c>
      <c r="N13" s="1760">
        <f t="shared" si="0"/>
        <v>22</v>
      </c>
      <c r="O13" s="1761"/>
      <c r="P13" s="1753" t="s">
        <v>794</v>
      </c>
      <c r="Q13" s="1753"/>
      <c r="R13" s="1754"/>
      <c r="T13" s="260"/>
      <c r="U13" s="260"/>
      <c r="V13" s="260"/>
      <c r="AI13" s="184"/>
      <c r="AV13" s="185"/>
      <c r="AW13" s="186"/>
    </row>
    <row r="14" spans="1:49" s="262" customFormat="1" ht="14.1">
      <c r="A14" s="124"/>
      <c r="B14" s="124"/>
      <c r="C14" s="124"/>
      <c r="D14" s="234"/>
      <c r="E14" s="112"/>
      <c r="F14" s="112"/>
      <c r="G14" s="112"/>
      <c r="H14" s="112"/>
      <c r="I14" s="112"/>
      <c r="J14" s="114"/>
      <c r="K14" s="124"/>
      <c r="L14" s="124"/>
      <c r="M14" s="200"/>
      <c r="N14" s="124"/>
      <c r="O14" s="124"/>
      <c r="P14" s="124"/>
      <c r="Q14" s="124"/>
      <c r="R14" s="124"/>
      <c r="T14" s="285"/>
      <c r="U14" s="285"/>
      <c r="V14" s="285"/>
      <c r="AI14" s="263"/>
      <c r="AV14" s="264"/>
      <c r="AW14" s="265"/>
    </row>
    <row r="15" spans="1:49" s="262" customFormat="1" ht="16.5" customHeight="1">
      <c r="A15" s="124"/>
      <c r="B15" s="201" t="s">
        <v>797</v>
      </c>
      <c r="C15" s="202"/>
      <c r="D15" s="231" t="s">
        <v>741</v>
      </c>
      <c r="E15" s="266"/>
      <c r="F15" s="1762">
        <f>'STANDARD COMP.'!F15</f>
        <v>3379693.0676632621</v>
      </c>
      <c r="G15" s="1762"/>
      <c r="H15" s="1762"/>
      <c r="I15" s="1762"/>
      <c r="J15" s="114"/>
      <c r="K15" s="1599" t="s">
        <v>798</v>
      </c>
      <c r="L15" s="1599"/>
      <c r="M15" s="1765" t="s">
        <v>709</v>
      </c>
      <c r="N15" s="1599" t="s">
        <v>712</v>
      </c>
      <c r="O15" s="1599"/>
      <c r="P15" s="1599" t="s">
        <v>458</v>
      </c>
      <c r="Q15" s="1599"/>
      <c r="R15" s="1599"/>
      <c r="T15" s="285"/>
      <c r="U15" s="285"/>
      <c r="V15" s="286">
        <f>M17</f>
        <v>45901</v>
      </c>
      <c r="AI15" s="263"/>
      <c r="AV15" s="264"/>
      <c r="AW15" s="265"/>
    </row>
    <row r="16" spans="1:49" s="262" customFormat="1" ht="14.1">
      <c r="A16" s="106"/>
      <c r="B16" s="295" t="s">
        <v>799</v>
      </c>
      <c r="C16" s="108"/>
      <c r="D16" s="297" t="s">
        <v>741</v>
      </c>
      <c r="E16" s="244"/>
      <c r="F16" s="1763">
        <f>'STANDARD COMP.'!F16:I16</f>
        <v>0</v>
      </c>
      <c r="G16" s="1763"/>
      <c r="H16" s="1763"/>
      <c r="I16" s="1763"/>
      <c r="J16" s="105" t="s">
        <v>757</v>
      </c>
      <c r="K16" s="1689"/>
      <c r="L16" s="1689"/>
      <c r="M16" s="1766"/>
      <c r="N16" s="1689"/>
      <c r="O16" s="1689"/>
      <c r="P16" s="1689"/>
      <c r="Q16" s="1689"/>
      <c r="R16" s="1689"/>
      <c r="T16" s="285"/>
      <c r="U16" s="285"/>
      <c r="V16" s="285"/>
      <c r="AI16" s="263"/>
      <c r="AV16" s="264"/>
      <c r="AW16" s="265"/>
    </row>
    <row r="17" spans="1:49" s="183" customFormat="1" ht="11.45">
      <c r="A17" s="105"/>
      <c r="B17" s="271" t="s">
        <v>913</v>
      </c>
      <c r="C17" s="110"/>
      <c r="D17" s="127" t="s">
        <v>741</v>
      </c>
      <c r="E17" s="246"/>
      <c r="F17" s="1762">
        <f>F15-F16</f>
        <v>3379693.0676632621</v>
      </c>
      <c r="G17" s="1762"/>
      <c r="H17" s="1762"/>
      <c r="I17" s="1762"/>
      <c r="J17" s="105"/>
      <c r="K17" s="1755" t="s">
        <v>758</v>
      </c>
      <c r="L17" s="1757"/>
      <c r="M17" s="118">
        <f>C1</f>
        <v>45901</v>
      </c>
      <c r="N17" s="1767">
        <f>F25</f>
        <v>30000</v>
      </c>
      <c r="O17" s="1768"/>
      <c r="P17" s="1690"/>
      <c r="Q17" s="1691"/>
      <c r="R17" s="1692"/>
      <c r="T17" s="260"/>
      <c r="U17" s="260"/>
      <c r="V17" s="286"/>
      <c r="AI17" s="184"/>
      <c r="AV17" s="185"/>
      <c r="AW17" s="186"/>
    </row>
    <row r="18" spans="1:49" s="150" customFormat="1" ht="12">
      <c r="A18" s="105"/>
      <c r="B18" s="115"/>
      <c r="C18" s="105"/>
      <c r="D18" s="297"/>
      <c r="E18" s="572"/>
      <c r="F18" s="116"/>
      <c r="G18" s="501">
        <f>E19*F17</f>
        <v>405563.16811959143</v>
      </c>
      <c r="H18" s="116"/>
      <c r="I18" s="105"/>
      <c r="J18" s="106"/>
      <c r="K18" s="1693" t="str">
        <f t="shared" ref="K18:K39" si="1">IF(N18&gt;1,T19,0)</f>
        <v>1st EQUITY PAYMENT</v>
      </c>
      <c r="L18" s="1693"/>
      <c r="M18" s="118">
        <f t="shared" ref="M18:M53" si="2">IF(N18&gt;1,V19,0)</f>
        <v>45935</v>
      </c>
      <c r="N18" s="1694">
        <f>IF(E28&gt;0,F28,0)</f>
        <v>205339.53372770816</v>
      </c>
      <c r="O18" s="1694"/>
      <c r="P18" s="1690"/>
      <c r="Q18" s="1691"/>
      <c r="R18" s="1692"/>
      <c r="T18" s="147"/>
      <c r="U18" s="147"/>
      <c r="V18" s="147"/>
    </row>
    <row r="19" spans="1:49" s="150" customFormat="1" ht="12">
      <c r="A19" s="105"/>
      <c r="B19" s="108" t="s">
        <v>803</v>
      </c>
      <c r="C19" s="108"/>
      <c r="D19" s="297" t="s">
        <v>741</v>
      </c>
      <c r="E19" s="247">
        <f>'STANDARD COMP.'!E19</f>
        <v>0.12</v>
      </c>
      <c r="F19" s="1740"/>
      <c r="G19" s="1740"/>
      <c r="H19" s="1740"/>
      <c r="I19" s="1740"/>
      <c r="J19" s="105"/>
      <c r="K19" s="1693" t="str">
        <f t="shared" si="1"/>
        <v>2nd EQUITY PAYMENT</v>
      </c>
      <c r="L19" s="1693"/>
      <c r="M19" s="118">
        <f t="shared" si="2"/>
        <v>45966</v>
      </c>
      <c r="N19" s="1694">
        <f>IF(E28&gt;1,F28,0)</f>
        <v>205339.53372770816</v>
      </c>
      <c r="O19" s="1694"/>
      <c r="P19" s="1690"/>
      <c r="Q19" s="1691"/>
      <c r="R19" s="1692"/>
      <c r="T19" s="147" t="s">
        <v>945</v>
      </c>
      <c r="U19" s="147"/>
      <c r="V19" s="287">
        <f>IF(DAY(V15)=31,X19,Z19)</f>
        <v>45935</v>
      </c>
      <c r="W19" s="500" t="s">
        <v>809</v>
      </c>
      <c r="X19" s="1583" t="b">
        <f>IF(DAY(V15)=31,DATE(YEAR(V15),MONTH(V15)+2,DAY(5)))</f>
        <v>0</v>
      </c>
      <c r="Y19" s="1584"/>
      <c r="Z19" s="495">
        <f>IF(AND(DAY(V15)&gt;=6,DAY(V15)&lt;=20),DATE(YEAR(V15),MONTH(V15)+1,DAY(20)),IF(AND(DAY(V15)&gt;=21,DAY(V15)&lt;=30),DATE(YEAR(V15),MONTH(V15)+1,IF(DAY(EOMONTH(V15,1))&lt;31,DAY(EOMONTH(V15,1)),DAY(30))),DATE(YEAR(V15),MONTH(V15)+1,DAY(5))))</f>
        <v>45935</v>
      </c>
    </row>
    <row r="20" spans="1:49" s="267" customFormat="1" ht="12">
      <c r="A20" s="105"/>
      <c r="B20" s="102" t="s">
        <v>806</v>
      </c>
      <c r="C20" s="120"/>
      <c r="D20" s="297" t="s">
        <v>741</v>
      </c>
      <c r="E20" s="565">
        <f>7.5%+2.75%</f>
        <v>0.10249999999999999</v>
      </c>
      <c r="F20" s="1740">
        <f>(E20*F15)+E18</f>
        <v>346418.53943548433</v>
      </c>
      <c r="G20" s="1740"/>
      <c r="H20" s="1740"/>
      <c r="I20" s="1740"/>
      <c r="J20" s="106"/>
      <c r="K20" s="1693" t="str">
        <f t="shared" si="1"/>
        <v>3rd EQUITY PAYMENT</v>
      </c>
      <c r="L20" s="1693"/>
      <c r="M20" s="118">
        <f t="shared" si="2"/>
        <v>45996</v>
      </c>
      <c r="N20" s="1694">
        <f>IF(E28&gt;2,F28,0)</f>
        <v>205339.53372770816</v>
      </c>
      <c r="O20" s="1694"/>
      <c r="P20" s="1690"/>
      <c r="Q20" s="1691"/>
      <c r="R20" s="1692"/>
      <c r="T20" s="147" t="s">
        <v>804</v>
      </c>
      <c r="U20" s="147"/>
      <c r="V20" s="287">
        <f>IF(AND(DAY(V19)&gt;=6,DAY(V19)&lt;=20),DATE(YEAR(V19),MONTH(V19)+1,DAY(20)),IF(AND(DAY(V19)&gt;=21,DAY(V19)&lt;=30),DATE(YEAR(V19),MONTH(V19)+1,IF(DAY(EOMONTH(V19,1))&lt;30,DAY(EOMONTH(V19,1)),DAY(30))),DATE(YEAR(V19),MONTH(V19)+1,DAY(5))))</f>
        <v>45966</v>
      </c>
    </row>
    <row r="21" spans="1:49" s="150" customFormat="1" ht="12">
      <c r="A21" s="106"/>
      <c r="B21" s="115"/>
      <c r="C21" s="105"/>
      <c r="D21" s="297"/>
      <c r="E21" s="297"/>
      <c r="F21" s="116"/>
      <c r="G21" s="116"/>
      <c r="H21" s="116"/>
      <c r="I21" s="105"/>
      <c r="J21" s="105"/>
      <c r="K21" s="1693" t="str">
        <f t="shared" si="1"/>
        <v>4th EQUITY PAYMENT</v>
      </c>
      <c r="L21" s="1693"/>
      <c r="M21" s="118">
        <f t="shared" si="2"/>
        <v>46027</v>
      </c>
      <c r="N21" s="1694">
        <f>IF(E28&gt;3,F28,0)</f>
        <v>205339.53372770816</v>
      </c>
      <c r="O21" s="1694"/>
      <c r="P21" s="1690"/>
      <c r="Q21" s="1691"/>
      <c r="R21" s="1692"/>
      <c r="T21" s="147" t="s">
        <v>807</v>
      </c>
      <c r="U21" s="147"/>
      <c r="V21" s="287">
        <f t="shared" ref="V21:V64" si="3">IF(AND(DAY(V20)&gt;=6,DAY(V20)&lt;=20),DATE(YEAR(V20),MONTH(V20)+1,DAY(20)),IF(AND(DAY(V20)&gt;=21,DAY(V20)&lt;=30),DATE(YEAR(V20),MONTH(V20)+1,IF(DAY(EOMONTH(V20,1))&lt;30,DAY(EOMONTH(V20,1)),DAY(30))),DATE(YEAR(V20),MONTH(V20)+1,DAY(5))))</f>
        <v>45996</v>
      </c>
    </row>
    <row r="22" spans="1:49" s="267" customFormat="1" ht="12">
      <c r="A22" s="105"/>
      <c r="B22" s="271" t="s">
        <v>810</v>
      </c>
      <c r="C22" s="110"/>
      <c r="D22" s="127" t="s">
        <v>741</v>
      </c>
      <c r="E22" s="248"/>
      <c r="F22" s="1738">
        <f>SUM(F19:I20,F17)</f>
        <v>3726111.6070987466</v>
      </c>
      <c r="G22" s="1738"/>
      <c r="H22" s="1738"/>
      <c r="I22" s="1738"/>
      <c r="J22" s="105"/>
      <c r="K22" s="1693" t="str">
        <f t="shared" si="1"/>
        <v>5th EQUITY PAYMENT</v>
      </c>
      <c r="L22" s="1693"/>
      <c r="M22" s="118">
        <f t="shared" si="2"/>
        <v>46058</v>
      </c>
      <c r="N22" s="1694">
        <f>IF(E28&gt;4,F28,0)</f>
        <v>205339.53372770816</v>
      </c>
      <c r="O22" s="1694"/>
      <c r="P22" s="1690"/>
      <c r="Q22" s="1691"/>
      <c r="R22" s="1692"/>
      <c r="T22" s="147" t="s">
        <v>808</v>
      </c>
      <c r="U22" s="147"/>
      <c r="V22" s="287">
        <f t="shared" si="3"/>
        <v>46027</v>
      </c>
    </row>
    <row r="23" spans="1:49" s="150" customFormat="1" ht="12">
      <c r="A23" s="105"/>
      <c r="B23" s="115"/>
      <c r="C23" s="105"/>
      <c r="D23" s="297"/>
      <c r="E23" s="297"/>
      <c r="F23" s="116"/>
      <c r="G23" s="116"/>
      <c r="H23" s="116"/>
      <c r="I23" s="105"/>
      <c r="J23" s="105"/>
      <c r="K23" s="1693" t="str">
        <f t="shared" si="1"/>
        <v>6th EQUITY PAYMENT</v>
      </c>
      <c r="L23" s="1693"/>
      <c r="M23" s="118">
        <f t="shared" si="2"/>
        <v>46086</v>
      </c>
      <c r="N23" s="1694">
        <f>IF(E28&gt;5,F28,0)</f>
        <v>205339.53372770816</v>
      </c>
      <c r="O23" s="1694"/>
      <c r="P23" s="1690"/>
      <c r="Q23" s="1691"/>
      <c r="R23" s="1692"/>
      <c r="T23" s="147" t="s">
        <v>811</v>
      </c>
      <c r="U23" s="147"/>
      <c r="V23" s="287">
        <f t="shared" si="3"/>
        <v>46058</v>
      </c>
    </row>
    <row r="24" spans="1:49" s="150" customFormat="1" ht="12.6">
      <c r="A24" s="106"/>
      <c r="B24" s="365" t="s">
        <v>813</v>
      </c>
      <c r="C24" s="117"/>
      <c r="D24" s="297" t="s">
        <v>741</v>
      </c>
      <c r="E24" s="294"/>
      <c r="F24" s="1740">
        <f>F22</f>
        <v>3726111.6070987466</v>
      </c>
      <c r="G24" s="1740"/>
      <c r="H24" s="1740"/>
      <c r="I24" s="1740"/>
      <c r="J24" s="105"/>
      <c r="K24" s="1693" t="str">
        <f t="shared" si="1"/>
        <v>7th EQUITY PAYMENT</v>
      </c>
      <c r="L24" s="1693"/>
      <c r="M24" s="118">
        <f t="shared" si="2"/>
        <v>46117</v>
      </c>
      <c r="N24" s="1694">
        <f>IF(E28&gt;6,F28,0)</f>
        <v>205339.53372770816</v>
      </c>
      <c r="O24" s="1694"/>
      <c r="P24" s="1690"/>
      <c r="Q24" s="1691"/>
      <c r="R24" s="1692"/>
      <c r="T24" s="147" t="s">
        <v>812</v>
      </c>
      <c r="U24" s="147"/>
      <c r="V24" s="287">
        <f t="shared" si="3"/>
        <v>46086</v>
      </c>
    </row>
    <row r="25" spans="1:49" s="150" customFormat="1" ht="12">
      <c r="A25" s="105"/>
      <c r="B25" s="145" t="s">
        <v>973</v>
      </c>
      <c r="C25" s="117"/>
      <c r="D25" s="297" t="s">
        <v>741</v>
      </c>
      <c r="E25" s="294"/>
      <c r="F25" s="1740">
        <f>FORM!I22</f>
        <v>30000</v>
      </c>
      <c r="G25" s="1740"/>
      <c r="H25" s="1740"/>
      <c r="I25" s="1740"/>
      <c r="J25" s="105"/>
      <c r="K25" s="1693" t="str">
        <f t="shared" si="1"/>
        <v>8th EQUITY PAYMENT</v>
      </c>
      <c r="L25" s="1693"/>
      <c r="M25" s="118">
        <f t="shared" si="2"/>
        <v>46147</v>
      </c>
      <c r="N25" s="1694">
        <f>IF(E28&gt;7,F28,0)</f>
        <v>205339.53372770816</v>
      </c>
      <c r="O25" s="1694"/>
      <c r="P25" s="1690"/>
      <c r="Q25" s="1691"/>
      <c r="R25" s="1692"/>
      <c r="T25" s="147" t="s">
        <v>814</v>
      </c>
      <c r="U25" s="147"/>
      <c r="V25" s="287">
        <f t="shared" si="3"/>
        <v>46117</v>
      </c>
    </row>
    <row r="26" spans="1:49" s="150" customFormat="1" ht="12">
      <c r="A26" s="106"/>
      <c r="B26" s="249" t="s">
        <v>817</v>
      </c>
      <c r="C26" s="104"/>
      <c r="D26" s="127" t="s">
        <v>741</v>
      </c>
      <c r="E26" s="248"/>
      <c r="F26" s="1738">
        <f>F24-F25</f>
        <v>3696111.6070987466</v>
      </c>
      <c r="G26" s="1738"/>
      <c r="H26" s="1738"/>
      <c r="I26" s="1738"/>
      <c r="J26" s="106"/>
      <c r="K26" s="1693" t="str">
        <f t="shared" si="1"/>
        <v>9th EQUITY PAYMENT</v>
      </c>
      <c r="L26" s="1693"/>
      <c r="M26" s="118">
        <f t="shared" si="2"/>
        <v>46178</v>
      </c>
      <c r="N26" s="1694">
        <f>IF(E28&gt;8,F28,0)</f>
        <v>205339.53372770816</v>
      </c>
      <c r="O26" s="1694"/>
      <c r="P26" s="1690"/>
      <c r="Q26" s="1691"/>
      <c r="R26" s="1692"/>
      <c r="T26" s="147" t="s">
        <v>816</v>
      </c>
      <c r="U26" s="147"/>
      <c r="V26" s="287">
        <f t="shared" si="3"/>
        <v>46147</v>
      </c>
    </row>
    <row r="27" spans="1:49" s="150" customFormat="1" ht="12">
      <c r="A27" s="105"/>
      <c r="B27" s="268"/>
      <c r="C27" s="269"/>
      <c r="D27" s="127"/>
      <c r="E27" s="127"/>
      <c r="F27" s="270"/>
      <c r="G27" s="270"/>
      <c r="H27" s="270"/>
      <c r="I27" s="270"/>
      <c r="J27" s="105"/>
      <c r="K27" s="1693" t="str">
        <f t="shared" si="1"/>
        <v>10th EQUITY PAYMENT</v>
      </c>
      <c r="L27" s="1693"/>
      <c r="M27" s="118">
        <f t="shared" si="2"/>
        <v>46208</v>
      </c>
      <c r="N27" s="1694">
        <f>IF(E28&gt;9,F28,0)</f>
        <v>205339.53372770816</v>
      </c>
      <c r="O27" s="1694"/>
      <c r="P27" s="1690"/>
      <c r="Q27" s="1691"/>
      <c r="R27" s="1692"/>
      <c r="T27" s="147" t="s">
        <v>818</v>
      </c>
      <c r="U27" s="147"/>
      <c r="V27" s="287">
        <f t="shared" si="3"/>
        <v>46178</v>
      </c>
    </row>
    <row r="28" spans="1:49" s="267" customFormat="1" ht="12">
      <c r="A28" s="105"/>
      <c r="B28" s="271" t="s">
        <v>981</v>
      </c>
      <c r="C28" s="120"/>
      <c r="D28" s="297" t="s">
        <v>741</v>
      </c>
      <c r="E28" s="248">
        <f>'STANDARD COMP.'!E28</f>
        <v>18</v>
      </c>
      <c r="F28" s="1769">
        <f>F26/E28</f>
        <v>205339.53372770816</v>
      </c>
      <c r="G28" s="1738"/>
      <c r="H28" s="1738"/>
      <c r="I28" s="1738"/>
      <c r="J28" s="105"/>
      <c r="K28" s="1693" t="str">
        <f t="shared" si="1"/>
        <v>11th EQUITY PAYMENT</v>
      </c>
      <c r="L28" s="1693"/>
      <c r="M28" s="118">
        <f t="shared" si="2"/>
        <v>46239</v>
      </c>
      <c r="N28" s="1694">
        <f>IF(E28&gt;10,F28,0)</f>
        <v>205339.53372770816</v>
      </c>
      <c r="O28" s="1694"/>
      <c r="P28" s="1690"/>
      <c r="Q28" s="1691"/>
      <c r="R28" s="1692"/>
      <c r="T28" s="147" t="s">
        <v>819</v>
      </c>
      <c r="U28" s="147"/>
      <c r="V28" s="287">
        <f t="shared" si="3"/>
        <v>46208</v>
      </c>
    </row>
    <row r="29" spans="1:49" s="150" customFormat="1" ht="12">
      <c r="A29" s="105"/>
      <c r="B29" s="272"/>
      <c r="C29" s="105"/>
      <c r="D29" s="297"/>
      <c r="E29" s="105"/>
      <c r="F29" s="105"/>
      <c r="G29" s="105"/>
      <c r="H29" s="105"/>
      <c r="I29" s="105"/>
      <c r="J29" s="106"/>
      <c r="K29" s="1693" t="str">
        <f t="shared" si="1"/>
        <v>12th EQUITY PAYMENT</v>
      </c>
      <c r="L29" s="1693"/>
      <c r="M29" s="118">
        <f t="shared" si="2"/>
        <v>46270</v>
      </c>
      <c r="N29" s="1694">
        <f>IF(E28&gt;11,F28,0)</f>
        <v>205339.53372770816</v>
      </c>
      <c r="O29" s="1694"/>
      <c r="P29" s="1690"/>
      <c r="Q29" s="1691"/>
      <c r="R29" s="1692"/>
      <c r="T29" s="147" t="s">
        <v>822</v>
      </c>
      <c r="U29" s="147"/>
      <c r="V29" s="287">
        <f t="shared" si="3"/>
        <v>46239</v>
      </c>
    </row>
    <row r="30" spans="1:49" s="267" customFormat="1" ht="12">
      <c r="A30" s="105"/>
      <c r="B30" s="273"/>
      <c r="C30" s="150"/>
      <c r="D30" s="274"/>
      <c r="E30" s="150"/>
      <c r="F30" s="150"/>
      <c r="G30" s="150"/>
      <c r="H30" s="105"/>
      <c r="I30" s="105"/>
      <c r="J30" s="106"/>
      <c r="K30" s="1693" t="str">
        <f t="shared" si="1"/>
        <v>13th EQUITY PAYMENT</v>
      </c>
      <c r="L30" s="1693"/>
      <c r="M30" s="118">
        <f t="shared" si="2"/>
        <v>46300</v>
      </c>
      <c r="N30" s="1694">
        <f>IF(E28&gt;12,F28,0)</f>
        <v>205339.53372770816</v>
      </c>
      <c r="O30" s="1694"/>
      <c r="P30" s="1690"/>
      <c r="Q30" s="1691"/>
      <c r="R30" s="1692"/>
      <c r="T30" s="147" t="s">
        <v>823</v>
      </c>
      <c r="U30" s="147"/>
      <c r="V30" s="287">
        <f t="shared" si="3"/>
        <v>46270</v>
      </c>
    </row>
    <row r="31" spans="1:49" s="267" customFormat="1" ht="12">
      <c r="A31" s="105"/>
      <c r="B31" s="150"/>
      <c r="C31" s="150"/>
      <c r="D31" s="274"/>
      <c r="E31" s="150"/>
      <c r="F31" s="150"/>
      <c r="G31" s="150"/>
      <c r="H31" s="150"/>
      <c r="I31" s="150"/>
      <c r="J31" s="105"/>
      <c r="K31" s="1693" t="str">
        <f t="shared" si="1"/>
        <v>14th EQUITY PAYMENT</v>
      </c>
      <c r="L31" s="1693"/>
      <c r="M31" s="118">
        <f t="shared" si="2"/>
        <v>46331</v>
      </c>
      <c r="N31" s="1694">
        <f>IF(E28&gt;13,F28,0)</f>
        <v>205339.53372770816</v>
      </c>
      <c r="O31" s="1694"/>
      <c r="P31" s="1690"/>
      <c r="Q31" s="1691"/>
      <c r="R31" s="1692"/>
      <c r="T31" s="147" t="s">
        <v>824</v>
      </c>
      <c r="U31" s="147"/>
      <c r="V31" s="287">
        <f t="shared" si="3"/>
        <v>46300</v>
      </c>
    </row>
    <row r="32" spans="1:49" s="150" customFormat="1" ht="12">
      <c r="A32" s="105"/>
      <c r="B32" s="110" t="s">
        <v>864</v>
      </c>
      <c r="C32" s="275"/>
      <c r="D32" s="106"/>
      <c r="E32" s="106"/>
      <c r="F32" s="106"/>
      <c r="G32" s="106"/>
      <c r="H32" s="106"/>
      <c r="I32" s="106"/>
      <c r="J32" s="105"/>
      <c r="K32" s="1693" t="str">
        <f t="shared" si="1"/>
        <v>15th EQUITY PAYMENT</v>
      </c>
      <c r="L32" s="1693"/>
      <c r="M32" s="118">
        <f t="shared" si="2"/>
        <v>46361</v>
      </c>
      <c r="N32" s="1694">
        <f>IF(E28&gt;14,F28,0)</f>
        <v>205339.53372770816</v>
      </c>
      <c r="O32" s="1694"/>
      <c r="P32" s="1690"/>
      <c r="Q32" s="1691"/>
      <c r="R32" s="1692"/>
      <c r="T32" s="147" t="s">
        <v>825</v>
      </c>
      <c r="U32" s="147"/>
      <c r="V32" s="287">
        <f t="shared" si="3"/>
        <v>46331</v>
      </c>
    </row>
    <row r="33" spans="1:22" s="150" customFormat="1" ht="12">
      <c r="A33" s="105"/>
      <c r="B33" s="106"/>
      <c r="C33" s="106"/>
      <c r="D33" s="106"/>
      <c r="E33" s="106"/>
      <c r="F33" s="106"/>
      <c r="G33" s="106"/>
      <c r="H33" s="106"/>
      <c r="I33" s="106"/>
      <c r="J33" s="106"/>
      <c r="K33" s="1693" t="str">
        <f t="shared" si="1"/>
        <v>16th EQUITY PAYMENT</v>
      </c>
      <c r="L33" s="1693"/>
      <c r="M33" s="118">
        <f t="shared" si="2"/>
        <v>46392</v>
      </c>
      <c r="N33" s="1694">
        <f>IF(E28&gt;15,F28,0)</f>
        <v>205339.53372770816</v>
      </c>
      <c r="O33" s="1694"/>
      <c r="P33" s="1690"/>
      <c r="Q33" s="1691"/>
      <c r="R33" s="1692"/>
      <c r="T33" s="147" t="s">
        <v>826</v>
      </c>
      <c r="U33" s="147"/>
      <c r="V33" s="287">
        <f t="shared" si="3"/>
        <v>46361</v>
      </c>
    </row>
    <row r="34" spans="1:22" s="267" customFormat="1" ht="12">
      <c r="A34" s="105"/>
      <c r="B34" s="1633" t="s">
        <v>753</v>
      </c>
      <c r="C34" s="1633"/>
      <c r="D34" s="1633" t="s">
        <v>754</v>
      </c>
      <c r="E34" s="1633"/>
      <c r="F34" s="1633"/>
      <c r="G34" s="1633"/>
      <c r="H34" s="1633" t="s">
        <v>868</v>
      </c>
      <c r="I34" s="1633"/>
      <c r="J34" s="105"/>
      <c r="K34" s="1693" t="str">
        <f t="shared" si="1"/>
        <v>17th EQUITY PAYMENT</v>
      </c>
      <c r="L34" s="1693"/>
      <c r="M34" s="118">
        <f t="shared" si="2"/>
        <v>46423</v>
      </c>
      <c r="N34" s="1694">
        <f>IF(E28&gt;16,F28,0)</f>
        <v>205339.53372770816</v>
      </c>
      <c r="O34" s="1694"/>
      <c r="P34" s="1690"/>
      <c r="Q34" s="1691"/>
      <c r="R34" s="1692"/>
      <c r="T34" s="147" t="s">
        <v>828</v>
      </c>
      <c r="U34" s="147"/>
      <c r="V34" s="287">
        <f t="shared" si="3"/>
        <v>46392</v>
      </c>
    </row>
    <row r="35" spans="1:22" s="150" customFormat="1" ht="12">
      <c r="A35" s="105"/>
      <c r="B35" s="1728">
        <f>'SPOT CASH_60 DAYS'!B34</f>
        <v>0</v>
      </c>
      <c r="C35" s="1730"/>
      <c r="D35" s="1728">
        <f>'SPOT CASH_60 DAYS'!D34:D34</f>
        <v>0</v>
      </c>
      <c r="E35" s="1729"/>
      <c r="F35" s="1729"/>
      <c r="G35" s="1730"/>
      <c r="H35" s="1623">
        <f>'SPOT CASH_60 DAYS'!G34</f>
        <v>0</v>
      </c>
      <c r="I35" s="1624"/>
      <c r="J35" s="105"/>
      <c r="K35" s="1693" t="str">
        <f t="shared" si="1"/>
        <v>18th EQUITY PAYMENT</v>
      </c>
      <c r="L35" s="1693"/>
      <c r="M35" s="118">
        <f t="shared" si="2"/>
        <v>46451</v>
      </c>
      <c r="N35" s="1767">
        <f>IF(E28&gt;17,F28,0)</f>
        <v>205339.53372770816</v>
      </c>
      <c r="O35" s="1768"/>
      <c r="P35" s="1690"/>
      <c r="Q35" s="1691"/>
      <c r="R35" s="1692"/>
      <c r="T35" s="147" t="s">
        <v>829</v>
      </c>
      <c r="U35" s="147"/>
      <c r="V35" s="287">
        <f t="shared" si="3"/>
        <v>46423</v>
      </c>
    </row>
    <row r="36" spans="1:22" s="150" customFormat="1" ht="12">
      <c r="A36" s="105"/>
      <c r="B36" s="1731"/>
      <c r="C36" s="1733"/>
      <c r="D36" s="1731"/>
      <c r="E36" s="1732"/>
      <c r="F36" s="1732"/>
      <c r="G36" s="1733"/>
      <c r="H36" s="1625"/>
      <c r="I36" s="1626"/>
      <c r="J36" s="105"/>
      <c r="K36" s="1693">
        <f t="shared" si="1"/>
        <v>0</v>
      </c>
      <c r="L36" s="1693"/>
      <c r="M36" s="118">
        <f t="shared" si="2"/>
        <v>0</v>
      </c>
      <c r="N36" s="1694">
        <f>IF(E28&gt;18,F28,0)</f>
        <v>0</v>
      </c>
      <c r="O36" s="1694"/>
      <c r="P36" s="1690"/>
      <c r="Q36" s="1691"/>
      <c r="R36" s="1692"/>
      <c r="T36" s="147" t="s">
        <v>831</v>
      </c>
      <c r="U36" s="147"/>
      <c r="V36" s="287">
        <f t="shared" si="3"/>
        <v>46451</v>
      </c>
    </row>
    <row r="37" spans="1:22" s="150" customFormat="1" ht="12">
      <c r="A37" s="105"/>
      <c r="B37" s="1728">
        <f>'SPOT CASH_60 DAYS'!B36</f>
        <v>0</v>
      </c>
      <c r="C37" s="1730"/>
      <c r="D37" s="1728">
        <f>'SPOT CASH_60 DAYS'!D36:D36</f>
        <v>0</v>
      </c>
      <c r="E37" s="1729"/>
      <c r="F37" s="1729"/>
      <c r="G37" s="1730"/>
      <c r="H37" s="1623">
        <f>'SPOT CASH_60 DAYS'!G36</f>
        <v>0</v>
      </c>
      <c r="I37" s="1624"/>
      <c r="J37" s="105"/>
      <c r="K37" s="1693">
        <f t="shared" si="1"/>
        <v>0</v>
      </c>
      <c r="L37" s="1693"/>
      <c r="M37" s="118">
        <f t="shared" si="2"/>
        <v>0</v>
      </c>
      <c r="N37" s="1694">
        <f>IF(E28&gt;19,F28,0)</f>
        <v>0</v>
      </c>
      <c r="O37" s="1694"/>
      <c r="P37" s="1690"/>
      <c r="Q37" s="1691"/>
      <c r="R37" s="1692"/>
      <c r="T37" s="147" t="s">
        <v>832</v>
      </c>
      <c r="U37" s="147"/>
      <c r="V37" s="287">
        <f t="shared" si="3"/>
        <v>46482</v>
      </c>
    </row>
    <row r="38" spans="1:22" s="150" customFormat="1" ht="15" customHeight="1">
      <c r="A38" s="105"/>
      <c r="B38" s="1731"/>
      <c r="C38" s="1733"/>
      <c r="D38" s="1731"/>
      <c r="E38" s="1732"/>
      <c r="F38" s="1732"/>
      <c r="G38" s="1733"/>
      <c r="H38" s="1625"/>
      <c r="I38" s="1626"/>
      <c r="J38" s="105"/>
      <c r="K38" s="1693">
        <f t="shared" si="1"/>
        <v>0</v>
      </c>
      <c r="L38" s="1693"/>
      <c r="M38" s="118">
        <f t="shared" si="2"/>
        <v>0</v>
      </c>
      <c r="N38" s="1694">
        <f>IF(E28&gt;20,F28,0)</f>
        <v>0</v>
      </c>
      <c r="O38" s="1694"/>
      <c r="P38" s="1690"/>
      <c r="Q38" s="1691"/>
      <c r="R38" s="1692"/>
      <c r="T38" s="147" t="s">
        <v>837</v>
      </c>
      <c r="U38" s="147"/>
      <c r="V38" s="287">
        <f t="shared" si="3"/>
        <v>46512</v>
      </c>
    </row>
    <row r="39" spans="1:22" s="150" customFormat="1" ht="12">
      <c r="A39" s="105"/>
      <c r="B39" s="1728">
        <f>'SPOT CASH_60 DAYS'!B38</f>
        <v>0</v>
      </c>
      <c r="C39" s="1730"/>
      <c r="D39" s="1728">
        <f>'SPOT CASH_60 DAYS'!D38:D38</f>
        <v>0</v>
      </c>
      <c r="E39" s="1729"/>
      <c r="F39" s="1729"/>
      <c r="G39" s="1730"/>
      <c r="H39" s="1623">
        <f>'SPOT CASH_60 DAYS'!G38</f>
        <v>0</v>
      </c>
      <c r="I39" s="1624"/>
      <c r="J39" s="105"/>
      <c r="K39" s="1693">
        <f t="shared" si="1"/>
        <v>0</v>
      </c>
      <c r="L39" s="1693"/>
      <c r="M39" s="118">
        <f t="shared" si="2"/>
        <v>0</v>
      </c>
      <c r="N39" s="1694">
        <f>IF(E28&gt;21,F28,0)</f>
        <v>0</v>
      </c>
      <c r="O39" s="1694"/>
      <c r="P39" s="1690"/>
      <c r="Q39" s="1691"/>
      <c r="R39" s="1692"/>
      <c r="T39" s="147" t="s">
        <v>838</v>
      </c>
      <c r="U39" s="147"/>
      <c r="V39" s="287">
        <f t="shared" si="3"/>
        <v>46543</v>
      </c>
    </row>
    <row r="40" spans="1:22" s="150" customFormat="1" ht="15" customHeight="1">
      <c r="A40" s="105"/>
      <c r="B40" s="1731"/>
      <c r="C40" s="1733"/>
      <c r="D40" s="1731"/>
      <c r="E40" s="1732"/>
      <c r="F40" s="1732"/>
      <c r="G40" s="1733"/>
      <c r="H40" s="1625"/>
      <c r="I40" s="1626"/>
      <c r="J40" s="105"/>
      <c r="K40" s="1693">
        <f t="shared" ref="K40:K45" si="4">IF(N40&gt;1,T41,0)</f>
        <v>0</v>
      </c>
      <c r="L40" s="1693"/>
      <c r="M40" s="118">
        <f t="shared" si="2"/>
        <v>0</v>
      </c>
      <c r="N40" s="1694">
        <f>IF($E$28&gt;22,$F$28,0)</f>
        <v>0</v>
      </c>
      <c r="O40" s="1694"/>
      <c r="P40" s="1690"/>
      <c r="Q40" s="1691"/>
      <c r="R40" s="1692"/>
      <c r="T40" s="147" t="s">
        <v>839</v>
      </c>
      <c r="U40" s="147"/>
      <c r="V40" s="287">
        <f t="shared" si="3"/>
        <v>46573</v>
      </c>
    </row>
    <row r="41" spans="1:22" s="150" customFormat="1" ht="14.25" customHeight="1">
      <c r="A41" s="105"/>
      <c r="B41" s="1728">
        <f>'SPOT CASH_60 DAYS'!B40</f>
        <v>0</v>
      </c>
      <c r="C41" s="1730"/>
      <c r="D41" s="1728">
        <f>'SPOT CASH_60 DAYS'!D40:D40</f>
        <v>0</v>
      </c>
      <c r="E41" s="1729"/>
      <c r="F41" s="1729"/>
      <c r="G41" s="1730"/>
      <c r="H41" s="1623">
        <f>'SPOT CASH_60 DAYS'!G40</f>
        <v>0</v>
      </c>
      <c r="I41" s="1624"/>
      <c r="J41" s="105"/>
      <c r="K41" s="1693">
        <f t="shared" si="4"/>
        <v>0</v>
      </c>
      <c r="L41" s="1693"/>
      <c r="M41" s="118">
        <f t="shared" si="2"/>
        <v>0</v>
      </c>
      <c r="N41" s="1694">
        <f>IF(E28&gt;23,F28,0)</f>
        <v>0</v>
      </c>
      <c r="O41" s="1694"/>
      <c r="P41" s="1690"/>
      <c r="Q41" s="1691"/>
      <c r="R41" s="1692"/>
      <c r="T41" s="147" t="s">
        <v>840</v>
      </c>
      <c r="U41" s="147"/>
      <c r="V41" s="287">
        <f t="shared" si="3"/>
        <v>46604</v>
      </c>
    </row>
    <row r="42" spans="1:22" s="150" customFormat="1" ht="15" customHeight="1">
      <c r="A42" s="105"/>
      <c r="B42" s="1731"/>
      <c r="C42" s="1733"/>
      <c r="D42" s="1731"/>
      <c r="E42" s="1732"/>
      <c r="F42" s="1732"/>
      <c r="G42" s="1733"/>
      <c r="H42" s="1625"/>
      <c r="I42" s="1626"/>
      <c r="J42" s="105"/>
      <c r="K42" s="1693">
        <f t="shared" si="4"/>
        <v>0</v>
      </c>
      <c r="L42" s="1693"/>
      <c r="M42" s="118">
        <f t="shared" si="2"/>
        <v>0</v>
      </c>
      <c r="N42" s="1770">
        <f>IF(E28&gt;24,F28,0)</f>
        <v>0</v>
      </c>
      <c r="O42" s="1770"/>
      <c r="P42" s="1690"/>
      <c r="Q42" s="1691"/>
      <c r="R42" s="1692"/>
      <c r="T42" s="147" t="s">
        <v>841</v>
      </c>
      <c r="U42" s="147"/>
      <c r="V42" s="287">
        <f t="shared" si="3"/>
        <v>46635</v>
      </c>
    </row>
    <row r="43" spans="1:22" s="150" customFormat="1" ht="14.25" customHeight="1">
      <c r="A43" s="105"/>
      <c r="B43" s="1728">
        <f>'SPOT CASH_60 DAYS'!B42</f>
        <v>0</v>
      </c>
      <c r="C43" s="1730"/>
      <c r="D43" s="1728">
        <f>'SPOT CASH_60 DAYS'!D42:D42</f>
        <v>0</v>
      </c>
      <c r="E43" s="1729"/>
      <c r="F43" s="1729"/>
      <c r="G43" s="1730"/>
      <c r="H43" s="1623">
        <f>'SPOT CASH_60 DAYS'!G42</f>
        <v>0</v>
      </c>
      <c r="I43" s="1624"/>
      <c r="J43" s="105"/>
      <c r="K43" s="1693">
        <f t="shared" si="4"/>
        <v>0</v>
      </c>
      <c r="L43" s="1693"/>
      <c r="M43" s="118">
        <f t="shared" si="2"/>
        <v>0</v>
      </c>
      <c r="N43" s="1694">
        <f>IF(E28&gt;25,F28,0)</f>
        <v>0</v>
      </c>
      <c r="O43" s="1694"/>
      <c r="P43" s="1690"/>
      <c r="Q43" s="1691"/>
      <c r="R43" s="1692"/>
      <c r="T43" s="147" t="s">
        <v>842</v>
      </c>
      <c r="U43" s="147"/>
      <c r="V43" s="287">
        <f t="shared" si="3"/>
        <v>46665</v>
      </c>
    </row>
    <row r="44" spans="1:22" s="150" customFormat="1" ht="15" customHeight="1">
      <c r="A44" s="105"/>
      <c r="B44" s="1731"/>
      <c r="C44" s="1733"/>
      <c r="D44" s="1731"/>
      <c r="E44" s="1732"/>
      <c r="F44" s="1732"/>
      <c r="G44" s="1733"/>
      <c r="H44" s="1625"/>
      <c r="I44" s="1626"/>
      <c r="J44" s="105"/>
      <c r="K44" s="1693">
        <f t="shared" si="4"/>
        <v>0</v>
      </c>
      <c r="L44" s="1693"/>
      <c r="M44" s="118">
        <f t="shared" si="2"/>
        <v>0</v>
      </c>
      <c r="N44" s="1694">
        <f>IF(E28&gt;26,F28,0)</f>
        <v>0</v>
      </c>
      <c r="O44" s="1694"/>
      <c r="P44" s="1690"/>
      <c r="Q44" s="1691"/>
      <c r="R44" s="1692"/>
      <c r="T44" s="147" t="s">
        <v>843</v>
      </c>
      <c r="U44" s="147"/>
      <c r="V44" s="287">
        <f t="shared" si="3"/>
        <v>46696</v>
      </c>
    </row>
    <row r="45" spans="1:22" s="150" customFormat="1" ht="14.25" customHeight="1">
      <c r="A45" s="105"/>
      <c r="B45" s="1728">
        <f>'SPOT CASH_60 DAYS'!B44</f>
        <v>0</v>
      </c>
      <c r="C45" s="1730"/>
      <c r="D45" s="1728">
        <f>'SPOT CASH_60 DAYS'!D44:D44</f>
        <v>0</v>
      </c>
      <c r="E45" s="1729"/>
      <c r="F45" s="1729"/>
      <c r="G45" s="1730"/>
      <c r="H45" s="1623">
        <f>'SPOT CASH_60 DAYS'!G44</f>
        <v>0</v>
      </c>
      <c r="I45" s="1624"/>
      <c r="J45" s="105"/>
      <c r="K45" s="1693">
        <f t="shared" si="4"/>
        <v>0</v>
      </c>
      <c r="L45" s="1693"/>
      <c r="M45" s="118">
        <f t="shared" si="2"/>
        <v>0</v>
      </c>
      <c r="N45" s="1694">
        <f>IF(E28&gt;27,F28,0)</f>
        <v>0</v>
      </c>
      <c r="O45" s="1694"/>
      <c r="P45" s="1690"/>
      <c r="Q45" s="1691"/>
      <c r="R45" s="1692"/>
      <c r="T45" s="147" t="s">
        <v>845</v>
      </c>
      <c r="U45" s="147"/>
      <c r="V45" s="287">
        <f t="shared" si="3"/>
        <v>46726</v>
      </c>
    </row>
    <row r="46" spans="1:22" s="150" customFormat="1" ht="15" customHeight="1">
      <c r="A46" s="124"/>
      <c r="B46" s="1731"/>
      <c r="C46" s="1733"/>
      <c r="D46" s="1731"/>
      <c r="E46" s="1732"/>
      <c r="F46" s="1732"/>
      <c r="G46" s="1733"/>
      <c r="H46" s="1625"/>
      <c r="I46" s="1626"/>
      <c r="J46" s="105"/>
      <c r="K46" s="1693">
        <f t="shared" ref="K46:K53" si="5">IF(N46&gt;1,T47,0)</f>
        <v>0</v>
      </c>
      <c r="L46" s="1693"/>
      <c r="M46" s="118">
        <f t="shared" si="2"/>
        <v>0</v>
      </c>
      <c r="N46" s="1694">
        <f>IF(E28&gt;28,F28,0)</f>
        <v>0</v>
      </c>
      <c r="O46" s="1694"/>
      <c r="P46" s="1690"/>
      <c r="Q46" s="1691"/>
      <c r="R46" s="1692"/>
      <c r="T46" s="147" t="s">
        <v>847</v>
      </c>
      <c r="U46" s="147"/>
      <c r="V46" s="287">
        <f t="shared" si="3"/>
        <v>46757</v>
      </c>
    </row>
    <row r="47" spans="1:22" s="150" customFormat="1" ht="14.25" customHeight="1">
      <c r="A47" s="124"/>
      <c r="D47" s="274"/>
      <c r="J47" s="124"/>
      <c r="K47" s="1693">
        <f t="shared" si="5"/>
        <v>0</v>
      </c>
      <c r="L47" s="1693"/>
      <c r="M47" s="118">
        <f t="shared" si="2"/>
        <v>0</v>
      </c>
      <c r="N47" s="1694">
        <f>IF(E28&gt;29,F28,0)</f>
        <v>0</v>
      </c>
      <c r="O47" s="1694"/>
      <c r="P47" s="1690"/>
      <c r="Q47" s="1691"/>
      <c r="R47" s="1692"/>
      <c r="T47" s="147" t="s">
        <v>848</v>
      </c>
      <c r="U47" s="147"/>
      <c r="V47" s="287">
        <f t="shared" si="3"/>
        <v>46788</v>
      </c>
    </row>
    <row r="48" spans="1:22">
      <c r="A48" s="124"/>
      <c r="B48" s="150"/>
      <c r="C48" s="150"/>
      <c r="D48" s="150"/>
      <c r="E48" s="150"/>
      <c r="F48" s="106"/>
      <c r="G48" s="105"/>
      <c r="H48" s="106"/>
      <c r="I48" s="106"/>
      <c r="J48" s="124"/>
      <c r="K48" s="1693">
        <f t="shared" si="5"/>
        <v>0</v>
      </c>
      <c r="L48" s="1693"/>
      <c r="M48" s="118">
        <f t="shared" si="2"/>
        <v>0</v>
      </c>
      <c r="N48" s="1694">
        <f>IF(E28&gt;30,F28,0)</f>
        <v>0</v>
      </c>
      <c r="O48" s="1694"/>
      <c r="P48" s="1690"/>
      <c r="Q48" s="1691"/>
      <c r="R48" s="1692"/>
      <c r="T48" s="138" t="s">
        <v>850</v>
      </c>
      <c r="U48" s="138"/>
      <c r="V48" s="287">
        <f t="shared" si="3"/>
        <v>46817</v>
      </c>
    </row>
    <row r="49" spans="1:22" ht="16.5" customHeight="1">
      <c r="A49" s="124"/>
      <c r="B49" s="2"/>
      <c r="C49" s="2"/>
      <c r="D49" s="85"/>
      <c r="E49" s="2"/>
      <c r="F49" s="2"/>
      <c r="G49" s="2"/>
      <c r="H49" s="2"/>
      <c r="I49" s="2"/>
      <c r="J49" s="124"/>
      <c r="K49" s="1693">
        <f t="shared" si="5"/>
        <v>0</v>
      </c>
      <c r="L49" s="1693"/>
      <c r="M49" s="118">
        <f t="shared" si="2"/>
        <v>0</v>
      </c>
      <c r="N49" s="1694">
        <f>IF(E28&gt;31,F28,0)</f>
        <v>0</v>
      </c>
      <c r="O49" s="1694"/>
      <c r="P49" s="1690"/>
      <c r="Q49" s="1691"/>
      <c r="R49" s="1692"/>
      <c r="T49" s="140" t="s">
        <v>851</v>
      </c>
      <c r="U49" s="140"/>
      <c r="V49" s="287">
        <f t="shared" si="3"/>
        <v>46848</v>
      </c>
    </row>
    <row r="50" spans="1:22">
      <c r="B50" s="2"/>
      <c r="C50" s="2"/>
      <c r="D50" s="85"/>
      <c r="E50" s="2"/>
      <c r="F50" s="2"/>
      <c r="G50" s="2"/>
      <c r="H50" s="2"/>
      <c r="I50" s="2"/>
      <c r="J50" s="124"/>
      <c r="K50" s="1693">
        <f t="shared" si="5"/>
        <v>0</v>
      </c>
      <c r="L50" s="1693"/>
      <c r="M50" s="118">
        <f t="shared" si="2"/>
        <v>0</v>
      </c>
      <c r="N50" s="1694">
        <f>IF(E28&gt;32,F28,0)</f>
        <v>0</v>
      </c>
      <c r="O50" s="1694"/>
      <c r="P50" s="1690"/>
      <c r="Q50" s="1691"/>
      <c r="R50" s="1692"/>
      <c r="T50" s="140" t="s">
        <v>853</v>
      </c>
      <c r="U50" s="140"/>
      <c r="V50" s="287">
        <f t="shared" si="3"/>
        <v>46878</v>
      </c>
    </row>
    <row r="51" spans="1:22">
      <c r="A51" s="240">
        <f>F17*12%</f>
        <v>405563.16811959143</v>
      </c>
      <c r="C51" s="283" t="s">
        <v>954</v>
      </c>
      <c r="D51" s="1774"/>
      <c r="E51" s="1774"/>
      <c r="F51" s="1774"/>
      <c r="G51" s="1774"/>
      <c r="H51" s="2"/>
      <c r="I51" s="2"/>
      <c r="J51" s="112"/>
      <c r="K51" s="1693">
        <f t="shared" si="5"/>
        <v>0</v>
      </c>
      <c r="L51" s="1693"/>
      <c r="M51" s="118">
        <f t="shared" si="2"/>
        <v>0</v>
      </c>
      <c r="N51" s="1694">
        <f>IF(E28&gt;33,F28,0)</f>
        <v>0</v>
      </c>
      <c r="O51" s="1694"/>
      <c r="P51" s="1690"/>
      <c r="Q51" s="1691"/>
      <c r="R51" s="1692"/>
      <c r="T51" s="284" t="s">
        <v>854</v>
      </c>
      <c r="V51" s="287">
        <f t="shared" si="3"/>
        <v>46909</v>
      </c>
    </row>
    <row r="52" spans="1:22">
      <c r="B52" s="2"/>
      <c r="C52" s="2"/>
      <c r="D52" s="85"/>
      <c r="E52" s="2"/>
      <c r="F52" s="2"/>
      <c r="G52" s="2"/>
      <c r="H52" s="2"/>
      <c r="I52" s="2"/>
      <c r="J52" s="112"/>
      <c r="K52" s="1693">
        <f t="shared" si="5"/>
        <v>0</v>
      </c>
      <c r="L52" s="1693"/>
      <c r="M52" s="118">
        <f t="shared" si="2"/>
        <v>0</v>
      </c>
      <c r="N52" s="1694">
        <f>IF(E28&gt;34,F28,0)</f>
        <v>0</v>
      </c>
      <c r="O52" s="1694"/>
      <c r="P52" s="1690"/>
      <c r="Q52" s="1691"/>
      <c r="R52" s="1692"/>
      <c r="T52" s="284" t="s">
        <v>856</v>
      </c>
      <c r="V52" s="287">
        <f t="shared" si="3"/>
        <v>46939</v>
      </c>
    </row>
    <row r="53" spans="1:22">
      <c r="J53" s="276"/>
      <c r="K53" s="1693">
        <f t="shared" si="5"/>
        <v>0</v>
      </c>
      <c r="L53" s="1693"/>
      <c r="M53" s="118">
        <f t="shared" si="2"/>
        <v>0</v>
      </c>
      <c r="N53" s="1694">
        <f>IF(E28&gt;35,F28,0)</f>
        <v>0</v>
      </c>
      <c r="O53" s="1694"/>
      <c r="P53" s="1690"/>
      <c r="Q53" s="1691"/>
      <c r="R53" s="1692"/>
      <c r="T53" s="284" t="s">
        <v>857</v>
      </c>
      <c r="V53" s="287">
        <f t="shared" si="3"/>
        <v>46970</v>
      </c>
    </row>
    <row r="54" spans="1:22">
      <c r="I54" s="112"/>
      <c r="J54" s="278"/>
      <c r="K54" s="1693">
        <f t="shared" ref="K54:K60" si="6">IF(N54&gt;1,T55,0)</f>
        <v>0</v>
      </c>
      <c r="L54" s="1693"/>
      <c r="M54" s="118">
        <f t="shared" ref="M54:M60" si="7">IF(N54&gt;1,V55,0)</f>
        <v>0</v>
      </c>
      <c r="N54" s="1694">
        <f>IF(E28&gt;36,F28,0)</f>
        <v>0</v>
      </c>
      <c r="O54" s="1694"/>
      <c r="P54" s="1690"/>
      <c r="Q54" s="1691"/>
      <c r="R54" s="1692"/>
      <c r="T54" s="284" t="s">
        <v>858</v>
      </c>
      <c r="V54" s="287">
        <f t="shared" si="3"/>
        <v>47001</v>
      </c>
    </row>
    <row r="55" spans="1:22">
      <c r="J55" s="124"/>
      <c r="K55" s="1693">
        <f t="shared" si="6"/>
        <v>0</v>
      </c>
      <c r="L55" s="1693"/>
      <c r="M55" s="118">
        <f t="shared" si="7"/>
        <v>0</v>
      </c>
      <c r="N55" s="1694">
        <f>IF(E28&gt;37,F28,0)</f>
        <v>0</v>
      </c>
      <c r="O55" s="1694"/>
      <c r="P55" s="1690"/>
      <c r="Q55" s="1691"/>
      <c r="R55" s="1692"/>
      <c r="T55" s="284" t="s">
        <v>859</v>
      </c>
      <c r="V55" s="287">
        <f t="shared" si="3"/>
        <v>47031</v>
      </c>
    </row>
    <row r="56" spans="1:22">
      <c r="J56" s="2"/>
      <c r="K56" s="1693">
        <f t="shared" si="6"/>
        <v>0</v>
      </c>
      <c r="L56" s="1693"/>
      <c r="M56" s="118">
        <f t="shared" si="7"/>
        <v>0</v>
      </c>
      <c r="N56" s="1694">
        <f>IF(E28&gt;38,F28,0)</f>
        <v>0</v>
      </c>
      <c r="O56" s="1694"/>
      <c r="P56" s="1690"/>
      <c r="Q56" s="1691"/>
      <c r="R56" s="1692"/>
      <c r="T56" s="284" t="s">
        <v>860</v>
      </c>
      <c r="V56" s="287">
        <f t="shared" si="3"/>
        <v>47062</v>
      </c>
    </row>
    <row r="57" spans="1:22">
      <c r="J57" s="2"/>
      <c r="K57" s="1693">
        <f t="shared" si="6"/>
        <v>0</v>
      </c>
      <c r="L57" s="1693"/>
      <c r="M57" s="118">
        <f t="shared" si="7"/>
        <v>0</v>
      </c>
      <c r="N57" s="1694">
        <f>IF(E28&gt;39,F28,0)</f>
        <v>0</v>
      </c>
      <c r="O57" s="1694"/>
      <c r="P57" s="1690"/>
      <c r="Q57" s="1691"/>
      <c r="R57" s="1692"/>
      <c r="T57" s="284" t="s">
        <v>862</v>
      </c>
      <c r="V57" s="287">
        <f t="shared" si="3"/>
        <v>47092</v>
      </c>
    </row>
    <row r="58" spans="1:22">
      <c r="B58" s="114" t="s">
        <v>869</v>
      </c>
      <c r="C58" s="114"/>
      <c r="D58" s="203"/>
      <c r="E58" s="114"/>
      <c r="G58" s="114" t="s">
        <v>870</v>
      </c>
      <c r="H58" s="114"/>
      <c r="I58" s="112"/>
      <c r="J58" s="2"/>
      <c r="K58" s="1693">
        <f t="shared" si="6"/>
        <v>0</v>
      </c>
      <c r="L58" s="1693"/>
      <c r="M58" s="118">
        <f t="shared" si="7"/>
        <v>0</v>
      </c>
      <c r="N58" s="1694">
        <f>IF(E28&gt;40,F28,0)</f>
        <v>0</v>
      </c>
      <c r="O58" s="1694"/>
      <c r="P58" s="1690"/>
      <c r="Q58" s="1691"/>
      <c r="R58" s="1692"/>
      <c r="T58" s="284" t="s">
        <v>863</v>
      </c>
      <c r="V58" s="287">
        <f t="shared" si="3"/>
        <v>47123</v>
      </c>
    </row>
    <row r="59" spans="1:22">
      <c r="B59" s="112"/>
      <c r="C59" s="112"/>
      <c r="D59" s="197"/>
      <c r="E59" s="112"/>
      <c r="F59" s="112"/>
      <c r="H59" s="112"/>
      <c r="I59" s="112"/>
      <c r="K59" s="1693">
        <f t="shared" si="6"/>
        <v>0</v>
      </c>
      <c r="L59" s="1693"/>
      <c r="M59" s="118">
        <f t="shared" si="7"/>
        <v>0</v>
      </c>
      <c r="N59" s="1694">
        <f>IF(E28&gt;41,F28,0)</f>
        <v>0</v>
      </c>
      <c r="O59" s="1694"/>
      <c r="P59" s="1690"/>
      <c r="Q59" s="1691"/>
      <c r="R59" s="1692"/>
      <c r="T59" s="284" t="s">
        <v>865</v>
      </c>
      <c r="V59" s="287">
        <f t="shared" si="3"/>
        <v>47154</v>
      </c>
    </row>
    <row r="60" spans="1:22" ht="15" customHeight="1">
      <c r="B60" s="1771">
        <f>FORM!I28</f>
        <v>0</v>
      </c>
      <c r="C60" s="1771"/>
      <c r="D60" s="1771"/>
      <c r="E60" s="114"/>
      <c r="F60" s="114"/>
      <c r="G60" s="1771">
        <f>FORM!I26</f>
        <v>0</v>
      </c>
      <c r="H60" s="1771"/>
      <c r="I60" s="1771"/>
      <c r="K60" s="1693">
        <f t="shared" si="6"/>
        <v>0</v>
      </c>
      <c r="L60" s="1693"/>
      <c r="M60" s="118">
        <f t="shared" si="7"/>
        <v>0</v>
      </c>
      <c r="N60" s="1694">
        <f>IF(E28&gt;42,F28,0)</f>
        <v>0</v>
      </c>
      <c r="O60" s="1694"/>
      <c r="P60" s="1690"/>
      <c r="Q60" s="1691"/>
      <c r="R60" s="1692"/>
      <c r="T60" s="284" t="s">
        <v>867</v>
      </c>
      <c r="V60" s="287">
        <f t="shared" si="3"/>
        <v>47182</v>
      </c>
    </row>
    <row r="61" spans="1:22" ht="15" customHeight="1">
      <c r="B61" s="1773" t="s">
        <v>871</v>
      </c>
      <c r="C61" s="1773"/>
      <c r="D61" s="1773"/>
      <c r="E61" s="112"/>
      <c r="F61" s="112"/>
      <c r="G61" s="1772" t="s">
        <v>871</v>
      </c>
      <c r="H61" s="1772"/>
      <c r="I61" s="1772"/>
      <c r="Q61" s="112"/>
      <c r="R61" s="112"/>
      <c r="T61" s="284" t="s">
        <v>949</v>
      </c>
      <c r="V61" s="287">
        <f t="shared" si="3"/>
        <v>47213</v>
      </c>
    </row>
    <row r="62" spans="1:22" ht="15" customHeight="1">
      <c r="K62" s="114" t="s">
        <v>869</v>
      </c>
      <c r="L62" s="114"/>
      <c r="M62" s="203"/>
      <c r="N62" s="114"/>
      <c r="P62" s="114" t="s">
        <v>870</v>
      </c>
      <c r="Q62" s="112"/>
      <c r="R62" s="112"/>
      <c r="T62" s="284" t="s">
        <v>950</v>
      </c>
      <c r="V62" s="287">
        <f t="shared" si="3"/>
        <v>47243</v>
      </c>
    </row>
    <row r="63" spans="1:22" ht="15" customHeight="1">
      <c r="K63" s="112"/>
      <c r="L63" s="112"/>
      <c r="M63" s="197"/>
      <c r="N63" s="112"/>
      <c r="O63" s="112"/>
      <c r="P63" s="112"/>
      <c r="Q63" s="112"/>
      <c r="R63" s="112"/>
      <c r="T63" s="284" t="s">
        <v>951</v>
      </c>
      <c r="V63" s="287">
        <f t="shared" si="3"/>
        <v>47274</v>
      </c>
    </row>
    <row r="64" spans="1:22" ht="15" customHeight="1">
      <c r="K64" s="1571">
        <f>FORM!I28</f>
        <v>0</v>
      </c>
      <c r="L64" s="1571"/>
      <c r="M64" s="1571"/>
      <c r="N64" s="114"/>
      <c r="O64" s="114"/>
      <c r="P64" s="1571">
        <f>FORM!I26</f>
        <v>0</v>
      </c>
      <c r="Q64" s="1571"/>
      <c r="R64" s="1571"/>
      <c r="T64" s="284" t="s">
        <v>952</v>
      </c>
      <c r="V64" s="287">
        <f t="shared" si="3"/>
        <v>47304</v>
      </c>
    </row>
    <row r="65" spans="11:18">
      <c r="K65" s="277" t="s">
        <v>953</v>
      </c>
      <c r="L65" s="1727"/>
      <c r="M65" s="1566"/>
      <c r="N65" s="112"/>
      <c r="O65" s="112"/>
      <c r="P65" s="126" t="s">
        <v>871</v>
      </c>
      <c r="Q65" s="1727"/>
      <c r="R65" s="1566"/>
    </row>
    <row r="66" spans="11:18">
      <c r="L66" s="131"/>
    </row>
    <row r="67" spans="11:18">
      <c r="L67" s="131"/>
    </row>
    <row r="68" spans="11:18">
      <c r="L68" s="131"/>
    </row>
  </sheetData>
  <sheetProtection algorithmName="SHA-512" hashValue="QIxrEVuU3i8XWQEdM8wXAVdb6XPchaAee+TfAB+PRAzz4Nkh3rZWQ6AbSuy5hXZc6t3ZZdIhgj2TTgtEO+ujSQ==" saltValue="G1n7cU8bJZ70SjyWaHZsLA==" spinCount="100000" sheet="1" formatCells="0" formatColumns="0" formatRows="0"/>
  <mergeCells count="203">
    <mergeCell ref="P35:R35"/>
    <mergeCell ref="P36:R36"/>
    <mergeCell ref="P37:R37"/>
    <mergeCell ref="P38:R38"/>
    <mergeCell ref="P39:R39"/>
    <mergeCell ref="P40:R40"/>
    <mergeCell ref="P41:R41"/>
    <mergeCell ref="P42:R42"/>
    <mergeCell ref="P43:R43"/>
    <mergeCell ref="P26:R26"/>
    <mergeCell ref="P27:R27"/>
    <mergeCell ref="P28:R28"/>
    <mergeCell ref="P29:R29"/>
    <mergeCell ref="P30:R30"/>
    <mergeCell ref="P31:R31"/>
    <mergeCell ref="P32:R32"/>
    <mergeCell ref="P33:R33"/>
    <mergeCell ref="P34:R34"/>
    <mergeCell ref="X19:Y19"/>
    <mergeCell ref="P15:R16"/>
    <mergeCell ref="P17:R17"/>
    <mergeCell ref="P18:R18"/>
    <mergeCell ref="P19:R19"/>
    <mergeCell ref="P20:R20"/>
    <mergeCell ref="P21:R21"/>
    <mergeCell ref="P22:R22"/>
    <mergeCell ref="P23:R23"/>
    <mergeCell ref="P58:R58"/>
    <mergeCell ref="P59:R59"/>
    <mergeCell ref="P60:R60"/>
    <mergeCell ref="K55:L55"/>
    <mergeCell ref="N55:O55"/>
    <mergeCell ref="K56:L56"/>
    <mergeCell ref="N56:O56"/>
    <mergeCell ref="K57:L57"/>
    <mergeCell ref="N57:O57"/>
    <mergeCell ref="P55:R55"/>
    <mergeCell ref="P56:R56"/>
    <mergeCell ref="P57:R57"/>
    <mergeCell ref="K58:L58"/>
    <mergeCell ref="N58:O58"/>
    <mergeCell ref="K59:L59"/>
    <mergeCell ref="N59:O59"/>
    <mergeCell ref="K60:L60"/>
    <mergeCell ref="N60:O60"/>
    <mergeCell ref="P51:R51"/>
    <mergeCell ref="K52:L52"/>
    <mergeCell ref="N52:O52"/>
    <mergeCell ref="K53:L53"/>
    <mergeCell ref="N53:O53"/>
    <mergeCell ref="K54:L54"/>
    <mergeCell ref="N54:O54"/>
    <mergeCell ref="P52:R52"/>
    <mergeCell ref="P53:R53"/>
    <mergeCell ref="P54:R54"/>
    <mergeCell ref="P44:R44"/>
    <mergeCell ref="P45:R45"/>
    <mergeCell ref="P46:R46"/>
    <mergeCell ref="P47:R47"/>
    <mergeCell ref="P48:R48"/>
    <mergeCell ref="K49:L49"/>
    <mergeCell ref="N49:O49"/>
    <mergeCell ref="K50:L50"/>
    <mergeCell ref="N50:O50"/>
    <mergeCell ref="P49:R49"/>
    <mergeCell ref="P50:R50"/>
    <mergeCell ref="B45:C46"/>
    <mergeCell ref="D45:G46"/>
    <mergeCell ref="H45:I46"/>
    <mergeCell ref="D51:G51"/>
    <mergeCell ref="K47:L47"/>
    <mergeCell ref="N47:O47"/>
    <mergeCell ref="K48:L48"/>
    <mergeCell ref="N48:O48"/>
    <mergeCell ref="N45:O45"/>
    <mergeCell ref="K51:L51"/>
    <mergeCell ref="N51:O51"/>
    <mergeCell ref="B35:C36"/>
    <mergeCell ref="D35:G36"/>
    <mergeCell ref="H35:I36"/>
    <mergeCell ref="B37:C38"/>
    <mergeCell ref="D37:G38"/>
    <mergeCell ref="H37:I38"/>
    <mergeCell ref="B41:C42"/>
    <mergeCell ref="H41:I42"/>
    <mergeCell ref="H43:I44"/>
    <mergeCell ref="D43:G44"/>
    <mergeCell ref="B43:C44"/>
    <mergeCell ref="D41:G42"/>
    <mergeCell ref="N36:O36"/>
    <mergeCell ref="K32:L32"/>
    <mergeCell ref="B60:D60"/>
    <mergeCell ref="K64:M64"/>
    <mergeCell ref="P64:R64"/>
    <mergeCell ref="K46:L46"/>
    <mergeCell ref="N46:O46"/>
    <mergeCell ref="K43:L43"/>
    <mergeCell ref="K44:L44"/>
    <mergeCell ref="K45:L45"/>
    <mergeCell ref="N43:O43"/>
    <mergeCell ref="N44:O44"/>
    <mergeCell ref="K40:L40"/>
    <mergeCell ref="N40:O40"/>
    <mergeCell ref="K41:L41"/>
    <mergeCell ref="B39:C40"/>
    <mergeCell ref="D39:G40"/>
    <mergeCell ref="H39:I40"/>
    <mergeCell ref="G60:I60"/>
    <mergeCell ref="G61:I61"/>
    <mergeCell ref="B61:D61"/>
    <mergeCell ref="D34:G34"/>
    <mergeCell ref="H34:I34"/>
    <mergeCell ref="B34:C34"/>
    <mergeCell ref="L65:M65"/>
    <mergeCell ref="Q65:R65"/>
    <mergeCell ref="K35:L35"/>
    <mergeCell ref="N35:O35"/>
    <mergeCell ref="K28:L28"/>
    <mergeCell ref="N28:O28"/>
    <mergeCell ref="K29:L29"/>
    <mergeCell ref="N29:O29"/>
    <mergeCell ref="K30:L30"/>
    <mergeCell ref="K31:L31"/>
    <mergeCell ref="N31:O31"/>
    <mergeCell ref="N34:O34"/>
    <mergeCell ref="N30:O30"/>
    <mergeCell ref="K34:L34"/>
    <mergeCell ref="K42:L42"/>
    <mergeCell ref="N42:O42"/>
    <mergeCell ref="N41:O41"/>
    <mergeCell ref="K37:L37"/>
    <mergeCell ref="N37:O37"/>
    <mergeCell ref="K38:L38"/>
    <mergeCell ref="N38:O38"/>
    <mergeCell ref="K39:L39"/>
    <mergeCell ref="N39:O39"/>
    <mergeCell ref="K36:L36"/>
    <mergeCell ref="F28:I28"/>
    <mergeCell ref="N32:O32"/>
    <mergeCell ref="K33:L33"/>
    <mergeCell ref="N33:O33"/>
    <mergeCell ref="K19:L19"/>
    <mergeCell ref="N19:O19"/>
    <mergeCell ref="F26:I26"/>
    <mergeCell ref="K26:L26"/>
    <mergeCell ref="N26:O26"/>
    <mergeCell ref="F22:I22"/>
    <mergeCell ref="K23:L23"/>
    <mergeCell ref="N23:O23"/>
    <mergeCell ref="F24:I24"/>
    <mergeCell ref="F20:I20"/>
    <mergeCell ref="K21:L21"/>
    <mergeCell ref="N21:O21"/>
    <mergeCell ref="K24:L24"/>
    <mergeCell ref="N24:O24"/>
    <mergeCell ref="K25:L25"/>
    <mergeCell ref="N25:O25"/>
    <mergeCell ref="K22:L22"/>
    <mergeCell ref="N22:O22"/>
    <mergeCell ref="F25:I25"/>
    <mergeCell ref="F19:I19"/>
    <mergeCell ref="K20:L20"/>
    <mergeCell ref="N20:O20"/>
    <mergeCell ref="F16:I16"/>
    <mergeCell ref="K17:L17"/>
    <mergeCell ref="N17:O17"/>
    <mergeCell ref="F17:I17"/>
    <mergeCell ref="K18:L18"/>
    <mergeCell ref="N18:O18"/>
    <mergeCell ref="N12:O12"/>
    <mergeCell ref="P12:R12"/>
    <mergeCell ref="E13:F13"/>
    <mergeCell ref="G13:I13"/>
    <mergeCell ref="N13:O13"/>
    <mergeCell ref="P13:R13"/>
    <mergeCell ref="F15:I15"/>
    <mergeCell ref="K15:L16"/>
    <mergeCell ref="M15:M16"/>
    <mergeCell ref="N15:O16"/>
    <mergeCell ref="E7:G7"/>
    <mergeCell ref="K27:L27"/>
    <mergeCell ref="N27:O27"/>
    <mergeCell ref="Q1:R1"/>
    <mergeCell ref="Q2:R2"/>
    <mergeCell ref="E8:I8"/>
    <mergeCell ref="N8:R8"/>
    <mergeCell ref="E9:I9"/>
    <mergeCell ref="N9:R9"/>
    <mergeCell ref="E10:I10"/>
    <mergeCell ref="N10:R10"/>
    <mergeCell ref="B3:I4"/>
    <mergeCell ref="K3:R4"/>
    <mergeCell ref="E6:I6"/>
    <mergeCell ref="N6:R6"/>
    <mergeCell ref="N7:R7"/>
    <mergeCell ref="P24:R24"/>
    <mergeCell ref="P25:R25"/>
    <mergeCell ref="E11:F11"/>
    <mergeCell ref="G11:I11"/>
    <mergeCell ref="N11:O11"/>
    <mergeCell ref="P11:R11"/>
    <mergeCell ref="E12:F12"/>
    <mergeCell ref="G12:I12"/>
  </mergeCells>
  <pageMargins left="0.59055118110236227" right="0.70866141732283472" top="0.78740157480314965" bottom="0.74803149606299213" header="0.31496062992125984" footer="0.31496062992125984"/>
  <pageSetup paperSize="14" scale="77" orientation="portrait" r:id="rId1"/>
  <headerFooter>
    <oddHeader xml:space="preserve">&amp;R&amp;"Century Gothic,Bold"&amp;14ANNEX A: 
SAMPLE PACKAGE COMPUTATION
</oddHead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0"/>
  <dimension ref="A1:U123"/>
  <sheetViews>
    <sheetView showGridLines="0" showZeros="0" view="pageLayout" topLeftCell="A97" zoomScaleNormal="100" zoomScaleSheetLayoutView="85" workbookViewId="0">
      <selection activeCell="A103" sqref="A10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671">
        <f>DEFERRED!F15</f>
        <v>3379693.0676632621</v>
      </c>
      <c r="J27" s="1672"/>
      <c r="K27" s="1672"/>
      <c r="L27" s="1672"/>
      <c r="M27" s="1672"/>
      <c r="N27" s="1672"/>
      <c r="O27" s="1672"/>
      <c r="P27" s="1672"/>
      <c r="Q27" s="1672"/>
      <c r="R27" s="1672"/>
      <c r="S27" s="1672"/>
      <c r="T27" s="1672"/>
      <c r="U27" s="1673"/>
    </row>
    <row r="28" spans="1:21" ht="14.1">
      <c r="A28" s="41" t="s">
        <v>912</v>
      </c>
      <c r="B28" s="42"/>
      <c r="C28" s="44"/>
      <c r="D28" s="44"/>
      <c r="E28" s="44"/>
      <c r="F28" s="44"/>
      <c r="G28" s="44"/>
      <c r="H28" s="45"/>
      <c r="I28" s="1671">
        <f>DEFERRED!F16</f>
        <v>0</v>
      </c>
      <c r="J28" s="1672"/>
      <c r="K28" s="1672"/>
      <c r="L28" s="1672"/>
      <c r="M28" s="1672"/>
      <c r="N28" s="1672"/>
      <c r="O28" s="1672"/>
      <c r="P28" s="1672"/>
      <c r="Q28" s="1672"/>
      <c r="R28" s="1672"/>
      <c r="S28" s="1672"/>
      <c r="T28" s="1672"/>
      <c r="U28" s="1673"/>
    </row>
    <row r="29" spans="1:21" ht="14.1">
      <c r="A29" s="51" t="s">
        <v>913</v>
      </c>
      <c r="B29" s="52"/>
      <c r="C29" s="53"/>
      <c r="D29" s="53"/>
      <c r="E29" s="53"/>
      <c r="F29" s="53"/>
      <c r="G29" s="53"/>
      <c r="H29" s="50"/>
      <c r="I29" s="1671">
        <f>DEFERRED!F17</f>
        <v>3379693.0676632621</v>
      </c>
      <c r="J29" s="1672"/>
      <c r="K29" s="1672"/>
      <c r="L29" s="1672"/>
      <c r="M29" s="1672"/>
      <c r="N29" s="1672"/>
      <c r="O29" s="1672"/>
      <c r="P29" s="1672"/>
      <c r="Q29" s="1672"/>
      <c r="R29" s="1672"/>
      <c r="S29" s="1672"/>
      <c r="T29" s="1672"/>
      <c r="U29" s="1673"/>
    </row>
    <row r="30" spans="1:21" ht="14.1">
      <c r="A30" s="41" t="s">
        <v>914</v>
      </c>
      <c r="B30" s="42"/>
      <c r="C30" s="44"/>
      <c r="D30" s="44"/>
      <c r="E30" s="44"/>
      <c r="F30" s="44"/>
      <c r="G30" s="44"/>
      <c r="H30" s="45"/>
      <c r="I30" s="1671">
        <f>DEFERRED!F20</f>
        <v>346418.53943548433</v>
      </c>
      <c r="J30" s="1672"/>
      <c r="K30" s="1672"/>
      <c r="L30" s="1672"/>
      <c r="M30" s="1672"/>
      <c r="N30" s="1672"/>
      <c r="O30" s="1672"/>
      <c r="P30" s="1672"/>
      <c r="Q30" s="1672"/>
      <c r="R30" s="1672"/>
      <c r="S30" s="1672"/>
      <c r="T30" s="1672"/>
      <c r="U30" s="1673"/>
    </row>
    <row r="31" spans="1:21" ht="14.1">
      <c r="A31" s="41" t="s">
        <v>915</v>
      </c>
      <c r="B31" s="42"/>
      <c r="C31" s="44"/>
      <c r="D31" s="44"/>
      <c r="E31" s="44"/>
      <c r="F31" s="44"/>
      <c r="G31" s="44"/>
      <c r="H31" s="45"/>
      <c r="I31" s="1671">
        <f>DEFERRED!F19</f>
        <v>0</v>
      </c>
      <c r="J31" s="1672"/>
      <c r="K31" s="1672"/>
      <c r="L31" s="1672"/>
      <c r="M31" s="1672"/>
      <c r="N31" s="1672"/>
      <c r="O31" s="1672"/>
      <c r="P31" s="1672"/>
      <c r="Q31" s="1672"/>
      <c r="R31" s="1672"/>
      <c r="S31" s="1672"/>
      <c r="T31" s="1672"/>
      <c r="U31" s="1673"/>
    </row>
    <row r="32" spans="1:21" ht="14.1">
      <c r="A32" s="41" t="s">
        <v>77</v>
      </c>
      <c r="B32" s="42"/>
      <c r="C32" s="44"/>
      <c r="D32" s="44"/>
      <c r="E32" s="44"/>
      <c r="F32" s="44"/>
      <c r="G32" s="44"/>
      <c r="H32" s="45"/>
      <c r="I32" s="1671">
        <f>DEFERRED!F22</f>
        <v>3726111.6070987466</v>
      </c>
      <c r="J32" s="1672"/>
      <c r="K32" s="1672"/>
      <c r="L32" s="1672"/>
      <c r="M32" s="1672"/>
      <c r="N32" s="1672"/>
      <c r="O32" s="1672"/>
      <c r="P32" s="1672"/>
      <c r="Q32" s="1672"/>
      <c r="R32" s="1672"/>
      <c r="S32" s="1672"/>
      <c r="T32" s="1672"/>
      <c r="U32" s="1673"/>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VV2CSZE5/OUbiXGGLsCn8avA7vZJve98m590ubJ+VTJsuvN6XrjJvxdY381RFwATs2QNFULeIQVOsZR2DFJjpA==" saltValue="qwBeltzSMdIEKvmER6Hhyg=="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372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3730"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373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373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373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373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373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373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3737"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3738"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373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374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374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374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374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374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374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374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374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6">
    <tabColor rgb="FF00B0F0"/>
  </sheetPr>
  <dimension ref="A1:BA858"/>
  <sheetViews>
    <sheetView showGridLines="0" showZeros="0" showRuler="0" view="pageLayout" topLeftCell="E22" zoomScale="85" zoomScaleNormal="100" zoomScaleSheetLayoutView="90" zoomScalePageLayoutView="85" workbookViewId="0">
      <selection activeCell="M57" sqref="M57"/>
    </sheetView>
  </sheetViews>
  <sheetFormatPr defaultColWidth="8.85546875" defaultRowHeight="15.75" customHeight="1"/>
  <cols>
    <col min="1" max="1" width="1" style="111" customWidth="1"/>
    <col min="2" max="2" width="12.5703125" style="111" customWidth="1"/>
    <col min="3" max="3" width="28.42578125" style="111" customWidth="1"/>
    <col min="4" max="4" width="17.85546875" style="111" customWidth="1"/>
    <col min="5" max="5" width="23.42578125" style="111" customWidth="1"/>
    <col min="6" max="6" width="15.140625" style="111" customWidth="1"/>
    <col min="7" max="7" width="8.140625" style="111" customWidth="1"/>
    <col min="8" max="8" width="4.42578125" style="111" customWidth="1"/>
    <col min="9" max="9" width="17.85546875" style="111" customWidth="1"/>
    <col min="10" max="10" width="2.140625" style="111" customWidth="1"/>
    <col min="11" max="11" width="9.140625" style="111" customWidth="1"/>
    <col min="12" max="12" width="20.140625" style="170" customWidth="1"/>
    <col min="13" max="13" width="18.140625" style="111" customWidth="1"/>
    <col min="14" max="14" width="21.85546875" style="111" customWidth="1"/>
    <col min="15" max="15" width="12.140625" style="111" customWidth="1"/>
    <col min="16" max="16" width="16.85546875" style="111" customWidth="1"/>
    <col min="17" max="17" width="21.42578125" style="111" customWidth="1"/>
    <col min="18" max="18" width="4.85546875" style="111" customWidth="1"/>
    <col min="19" max="19" width="8.85546875" style="111"/>
    <col min="20" max="20" width="19" style="356" customWidth="1"/>
    <col min="21" max="21" width="8.85546875" style="356" customWidth="1"/>
    <col min="22" max="22" width="8.85546875" style="111" customWidth="1"/>
    <col min="23" max="24" width="11.42578125" style="111" customWidth="1"/>
    <col min="25" max="26" width="8.85546875" style="111" customWidth="1"/>
    <col min="27" max="27" width="11.140625" style="111" customWidth="1"/>
    <col min="28" max="28" width="8.85546875" style="111"/>
    <col min="29" max="29" width="13.140625" style="111" customWidth="1"/>
    <col min="30" max="30" width="14.5703125" style="111" customWidth="1"/>
    <col min="31" max="31" width="8.85546875" style="111"/>
    <col min="32" max="32" width="9.140625" style="111" bestFit="1" customWidth="1"/>
    <col min="33" max="33" width="17.140625" style="111" customWidth="1"/>
    <col min="34" max="34" width="17.85546875" style="111" customWidth="1"/>
    <col min="35" max="35" width="9.85546875" style="111" customWidth="1"/>
    <col min="36" max="36" width="10.85546875" style="357" customWidth="1"/>
    <col min="37" max="37" width="13.42578125" style="111" customWidth="1"/>
    <col min="38" max="38" width="12.85546875" style="111" customWidth="1"/>
    <col min="39" max="41" width="13.140625" style="111" customWidth="1"/>
    <col min="42" max="42" width="11.140625" style="111" customWidth="1"/>
    <col min="43" max="43" width="14.85546875" style="111" customWidth="1"/>
    <col min="44" max="44" width="5.85546875" style="111" customWidth="1"/>
    <col min="45" max="45" width="11.85546875" style="111" customWidth="1"/>
    <col min="46" max="46" width="12.85546875" style="111" customWidth="1"/>
    <col min="47" max="47" width="11.85546875" style="111" customWidth="1"/>
    <col min="48" max="48" width="12.85546875" style="111" customWidth="1"/>
    <col min="49" max="49" width="12.85546875" style="358" customWidth="1"/>
    <col min="50" max="50" width="14.5703125" style="359" customWidth="1"/>
    <col min="51" max="55" width="12.85546875" style="111" customWidth="1"/>
    <col min="56" max="16384" width="8.85546875" style="111"/>
  </cols>
  <sheetData>
    <row r="1" spans="1:17" ht="4.5" customHeight="1">
      <c r="B1" s="350"/>
      <c r="C1" s="351" t="e">
        <f>(F15-(F16+#REF!))*12%</f>
        <v>#REF!</v>
      </c>
      <c r="D1" s="322" t="e">
        <f>[1]FORM!#REF!</f>
        <v>#REF!</v>
      </c>
      <c r="E1" s="352"/>
      <c r="F1" s="3"/>
      <c r="G1" s="353"/>
      <c r="H1" s="353"/>
      <c r="J1" s="354">
        <v>0.01</v>
      </c>
      <c r="K1" s="352"/>
      <c r="L1" s="355"/>
      <c r="M1" s="355"/>
      <c r="N1" s="133"/>
    </row>
    <row r="2" spans="1:17" ht="12.6">
      <c r="B2" s="243" t="s">
        <v>783</v>
      </c>
      <c r="C2" s="478">
        <f>'STANDARD COMP.'!C2</f>
        <v>45901</v>
      </c>
      <c r="D2" s="242"/>
      <c r="F2" s="173" t="s">
        <v>943</v>
      </c>
      <c r="G2" s="1414" t="s">
        <v>785</v>
      </c>
      <c r="H2" s="1414"/>
      <c r="I2" s="1414"/>
      <c r="J2" s="203"/>
      <c r="K2" s="173" t="s">
        <v>783</v>
      </c>
      <c r="L2" s="478">
        <f>C2</f>
        <v>45901</v>
      </c>
      <c r="M2" s="112"/>
      <c r="O2" s="309"/>
      <c r="P2" s="243" t="s">
        <v>944</v>
      </c>
      <c r="Q2" s="360" t="s">
        <v>787</v>
      </c>
    </row>
    <row r="3" spans="1:17" ht="12.6">
      <c r="C3" s="3"/>
      <c r="D3" s="3"/>
      <c r="E3" s="203"/>
      <c r="F3" s="203"/>
      <c r="G3" s="203"/>
      <c r="H3" s="203"/>
      <c r="I3" s="203"/>
      <c r="J3" s="203"/>
      <c r="K3" s="361"/>
      <c r="L3" s="362"/>
      <c r="M3" s="363"/>
      <c r="N3" s="364"/>
      <c r="O3" s="364"/>
      <c r="P3" s="364"/>
      <c r="Q3" s="364"/>
    </row>
    <row r="4" spans="1:17" ht="18.75" customHeight="1">
      <c r="A4" s="112"/>
      <c r="B4" s="1597" t="s">
        <v>982</v>
      </c>
      <c r="C4" s="1597"/>
      <c r="D4" s="1597"/>
      <c r="E4" s="1597"/>
      <c r="F4" s="1597"/>
      <c r="G4" s="1597"/>
      <c r="H4" s="1597"/>
      <c r="I4" s="1598"/>
      <c r="J4" s="203"/>
      <c r="K4" s="1599" t="s">
        <v>788</v>
      </c>
      <c r="L4" s="1599"/>
      <c r="M4" s="1599"/>
      <c r="N4" s="1599"/>
      <c r="O4" s="1599"/>
      <c r="P4" s="1599"/>
      <c r="Q4" s="1599"/>
    </row>
    <row r="5" spans="1:17" ht="12" customHeight="1">
      <c r="A5" s="112"/>
      <c r="B5" s="112"/>
      <c r="C5" s="114"/>
      <c r="D5" s="114"/>
      <c r="E5" s="112"/>
      <c r="F5" s="114"/>
      <c r="G5" s="114"/>
      <c r="H5" s="114"/>
      <c r="I5" s="310"/>
      <c r="J5" s="203"/>
      <c r="K5" s="203"/>
      <c r="L5" s="203"/>
      <c r="M5" s="311"/>
      <c r="N5" s="112"/>
      <c r="O5" s="112"/>
      <c r="P5" s="112"/>
      <c r="Q5" s="112"/>
    </row>
    <row r="6" spans="1:17" ht="12.6">
      <c r="A6" s="112"/>
      <c r="B6" s="365" t="s">
        <v>789</v>
      </c>
      <c r="C6" s="366"/>
      <c r="D6" s="197" t="s">
        <v>741</v>
      </c>
      <c r="E6" s="1416">
        <f>'STANDARD COMP.'!E6:I6</f>
        <v>0</v>
      </c>
      <c r="F6" s="1417"/>
      <c r="G6" s="1417"/>
      <c r="H6" s="1417"/>
      <c r="I6" s="1418"/>
      <c r="J6" s="203"/>
      <c r="K6" s="1588" t="s">
        <v>789</v>
      </c>
      <c r="L6" s="1588"/>
      <c r="M6" s="197" t="s">
        <v>741</v>
      </c>
      <c r="N6" s="1600">
        <f t="shared" ref="N6:N13" si="0">E6</f>
        <v>0</v>
      </c>
      <c r="O6" s="1600"/>
      <c r="P6" s="1600"/>
      <c r="Q6" s="1600"/>
    </row>
    <row r="7" spans="1:17" ht="12.95" thickBot="1">
      <c r="A7" s="112"/>
      <c r="B7" s="206" t="s">
        <v>740</v>
      </c>
      <c r="C7" s="367"/>
      <c r="D7" s="197" t="s">
        <v>741</v>
      </c>
      <c r="E7" s="1428" t="str">
        <f>'STANDARD COMP.'!E7:F7</f>
        <v>The Southprime Flats</v>
      </c>
      <c r="F7" s="1429"/>
      <c r="G7" s="369" t="str">
        <f>'STANDARD COMP.'!G7</f>
        <v>B2</v>
      </c>
      <c r="H7" s="369"/>
      <c r="I7" s="217"/>
      <c r="J7" s="203"/>
      <c r="K7" s="1588" t="s">
        <v>740</v>
      </c>
      <c r="L7" s="1588"/>
      <c r="M7" s="368" t="s">
        <v>741</v>
      </c>
      <c r="N7" s="1600" t="str">
        <f t="shared" si="0"/>
        <v>The Southprime Flats</v>
      </c>
      <c r="O7" s="1600"/>
      <c r="P7" s="1600"/>
      <c r="Q7" s="1600"/>
    </row>
    <row r="8" spans="1:17" ht="12.6">
      <c r="A8" s="302"/>
      <c r="B8" s="365" t="s">
        <v>790</v>
      </c>
      <c r="C8" s="366"/>
      <c r="D8" s="197" t="s">
        <v>741</v>
      </c>
      <c r="E8" s="1416" t="str">
        <f>'STANDARD COMP.'!E8:I8</f>
        <v>2L</v>
      </c>
      <c r="F8" s="1417"/>
      <c r="G8" s="1417"/>
      <c r="H8" s="1417"/>
      <c r="I8" s="1418"/>
      <c r="J8" s="203"/>
      <c r="K8" s="1588" t="s">
        <v>790</v>
      </c>
      <c r="L8" s="1588"/>
      <c r="M8" s="197" t="s">
        <v>741</v>
      </c>
      <c r="N8" s="1600" t="str">
        <f>E8</f>
        <v>2L</v>
      </c>
      <c r="O8" s="1600"/>
      <c r="P8" s="1600"/>
      <c r="Q8" s="1600"/>
    </row>
    <row r="9" spans="1:17" ht="12.6" hidden="1">
      <c r="A9" s="112"/>
      <c r="B9" s="206" t="s">
        <v>791</v>
      </c>
      <c r="C9" s="367"/>
      <c r="D9" s="197" t="s">
        <v>741</v>
      </c>
      <c r="E9" s="1416" t="e">
        <f>[1]FORM!#REF!</f>
        <v>#REF!</v>
      </c>
      <c r="F9" s="1417"/>
      <c r="G9" s="1417"/>
      <c r="H9" s="1417"/>
      <c r="I9" s="1418"/>
      <c r="J9" s="203"/>
      <c r="K9" s="1588" t="s">
        <v>791</v>
      </c>
      <c r="L9" s="1588"/>
      <c r="M9" s="197" t="s">
        <v>741</v>
      </c>
      <c r="N9" s="1600" t="e">
        <f t="shared" si="0"/>
        <v>#REF!</v>
      </c>
      <c r="O9" s="1600"/>
      <c r="P9" s="1600"/>
      <c r="Q9" s="1600"/>
    </row>
    <row r="10" spans="1:17" ht="12.95" thickBot="1">
      <c r="A10" s="112"/>
      <c r="B10" s="206" t="s">
        <v>792</v>
      </c>
      <c r="C10" s="367"/>
      <c r="D10" s="197" t="s">
        <v>741</v>
      </c>
      <c r="E10" s="1416" t="str">
        <f>'STANDARD COMP.'!E10:I10</f>
        <v>Studio</v>
      </c>
      <c r="F10" s="1417"/>
      <c r="G10" s="1417"/>
      <c r="H10" s="1417"/>
      <c r="I10" s="1418"/>
      <c r="J10" s="203"/>
      <c r="K10" s="1588" t="s">
        <v>792</v>
      </c>
      <c r="L10" s="1588"/>
      <c r="M10" s="368" t="s">
        <v>741</v>
      </c>
      <c r="N10" s="1600" t="str">
        <f t="shared" si="0"/>
        <v>Studio</v>
      </c>
      <c r="O10" s="1600"/>
      <c r="P10" s="1600"/>
      <c r="Q10" s="1600"/>
    </row>
    <row r="11" spans="1:17" ht="12.6">
      <c r="A11" s="112"/>
      <c r="B11" s="206" t="s">
        <v>793</v>
      </c>
      <c r="C11" s="367"/>
      <c r="D11" s="197" t="s">
        <v>741</v>
      </c>
      <c r="E11" s="1601">
        <f>'STANDARD COMP.'!E11:F11</f>
        <v>22</v>
      </c>
      <c r="F11" s="1602"/>
      <c r="G11" s="369" t="s">
        <v>794</v>
      </c>
      <c r="H11" s="1417"/>
      <c r="I11" s="1418"/>
      <c r="J11" s="203"/>
      <c r="K11" s="1588" t="s">
        <v>793</v>
      </c>
      <c r="L11" s="1588"/>
      <c r="M11" s="197" t="s">
        <v>741</v>
      </c>
      <c r="N11" s="1420">
        <f t="shared" si="0"/>
        <v>22</v>
      </c>
      <c r="O11" s="1421"/>
      <c r="P11" s="1422" t="s">
        <v>794</v>
      </c>
      <c r="Q11" s="1423"/>
    </row>
    <row r="12" spans="1:17" ht="12.6">
      <c r="A12" s="302"/>
      <c r="B12" s="370" t="s">
        <v>795</v>
      </c>
      <c r="C12" s="366"/>
      <c r="D12" s="197" t="s">
        <v>741</v>
      </c>
      <c r="E12" s="1601"/>
      <c r="F12" s="1602"/>
      <c r="G12" s="369" t="s">
        <v>794</v>
      </c>
      <c r="H12" s="1422"/>
      <c r="I12" s="1423"/>
      <c r="J12" s="203"/>
      <c r="K12" s="1588" t="s">
        <v>795</v>
      </c>
      <c r="L12" s="1588"/>
      <c r="M12" s="197" t="s">
        <v>741</v>
      </c>
      <c r="N12" s="1589">
        <f t="shared" si="0"/>
        <v>0</v>
      </c>
      <c r="O12" s="1590"/>
      <c r="P12" s="1422" t="s">
        <v>794</v>
      </c>
      <c r="Q12" s="1423"/>
    </row>
    <row r="13" spans="1:17" ht="12.6">
      <c r="A13" s="303"/>
      <c r="B13" s="206" t="s">
        <v>796</v>
      </c>
      <c r="C13" s="367"/>
      <c r="D13" s="197" t="s">
        <v>741</v>
      </c>
      <c r="E13" s="1593">
        <f>'STANDARD COMP.'!E13:F13</f>
        <v>22</v>
      </c>
      <c r="F13" s="1594"/>
      <c r="G13" s="369" t="s">
        <v>794</v>
      </c>
      <c r="H13" s="1422"/>
      <c r="I13" s="1423"/>
      <c r="J13" s="203"/>
      <c r="K13" s="1588" t="s">
        <v>796</v>
      </c>
      <c r="L13" s="1588"/>
      <c r="M13" s="197" t="s">
        <v>741</v>
      </c>
      <c r="N13" s="1589">
        <f t="shared" si="0"/>
        <v>22</v>
      </c>
      <c r="O13" s="1590"/>
      <c r="P13" s="1422" t="s">
        <v>794</v>
      </c>
      <c r="Q13" s="1423"/>
    </row>
    <row r="14" spans="1:17" ht="12.6">
      <c r="A14" s="112"/>
      <c r="B14" s="112"/>
      <c r="C14" s="312"/>
      <c r="D14" s="197"/>
      <c r="E14" s="203"/>
      <c r="F14" s="371"/>
      <c r="G14" s="371"/>
      <c r="H14" s="372"/>
      <c r="I14" s="373"/>
      <c r="J14" s="203"/>
      <c r="K14" s="112"/>
      <c r="L14" s="112"/>
      <c r="M14" s="301"/>
      <c r="N14" s="112"/>
      <c r="O14" s="112"/>
      <c r="P14" s="112"/>
      <c r="Q14" s="112"/>
    </row>
    <row r="15" spans="1:17" ht="15" customHeight="1">
      <c r="A15" s="112"/>
      <c r="B15" s="201" t="s">
        <v>797</v>
      </c>
      <c r="C15" s="201"/>
      <c r="D15" s="374" t="s">
        <v>741</v>
      </c>
      <c r="E15" s="375"/>
      <c r="F15" s="1595">
        <f>'STANDARD COMP.'!F15:I15</f>
        <v>3379693.0676632621</v>
      </c>
      <c r="G15" s="1595"/>
      <c r="H15" s="1595"/>
      <c r="I15" s="1596"/>
      <c r="J15" s="203"/>
      <c r="K15" s="1434" t="s">
        <v>798</v>
      </c>
      <c r="L15" s="1434"/>
      <c r="M15" s="1435" t="s">
        <v>709</v>
      </c>
      <c r="N15" s="1434" t="s">
        <v>712</v>
      </c>
      <c r="O15" s="1434"/>
      <c r="P15" s="1436" t="s">
        <v>458</v>
      </c>
      <c r="Q15" s="1437"/>
    </row>
    <row r="16" spans="1:17" ht="12.6">
      <c r="A16" s="112"/>
      <c r="B16" s="215" t="s">
        <v>799</v>
      </c>
      <c r="C16" s="367"/>
      <c r="D16" s="376" t="s">
        <v>741</v>
      </c>
      <c r="E16" s="377"/>
      <c r="F16" s="1586">
        <f>'STANDARD COMP.'!F16:I16</f>
        <v>0</v>
      </c>
      <c r="G16" s="1586"/>
      <c r="H16" s="1586"/>
      <c r="I16" s="1587"/>
      <c r="J16" s="114"/>
      <c r="K16" s="1434"/>
      <c r="L16" s="1434"/>
      <c r="M16" s="1435"/>
      <c r="N16" s="1434"/>
      <c r="O16" s="1434"/>
      <c r="P16" s="1438"/>
      <c r="Q16" s="1439"/>
    </row>
    <row r="17" spans="1:50" ht="12.6">
      <c r="A17" s="112"/>
      <c r="B17" s="165" t="s">
        <v>800</v>
      </c>
      <c r="C17" s="122"/>
      <c r="D17" s="203" t="s">
        <v>741</v>
      </c>
      <c r="E17" s="375"/>
      <c r="F17" s="1591">
        <f>'STANDARD COMP.'!F17:I17</f>
        <v>3379693.0676632621</v>
      </c>
      <c r="G17" s="1591"/>
      <c r="H17" s="1591"/>
      <c r="I17" s="1592"/>
      <c r="J17" s="114"/>
      <c r="K17" s="1419" t="s">
        <v>758</v>
      </c>
      <c r="L17" s="1419"/>
      <c r="M17" s="378">
        <f>C2</f>
        <v>45901</v>
      </c>
      <c r="N17" s="1441">
        <f>F25</f>
        <v>30000</v>
      </c>
      <c r="O17" s="1441"/>
      <c r="P17" s="1775"/>
      <c r="Q17" s="1443"/>
      <c r="W17" s="380">
        <f>M17</f>
        <v>45901</v>
      </c>
      <c r="X17" s="380">
        <f>EDATE(W17,E29)</f>
        <v>46447</v>
      </c>
    </row>
    <row r="18" spans="1:50" ht="12.95">
      <c r="A18" s="112"/>
      <c r="B18" s="212"/>
      <c r="C18" s="312"/>
      <c r="D18" s="197"/>
      <c r="E18" s="555">
        <f>(F17)*E19</f>
        <v>405563.16811959143</v>
      </c>
      <c r="F18" s="381"/>
      <c r="G18" s="382"/>
      <c r="H18" s="383"/>
      <c r="I18" s="383"/>
      <c r="J18" s="114"/>
      <c r="K18" s="1419" t="str">
        <f t="shared" ref="K18:K63" si="1">IF(N18&gt;1,T18,0)</f>
        <v>1st EQUITY PAYMENT</v>
      </c>
      <c r="L18" s="1419"/>
      <c r="M18" s="378">
        <f>IF(N18&gt;1,W18,"")</f>
        <v>45935</v>
      </c>
      <c r="N18" s="1441">
        <f>F29</f>
        <v>19691.115913705333</v>
      </c>
      <c r="O18" s="1441"/>
      <c r="P18" s="1775"/>
      <c r="Q18" s="1443"/>
      <c r="T18" s="1549" t="s">
        <v>945</v>
      </c>
      <c r="U18" s="1549"/>
      <c r="W18" s="378">
        <f>IF(DAY(W17)=31,Y20,AA20)</f>
        <v>45935</v>
      </c>
      <c r="X18" s="24"/>
      <c r="Y18" s="1585" t="s">
        <v>805</v>
      </c>
      <c r="Z18" s="1585"/>
      <c r="AA18" s="24"/>
    </row>
    <row r="19" spans="1:50" ht="12.6">
      <c r="A19" s="302"/>
      <c r="B19" s="215" t="s">
        <v>803</v>
      </c>
      <c r="C19" s="367"/>
      <c r="D19" s="376" t="s">
        <v>741</v>
      </c>
      <c r="E19" s="487">
        <v>0.12</v>
      </c>
      <c r="F19" s="1586">
        <f>'STANDARD COMP.'!F19:I19</f>
        <v>0</v>
      </c>
      <c r="G19" s="1586"/>
      <c r="H19" s="1586"/>
      <c r="I19" s="1587"/>
      <c r="J19" s="114"/>
      <c r="K19" s="1419" t="str">
        <f t="shared" si="1"/>
        <v>2nd EQUITY PAYMENT</v>
      </c>
      <c r="L19" s="1419"/>
      <c r="M19" s="378">
        <f t="shared" ref="M19:M63" si="2">IF(N19&gt;1,W19,"")</f>
        <v>45966</v>
      </c>
      <c r="N19" s="1441">
        <f>N18</f>
        <v>19691.115913705333</v>
      </c>
      <c r="O19" s="1441"/>
      <c r="P19" s="1775"/>
      <c r="Q19" s="1443"/>
      <c r="T19" s="1549" t="s">
        <v>804</v>
      </c>
      <c r="U19" s="1549"/>
      <c r="W19" s="378">
        <f t="shared" ref="W19:W61" si="3">IF(AND(DAY(W18)&gt;=6,DAY(W18)&lt;=20),DATE(YEAR(W18),MONTH(W18)+1,DAY(20)),IF(AND(DAY(W18)&gt;=21,DAY(W18)&lt;=30),DATE(YEAR(W18),MONTH(W18)+1,IF(DAY(EOMONTH(W18,1))&lt;30,DAY(EOMONTH(W18,1)),DAY(30))),DATE(YEAR(W18),MONTH(W18)+1,DAY(5))))</f>
        <v>45966</v>
      </c>
      <c r="X19" s="60" t="s">
        <v>37</v>
      </c>
      <c r="Y19" s="1583" t="b">
        <f>IF(DAY(W17)=31,DATE(YEAR(X17),MONTH(X17)+2,DAY(5)))</f>
        <v>0</v>
      </c>
      <c r="Z19" s="1584"/>
      <c r="AA19" s="495">
        <f>IF(AND(DAY(X17)&gt;=6,DAY(X17)&lt;=20),DATE(YEAR(X17),MONTH(X17)+1,DAY(20)),IF(AND(DAY(X17)&gt;=21,DAY(X17)&lt;=31),DATE(YEAR(X17),MONTH(X17)+1,IF(DAY(EOMONTH(X17,1))&lt;30,DAY(EOMONTH(X17,1)),DAY(30))),DATE(YEAR(X17),MONTH(X17)+1,DAY(5))))</f>
        <v>46482</v>
      </c>
    </row>
    <row r="20" spans="1:50" ht="12.6">
      <c r="A20" s="303"/>
      <c r="B20" s="384" t="s">
        <v>806</v>
      </c>
      <c r="C20" s="122"/>
      <c r="D20" s="197" t="s">
        <v>741</v>
      </c>
      <c r="E20" s="216"/>
      <c r="F20" s="1580">
        <f>'STANDARD COMP.'!F20:I20</f>
        <v>464707.79680369853</v>
      </c>
      <c r="G20" s="1581"/>
      <c r="H20" s="1581"/>
      <c r="I20" s="1582"/>
      <c r="J20" s="114"/>
      <c r="K20" s="1419" t="str">
        <f t="shared" si="1"/>
        <v>3rd EQUITY PAYMENT</v>
      </c>
      <c r="L20" s="1419"/>
      <c r="M20" s="378">
        <f t="shared" si="2"/>
        <v>45996</v>
      </c>
      <c r="N20" s="1441">
        <f t="shared" ref="N20:N52" si="4">N19</f>
        <v>19691.115913705333</v>
      </c>
      <c r="O20" s="1441"/>
      <c r="P20" s="1775"/>
      <c r="Q20" s="1443"/>
      <c r="T20" s="1549" t="s">
        <v>807</v>
      </c>
      <c r="U20" s="1549"/>
      <c r="W20" s="378">
        <f t="shared" si="3"/>
        <v>45996</v>
      </c>
      <c r="X20" s="60" t="s">
        <v>809</v>
      </c>
      <c r="Y20" s="1583" t="b">
        <f>IF(DAY(W17)=31,DATE(YEAR(W17),MONTH(W17)+2,DAY(5)))</f>
        <v>0</v>
      </c>
      <c r="Z20" s="1584"/>
      <c r="AA20" s="495">
        <f>IF(AND(DAY(W17)&gt;=6,DAY(W17)&lt;=20),DATE(YEAR(W17),MONTH(W17)+1,DAY(20)),IF(AND(DAY(W17)&gt;=21,DAY(W17)&lt;=30),DATE(YEAR(W17),MONTH(W17)+1,IF(DAY(EOMONTH(W17,1))&lt;31,DAY(EOMONTH(W17,1)),DAY(30))),DATE(YEAR(W17),MONTH(W17)+1,DAY(5))))</f>
        <v>45935</v>
      </c>
      <c r="AX20" s="111"/>
    </row>
    <row r="21" spans="1:50" ht="12.6">
      <c r="A21" s="112"/>
      <c r="B21" s="212"/>
      <c r="C21" s="114"/>
      <c r="D21" s="197"/>
      <c r="E21" s="203"/>
      <c r="F21" s="381"/>
      <c r="G21" s="381"/>
      <c r="H21" s="381"/>
      <c r="I21" s="381"/>
      <c r="J21" s="114"/>
      <c r="K21" s="1419" t="str">
        <f t="shared" si="1"/>
        <v>4th EQUITY PAYMENT</v>
      </c>
      <c r="L21" s="1419"/>
      <c r="M21" s="378">
        <f t="shared" si="2"/>
        <v>46027</v>
      </c>
      <c r="N21" s="1441">
        <f t="shared" si="4"/>
        <v>19691.115913705333</v>
      </c>
      <c r="O21" s="1441"/>
      <c r="P21" s="1775"/>
      <c r="Q21" s="1443"/>
      <c r="T21" s="1549" t="s">
        <v>808</v>
      </c>
      <c r="U21" s="1549"/>
      <c r="W21" s="378">
        <f t="shared" si="3"/>
        <v>46027</v>
      </c>
      <c r="AX21" s="111"/>
    </row>
    <row r="22" spans="1:50" ht="12.6">
      <c r="A22" s="112"/>
      <c r="B22" s="165" t="s">
        <v>810</v>
      </c>
      <c r="C22" s="122"/>
      <c r="D22" s="203" t="s">
        <v>741</v>
      </c>
      <c r="E22" s="385"/>
      <c r="F22" s="1474">
        <f>SUM(F19:I20,F17)</f>
        <v>3844400.8644669605</v>
      </c>
      <c r="G22" s="1475"/>
      <c r="H22" s="1475"/>
      <c r="I22" s="1476"/>
      <c r="J22" s="114"/>
      <c r="K22" s="1419" t="str">
        <f t="shared" si="1"/>
        <v>5th EQUITY PAYMENT</v>
      </c>
      <c r="L22" s="1419"/>
      <c r="M22" s="378">
        <f t="shared" si="2"/>
        <v>46058</v>
      </c>
      <c r="N22" s="1441">
        <f t="shared" si="4"/>
        <v>19691.115913705333</v>
      </c>
      <c r="O22" s="1441"/>
      <c r="P22" s="1775"/>
      <c r="Q22" s="1443"/>
      <c r="T22" s="1549" t="s">
        <v>811</v>
      </c>
      <c r="U22" s="1549"/>
      <c r="W22" s="378">
        <f t="shared" si="3"/>
        <v>46058</v>
      </c>
      <c r="AX22" s="111"/>
    </row>
    <row r="23" spans="1:50" ht="12.6">
      <c r="A23" s="112"/>
      <c r="B23" s="212"/>
      <c r="C23" s="114"/>
      <c r="D23" s="197"/>
      <c r="E23" s="203"/>
      <c r="F23" s="381"/>
      <c r="G23" s="386"/>
      <c r="H23" s="386"/>
      <c r="I23" s="386"/>
      <c r="J23" s="114"/>
      <c r="K23" s="1419" t="str">
        <f t="shared" si="1"/>
        <v>6th EQUITY PAYMENT</v>
      </c>
      <c r="L23" s="1419"/>
      <c r="M23" s="378">
        <f t="shared" si="2"/>
        <v>46086</v>
      </c>
      <c r="N23" s="1441">
        <f t="shared" si="4"/>
        <v>19691.115913705333</v>
      </c>
      <c r="O23" s="1441"/>
      <c r="P23" s="1775"/>
      <c r="Q23" s="1443"/>
      <c r="T23" s="1549" t="s">
        <v>812</v>
      </c>
      <c r="U23" s="1549"/>
      <c r="W23" s="378">
        <f t="shared" si="3"/>
        <v>46086</v>
      </c>
      <c r="AX23" s="111"/>
    </row>
    <row r="24" spans="1:50" ht="12.6">
      <c r="A24" s="112"/>
      <c r="B24" s="201" t="s">
        <v>813</v>
      </c>
      <c r="C24" s="366"/>
      <c r="D24" s="374" t="s">
        <v>741</v>
      </c>
      <c r="E24" s="485">
        <v>0.15</v>
      </c>
      <c r="F24" s="1474">
        <f>F22*E24</f>
        <v>576660.12967004406</v>
      </c>
      <c r="G24" s="1475"/>
      <c r="H24" s="1475"/>
      <c r="I24" s="1476"/>
      <c r="J24" s="114"/>
      <c r="K24" s="1419" t="str">
        <f t="shared" ref="K24:K30" si="5">IF(N24&gt;1,T24,0)</f>
        <v>7th EQUITY PAYMENT</v>
      </c>
      <c r="L24" s="1419"/>
      <c r="M24" s="378">
        <f t="shared" si="2"/>
        <v>46117</v>
      </c>
      <c r="N24" s="1441">
        <f t="shared" si="4"/>
        <v>19691.115913705333</v>
      </c>
      <c r="O24" s="1441"/>
      <c r="P24" s="1775"/>
      <c r="Q24" s="1443"/>
      <c r="T24" s="1549" t="s">
        <v>814</v>
      </c>
      <c r="U24" s="1549"/>
      <c r="W24" s="378">
        <f t="shared" si="3"/>
        <v>46117</v>
      </c>
      <c r="AX24" s="111"/>
    </row>
    <row r="25" spans="1:50" ht="12.6">
      <c r="A25" s="112"/>
      <c r="B25" s="206" t="s">
        <v>815</v>
      </c>
      <c r="C25" s="367"/>
      <c r="D25" s="197" t="s">
        <v>741</v>
      </c>
      <c r="E25" s="388"/>
      <c r="F25" s="348">
        <f>'STANDARD COMP.'!F25</f>
        <v>30000</v>
      </c>
      <c r="G25" s="389"/>
      <c r="H25" s="390"/>
      <c r="I25" s="391"/>
      <c r="J25" s="114"/>
      <c r="K25" s="1419" t="str">
        <f t="shared" si="5"/>
        <v>8th EQUITY PAYMENT</v>
      </c>
      <c r="L25" s="1419"/>
      <c r="M25" s="378">
        <f t="shared" si="2"/>
        <v>46147</v>
      </c>
      <c r="N25" s="1441">
        <f t="shared" si="4"/>
        <v>19691.115913705333</v>
      </c>
      <c r="O25" s="1441"/>
      <c r="P25" s="1775"/>
      <c r="Q25" s="1443"/>
      <c r="T25" s="1549" t="s">
        <v>816</v>
      </c>
      <c r="U25" s="1549"/>
      <c r="W25" s="378">
        <f t="shared" si="3"/>
        <v>46147</v>
      </c>
      <c r="AX25" s="111"/>
    </row>
    <row r="26" spans="1:50" ht="12.6">
      <c r="A26" s="302"/>
      <c r="B26" s="221" t="s">
        <v>983</v>
      </c>
      <c r="C26" s="1033"/>
      <c r="D26" s="197"/>
      <c r="E26" s="485">
        <v>0.05</v>
      </c>
      <c r="F26" s="616">
        <f>F22*E26</f>
        <v>192220.04322334804</v>
      </c>
      <c r="G26" s="594"/>
      <c r="H26" s="1034"/>
      <c r="I26" s="391"/>
      <c r="J26" s="114"/>
      <c r="K26" s="1419" t="str">
        <f t="shared" si="5"/>
        <v>9th EQUITY PAYMENT</v>
      </c>
      <c r="L26" s="1419"/>
      <c r="M26" s="378">
        <f t="shared" si="2"/>
        <v>46178</v>
      </c>
      <c r="N26" s="1441">
        <f t="shared" si="4"/>
        <v>19691.115913705333</v>
      </c>
      <c r="O26" s="1441"/>
      <c r="P26" s="1775"/>
      <c r="Q26" s="1443"/>
      <c r="T26" s="1549" t="s">
        <v>818</v>
      </c>
      <c r="U26" s="1549"/>
      <c r="W26" s="378">
        <f t="shared" si="3"/>
        <v>46178</v>
      </c>
      <c r="AX26" s="111"/>
    </row>
    <row r="27" spans="1:50" ht="12.6">
      <c r="A27" s="112"/>
      <c r="B27" s="1035" t="s">
        <v>946</v>
      </c>
      <c r="C27" s="218"/>
      <c r="D27" s="203" t="s">
        <v>741</v>
      </c>
      <c r="E27" s="388"/>
      <c r="F27" s="1474">
        <f>F24-F25-F26</f>
        <v>354440.08644669602</v>
      </c>
      <c r="G27" s="1475"/>
      <c r="H27" s="1475"/>
      <c r="I27" s="1476"/>
      <c r="J27" s="114"/>
      <c r="K27" s="1419" t="str">
        <f t="shared" si="5"/>
        <v>10th EQUITY PAYMENT</v>
      </c>
      <c r="L27" s="1419"/>
      <c r="M27" s="378">
        <f t="shared" si="2"/>
        <v>46208</v>
      </c>
      <c r="N27" s="1441">
        <f t="shared" si="4"/>
        <v>19691.115913705333</v>
      </c>
      <c r="O27" s="1441"/>
      <c r="P27" s="1775"/>
      <c r="Q27" s="1443"/>
      <c r="T27" s="1549" t="s">
        <v>819</v>
      </c>
      <c r="U27" s="1549"/>
      <c r="W27" s="378">
        <f t="shared" si="3"/>
        <v>46208</v>
      </c>
      <c r="AX27" s="111"/>
    </row>
    <row r="28" spans="1:50" ht="12.6">
      <c r="A28" s="112"/>
      <c r="B28" s="212"/>
      <c r="C28" s="1036"/>
      <c r="D28" s="1037"/>
      <c r="E28" s="203"/>
      <c r="F28" s="381"/>
      <c r="G28" s="386"/>
      <c r="H28" s="386"/>
      <c r="I28" s="386"/>
      <c r="J28" s="114"/>
      <c r="K28" s="1419" t="str">
        <f t="shared" ref="K28" si="6">IF(N28&gt;1,T28,0)</f>
        <v>11th EQUITY PAYMENT</v>
      </c>
      <c r="L28" s="1419"/>
      <c r="M28" s="378">
        <f t="shared" si="2"/>
        <v>46239</v>
      </c>
      <c r="N28" s="1441">
        <f t="shared" si="4"/>
        <v>19691.115913705333</v>
      </c>
      <c r="O28" s="1441"/>
      <c r="P28" s="1775"/>
      <c r="Q28" s="1443"/>
      <c r="T28" s="1549" t="s">
        <v>822</v>
      </c>
      <c r="U28" s="1549"/>
      <c r="W28" s="378">
        <f t="shared" si="3"/>
        <v>46239</v>
      </c>
      <c r="AX28" s="111"/>
    </row>
    <row r="29" spans="1:50" ht="12.6">
      <c r="A29" s="304"/>
      <c r="B29" s="1579" t="s">
        <v>947</v>
      </c>
      <c r="C29" s="1579"/>
      <c r="D29" s="203" t="s">
        <v>741</v>
      </c>
      <c r="E29" s="1038">
        <f>'STANDARD COMP.'!E28</f>
        <v>18</v>
      </c>
      <c r="F29" s="1776">
        <f>F27/E29</f>
        <v>19691.115913705333</v>
      </c>
      <c r="G29" s="1777"/>
      <c r="H29" s="1777"/>
      <c r="I29" s="1778"/>
      <c r="J29" s="114"/>
      <c r="K29" s="1419" t="s">
        <v>984</v>
      </c>
      <c r="L29" s="1419"/>
      <c r="M29" s="378">
        <f t="shared" si="2"/>
        <v>46270</v>
      </c>
      <c r="N29" s="1441">
        <f>N28+F30</f>
        <v>115801.13752537935</v>
      </c>
      <c r="O29" s="1441"/>
      <c r="P29" s="1775"/>
      <c r="Q29" s="1443"/>
      <c r="T29" s="1549" t="s">
        <v>823</v>
      </c>
      <c r="U29" s="1549"/>
      <c r="W29" s="378">
        <f t="shared" si="3"/>
        <v>46270</v>
      </c>
      <c r="AX29" s="111"/>
    </row>
    <row r="30" spans="1:50" ht="12.6">
      <c r="A30" s="112"/>
      <c r="B30" s="1039" t="str">
        <f>'Corrected and Updated TSF 2'!FC29</f>
        <v>Lumpsum payment of the 12th and 24th</v>
      </c>
      <c r="C30" s="1040"/>
      <c r="D30" s="203"/>
      <c r="E30" s="1041">
        <v>2</v>
      </c>
      <c r="F30" s="1779">
        <f>F26/E30</f>
        <v>96110.021611674019</v>
      </c>
      <c r="G30" s="1779"/>
      <c r="H30" s="1779"/>
      <c r="I30" s="1779"/>
      <c r="J30" s="114"/>
      <c r="K30" s="1419" t="str">
        <f t="shared" si="5"/>
        <v>13th EQUITY PAYMENT</v>
      </c>
      <c r="L30" s="1419"/>
      <c r="M30" s="378">
        <f t="shared" si="2"/>
        <v>46300</v>
      </c>
      <c r="N30" s="1441">
        <f>F29</f>
        <v>19691.115913705333</v>
      </c>
      <c r="O30" s="1441"/>
      <c r="P30" s="1775"/>
      <c r="Q30" s="1443"/>
      <c r="T30" s="1549" t="s">
        <v>824</v>
      </c>
      <c r="U30" s="1549"/>
      <c r="W30" s="378">
        <f t="shared" si="3"/>
        <v>46300</v>
      </c>
      <c r="AX30" s="111"/>
    </row>
    <row r="31" spans="1:50" ht="12.6">
      <c r="A31" s="112"/>
      <c r="B31" s="112"/>
      <c r="C31" s="312"/>
      <c r="D31" s="197"/>
      <c r="E31" s="393"/>
      <c r="F31" s="381"/>
      <c r="G31" s="381"/>
      <c r="H31" s="381"/>
      <c r="I31" s="381"/>
      <c r="J31" s="114"/>
      <c r="K31" s="1419" t="str">
        <f t="shared" ref="K31:K39" si="7">IF(N31&gt;1,T31,0)</f>
        <v>14th EQUITY PAYMENT</v>
      </c>
      <c r="L31" s="1419"/>
      <c r="M31" s="378">
        <f t="shared" si="2"/>
        <v>46331</v>
      </c>
      <c r="N31" s="1441">
        <f t="shared" si="4"/>
        <v>19691.115913705333</v>
      </c>
      <c r="O31" s="1441"/>
      <c r="P31" s="1775"/>
      <c r="Q31" s="1443"/>
      <c r="T31" s="1549" t="s">
        <v>825</v>
      </c>
      <c r="U31" s="1549"/>
      <c r="W31" s="378">
        <f t="shared" si="3"/>
        <v>46331</v>
      </c>
      <c r="AX31" s="111"/>
    </row>
    <row r="32" spans="1:50" ht="12.6">
      <c r="A32" s="112"/>
      <c r="B32" s="165" t="s">
        <v>827</v>
      </c>
      <c r="C32" s="165"/>
      <c r="D32" s="203" t="s">
        <v>741</v>
      </c>
      <c r="E32" s="387">
        <f>100%-E24</f>
        <v>0.85</v>
      </c>
      <c r="F32" s="1474">
        <f>F22*E32</f>
        <v>3267740.7347969166</v>
      </c>
      <c r="G32" s="1475"/>
      <c r="H32" s="1475"/>
      <c r="I32" s="1476"/>
      <c r="J32" s="313"/>
      <c r="K32" s="1419" t="str">
        <f t="shared" si="7"/>
        <v>15th EQUITY PAYMENT</v>
      </c>
      <c r="L32" s="1419"/>
      <c r="M32" s="378">
        <f t="shared" si="2"/>
        <v>46361</v>
      </c>
      <c r="N32" s="1441">
        <f t="shared" si="4"/>
        <v>19691.115913705333</v>
      </c>
      <c r="O32" s="1441"/>
      <c r="P32" s="1775"/>
      <c r="Q32" s="1443"/>
      <c r="T32" s="1549" t="s">
        <v>826</v>
      </c>
      <c r="U32" s="1549"/>
      <c r="W32" s="378">
        <f t="shared" si="3"/>
        <v>46361</v>
      </c>
      <c r="AX32" s="111"/>
    </row>
    <row r="33" spans="1:50" ht="12.6">
      <c r="A33" s="112"/>
      <c r="B33" s="112"/>
      <c r="C33" s="312"/>
      <c r="D33" s="393"/>
      <c r="E33" s="393"/>
      <c r="F33" s="393"/>
      <c r="G33" s="394"/>
      <c r="H33" s="394"/>
      <c r="I33" s="394"/>
      <c r="J33" s="203"/>
      <c r="K33" s="1419" t="str">
        <f t="shared" si="7"/>
        <v>16th EQUITY PAYMENT</v>
      </c>
      <c r="L33" s="1419"/>
      <c r="M33" s="378">
        <f t="shared" si="2"/>
        <v>46392</v>
      </c>
      <c r="N33" s="1441">
        <f t="shared" si="4"/>
        <v>19691.115913705333</v>
      </c>
      <c r="O33" s="1441"/>
      <c r="P33" s="1775"/>
      <c r="Q33" s="1443"/>
      <c r="T33" s="1549" t="s">
        <v>828</v>
      </c>
      <c r="U33" s="1549"/>
      <c r="W33" s="378">
        <f t="shared" si="3"/>
        <v>46392</v>
      </c>
      <c r="AX33" s="111"/>
    </row>
    <row r="34" spans="1:50" ht="12.6">
      <c r="A34" s="112"/>
      <c r="B34" s="122" t="s">
        <v>830</v>
      </c>
      <c r="C34" s="384"/>
      <c r="D34" s="395"/>
      <c r="E34" s="396"/>
      <c r="F34" s="393"/>
      <c r="G34" s="394"/>
      <c r="H34" s="394"/>
      <c r="I34" s="394"/>
      <c r="J34" s="312"/>
      <c r="K34" s="1419" t="str">
        <f t="shared" si="7"/>
        <v>17th EQUITY PAYMENT</v>
      </c>
      <c r="L34" s="1419"/>
      <c r="M34" s="378">
        <f t="shared" si="2"/>
        <v>46423</v>
      </c>
      <c r="N34" s="1441">
        <f t="shared" si="4"/>
        <v>19691.115913705333</v>
      </c>
      <c r="O34" s="1441"/>
      <c r="P34" s="1775"/>
      <c r="Q34" s="1443"/>
      <c r="T34" s="1549" t="s">
        <v>829</v>
      </c>
      <c r="U34" s="1549"/>
      <c r="W34" s="378">
        <f t="shared" si="3"/>
        <v>46423</v>
      </c>
      <c r="AX34" s="111"/>
    </row>
    <row r="35" spans="1:50" ht="12.6">
      <c r="A35" s="112"/>
      <c r="B35" s="112"/>
      <c r="C35" s="312"/>
      <c r="D35" s="312"/>
      <c r="E35" s="397"/>
      <c r="F35" s="278"/>
      <c r="G35" s="278"/>
      <c r="H35" s="278"/>
      <c r="I35" s="278"/>
      <c r="J35" s="114"/>
      <c r="K35" s="1419" t="str">
        <f t="shared" si="7"/>
        <v>18th EQUITY PAYMENT</v>
      </c>
      <c r="L35" s="1419"/>
      <c r="M35" s="378">
        <f t="shared" si="2"/>
        <v>46451</v>
      </c>
      <c r="N35" s="1441">
        <f t="shared" si="4"/>
        <v>19691.115913705333</v>
      </c>
      <c r="O35" s="1441"/>
      <c r="P35" s="1775"/>
      <c r="Q35" s="1443"/>
      <c r="T35" s="1549" t="s">
        <v>831</v>
      </c>
      <c r="U35" s="1549"/>
      <c r="W35" s="378">
        <f t="shared" si="3"/>
        <v>46451</v>
      </c>
      <c r="AX35" s="111"/>
    </row>
    <row r="36" spans="1:50" ht="12.6">
      <c r="A36" s="112"/>
      <c r="B36" s="345" t="s">
        <v>833</v>
      </c>
      <c r="C36" s="345" t="s">
        <v>352</v>
      </c>
      <c r="D36" s="345" t="s">
        <v>834</v>
      </c>
      <c r="E36" s="345" t="s">
        <v>835</v>
      </c>
      <c r="F36" s="1434" t="s">
        <v>855</v>
      </c>
      <c r="G36" s="1434"/>
      <c r="H36" s="1434"/>
      <c r="I36" s="1434"/>
      <c r="J36" s="114"/>
      <c r="K36" s="1419" t="str">
        <f t="shared" si="7"/>
        <v>19th EQUITY PAYMENT</v>
      </c>
      <c r="L36" s="1419"/>
      <c r="M36" s="378">
        <f t="shared" si="2"/>
        <v>46482</v>
      </c>
      <c r="N36" s="1441">
        <f t="shared" si="4"/>
        <v>19691.115913705333</v>
      </c>
      <c r="O36" s="1441"/>
      <c r="P36" s="1775"/>
      <c r="Q36" s="1443"/>
      <c r="T36" s="1549" t="s">
        <v>832</v>
      </c>
      <c r="U36" s="1549"/>
      <c r="W36" s="378">
        <f t="shared" si="3"/>
        <v>46482</v>
      </c>
      <c r="AX36" s="111"/>
    </row>
    <row r="37" spans="1:50" ht="12.6">
      <c r="A37" s="112"/>
      <c r="B37" s="398">
        <v>5</v>
      </c>
      <c r="C37" s="1042">
        <v>7.0000000000000007E-2</v>
      </c>
      <c r="D37" s="399">
        <f>PMT(C37/12,B37*12,-1)</f>
        <v>1.9801198540349535E-2</v>
      </c>
      <c r="E37" s="400">
        <f>F32*D37</f>
        <v>64705.183068101425</v>
      </c>
      <c r="F37" s="1441">
        <f>E37/0.33</f>
        <v>196076.31232758006</v>
      </c>
      <c r="G37" s="1441"/>
      <c r="H37" s="1441"/>
      <c r="I37" s="1441"/>
      <c r="J37" s="114"/>
      <c r="K37" s="1419" t="str">
        <f t="shared" si="7"/>
        <v>20th EQUITY PAYMENT</v>
      </c>
      <c r="L37" s="1419"/>
      <c r="M37" s="378">
        <f t="shared" si="2"/>
        <v>46512</v>
      </c>
      <c r="N37" s="1441">
        <f t="shared" si="4"/>
        <v>19691.115913705333</v>
      </c>
      <c r="O37" s="1441"/>
      <c r="P37" s="1775"/>
      <c r="Q37" s="1443"/>
      <c r="T37" s="1549" t="s">
        <v>837</v>
      </c>
      <c r="U37" s="1549"/>
      <c r="W37" s="378">
        <f t="shared" si="3"/>
        <v>46512</v>
      </c>
      <c r="AX37" s="111"/>
    </row>
    <row r="38" spans="1:50" ht="12.6">
      <c r="A38" s="112"/>
      <c r="B38" s="398">
        <v>10</v>
      </c>
      <c r="C38" s="1042">
        <v>7.0000000000000007E-2</v>
      </c>
      <c r="D38" s="399">
        <f>PMT(C38/12,B38*12,-1)</f>
        <v>1.1610847921862406E-2</v>
      </c>
      <c r="E38" s="400">
        <f>F32*D38</f>
        <v>37941.240719801914</v>
      </c>
      <c r="F38" s="1441">
        <f>E38/0.33</f>
        <v>114973.45672667246</v>
      </c>
      <c r="G38" s="1441"/>
      <c r="H38" s="1441"/>
      <c r="I38" s="1441"/>
      <c r="J38" s="114"/>
      <c r="K38" s="1419" t="str">
        <f t="shared" si="7"/>
        <v>21st EQUITY PAYMENT</v>
      </c>
      <c r="L38" s="1419"/>
      <c r="M38" s="378">
        <f t="shared" si="2"/>
        <v>46543</v>
      </c>
      <c r="N38" s="1441">
        <f t="shared" si="4"/>
        <v>19691.115913705333</v>
      </c>
      <c r="O38" s="1441"/>
      <c r="P38" s="1775"/>
      <c r="Q38" s="1443"/>
      <c r="T38" s="1549" t="s">
        <v>838</v>
      </c>
      <c r="U38" s="1549"/>
      <c r="W38" s="378">
        <f t="shared" si="3"/>
        <v>46543</v>
      </c>
      <c r="AX38" s="111"/>
    </row>
    <row r="39" spans="1:50" ht="12.6">
      <c r="A39" s="112"/>
      <c r="B39" s="398">
        <v>15</v>
      </c>
      <c r="C39" s="1042">
        <v>7.0000000000000007E-2</v>
      </c>
      <c r="D39" s="399">
        <f>PMT(C39/12,B39*12,-1)</f>
        <v>8.988282708524269E-3</v>
      </c>
      <c r="E39" s="400">
        <f>F32*D39</f>
        <v>29371.377542515515</v>
      </c>
      <c r="F39" s="1441">
        <f>E39/0.33</f>
        <v>89004.174371259127</v>
      </c>
      <c r="G39" s="1441"/>
      <c r="H39" s="1441"/>
      <c r="I39" s="1441"/>
      <c r="J39" s="114"/>
      <c r="K39" s="1419" t="str">
        <f t="shared" si="7"/>
        <v>22nd EQUITY PAYMENT</v>
      </c>
      <c r="L39" s="1419"/>
      <c r="M39" s="378">
        <f t="shared" si="2"/>
        <v>46573</v>
      </c>
      <c r="N39" s="1441">
        <f t="shared" si="4"/>
        <v>19691.115913705333</v>
      </c>
      <c r="O39" s="1441"/>
      <c r="P39" s="1775"/>
      <c r="Q39" s="1443"/>
      <c r="T39" s="1549" t="s">
        <v>839</v>
      </c>
      <c r="U39" s="1549"/>
      <c r="W39" s="378">
        <f t="shared" si="3"/>
        <v>46573</v>
      </c>
      <c r="AX39" s="111"/>
    </row>
    <row r="40" spans="1:50" ht="12.6">
      <c r="A40" s="112"/>
      <c r="B40" s="398">
        <v>20</v>
      </c>
      <c r="C40" s="1042">
        <v>7.0000000000000007E-2</v>
      </c>
      <c r="D40" s="399">
        <f>PMT(C40/12,B40*12,-1)</f>
        <v>7.7529893561887461E-3</v>
      </c>
      <c r="E40" s="400">
        <f>F32*D40</f>
        <v>25334.759135664888</v>
      </c>
      <c r="F40" s="1441">
        <f>E40/0.33</f>
        <v>76771.997380802684</v>
      </c>
      <c r="G40" s="1441"/>
      <c r="H40" s="1441"/>
      <c r="I40" s="1441"/>
      <c r="J40" s="114"/>
      <c r="K40" s="1419" t="str">
        <f t="shared" ref="K40" si="8">IF(N40&gt;1,T40,0)</f>
        <v>23rd EQUITY PAYMENT</v>
      </c>
      <c r="L40" s="1419"/>
      <c r="M40" s="378">
        <f t="shared" si="2"/>
        <v>46604</v>
      </c>
      <c r="N40" s="1441">
        <f t="shared" si="4"/>
        <v>19691.115913705333</v>
      </c>
      <c r="O40" s="1441"/>
      <c r="P40" s="1775"/>
      <c r="Q40" s="1443"/>
      <c r="T40" s="1549" t="s">
        <v>840</v>
      </c>
      <c r="U40" s="1549"/>
      <c r="W40" s="378">
        <f t="shared" si="3"/>
        <v>46604</v>
      </c>
      <c r="AN40" s="401">
        <v>3128865.99</v>
      </c>
      <c r="AX40" s="111"/>
    </row>
    <row r="41" spans="1:50" ht="12.6">
      <c r="A41" s="112"/>
      <c r="B41" s="1043" t="s">
        <v>956</v>
      </c>
      <c r="C41" s="305"/>
      <c r="D41" s="306"/>
      <c r="E41" s="307"/>
      <c r="F41" s="1578"/>
      <c r="G41" s="1578"/>
      <c r="H41" s="346"/>
      <c r="I41" s="112"/>
      <c r="J41" s="114"/>
      <c r="K41" s="1419" t="s">
        <v>985</v>
      </c>
      <c r="L41" s="1419"/>
      <c r="M41" s="378">
        <f t="shared" si="2"/>
        <v>46635</v>
      </c>
      <c r="N41" s="1441">
        <f>N40+F30</f>
        <v>115801.13752537935</v>
      </c>
      <c r="O41" s="1441"/>
      <c r="P41" s="1775"/>
      <c r="Q41" s="1443"/>
      <c r="T41" s="1549" t="s">
        <v>841</v>
      </c>
      <c r="U41" s="1549"/>
      <c r="W41" s="378">
        <f t="shared" si="3"/>
        <v>46635</v>
      </c>
      <c r="AX41" s="111"/>
    </row>
    <row r="42" spans="1:50" ht="12.6">
      <c r="A42" s="112"/>
      <c r="B42" s="1043" t="s">
        <v>957</v>
      </c>
      <c r="C42" s="402"/>
      <c r="D42" s="197"/>
      <c r="E42" s="112"/>
      <c r="F42" s="112"/>
      <c r="G42" s="112"/>
      <c r="H42" s="112"/>
      <c r="I42" s="112"/>
      <c r="J42" s="203"/>
      <c r="K42" s="1419" t="str">
        <f t="shared" si="1"/>
        <v>25th EQUITY PAYMENT</v>
      </c>
      <c r="L42" s="1419"/>
      <c r="M42" s="378">
        <f t="shared" si="2"/>
        <v>46665</v>
      </c>
      <c r="N42" s="1441">
        <f>F29</f>
        <v>19691.115913705333</v>
      </c>
      <c r="O42" s="1441"/>
      <c r="P42" s="1775"/>
      <c r="Q42" s="1443"/>
      <c r="T42" s="1549" t="s">
        <v>842</v>
      </c>
      <c r="U42" s="1549"/>
      <c r="W42" s="378">
        <f t="shared" si="3"/>
        <v>46665</v>
      </c>
      <c r="AX42" s="111"/>
    </row>
    <row r="43" spans="1:50" ht="12.6">
      <c r="A43" s="112"/>
      <c r="B43" s="273" t="s">
        <v>844</v>
      </c>
      <c r="C43" s="112"/>
      <c r="D43" s="197"/>
      <c r="E43" s="112"/>
      <c r="F43" s="112"/>
      <c r="G43" s="112"/>
      <c r="H43" s="112"/>
      <c r="I43" s="112"/>
      <c r="J43" s="197"/>
      <c r="K43" s="1419" t="str">
        <f t="shared" ref="K43:K54" si="9">IF(N43&gt;1,T43,0)</f>
        <v>26th EQUITY PAYMENT</v>
      </c>
      <c r="L43" s="1419"/>
      <c r="M43" s="378">
        <f t="shared" si="2"/>
        <v>46696</v>
      </c>
      <c r="N43" s="1441">
        <f t="shared" si="4"/>
        <v>19691.115913705333</v>
      </c>
      <c r="O43" s="1441"/>
      <c r="P43" s="1775"/>
      <c r="Q43" s="1443"/>
      <c r="T43" s="1549" t="s">
        <v>843</v>
      </c>
      <c r="U43" s="1549"/>
      <c r="W43" s="378">
        <f t="shared" si="3"/>
        <v>46696</v>
      </c>
      <c r="AX43" s="111"/>
    </row>
    <row r="44" spans="1:50" ht="12.6">
      <c r="A44" s="112"/>
      <c r="B44" s="273" t="s">
        <v>846</v>
      </c>
      <c r="C44" s="402"/>
      <c r="D44" s="197"/>
      <c r="E44" s="112"/>
      <c r="F44" s="112"/>
      <c r="G44" s="112"/>
      <c r="H44" s="112"/>
      <c r="I44" s="112"/>
      <c r="J44" s="197"/>
      <c r="K44" s="1419" t="str">
        <f t="shared" si="9"/>
        <v>27th EQUITY PAYMENT</v>
      </c>
      <c r="L44" s="1419"/>
      <c r="M44" s="378">
        <f t="shared" si="2"/>
        <v>46726</v>
      </c>
      <c r="N44" s="1441">
        <f t="shared" si="4"/>
        <v>19691.115913705333</v>
      </c>
      <c r="O44" s="1441"/>
      <c r="P44" s="1775"/>
      <c r="Q44" s="1443"/>
      <c r="T44" s="1549" t="s">
        <v>845</v>
      </c>
      <c r="U44" s="1549"/>
      <c r="W44" s="378">
        <f t="shared" si="3"/>
        <v>46726</v>
      </c>
      <c r="AX44" s="111"/>
    </row>
    <row r="45" spans="1:50" ht="12.6">
      <c r="A45" s="112"/>
      <c r="B45" s="250"/>
      <c r="C45" s="112"/>
      <c r="D45" s="112"/>
      <c r="E45" s="112"/>
      <c r="F45" s="112"/>
      <c r="G45" s="112"/>
      <c r="H45" s="112"/>
      <c r="I45" s="112"/>
      <c r="J45" s="197"/>
      <c r="K45" s="1419" t="str">
        <f t="shared" si="9"/>
        <v>28th EQUITY PAYMENT</v>
      </c>
      <c r="L45" s="1419"/>
      <c r="M45" s="378">
        <f t="shared" si="2"/>
        <v>46757</v>
      </c>
      <c r="N45" s="1441">
        <f t="shared" si="4"/>
        <v>19691.115913705333</v>
      </c>
      <c r="O45" s="1441"/>
      <c r="P45" s="1775"/>
      <c r="Q45" s="1443"/>
      <c r="T45" s="1549" t="s">
        <v>847</v>
      </c>
      <c r="U45" s="1549"/>
      <c r="W45" s="378">
        <f t="shared" si="3"/>
        <v>46757</v>
      </c>
      <c r="AX45" s="111"/>
    </row>
    <row r="46" spans="1:50" ht="12.6">
      <c r="A46" s="112"/>
      <c r="B46" s="165" t="s">
        <v>864</v>
      </c>
      <c r="C46" s="165"/>
      <c r="D46" s="312"/>
      <c r="E46" s="312"/>
      <c r="F46" s="312"/>
      <c r="G46" s="312"/>
      <c r="H46" s="312"/>
      <c r="I46" s="312"/>
      <c r="J46" s="197"/>
      <c r="K46" s="1419" t="str">
        <f t="shared" si="9"/>
        <v>29th EQUITY PAYMENT</v>
      </c>
      <c r="L46" s="1419"/>
      <c r="M46" s="378">
        <f t="shared" si="2"/>
        <v>46788</v>
      </c>
      <c r="N46" s="1441">
        <f t="shared" si="4"/>
        <v>19691.115913705333</v>
      </c>
      <c r="O46" s="1441"/>
      <c r="P46" s="1442"/>
      <c r="Q46" s="1443"/>
      <c r="T46" s="1549" t="s">
        <v>848</v>
      </c>
      <c r="U46" s="1549"/>
      <c r="W46" s="378">
        <f t="shared" si="3"/>
        <v>46788</v>
      </c>
      <c r="AJ46" s="111"/>
      <c r="AW46" s="111"/>
      <c r="AX46" s="111"/>
    </row>
    <row r="47" spans="1:50" ht="12.6">
      <c r="A47" s="112"/>
      <c r="B47" s="312"/>
      <c r="C47" s="312"/>
      <c r="D47" s="312"/>
      <c r="E47" s="312"/>
      <c r="F47" s="312"/>
      <c r="G47" s="312"/>
      <c r="H47" s="312"/>
      <c r="I47" s="312"/>
      <c r="J47" s="203"/>
      <c r="K47" s="1419" t="str">
        <f t="shared" si="9"/>
        <v>30th EQUITY PAYMENT</v>
      </c>
      <c r="L47" s="1419"/>
      <c r="M47" s="378">
        <f t="shared" si="2"/>
        <v>46817</v>
      </c>
      <c r="N47" s="1441">
        <f t="shared" si="4"/>
        <v>19691.115913705333</v>
      </c>
      <c r="O47" s="1441"/>
      <c r="P47" s="1442"/>
      <c r="Q47" s="1443"/>
      <c r="T47" s="1549" t="s">
        <v>850</v>
      </c>
      <c r="U47" s="1549"/>
      <c r="W47" s="378">
        <f t="shared" si="3"/>
        <v>46817</v>
      </c>
      <c r="AJ47" s="111"/>
      <c r="AW47" s="111"/>
      <c r="AX47" s="111"/>
    </row>
    <row r="48" spans="1:50" ht="15" customHeight="1">
      <c r="A48" s="112"/>
      <c r="B48" s="1780" t="s">
        <v>948</v>
      </c>
      <c r="C48" s="1781"/>
      <c r="D48" s="1434" t="s">
        <v>711</v>
      </c>
      <c r="E48" s="1434"/>
      <c r="F48" s="1434"/>
      <c r="G48" s="1434" t="s">
        <v>868</v>
      </c>
      <c r="H48" s="1434"/>
      <c r="I48" s="1434"/>
      <c r="J48" s="203"/>
      <c r="K48" s="1419" t="str">
        <f t="shared" si="9"/>
        <v>31st EQUITY PAYMENT</v>
      </c>
      <c r="L48" s="1419"/>
      <c r="M48" s="378">
        <f t="shared" si="2"/>
        <v>46848</v>
      </c>
      <c r="N48" s="1441">
        <f t="shared" si="4"/>
        <v>19691.115913705333</v>
      </c>
      <c r="O48" s="1441"/>
      <c r="P48" s="1782"/>
      <c r="Q48" s="1443"/>
      <c r="T48" s="1577" t="s">
        <v>851</v>
      </c>
      <c r="U48" s="1577"/>
      <c r="W48" s="378">
        <f t="shared" si="3"/>
        <v>46848</v>
      </c>
      <c r="AJ48" s="111"/>
      <c r="AW48" s="111"/>
      <c r="AX48" s="111"/>
    </row>
    <row r="49" spans="1:50" ht="12.6">
      <c r="A49" s="112"/>
      <c r="B49" s="1552">
        <f>[1]FORM!O19</f>
        <v>0</v>
      </c>
      <c r="C49" s="1553"/>
      <c r="D49" s="1552">
        <f>[1]FORM!S19</f>
        <v>0</v>
      </c>
      <c r="E49" s="1556"/>
      <c r="F49" s="1553"/>
      <c r="G49" s="1558">
        <f>[1]FORM!V19</f>
        <v>0</v>
      </c>
      <c r="H49" s="1559"/>
      <c r="I49" s="1560"/>
      <c r="J49" s="278"/>
      <c r="K49" s="1419" t="str">
        <f t="shared" si="9"/>
        <v>32nd EQUITY PAYMENT</v>
      </c>
      <c r="L49" s="1419"/>
      <c r="M49" s="378">
        <f t="shared" si="2"/>
        <v>46878</v>
      </c>
      <c r="N49" s="1441">
        <f t="shared" si="4"/>
        <v>19691.115913705333</v>
      </c>
      <c r="O49" s="1441"/>
      <c r="P49" s="1442"/>
      <c r="Q49" s="1443"/>
      <c r="T49" s="1577" t="s">
        <v>853</v>
      </c>
      <c r="U49" s="1577"/>
      <c r="W49" s="378">
        <f t="shared" si="3"/>
        <v>46878</v>
      </c>
      <c r="AJ49" s="111"/>
      <c r="AW49" s="111"/>
      <c r="AX49" s="111"/>
    </row>
    <row r="50" spans="1:50" ht="15" customHeight="1">
      <c r="A50" s="112"/>
      <c r="B50" s="1554"/>
      <c r="C50" s="1555"/>
      <c r="D50" s="1554"/>
      <c r="E50" s="1557"/>
      <c r="F50" s="1555"/>
      <c r="G50" s="1561"/>
      <c r="H50" s="1562"/>
      <c r="I50" s="1563"/>
      <c r="J50" s="278"/>
      <c r="K50" s="1419" t="str">
        <f t="shared" si="9"/>
        <v>33rd EQUITY PAYMENT</v>
      </c>
      <c r="L50" s="1419"/>
      <c r="M50" s="378">
        <f t="shared" si="2"/>
        <v>46909</v>
      </c>
      <c r="N50" s="1441">
        <f t="shared" si="4"/>
        <v>19691.115913705333</v>
      </c>
      <c r="O50" s="1441"/>
      <c r="P50" s="1442"/>
      <c r="Q50" s="1443"/>
      <c r="T50" s="1549" t="s">
        <v>854</v>
      </c>
      <c r="U50" s="1549"/>
      <c r="W50" s="378">
        <f t="shared" si="3"/>
        <v>46909</v>
      </c>
      <c r="AJ50" s="111"/>
      <c r="AW50" s="111"/>
      <c r="AX50" s="111"/>
    </row>
    <row r="51" spans="1:50" ht="12.6">
      <c r="A51" s="112"/>
      <c r="B51" s="1552">
        <f>[1]FORM!O21</f>
        <v>0</v>
      </c>
      <c r="C51" s="1553"/>
      <c r="D51" s="1552">
        <f>[1]FORM!S21</f>
        <v>0</v>
      </c>
      <c r="E51" s="1556"/>
      <c r="F51" s="1553"/>
      <c r="G51" s="1558">
        <f>[1]FORM!V21</f>
        <v>0</v>
      </c>
      <c r="H51" s="1559"/>
      <c r="I51" s="1560"/>
      <c r="J51" s="278"/>
      <c r="K51" s="1419" t="str">
        <f t="shared" si="9"/>
        <v>34th EQUITY PAYMENT</v>
      </c>
      <c r="L51" s="1419"/>
      <c r="M51" s="378">
        <f t="shared" si="2"/>
        <v>46939</v>
      </c>
      <c r="N51" s="1441">
        <f t="shared" si="4"/>
        <v>19691.115913705333</v>
      </c>
      <c r="O51" s="1441"/>
      <c r="P51" s="1442"/>
      <c r="Q51" s="1443"/>
      <c r="T51" s="1549" t="s">
        <v>856</v>
      </c>
      <c r="U51" s="1549"/>
      <c r="W51" s="378">
        <f t="shared" si="3"/>
        <v>46939</v>
      </c>
      <c r="AJ51" s="111"/>
      <c r="AW51" s="111"/>
      <c r="AX51" s="111"/>
    </row>
    <row r="52" spans="1:50" ht="15" customHeight="1">
      <c r="A52" s="112"/>
      <c r="B52" s="1554"/>
      <c r="C52" s="1555"/>
      <c r="D52" s="1554"/>
      <c r="E52" s="1557"/>
      <c r="F52" s="1555"/>
      <c r="G52" s="1561"/>
      <c r="H52" s="1562"/>
      <c r="I52" s="1563"/>
      <c r="J52" s="112"/>
      <c r="K52" s="1419" t="str">
        <f t="shared" si="9"/>
        <v>35th EQUITY PAYMENT</v>
      </c>
      <c r="L52" s="1419"/>
      <c r="M52" s="378">
        <f t="shared" si="2"/>
        <v>46970</v>
      </c>
      <c r="N52" s="1441">
        <f t="shared" si="4"/>
        <v>19691.115913705333</v>
      </c>
      <c r="O52" s="1441"/>
      <c r="P52" s="1442"/>
      <c r="Q52" s="1443"/>
      <c r="T52" s="1549" t="s">
        <v>857</v>
      </c>
      <c r="U52" s="1549"/>
      <c r="W52" s="378">
        <f t="shared" si="3"/>
        <v>46970</v>
      </c>
      <c r="AJ52" s="111"/>
      <c r="AW52" s="111"/>
      <c r="AX52" s="111"/>
    </row>
    <row r="53" spans="1:50" ht="12.6">
      <c r="A53" s="112"/>
      <c r="B53" s="1552">
        <f>[1]FORM!O25</f>
        <v>0</v>
      </c>
      <c r="C53" s="1553"/>
      <c r="D53" s="1552">
        <f>[1]FORM!S25</f>
        <v>0</v>
      </c>
      <c r="E53" s="1556"/>
      <c r="F53" s="1553"/>
      <c r="G53" s="1558">
        <f>[1]FORM!V25</f>
        <v>0</v>
      </c>
      <c r="H53" s="1559"/>
      <c r="I53" s="1560"/>
      <c r="J53" s="112"/>
      <c r="K53" s="1419"/>
      <c r="L53" s="1419"/>
      <c r="M53" s="378" t="str">
        <f t="shared" si="2"/>
        <v/>
      </c>
      <c r="N53" s="1441"/>
      <c r="O53" s="1441"/>
      <c r="P53" s="1442"/>
      <c r="Q53" s="1443"/>
      <c r="T53" s="1549" t="s">
        <v>858</v>
      </c>
      <c r="U53" s="1549"/>
      <c r="W53" s="378">
        <f t="shared" si="3"/>
        <v>47001</v>
      </c>
      <c r="AJ53" s="111"/>
      <c r="AW53" s="111"/>
      <c r="AX53" s="111"/>
    </row>
    <row r="54" spans="1:50" ht="15" customHeight="1">
      <c r="A54" s="112"/>
      <c r="B54" s="1554"/>
      <c r="C54" s="1555"/>
      <c r="D54" s="1554"/>
      <c r="E54" s="1557"/>
      <c r="F54" s="1555"/>
      <c r="G54" s="1561"/>
      <c r="H54" s="1562"/>
      <c r="I54" s="1563"/>
      <c r="J54" s="112"/>
      <c r="K54" s="1419">
        <f t="shared" si="9"/>
        <v>0</v>
      </c>
      <c r="L54" s="1419"/>
      <c r="M54" s="378" t="str">
        <f t="shared" si="2"/>
        <v/>
      </c>
      <c r="N54" s="1548"/>
      <c r="O54" s="1548"/>
      <c r="P54" s="1442"/>
      <c r="Q54" s="1443"/>
      <c r="T54" s="1549" t="s">
        <v>859</v>
      </c>
      <c r="U54" s="1549"/>
      <c r="W54" s="378">
        <f>IF(AND(DAY(W53)&gt;=6,DAY(W53)&lt;=20),DATE(YEAR(W53),MONTH(W53)+1,DAY(20)),IF(AND(DAY(W53)&gt;=21,DAY(W53)&lt;=30),DATE(YEAR(W53),MONTH(W53)+1,IF(DAY(EOMONTH(W53,1))&lt;30,DAY(EOMONTH(W53,1)),DAY(30))),DATE(YEAR(W53),MONTH(W53)+1,DAY(5))))</f>
        <v>47031</v>
      </c>
      <c r="AJ54" s="111"/>
      <c r="AW54" s="111"/>
      <c r="AX54" s="111"/>
    </row>
    <row r="55" spans="1:50" ht="12.6">
      <c r="A55" s="112"/>
      <c r="B55" s="1552">
        <f>[1]FORM!O27</f>
        <v>0</v>
      </c>
      <c r="C55" s="1553"/>
      <c r="D55" s="1552">
        <f>[1]FORM!S27</f>
        <v>0</v>
      </c>
      <c r="E55" s="1556"/>
      <c r="F55" s="1553"/>
      <c r="G55" s="1558">
        <f>[1]FORM!V27</f>
        <v>0</v>
      </c>
      <c r="H55" s="1559"/>
      <c r="I55" s="1560"/>
      <c r="J55" s="112"/>
      <c r="K55" s="1419">
        <f t="shared" si="1"/>
        <v>0</v>
      </c>
      <c r="L55" s="1419"/>
      <c r="M55" s="378" t="str">
        <f t="shared" si="2"/>
        <v/>
      </c>
      <c r="N55" s="1548"/>
      <c r="O55" s="1548"/>
      <c r="P55" s="1442"/>
      <c r="Q55" s="1443"/>
      <c r="T55" s="1549" t="s">
        <v>860</v>
      </c>
      <c r="U55" s="1549"/>
      <c r="W55" s="378">
        <f t="shared" si="3"/>
        <v>47062</v>
      </c>
      <c r="AJ55" s="111"/>
      <c r="AW55" s="111"/>
      <c r="AX55" s="111"/>
    </row>
    <row r="56" spans="1:50" ht="15" customHeight="1">
      <c r="A56" s="112"/>
      <c r="B56" s="1554"/>
      <c r="C56" s="1555"/>
      <c r="D56" s="1554"/>
      <c r="E56" s="1557"/>
      <c r="F56" s="1555"/>
      <c r="G56" s="1561"/>
      <c r="H56" s="1562"/>
      <c r="I56" s="1563"/>
      <c r="J56" s="112"/>
      <c r="K56" s="1442"/>
      <c r="L56" s="1443"/>
      <c r="M56" s="378" t="str">
        <f t="shared" si="2"/>
        <v/>
      </c>
      <c r="N56" s="1548"/>
      <c r="O56" s="1548"/>
      <c r="P56" s="1442"/>
      <c r="Q56" s="1443"/>
      <c r="T56" s="1549" t="s">
        <v>862</v>
      </c>
      <c r="U56" s="1549"/>
      <c r="W56" s="378">
        <f t="shared" si="3"/>
        <v>47092</v>
      </c>
      <c r="AJ56" s="111"/>
      <c r="AW56" s="111"/>
      <c r="AX56" s="111"/>
    </row>
    <row r="57" spans="1:50" ht="12.6">
      <c r="A57" s="112"/>
      <c r="B57" s="1552">
        <f>[1]FORM!O31</f>
        <v>0</v>
      </c>
      <c r="C57" s="1553"/>
      <c r="D57" s="1552">
        <f>[1]FORM!S31</f>
        <v>0</v>
      </c>
      <c r="E57" s="1556"/>
      <c r="F57" s="1553"/>
      <c r="G57" s="1558">
        <f>[1]FORM!V31</f>
        <v>0</v>
      </c>
      <c r="H57" s="1559"/>
      <c r="I57" s="1560"/>
      <c r="J57" s="278"/>
      <c r="K57" s="1419"/>
      <c r="L57" s="1419"/>
      <c r="M57" s="378" t="str">
        <f t="shared" si="2"/>
        <v/>
      </c>
      <c r="N57" s="1548"/>
      <c r="O57" s="1548"/>
      <c r="P57" s="1442"/>
      <c r="Q57" s="1443"/>
      <c r="T57" s="1549" t="s">
        <v>863</v>
      </c>
      <c r="U57" s="1549"/>
      <c r="W57" s="378">
        <f t="shared" si="3"/>
        <v>47123</v>
      </c>
      <c r="AJ57" s="111"/>
      <c r="AW57" s="111"/>
      <c r="AX57" s="111"/>
    </row>
    <row r="58" spans="1:50" ht="12.75" customHeight="1">
      <c r="A58" s="112"/>
      <c r="B58" s="1554"/>
      <c r="C58" s="1555"/>
      <c r="D58" s="1554"/>
      <c r="E58" s="1557"/>
      <c r="F58" s="1555"/>
      <c r="G58" s="1561"/>
      <c r="H58" s="1562"/>
      <c r="I58" s="1563"/>
      <c r="J58" s="278"/>
      <c r="K58" s="1419"/>
      <c r="L58" s="1419"/>
      <c r="M58" s="378" t="str">
        <f t="shared" si="2"/>
        <v/>
      </c>
      <c r="N58" s="1548"/>
      <c r="O58" s="1548"/>
      <c r="P58" s="1442"/>
      <c r="Q58" s="1443"/>
      <c r="T58" s="1549" t="s">
        <v>865</v>
      </c>
      <c r="U58" s="1549"/>
      <c r="W58" s="378">
        <f t="shared" si="3"/>
        <v>47154</v>
      </c>
      <c r="AJ58" s="111"/>
      <c r="AW58" s="111"/>
      <c r="AX58" s="111"/>
    </row>
    <row r="59" spans="1:50" ht="12.6">
      <c r="A59" s="112"/>
      <c r="B59" s="1552">
        <f>[1]FORM!O33</f>
        <v>0</v>
      </c>
      <c r="C59" s="1553"/>
      <c r="D59" s="1552">
        <f>[1]FORM!S33</f>
        <v>0</v>
      </c>
      <c r="E59" s="1556"/>
      <c r="F59" s="1553"/>
      <c r="G59" s="1558">
        <f>[1]FORM!V33</f>
        <v>0</v>
      </c>
      <c r="H59" s="1559"/>
      <c r="I59" s="1560"/>
      <c r="J59" s="278"/>
      <c r="K59" s="1419">
        <f t="shared" si="1"/>
        <v>0</v>
      </c>
      <c r="L59" s="1419"/>
      <c r="M59" s="378" t="str">
        <f t="shared" si="2"/>
        <v/>
      </c>
      <c r="N59" s="1548">
        <f>IF($E$29&gt;41,$F$29,0)</f>
        <v>0</v>
      </c>
      <c r="O59" s="1548"/>
      <c r="P59" s="1442"/>
      <c r="Q59" s="1443"/>
      <c r="T59" s="1549" t="s">
        <v>867</v>
      </c>
      <c r="U59" s="1549"/>
      <c r="W59" s="378">
        <f t="shared" si="3"/>
        <v>47182</v>
      </c>
      <c r="AJ59" s="111"/>
      <c r="AW59" s="111"/>
      <c r="AX59" s="111"/>
    </row>
    <row r="60" spans="1:50" ht="12.6">
      <c r="A60" s="112"/>
      <c r="B60" s="1554"/>
      <c r="C60" s="1555"/>
      <c r="D60" s="1554"/>
      <c r="E60" s="1557"/>
      <c r="F60" s="1555"/>
      <c r="G60" s="1561"/>
      <c r="H60" s="1562"/>
      <c r="I60" s="1563"/>
      <c r="J60" s="278"/>
      <c r="K60" s="1419">
        <f t="shared" si="1"/>
        <v>0</v>
      </c>
      <c r="L60" s="1419"/>
      <c r="M60" s="378" t="str">
        <f t="shared" si="2"/>
        <v/>
      </c>
      <c r="N60" s="1548">
        <f>IF($E$29&gt;42,$F$29,0)</f>
        <v>0</v>
      </c>
      <c r="O60" s="1548"/>
      <c r="P60" s="1442"/>
      <c r="Q60" s="1443"/>
      <c r="T60" s="1549" t="s">
        <v>949</v>
      </c>
      <c r="U60" s="1549"/>
      <c r="W60" s="378">
        <f t="shared" si="3"/>
        <v>47213</v>
      </c>
      <c r="AJ60" s="111"/>
      <c r="AW60" s="111"/>
      <c r="AX60" s="111"/>
    </row>
    <row r="61" spans="1:50" ht="12.6">
      <c r="A61" s="112"/>
      <c r="B61" s="250"/>
      <c r="C61" s="112"/>
      <c r="D61" s="112" t="s">
        <v>757</v>
      </c>
      <c r="E61" s="112"/>
      <c r="F61" s="112"/>
      <c r="G61" s="112"/>
      <c r="H61" s="112"/>
      <c r="I61" s="112"/>
      <c r="J61" s="278"/>
      <c r="K61" s="1419">
        <f t="shared" si="1"/>
        <v>0</v>
      </c>
      <c r="L61" s="1419"/>
      <c r="M61" s="378" t="str">
        <f t="shared" si="2"/>
        <v/>
      </c>
      <c r="N61" s="1548">
        <f>IF($E$29&gt;43,$F$29,0)</f>
        <v>0</v>
      </c>
      <c r="O61" s="1548"/>
      <c r="P61" s="1442"/>
      <c r="Q61" s="1443"/>
      <c r="T61" s="1549" t="s">
        <v>950</v>
      </c>
      <c r="U61" s="1549"/>
      <c r="W61" s="378">
        <f t="shared" si="3"/>
        <v>47243</v>
      </c>
      <c r="AJ61" s="111"/>
      <c r="AW61" s="111"/>
      <c r="AX61" s="111"/>
    </row>
    <row r="62" spans="1:50" ht="12.6" hidden="1">
      <c r="A62" s="112"/>
      <c r="C62" s="403" t="s">
        <v>954</v>
      </c>
      <c r="D62" s="1547"/>
      <c r="E62" s="1547"/>
      <c r="F62" s="1547"/>
      <c r="G62" s="112"/>
      <c r="H62" s="112"/>
      <c r="I62" s="112"/>
      <c r="J62" s="278"/>
      <c r="K62" s="1419">
        <f t="shared" si="1"/>
        <v>0</v>
      </c>
      <c r="L62" s="1419"/>
      <c r="M62" s="378" t="str">
        <f t="shared" si="2"/>
        <v/>
      </c>
      <c r="N62" s="1548">
        <f>IF($E$29&gt;44,$F$29,0)</f>
        <v>0</v>
      </c>
      <c r="O62" s="1548"/>
      <c r="P62" s="379"/>
      <c r="Q62" s="379"/>
      <c r="T62" s="1549" t="s">
        <v>951</v>
      </c>
      <c r="U62" s="1549"/>
      <c r="W62" s="378">
        <f>IF(AND(DAY(W61)&gt;=6,DAY(W61)&lt;=20),DATE(YEAR(W61),MONTH(W61)+1,DAY(20)),IF(AND(DAY(W61)&gt;=21,DAY(W61)&lt;=30),DATE(YEAR(W61),MONTH(W61)+1,IF(DAY(EOMONTH(W61,1))&lt;30,DAY(EOMONTH(W61,1)),DAY(30))),DATE(YEAR(W61),MONTH(W61)+1,DAY(5))))</f>
        <v>47274</v>
      </c>
      <c r="AJ62" s="111"/>
      <c r="AW62" s="111"/>
      <c r="AX62" s="111"/>
    </row>
    <row r="63" spans="1:50" ht="12.6" hidden="1">
      <c r="A63" s="112"/>
      <c r="B63" s="403"/>
      <c r="C63" s="112"/>
      <c r="D63" s="13"/>
      <c r="E63" s="13"/>
      <c r="F63" s="112"/>
      <c r="G63" s="112"/>
      <c r="H63" s="112"/>
      <c r="I63" s="112"/>
      <c r="J63" s="278"/>
      <c r="K63" s="1442">
        <f t="shared" si="1"/>
        <v>0</v>
      </c>
      <c r="L63" s="1443"/>
      <c r="M63" s="378" t="str">
        <f t="shared" si="2"/>
        <v/>
      </c>
      <c r="N63" s="1573">
        <f>IF($E$29&gt;45,$F$29,0)</f>
        <v>0</v>
      </c>
      <c r="O63" s="1574"/>
      <c r="P63" s="379"/>
      <c r="Q63" s="379"/>
      <c r="T63" s="1549" t="s">
        <v>952</v>
      </c>
      <c r="U63" s="1549"/>
      <c r="AJ63" s="111"/>
      <c r="AW63" s="111"/>
      <c r="AX63" s="111"/>
    </row>
    <row r="64" spans="1:50" ht="12.6">
      <c r="A64" s="112"/>
      <c r="B64" s="403"/>
      <c r="C64" s="112"/>
      <c r="D64" s="13"/>
      <c r="E64" s="13"/>
      <c r="F64" s="112"/>
      <c r="G64" s="112"/>
      <c r="H64" s="112"/>
      <c r="I64" s="112"/>
      <c r="J64" s="278"/>
      <c r="K64" s="1575" t="s">
        <v>866</v>
      </c>
      <c r="L64" s="1575"/>
      <c r="M64" s="404">
        <f>IF(DAY(W17)=31,Y19,AA19)</f>
        <v>46482</v>
      </c>
      <c r="N64" s="1576">
        <f>F32</f>
        <v>3267740.7347969166</v>
      </c>
      <c r="O64" s="1576"/>
      <c r="P64" s="1550"/>
      <c r="Q64" s="1551"/>
      <c r="AJ64" s="111"/>
      <c r="AW64" s="111"/>
      <c r="AX64" s="111"/>
    </row>
    <row r="65" spans="1:50" ht="12.6" hidden="1">
      <c r="A65" s="112"/>
      <c r="B65" s="403"/>
      <c r="C65" s="112"/>
      <c r="D65" s="13"/>
      <c r="E65" s="13"/>
      <c r="F65" s="112"/>
      <c r="G65" s="112"/>
      <c r="H65" s="112"/>
      <c r="I65" s="112"/>
      <c r="J65" s="278"/>
      <c r="K65" s="1569"/>
      <c r="L65" s="1569"/>
      <c r="M65" s="405"/>
      <c r="N65" s="1570"/>
      <c r="O65" s="1570"/>
      <c r="P65" s="406"/>
      <c r="Q65" s="114"/>
      <c r="AJ65" s="111"/>
      <c r="AW65" s="111"/>
      <c r="AX65" s="111"/>
    </row>
    <row r="66" spans="1:50" ht="12.6">
      <c r="A66" s="112"/>
      <c r="B66" s="403"/>
      <c r="C66" s="112"/>
      <c r="D66" s="13"/>
      <c r="E66" s="13"/>
      <c r="F66" s="112"/>
      <c r="G66" s="112"/>
      <c r="H66" s="112"/>
      <c r="I66" s="112"/>
      <c r="J66" s="278"/>
      <c r="N66" s="1044">
        <f>SUM(N17:O64)-F22</f>
        <v>334748.97053299053</v>
      </c>
      <c r="AJ66" s="111"/>
      <c r="AW66" s="111"/>
      <c r="AX66" s="111"/>
    </row>
    <row r="67" spans="1:50" ht="12" customHeight="1">
      <c r="A67" s="112"/>
      <c r="B67" s="403"/>
      <c r="C67" s="112"/>
      <c r="D67" s="13"/>
      <c r="E67" s="13"/>
      <c r="F67" s="112"/>
      <c r="G67" s="112"/>
      <c r="H67" s="112"/>
      <c r="I67" s="112"/>
      <c r="J67" s="278"/>
      <c r="K67" s="114" t="s">
        <v>869</v>
      </c>
      <c r="L67" s="112"/>
      <c r="M67" s="112"/>
      <c r="N67" s="112"/>
      <c r="O67" s="114" t="s">
        <v>870</v>
      </c>
      <c r="P67" s="112"/>
      <c r="Q67" s="112"/>
      <c r="AJ67" s="111"/>
      <c r="AW67" s="111"/>
      <c r="AX67" s="111"/>
    </row>
    <row r="68" spans="1:50" ht="12" customHeight="1">
      <c r="A68" s="112"/>
      <c r="B68" s="114" t="s">
        <v>869</v>
      </c>
      <c r="C68" s="112"/>
      <c r="D68" s="112"/>
      <c r="E68" s="112"/>
      <c r="F68" s="114" t="s">
        <v>870</v>
      </c>
      <c r="G68" s="112"/>
      <c r="H68" s="112"/>
      <c r="I68" s="112"/>
      <c r="J68" s="278"/>
      <c r="K68" s="112"/>
      <c r="L68" s="112"/>
      <c r="M68" s="197"/>
      <c r="N68" s="112"/>
      <c r="O68" s="112"/>
      <c r="P68" s="112"/>
      <c r="Q68" s="112"/>
      <c r="AJ68" s="111"/>
      <c r="AW68" s="111"/>
      <c r="AX68" s="111"/>
    </row>
    <row r="69" spans="1:50" ht="12" customHeight="1">
      <c r="A69" s="112"/>
      <c r="B69" s="112"/>
      <c r="C69" s="112"/>
      <c r="D69" s="197"/>
      <c r="E69" s="112"/>
      <c r="F69" s="112"/>
      <c r="G69" s="112"/>
      <c r="H69" s="112"/>
      <c r="I69" s="112"/>
      <c r="J69" s="278"/>
      <c r="K69" s="112"/>
      <c r="L69" s="112"/>
      <c r="M69" s="197"/>
      <c r="N69" s="112"/>
      <c r="O69" s="112"/>
      <c r="P69" s="112"/>
      <c r="Q69" s="112"/>
      <c r="AJ69" s="111"/>
      <c r="AW69" s="111"/>
      <c r="AX69" s="111"/>
    </row>
    <row r="70" spans="1:50" ht="12" customHeight="1">
      <c r="A70" s="112"/>
      <c r="B70" s="112"/>
      <c r="C70" s="112"/>
      <c r="D70" s="197"/>
      <c r="E70" s="112"/>
      <c r="F70" s="112"/>
      <c r="G70" s="112"/>
      <c r="H70" s="112"/>
      <c r="I70" s="112"/>
      <c r="J70" s="278"/>
      <c r="K70" s="1571" t="str">
        <f>[1]FORM!I28</f>
        <v xml:space="preserve">agent </v>
      </c>
      <c r="L70" s="1571"/>
      <c r="M70" s="1571"/>
      <c r="N70" s="114"/>
      <c r="O70" s="1572" t="str">
        <f>[1]FORM!I26</f>
        <v>buyer</v>
      </c>
      <c r="P70" s="1572"/>
      <c r="Q70" s="1572"/>
      <c r="AJ70" s="111"/>
      <c r="AW70" s="111"/>
      <c r="AX70" s="111"/>
    </row>
    <row r="71" spans="1:50" ht="12" customHeight="1">
      <c r="A71" s="112"/>
      <c r="B71" s="1571" t="str">
        <f>[1]FORM!I28</f>
        <v xml:space="preserve">agent </v>
      </c>
      <c r="C71" s="1571"/>
      <c r="D71" s="1571"/>
      <c r="E71" s="114"/>
      <c r="F71" s="1571" t="str">
        <f>[1]FORM!I26</f>
        <v>buyer</v>
      </c>
      <c r="G71" s="1571"/>
      <c r="H71" s="1571"/>
      <c r="I71" s="1571"/>
      <c r="J71" s="278"/>
      <c r="K71" s="126" t="s">
        <v>953</v>
      </c>
      <c r="L71" s="1565"/>
      <c r="M71" s="1565"/>
      <c r="N71" s="112"/>
      <c r="O71" s="1567" t="s">
        <v>871</v>
      </c>
      <c r="P71" s="1567"/>
      <c r="Q71" s="1567"/>
      <c r="AJ71" s="111"/>
      <c r="AW71" s="111"/>
      <c r="AX71" s="111"/>
    </row>
    <row r="72" spans="1:50" ht="12" customHeight="1">
      <c r="A72" s="112"/>
      <c r="B72" s="126" t="s">
        <v>953</v>
      </c>
      <c r="C72" s="1565"/>
      <c r="D72" s="1565"/>
      <c r="E72" s="112"/>
      <c r="F72" s="1566" t="s">
        <v>871</v>
      </c>
      <c r="G72" s="1566"/>
      <c r="H72" s="1566"/>
      <c r="I72" s="277"/>
      <c r="J72" s="278"/>
      <c r="L72" s="111"/>
      <c r="AJ72" s="111"/>
      <c r="AW72" s="111"/>
      <c r="AX72" s="111"/>
    </row>
    <row r="73" spans="1:50" ht="12" customHeight="1">
      <c r="A73" s="112"/>
      <c r="B73" s="250"/>
      <c r="C73" s="112"/>
      <c r="D73" s="112"/>
      <c r="E73" s="112"/>
      <c r="F73" s="112"/>
      <c r="G73" s="112"/>
      <c r="H73" s="112"/>
      <c r="I73" s="112"/>
      <c r="J73" s="278"/>
      <c r="K73" s="235"/>
      <c r="L73" s="112"/>
      <c r="M73" s="301"/>
      <c r="N73" s="112"/>
      <c r="O73" s="112"/>
      <c r="P73" s="112"/>
      <c r="Q73" s="112"/>
      <c r="AJ73" s="111"/>
      <c r="AW73" s="111"/>
      <c r="AX73" s="111"/>
    </row>
    <row r="74" spans="1:50" ht="12" customHeight="1">
      <c r="A74" s="112"/>
      <c r="B74" s="250"/>
      <c r="C74" s="112"/>
      <c r="D74" s="112"/>
      <c r="E74" s="112"/>
      <c r="F74" s="112"/>
      <c r="G74" s="112"/>
      <c r="H74" s="112"/>
      <c r="I74" s="112"/>
      <c r="J74" s="278"/>
      <c r="K74" s="235"/>
      <c r="L74" s="112"/>
      <c r="M74" s="301"/>
      <c r="N74" s="112"/>
      <c r="O74" s="112"/>
      <c r="P74" s="112"/>
      <c r="Q74" s="112"/>
      <c r="AJ74" s="111"/>
      <c r="AW74" s="111"/>
      <c r="AX74" s="111"/>
    </row>
    <row r="75" spans="1:50" ht="12" customHeight="1">
      <c r="A75" s="112"/>
      <c r="B75" s="250"/>
      <c r="C75" s="112"/>
      <c r="D75" s="112"/>
      <c r="E75" s="112"/>
      <c r="F75" s="112"/>
      <c r="G75" s="112"/>
      <c r="H75" s="112"/>
      <c r="I75" s="112"/>
      <c r="J75" s="278"/>
      <c r="K75" s="235"/>
      <c r="L75" s="112"/>
      <c r="M75" s="301"/>
      <c r="N75" s="112"/>
      <c r="O75" s="112"/>
      <c r="P75" s="112"/>
      <c r="Q75" s="112"/>
      <c r="AJ75" s="111"/>
      <c r="AW75" s="111"/>
      <c r="AX75" s="111"/>
    </row>
    <row r="76" spans="1:50" ht="12" customHeight="1">
      <c r="A76" s="112"/>
      <c r="B76" s="250"/>
      <c r="C76" s="112"/>
      <c r="D76" s="112"/>
      <c r="E76" s="112"/>
      <c r="F76" s="112"/>
      <c r="G76" s="112"/>
      <c r="H76" s="112"/>
      <c r="I76" s="112"/>
      <c r="J76" s="278"/>
      <c r="K76" s="235"/>
      <c r="L76" s="112"/>
      <c r="M76" s="301"/>
      <c r="N76" s="112"/>
      <c r="O76" s="112"/>
      <c r="P76" s="112"/>
      <c r="Q76" s="112"/>
      <c r="AJ76" s="111"/>
      <c r="AW76" s="111"/>
      <c r="AX76" s="111"/>
    </row>
    <row r="77" spans="1:50" ht="12" customHeight="1">
      <c r="A77" s="112"/>
      <c r="B77" s="250"/>
      <c r="C77" s="112"/>
      <c r="D77" s="112"/>
      <c r="E77" s="112"/>
      <c r="F77" s="112"/>
      <c r="G77" s="112"/>
      <c r="H77" s="112"/>
      <c r="I77" s="112"/>
      <c r="J77" s="278"/>
      <c r="K77" s="235"/>
      <c r="L77" s="112"/>
      <c r="M77" s="301"/>
      <c r="N77" s="112"/>
      <c r="O77" s="112"/>
      <c r="P77" s="112"/>
      <c r="Q77" s="112"/>
      <c r="AJ77" s="111"/>
      <c r="AW77" s="111"/>
      <c r="AX77" s="111"/>
    </row>
    <row r="78" spans="1:50" ht="12" customHeight="1">
      <c r="A78" s="112"/>
      <c r="B78" s="250"/>
      <c r="C78" s="112"/>
      <c r="D78" s="197"/>
      <c r="E78" s="112"/>
      <c r="F78" s="112"/>
      <c r="G78" s="112"/>
      <c r="H78" s="112"/>
      <c r="I78" s="112"/>
      <c r="J78" s="278"/>
      <c r="K78" s="235"/>
      <c r="L78" s="112"/>
      <c r="M78" s="301"/>
      <c r="N78" s="112"/>
      <c r="O78" s="112"/>
      <c r="P78" s="112"/>
      <c r="Q78" s="112"/>
      <c r="AJ78" s="111"/>
      <c r="AW78" s="111"/>
      <c r="AX78" s="111"/>
    </row>
    <row r="79" spans="1:50" ht="12" customHeight="1">
      <c r="A79" s="112"/>
      <c r="B79" s="250"/>
      <c r="C79" s="112"/>
      <c r="D79" s="197"/>
      <c r="E79" s="112"/>
      <c r="F79" s="112"/>
      <c r="G79" s="112"/>
      <c r="H79" s="112"/>
      <c r="I79" s="112"/>
      <c r="J79" s="278"/>
      <c r="K79" s="235"/>
      <c r="L79" s="112"/>
      <c r="M79" s="301"/>
      <c r="N79" s="112"/>
      <c r="O79" s="112"/>
      <c r="P79" s="112"/>
      <c r="Q79" s="112"/>
      <c r="AJ79" s="111"/>
      <c r="AW79" s="111"/>
      <c r="AX79" s="111"/>
    </row>
    <row r="80" spans="1:50" ht="12" customHeight="1">
      <c r="A80" s="112"/>
      <c r="B80" s="250"/>
      <c r="C80" s="112"/>
      <c r="D80" s="197"/>
      <c r="E80" s="112"/>
      <c r="F80" s="112"/>
      <c r="G80" s="112"/>
      <c r="H80" s="112"/>
      <c r="I80" s="112"/>
      <c r="J80" s="278"/>
      <c r="K80" s="235"/>
      <c r="L80" s="112"/>
      <c r="M80" s="301"/>
      <c r="N80" s="112"/>
      <c r="O80" s="112"/>
      <c r="P80" s="112"/>
      <c r="Q80" s="112"/>
      <c r="AJ80" s="111"/>
      <c r="AW80" s="111"/>
      <c r="AX80" s="111"/>
    </row>
    <row r="81" spans="1:50" ht="12" customHeight="1">
      <c r="A81" s="112"/>
      <c r="B81" s="250"/>
      <c r="C81" s="112"/>
      <c r="D81" s="112"/>
      <c r="E81" s="112"/>
      <c r="F81" s="112"/>
      <c r="G81" s="112"/>
      <c r="H81" s="112"/>
      <c r="I81" s="112"/>
      <c r="J81" s="278"/>
      <c r="K81" s="235"/>
      <c r="L81" s="112"/>
      <c r="M81" s="301"/>
      <c r="N81" s="112"/>
      <c r="O81" s="112"/>
      <c r="P81" s="112"/>
      <c r="Q81" s="112"/>
      <c r="AJ81" s="111"/>
      <c r="AW81" s="111"/>
      <c r="AX81" s="111"/>
    </row>
    <row r="82" spans="1:50" ht="12" customHeight="1">
      <c r="A82" s="112"/>
      <c r="B82" s="250"/>
      <c r="C82" s="112"/>
      <c r="D82" s="112"/>
      <c r="E82" s="112"/>
      <c r="F82" s="112"/>
      <c r="G82" s="112"/>
      <c r="H82" s="112"/>
      <c r="I82" s="112"/>
      <c r="J82" s="278"/>
      <c r="K82" s="235"/>
      <c r="L82" s="112"/>
      <c r="M82" s="301"/>
      <c r="N82" s="112"/>
      <c r="O82" s="112"/>
      <c r="P82" s="112"/>
      <c r="Q82" s="112"/>
      <c r="AJ82" s="111"/>
      <c r="AW82" s="111"/>
      <c r="AX82" s="111"/>
    </row>
    <row r="83" spans="1:50" ht="12" customHeight="1">
      <c r="A83" s="112"/>
      <c r="B83" s="250"/>
      <c r="C83" s="112"/>
      <c r="D83" s="112"/>
      <c r="E83" s="112"/>
      <c r="F83" s="112"/>
      <c r="G83" s="112"/>
      <c r="H83" s="112"/>
      <c r="I83" s="112"/>
      <c r="J83" s="278"/>
      <c r="K83" s="235"/>
      <c r="L83" s="112"/>
      <c r="M83" s="301"/>
      <c r="N83" s="112"/>
      <c r="O83" s="112"/>
      <c r="P83" s="112"/>
      <c r="Q83" s="112"/>
      <c r="AJ83" s="111"/>
      <c r="AW83" s="111"/>
      <c r="AX83" s="111"/>
    </row>
    <row r="84" spans="1:50" ht="12" customHeight="1">
      <c r="A84" s="112"/>
      <c r="B84" s="250"/>
      <c r="C84" s="112"/>
      <c r="D84" s="112"/>
      <c r="E84" s="112"/>
      <c r="F84" s="112"/>
      <c r="G84" s="112"/>
      <c r="H84" s="112"/>
      <c r="I84" s="112"/>
      <c r="J84" s="278"/>
      <c r="K84" s="235"/>
      <c r="L84" s="112"/>
      <c r="M84" s="301"/>
      <c r="N84" s="112"/>
      <c r="O84" s="112"/>
      <c r="P84" s="112"/>
      <c r="Q84" s="112"/>
      <c r="AJ84" s="111"/>
      <c r="AW84" s="111"/>
      <c r="AX84" s="111"/>
    </row>
    <row r="85" spans="1:50" ht="12" customHeight="1">
      <c r="A85" s="112"/>
      <c r="B85" s="250"/>
      <c r="C85" s="112"/>
      <c r="D85" s="112"/>
      <c r="E85" s="112"/>
      <c r="F85" s="112"/>
      <c r="G85" s="112"/>
      <c r="H85" s="112"/>
      <c r="I85" s="112"/>
      <c r="J85" s="278"/>
      <c r="K85" s="235"/>
      <c r="L85" s="112"/>
      <c r="M85" s="301"/>
      <c r="N85" s="112"/>
      <c r="O85" s="112"/>
      <c r="P85" s="112"/>
      <c r="Q85" s="112"/>
      <c r="AJ85" s="111"/>
      <c r="AW85" s="111"/>
      <c r="AX85" s="111"/>
    </row>
    <row r="86" spans="1:50" ht="12" customHeight="1">
      <c r="A86" s="112"/>
      <c r="B86" s="250"/>
      <c r="C86" s="112"/>
      <c r="D86" s="112"/>
      <c r="E86" s="112"/>
      <c r="F86" s="112"/>
      <c r="G86" s="112"/>
      <c r="H86" s="112"/>
      <c r="I86" s="112"/>
      <c r="J86" s="278"/>
      <c r="K86" s="235"/>
      <c r="L86" s="112"/>
      <c r="M86" s="301"/>
      <c r="N86" s="112"/>
      <c r="O86" s="112"/>
      <c r="P86" s="112"/>
      <c r="Q86" s="112"/>
      <c r="AJ86" s="111"/>
      <c r="AW86" s="111"/>
      <c r="AX86" s="111"/>
    </row>
    <row r="87" spans="1:50" ht="12" customHeight="1">
      <c r="A87" s="112"/>
      <c r="B87" s="250"/>
      <c r="C87" s="112"/>
      <c r="D87" s="112"/>
      <c r="E87" s="112"/>
      <c r="F87" s="112"/>
      <c r="G87" s="112"/>
      <c r="H87" s="112"/>
      <c r="I87" s="112"/>
      <c r="J87" s="278"/>
      <c r="K87" s="235"/>
      <c r="L87" s="112"/>
      <c r="M87" s="301"/>
      <c r="N87" s="112"/>
      <c r="O87" s="112"/>
      <c r="P87" s="112"/>
      <c r="Q87" s="112"/>
      <c r="AJ87" s="111"/>
      <c r="AW87" s="111"/>
      <c r="AX87" s="111"/>
    </row>
    <row r="88" spans="1:50" ht="12.6">
      <c r="A88" s="112"/>
      <c r="B88" s="250"/>
      <c r="C88" s="112"/>
      <c r="D88" s="112"/>
      <c r="E88" s="112"/>
      <c r="F88" s="112"/>
      <c r="G88" s="112"/>
      <c r="H88" s="112"/>
      <c r="I88" s="112"/>
      <c r="J88" s="278"/>
      <c r="K88" s="235"/>
      <c r="L88" s="112"/>
      <c r="M88" s="301"/>
      <c r="N88" s="112"/>
      <c r="O88" s="112"/>
      <c r="P88" s="112"/>
      <c r="Q88" s="112"/>
      <c r="AJ88" s="111"/>
      <c r="AW88" s="111"/>
      <c r="AX88" s="111"/>
    </row>
    <row r="89" spans="1:50" ht="12" customHeight="1">
      <c r="A89" s="112"/>
      <c r="B89" s="250"/>
      <c r="C89" s="112"/>
      <c r="D89" s="112"/>
      <c r="E89" s="112"/>
      <c r="F89" s="112"/>
      <c r="G89" s="112"/>
      <c r="H89" s="112"/>
      <c r="I89" s="112"/>
      <c r="J89" s="278"/>
      <c r="K89" s="235"/>
      <c r="L89" s="112"/>
      <c r="M89" s="301"/>
      <c r="N89" s="112"/>
      <c r="O89" s="112"/>
      <c r="P89" s="112"/>
      <c r="Q89" s="112"/>
      <c r="AJ89" s="111"/>
      <c r="AW89" s="111"/>
      <c r="AX89" s="111"/>
    </row>
    <row r="90" spans="1:50" ht="12" customHeight="1">
      <c r="A90" s="112"/>
      <c r="B90" s="250"/>
      <c r="C90" s="112"/>
      <c r="D90" s="112"/>
      <c r="E90" s="112"/>
      <c r="F90" s="112"/>
      <c r="G90" s="112"/>
      <c r="H90" s="112"/>
      <c r="I90" s="112"/>
      <c r="J90" s="278"/>
      <c r="K90" s="235"/>
      <c r="L90" s="112"/>
      <c r="M90" s="301"/>
      <c r="N90" s="112"/>
      <c r="O90" s="112"/>
      <c r="P90" s="112"/>
      <c r="Q90" s="112"/>
      <c r="AJ90" s="111"/>
      <c r="AW90" s="111"/>
      <c r="AX90" s="111"/>
    </row>
    <row r="91" spans="1:50" ht="12" customHeight="1">
      <c r="A91" s="112"/>
      <c r="B91" s="250"/>
      <c r="C91" s="112"/>
      <c r="D91" s="112"/>
      <c r="E91" s="112"/>
      <c r="F91" s="112"/>
      <c r="G91" s="112"/>
      <c r="H91" s="112"/>
      <c r="I91" s="112"/>
      <c r="J91" s="278"/>
      <c r="K91" s="235"/>
      <c r="L91" s="112"/>
      <c r="M91" s="301"/>
      <c r="N91" s="112"/>
      <c r="O91" s="112"/>
      <c r="P91" s="112"/>
      <c r="Q91" s="112"/>
      <c r="AJ91" s="111"/>
      <c r="AW91" s="111"/>
      <c r="AX91" s="111"/>
    </row>
    <row r="92" spans="1:50" ht="12" customHeight="1">
      <c r="A92" s="112"/>
      <c r="B92" s="250"/>
      <c r="C92" s="112"/>
      <c r="D92" s="112"/>
      <c r="E92" s="112"/>
      <c r="F92" s="112"/>
      <c r="G92" s="112"/>
      <c r="H92" s="112"/>
      <c r="I92" s="112"/>
      <c r="J92" s="278"/>
      <c r="K92" s="235"/>
      <c r="L92" s="112"/>
      <c r="M92" s="301"/>
      <c r="N92" s="112"/>
      <c r="O92" s="112"/>
      <c r="P92" s="112"/>
      <c r="Q92" s="112"/>
      <c r="AJ92" s="111"/>
      <c r="AW92" s="111"/>
      <c r="AX92" s="111"/>
    </row>
    <row r="93" spans="1:50" ht="12" customHeight="1">
      <c r="A93" s="112"/>
      <c r="B93" s="250"/>
      <c r="C93" s="112"/>
      <c r="D93" s="112"/>
      <c r="E93" s="112"/>
      <c r="F93" s="112"/>
      <c r="G93" s="112"/>
      <c r="H93" s="112"/>
      <c r="I93" s="112"/>
      <c r="J93" s="278"/>
      <c r="K93" s="235"/>
      <c r="L93" s="112"/>
      <c r="M93" s="301"/>
      <c r="N93" s="112"/>
      <c r="O93" s="112"/>
      <c r="P93" s="112"/>
      <c r="Q93" s="112"/>
      <c r="AJ93" s="111"/>
      <c r="AW93" s="111"/>
      <c r="AX93" s="111"/>
    </row>
    <row r="94" spans="1:50" ht="12" customHeight="1">
      <c r="A94" s="112"/>
      <c r="B94" s="250"/>
      <c r="C94" s="112"/>
      <c r="D94" s="112"/>
      <c r="E94" s="112"/>
      <c r="F94" s="112"/>
      <c r="G94" s="112"/>
      <c r="H94" s="112"/>
      <c r="I94" s="112"/>
      <c r="J94" s="278"/>
      <c r="K94" s="235"/>
      <c r="L94" s="112"/>
      <c r="M94" s="301"/>
      <c r="N94" s="112"/>
      <c r="O94" s="112"/>
      <c r="P94" s="112"/>
      <c r="Q94" s="112"/>
      <c r="AJ94" s="111"/>
      <c r="AW94" s="111"/>
      <c r="AX94" s="111"/>
    </row>
    <row r="95" spans="1:50" ht="12" customHeight="1">
      <c r="A95" s="112"/>
      <c r="B95" s="250"/>
      <c r="C95" s="112"/>
      <c r="D95" s="112"/>
      <c r="E95" s="112"/>
      <c r="F95" s="112"/>
      <c r="G95" s="112"/>
      <c r="H95" s="112"/>
      <c r="I95" s="112"/>
      <c r="J95" s="278"/>
      <c r="K95" s="235"/>
      <c r="L95" s="112"/>
      <c r="M95" s="301"/>
      <c r="N95" s="112"/>
      <c r="O95" s="112"/>
      <c r="P95" s="112"/>
      <c r="Q95" s="112"/>
      <c r="AJ95" s="111"/>
      <c r="AW95" s="111"/>
      <c r="AX95" s="111"/>
    </row>
    <row r="96" spans="1:50" ht="12" customHeight="1">
      <c r="A96" s="112"/>
      <c r="B96" s="250"/>
      <c r="C96" s="112"/>
      <c r="D96" s="112"/>
      <c r="E96" s="112"/>
      <c r="F96" s="112"/>
      <c r="G96" s="112"/>
      <c r="H96" s="112"/>
      <c r="I96" s="112"/>
      <c r="J96" s="278"/>
      <c r="K96" s="235"/>
      <c r="L96" s="112"/>
      <c r="M96" s="301"/>
      <c r="N96" s="112"/>
      <c r="O96" s="112"/>
      <c r="P96" s="112"/>
      <c r="Q96" s="112"/>
      <c r="AJ96" s="111"/>
      <c r="AW96" s="111"/>
      <c r="AX96" s="111"/>
    </row>
    <row r="97" spans="1:50" ht="12" customHeight="1">
      <c r="A97" s="112"/>
      <c r="B97" s="250"/>
      <c r="C97" s="112"/>
      <c r="D97" s="112"/>
      <c r="E97" s="112"/>
      <c r="F97" s="112"/>
      <c r="G97" s="112"/>
      <c r="H97" s="112"/>
      <c r="I97" s="112"/>
      <c r="J97" s="278"/>
      <c r="K97" s="235"/>
      <c r="L97" s="112"/>
      <c r="M97" s="301"/>
      <c r="N97" s="112"/>
      <c r="O97" s="112"/>
      <c r="P97" s="112"/>
      <c r="Q97" s="112"/>
      <c r="AJ97" s="111"/>
      <c r="AW97" s="111"/>
      <c r="AX97" s="111"/>
    </row>
    <row r="98" spans="1:50" ht="12" customHeight="1">
      <c r="A98" s="112"/>
      <c r="B98" s="250"/>
      <c r="C98" s="112"/>
      <c r="D98" s="112"/>
      <c r="E98" s="112"/>
      <c r="F98" s="112"/>
      <c r="G98" s="112"/>
      <c r="H98" s="112"/>
      <c r="I98" s="112"/>
      <c r="J98" s="278"/>
      <c r="K98" s="235"/>
      <c r="L98" s="112"/>
      <c r="M98" s="301"/>
      <c r="N98" s="112"/>
      <c r="O98" s="112"/>
      <c r="P98" s="112"/>
      <c r="Q98" s="112"/>
      <c r="AJ98" s="111"/>
      <c r="AW98" s="111"/>
      <c r="AX98" s="111"/>
    </row>
    <row r="99" spans="1:50" ht="12" customHeight="1">
      <c r="A99" s="112"/>
      <c r="B99" s="250"/>
      <c r="C99" s="112"/>
      <c r="D99" s="112"/>
      <c r="E99" s="112"/>
      <c r="F99" s="112"/>
      <c r="G99" s="112"/>
      <c r="H99" s="112"/>
      <c r="I99" s="112"/>
      <c r="J99" s="278"/>
      <c r="K99" s="235"/>
      <c r="L99" s="112"/>
      <c r="M99" s="301"/>
      <c r="N99" s="112"/>
      <c r="O99" s="112"/>
      <c r="P99" s="112"/>
      <c r="Q99" s="112"/>
      <c r="AJ99" s="111"/>
      <c r="AW99" s="111"/>
      <c r="AX99" s="111"/>
    </row>
    <row r="100" spans="1:50" ht="12" customHeight="1">
      <c r="A100" s="112"/>
      <c r="B100" s="250"/>
      <c r="C100" s="112"/>
      <c r="D100" s="112"/>
      <c r="E100" s="112"/>
      <c r="F100" s="112"/>
      <c r="G100" s="112"/>
      <c r="H100" s="112"/>
      <c r="I100" s="112"/>
      <c r="J100" s="278"/>
      <c r="K100" s="235"/>
      <c r="L100" s="112"/>
      <c r="M100" s="301"/>
      <c r="N100" s="112"/>
      <c r="O100" s="112"/>
      <c r="P100" s="112"/>
      <c r="Q100" s="112"/>
      <c r="AJ100" s="111"/>
      <c r="AW100" s="111"/>
      <c r="AX100" s="111"/>
    </row>
    <row r="101" spans="1:50" ht="12" customHeight="1">
      <c r="A101" s="112"/>
      <c r="B101" s="250"/>
      <c r="C101" s="112"/>
      <c r="D101" s="112"/>
      <c r="E101" s="112"/>
      <c r="F101" s="112"/>
      <c r="G101" s="112"/>
      <c r="H101" s="112"/>
      <c r="I101" s="112"/>
      <c r="J101" s="278"/>
      <c r="K101" s="235"/>
      <c r="L101" s="112"/>
      <c r="M101" s="301"/>
      <c r="N101" s="112"/>
      <c r="O101" s="112"/>
      <c r="P101" s="112"/>
      <c r="Q101" s="112"/>
      <c r="AJ101" s="111"/>
      <c r="AW101" s="111"/>
      <c r="AX101" s="111"/>
    </row>
    <row r="102" spans="1:50" ht="12" customHeight="1">
      <c r="A102" s="112"/>
      <c r="B102" s="250"/>
      <c r="C102" s="112"/>
      <c r="D102" s="112"/>
      <c r="E102" s="112"/>
      <c r="F102" s="112"/>
      <c r="G102" s="112"/>
      <c r="H102" s="112"/>
      <c r="I102" s="112"/>
      <c r="J102" s="278"/>
      <c r="K102" s="235"/>
      <c r="L102" s="112"/>
      <c r="M102" s="301"/>
      <c r="N102" s="112"/>
      <c r="O102" s="112"/>
      <c r="P102" s="112"/>
      <c r="Q102" s="112"/>
      <c r="AJ102" s="111"/>
      <c r="AW102" s="111"/>
      <c r="AX102" s="111"/>
    </row>
    <row r="103" spans="1:50" ht="12" customHeight="1">
      <c r="A103" s="112"/>
      <c r="B103" s="250"/>
      <c r="C103" s="112"/>
      <c r="D103" s="112"/>
      <c r="E103" s="112"/>
      <c r="F103" s="112"/>
      <c r="G103" s="112"/>
      <c r="H103" s="112"/>
      <c r="I103" s="112"/>
      <c r="J103" s="278"/>
      <c r="K103" s="235"/>
      <c r="L103" s="112"/>
      <c r="M103" s="301"/>
      <c r="N103" s="112"/>
      <c r="O103" s="112"/>
      <c r="P103" s="112"/>
      <c r="Q103" s="112"/>
      <c r="AJ103" s="111"/>
      <c r="AW103" s="111"/>
      <c r="AX103" s="111"/>
    </row>
    <row r="104" spans="1:50" ht="12" customHeight="1">
      <c r="A104" s="112"/>
      <c r="B104" s="250"/>
      <c r="C104" s="112"/>
      <c r="D104" s="112"/>
      <c r="E104" s="112"/>
      <c r="F104" s="112"/>
      <c r="G104" s="112"/>
      <c r="H104" s="112"/>
      <c r="I104" s="112"/>
      <c r="J104" s="278"/>
      <c r="K104" s="235"/>
      <c r="L104" s="112"/>
      <c r="M104" s="301"/>
      <c r="N104" s="112"/>
      <c r="O104" s="112"/>
      <c r="P104" s="112"/>
      <c r="Q104" s="112"/>
      <c r="AJ104" s="111"/>
      <c r="AW104" s="111"/>
      <c r="AX104" s="111"/>
    </row>
    <row r="105" spans="1:50" ht="12" customHeight="1">
      <c r="A105" s="112"/>
      <c r="B105" s="250"/>
      <c r="C105" s="112"/>
      <c r="D105" s="112"/>
      <c r="E105" s="112"/>
      <c r="F105" s="112"/>
      <c r="G105" s="112"/>
      <c r="H105" s="112"/>
      <c r="I105" s="112"/>
      <c r="J105" s="278"/>
      <c r="K105" s="235"/>
      <c r="L105" s="112"/>
      <c r="M105" s="301"/>
      <c r="N105" s="112"/>
      <c r="O105" s="112"/>
      <c r="P105" s="112"/>
      <c r="Q105" s="112"/>
      <c r="AJ105" s="111"/>
      <c r="AW105" s="111"/>
      <c r="AX105" s="111"/>
    </row>
    <row r="106" spans="1:50" ht="12" customHeight="1">
      <c r="A106" s="112"/>
      <c r="B106" s="250"/>
      <c r="C106" s="112"/>
      <c r="D106" s="112"/>
      <c r="E106" s="112"/>
      <c r="F106" s="112"/>
      <c r="G106" s="112"/>
      <c r="H106" s="112"/>
      <c r="I106" s="112"/>
      <c r="J106" s="278"/>
      <c r="K106" s="235"/>
      <c r="L106" s="112"/>
      <c r="M106" s="301"/>
      <c r="N106" s="112"/>
      <c r="O106" s="112"/>
      <c r="P106" s="112"/>
      <c r="Q106" s="112"/>
      <c r="AJ106" s="111"/>
      <c r="AW106" s="111"/>
      <c r="AX106" s="111"/>
    </row>
    <row r="107" spans="1:50" ht="12" customHeight="1">
      <c r="A107" s="112"/>
      <c r="B107" s="250"/>
      <c r="C107" s="112"/>
      <c r="D107" s="112"/>
      <c r="E107" s="112"/>
      <c r="F107" s="112"/>
      <c r="G107" s="112"/>
      <c r="H107" s="112"/>
      <c r="I107" s="112"/>
      <c r="J107" s="278"/>
      <c r="K107" s="235"/>
      <c r="L107" s="112"/>
      <c r="M107" s="301"/>
      <c r="N107" s="112"/>
      <c r="O107" s="112"/>
      <c r="P107" s="112"/>
      <c r="Q107" s="112"/>
      <c r="AJ107" s="111"/>
      <c r="AW107" s="111"/>
      <c r="AX107" s="111"/>
    </row>
    <row r="108" spans="1:50" ht="12" customHeight="1">
      <c r="A108" s="112"/>
      <c r="B108" s="250"/>
      <c r="C108" s="112"/>
      <c r="D108" s="112"/>
      <c r="E108" s="112"/>
      <c r="F108" s="112"/>
      <c r="G108" s="112"/>
      <c r="H108" s="112"/>
      <c r="I108" s="112"/>
      <c r="J108" s="278"/>
      <c r="K108" s="235"/>
      <c r="L108" s="112"/>
      <c r="M108" s="301"/>
      <c r="N108" s="112"/>
      <c r="O108" s="112"/>
      <c r="P108" s="112"/>
      <c r="Q108" s="112"/>
      <c r="AJ108" s="111"/>
      <c r="AW108" s="111"/>
      <c r="AX108" s="111"/>
    </row>
    <row r="109" spans="1:50" ht="12" customHeight="1">
      <c r="A109" s="112"/>
      <c r="B109" s="250"/>
      <c r="C109" s="112"/>
      <c r="D109" s="112"/>
      <c r="E109" s="112"/>
      <c r="F109" s="112"/>
      <c r="G109" s="112"/>
      <c r="H109" s="112"/>
      <c r="I109" s="112"/>
      <c r="J109" s="278"/>
      <c r="K109" s="235"/>
      <c r="L109" s="112"/>
      <c r="M109" s="301"/>
      <c r="N109" s="112"/>
      <c r="O109" s="112"/>
      <c r="P109" s="112"/>
      <c r="Q109" s="112"/>
      <c r="AJ109" s="111"/>
      <c r="AW109" s="111"/>
      <c r="AX109" s="111"/>
    </row>
    <row r="110" spans="1:50" ht="12" customHeight="1">
      <c r="A110" s="112"/>
      <c r="B110" s="250"/>
      <c r="C110" s="112"/>
      <c r="D110" s="112"/>
      <c r="E110" s="112"/>
      <c r="F110" s="112"/>
      <c r="G110" s="112"/>
      <c r="H110" s="112"/>
      <c r="I110" s="112"/>
      <c r="J110" s="278"/>
      <c r="K110" s="235"/>
      <c r="L110" s="112"/>
      <c r="M110" s="301"/>
      <c r="N110" s="112"/>
      <c r="O110" s="112"/>
      <c r="P110" s="112"/>
      <c r="Q110" s="112"/>
      <c r="AJ110" s="111"/>
      <c r="AW110" s="111"/>
      <c r="AX110" s="111"/>
    </row>
    <row r="111" spans="1:50" ht="12" customHeight="1">
      <c r="A111" s="112"/>
      <c r="B111" s="250"/>
      <c r="C111" s="112"/>
      <c r="D111" s="112"/>
      <c r="E111" s="112"/>
      <c r="F111" s="112"/>
      <c r="G111" s="112"/>
      <c r="H111" s="112"/>
      <c r="I111" s="112"/>
      <c r="J111" s="278"/>
      <c r="K111" s="235"/>
      <c r="L111" s="112"/>
      <c r="M111" s="301"/>
      <c r="N111" s="112"/>
      <c r="O111" s="112"/>
      <c r="P111" s="112"/>
      <c r="Q111" s="112"/>
      <c r="AJ111" s="111"/>
      <c r="AW111" s="111"/>
      <c r="AX111" s="111"/>
    </row>
    <row r="112" spans="1:50" ht="12" customHeight="1">
      <c r="A112" s="112"/>
      <c r="B112" s="250"/>
      <c r="C112" s="112"/>
      <c r="D112" s="112"/>
      <c r="E112" s="112"/>
      <c r="F112" s="112"/>
      <c r="G112" s="112"/>
      <c r="H112" s="112"/>
      <c r="I112" s="112"/>
      <c r="J112" s="278"/>
      <c r="K112" s="235"/>
      <c r="L112" s="112"/>
      <c r="M112" s="301"/>
      <c r="N112" s="112"/>
      <c r="O112" s="112"/>
      <c r="P112" s="112"/>
      <c r="Q112" s="112"/>
      <c r="AJ112" s="111"/>
      <c r="AW112" s="111"/>
      <c r="AX112" s="111"/>
    </row>
    <row r="113" spans="1:50" ht="12" customHeight="1">
      <c r="A113" s="112"/>
      <c r="B113" s="250"/>
      <c r="C113" s="112"/>
      <c r="D113" s="112"/>
      <c r="E113" s="112"/>
      <c r="F113" s="112"/>
      <c r="G113" s="112"/>
      <c r="H113" s="112"/>
      <c r="I113" s="112"/>
      <c r="J113" s="278"/>
      <c r="K113" s="235"/>
      <c r="L113" s="112"/>
      <c r="M113" s="301"/>
      <c r="N113" s="112"/>
      <c r="O113" s="112"/>
      <c r="P113" s="112"/>
      <c r="Q113" s="112"/>
      <c r="AJ113" s="111"/>
      <c r="AW113" s="111"/>
      <c r="AX113" s="111"/>
    </row>
    <row r="114" spans="1:50" ht="12" customHeight="1">
      <c r="A114" s="112"/>
      <c r="B114" s="250"/>
      <c r="C114" s="112"/>
      <c r="D114" s="112"/>
      <c r="E114" s="112"/>
      <c r="F114" s="112"/>
      <c r="G114" s="112"/>
      <c r="H114" s="112"/>
      <c r="I114" s="112"/>
      <c r="J114" s="278"/>
      <c r="K114" s="235"/>
      <c r="L114" s="112"/>
      <c r="M114" s="301"/>
      <c r="N114" s="112"/>
      <c r="O114" s="112"/>
      <c r="P114" s="112"/>
      <c r="Q114" s="112"/>
      <c r="AJ114" s="111"/>
      <c r="AW114" s="111"/>
      <c r="AX114" s="111"/>
    </row>
    <row r="115" spans="1:50" ht="12" customHeight="1">
      <c r="A115" s="112"/>
      <c r="B115" s="250"/>
      <c r="C115" s="112"/>
      <c r="D115" s="112"/>
      <c r="E115" s="112"/>
      <c r="F115" s="112"/>
      <c r="G115" s="112"/>
      <c r="H115" s="112"/>
      <c r="I115" s="112"/>
      <c r="J115" s="278"/>
      <c r="K115" s="235"/>
      <c r="L115" s="112"/>
      <c r="M115" s="301"/>
      <c r="N115" s="112"/>
      <c r="O115" s="112"/>
      <c r="P115" s="112"/>
      <c r="Q115" s="112"/>
      <c r="AJ115" s="111"/>
      <c r="AW115" s="111"/>
      <c r="AX115" s="111"/>
    </row>
    <row r="116" spans="1:50" ht="12" customHeight="1">
      <c r="A116" s="112"/>
      <c r="B116" s="250"/>
      <c r="C116" s="112"/>
      <c r="D116" s="112"/>
      <c r="E116" s="112"/>
      <c r="F116" s="112"/>
      <c r="G116" s="112"/>
      <c r="H116" s="112"/>
      <c r="I116" s="112"/>
      <c r="J116" s="278"/>
      <c r="K116" s="235"/>
      <c r="L116" s="112"/>
      <c r="M116" s="301"/>
      <c r="N116" s="112"/>
      <c r="O116" s="112"/>
      <c r="P116" s="112"/>
      <c r="Q116" s="112"/>
      <c r="AJ116" s="111"/>
      <c r="AW116" s="111"/>
      <c r="AX116" s="111"/>
    </row>
    <row r="117" spans="1:50" ht="12" customHeight="1">
      <c r="A117" s="112"/>
      <c r="B117" s="250"/>
      <c r="C117" s="112"/>
      <c r="D117" s="112"/>
      <c r="E117" s="112"/>
      <c r="F117" s="112"/>
      <c r="G117" s="112"/>
      <c r="H117" s="112"/>
      <c r="I117" s="112"/>
      <c r="J117" s="278"/>
      <c r="K117" s="235"/>
      <c r="L117" s="112"/>
      <c r="M117" s="301"/>
      <c r="N117" s="112"/>
      <c r="O117" s="112"/>
      <c r="P117" s="112"/>
      <c r="Q117" s="112"/>
      <c r="AJ117" s="111"/>
      <c r="AW117" s="111"/>
      <c r="AX117" s="111"/>
    </row>
    <row r="118" spans="1:50" ht="12" customHeight="1">
      <c r="A118" s="112"/>
      <c r="B118" s="250"/>
      <c r="C118" s="112"/>
      <c r="D118" s="112"/>
      <c r="E118" s="112"/>
      <c r="F118" s="112"/>
      <c r="G118" s="112"/>
      <c r="H118" s="112"/>
      <c r="I118" s="112"/>
      <c r="J118" s="278"/>
      <c r="K118" s="235"/>
      <c r="L118" s="112"/>
      <c r="M118" s="301"/>
      <c r="N118" s="112"/>
      <c r="O118" s="112"/>
      <c r="P118" s="112"/>
      <c r="Q118" s="112"/>
      <c r="AJ118" s="111"/>
      <c r="AW118" s="111"/>
      <c r="AX118" s="111"/>
    </row>
    <row r="119" spans="1:50" ht="12" customHeight="1">
      <c r="A119" s="112"/>
      <c r="B119" s="250"/>
      <c r="C119" s="112"/>
      <c r="D119" s="112"/>
      <c r="E119" s="112"/>
      <c r="F119" s="112"/>
      <c r="G119" s="112"/>
      <c r="H119" s="112"/>
      <c r="I119" s="112"/>
      <c r="J119" s="278"/>
      <c r="K119" s="235"/>
      <c r="L119" s="112"/>
      <c r="M119" s="301"/>
      <c r="N119" s="112"/>
      <c r="O119" s="112"/>
      <c r="P119" s="112"/>
      <c r="Q119" s="112"/>
      <c r="AJ119" s="111"/>
      <c r="AW119" s="111"/>
      <c r="AX119" s="111"/>
    </row>
    <row r="120" spans="1:50" ht="12" customHeight="1">
      <c r="A120" s="112"/>
      <c r="B120" s="250"/>
      <c r="C120" s="112"/>
      <c r="D120" s="112"/>
      <c r="E120" s="112"/>
      <c r="F120" s="112"/>
      <c r="G120" s="112"/>
      <c r="H120" s="112"/>
      <c r="I120" s="112"/>
      <c r="J120" s="278"/>
      <c r="K120" s="235"/>
      <c r="L120" s="112"/>
      <c r="M120" s="301"/>
      <c r="N120" s="112"/>
      <c r="O120" s="112"/>
      <c r="P120" s="112"/>
      <c r="Q120" s="112"/>
      <c r="AJ120" s="111"/>
      <c r="AW120" s="111"/>
      <c r="AX120" s="111"/>
    </row>
    <row r="121" spans="1:50" ht="12" customHeight="1">
      <c r="A121" s="112"/>
      <c r="B121" s="250"/>
      <c r="C121" s="112"/>
      <c r="D121" s="112"/>
      <c r="E121" s="112"/>
      <c r="F121" s="112"/>
      <c r="G121" s="112"/>
      <c r="H121" s="112"/>
      <c r="I121" s="112"/>
      <c r="J121" s="278"/>
      <c r="K121" s="235"/>
      <c r="L121" s="112"/>
      <c r="M121" s="301"/>
      <c r="N121" s="112"/>
      <c r="O121" s="112"/>
      <c r="P121" s="112"/>
      <c r="Q121" s="112"/>
      <c r="AJ121" s="111"/>
      <c r="AW121" s="111"/>
      <c r="AX121" s="111"/>
    </row>
    <row r="122" spans="1:50" ht="12" customHeight="1">
      <c r="A122" s="112"/>
      <c r="B122" s="250"/>
      <c r="C122" s="112"/>
      <c r="D122" s="112"/>
      <c r="E122" s="112"/>
      <c r="F122" s="112"/>
      <c r="G122" s="112"/>
      <c r="H122" s="112"/>
      <c r="I122" s="112"/>
      <c r="J122" s="278"/>
      <c r="K122" s="235"/>
      <c r="L122" s="112"/>
      <c r="M122" s="301"/>
      <c r="N122" s="112"/>
      <c r="O122" s="112"/>
      <c r="P122" s="112"/>
      <c r="Q122" s="112"/>
      <c r="AJ122" s="111"/>
      <c r="AW122" s="111"/>
      <c r="AX122" s="111"/>
    </row>
    <row r="123" spans="1:50" ht="12" customHeight="1">
      <c r="A123" s="112"/>
      <c r="B123" s="250"/>
      <c r="C123" s="112"/>
      <c r="D123" s="112"/>
      <c r="E123" s="112"/>
      <c r="F123" s="112"/>
      <c r="G123" s="112"/>
      <c r="H123" s="112"/>
      <c r="I123" s="112"/>
      <c r="J123" s="278"/>
      <c r="K123" s="235"/>
      <c r="L123" s="112"/>
      <c r="M123" s="301"/>
      <c r="N123" s="112"/>
      <c r="O123" s="112"/>
      <c r="P123" s="112"/>
      <c r="Q123" s="112"/>
      <c r="AJ123" s="111"/>
      <c r="AW123" s="111"/>
      <c r="AX123" s="111"/>
    </row>
    <row r="124" spans="1:50" ht="12" customHeight="1">
      <c r="A124" s="112"/>
      <c r="B124" s="250"/>
      <c r="C124" s="112"/>
      <c r="D124" s="112"/>
      <c r="E124" s="112"/>
      <c r="F124" s="112"/>
      <c r="G124" s="112"/>
      <c r="H124" s="112"/>
      <c r="I124" s="112"/>
      <c r="J124" s="278"/>
      <c r="K124" s="235"/>
      <c r="L124" s="112"/>
      <c r="M124" s="301"/>
      <c r="N124" s="112"/>
      <c r="O124" s="112"/>
      <c r="P124" s="112"/>
      <c r="Q124" s="112"/>
      <c r="AJ124" s="111"/>
      <c r="AW124" s="111"/>
      <c r="AX124" s="111"/>
    </row>
    <row r="125" spans="1:50" ht="12" customHeight="1">
      <c r="A125" s="112"/>
      <c r="B125" s="250"/>
      <c r="C125" s="112"/>
      <c r="D125" s="112"/>
      <c r="E125" s="112"/>
      <c r="F125" s="112"/>
      <c r="G125" s="112"/>
      <c r="H125" s="112"/>
      <c r="I125" s="112"/>
      <c r="J125" s="278"/>
      <c r="K125" s="235"/>
      <c r="L125" s="112"/>
      <c r="M125" s="301"/>
      <c r="N125" s="112"/>
      <c r="O125" s="112"/>
      <c r="P125" s="112"/>
      <c r="Q125" s="112"/>
      <c r="AJ125" s="111"/>
      <c r="AW125" s="111"/>
      <c r="AX125" s="111"/>
    </row>
    <row r="126" spans="1:50" ht="12" customHeight="1">
      <c r="A126" s="112"/>
      <c r="B126" s="250"/>
      <c r="C126" s="112"/>
      <c r="D126" s="112"/>
      <c r="E126" s="112"/>
      <c r="F126" s="112"/>
      <c r="G126" s="112"/>
      <c r="H126" s="112"/>
      <c r="I126" s="112"/>
      <c r="J126" s="278"/>
      <c r="K126" s="235"/>
      <c r="L126" s="112"/>
      <c r="M126" s="301"/>
      <c r="N126" s="112"/>
      <c r="O126" s="112"/>
      <c r="P126" s="112"/>
      <c r="Q126" s="112"/>
      <c r="AJ126" s="111"/>
      <c r="AW126" s="111"/>
      <c r="AX126" s="111"/>
    </row>
    <row r="127" spans="1:50" ht="12" customHeight="1">
      <c r="A127" s="112"/>
      <c r="B127" s="250"/>
      <c r="C127" s="112"/>
      <c r="D127" s="112"/>
      <c r="E127" s="112"/>
      <c r="F127" s="112"/>
      <c r="G127" s="112"/>
      <c r="H127" s="112"/>
      <c r="I127" s="112"/>
      <c r="J127" s="278"/>
      <c r="K127" s="235"/>
      <c r="L127" s="112"/>
      <c r="M127" s="301"/>
      <c r="N127" s="112"/>
      <c r="O127" s="112"/>
      <c r="P127" s="112"/>
      <c r="Q127" s="112"/>
      <c r="AJ127" s="111"/>
      <c r="AW127" s="111"/>
      <c r="AX127" s="111"/>
    </row>
    <row r="128" spans="1:50" ht="12" customHeight="1">
      <c r="A128" s="112"/>
      <c r="B128" s="250"/>
      <c r="C128" s="112"/>
      <c r="D128" s="112"/>
      <c r="E128" s="112"/>
      <c r="F128" s="112"/>
      <c r="G128" s="112"/>
      <c r="H128" s="112"/>
      <c r="I128" s="112"/>
      <c r="J128" s="278"/>
      <c r="K128" s="235"/>
      <c r="L128" s="112"/>
      <c r="M128" s="301"/>
      <c r="N128" s="112"/>
      <c r="O128" s="112"/>
      <c r="P128" s="112"/>
      <c r="Q128" s="112"/>
      <c r="AJ128" s="111"/>
      <c r="AW128" s="111"/>
      <c r="AX128" s="111"/>
    </row>
    <row r="129" spans="1:50" ht="12" customHeight="1">
      <c r="A129" s="112"/>
      <c r="B129" s="250"/>
      <c r="C129" s="112"/>
      <c r="D129" s="112"/>
      <c r="E129" s="112"/>
      <c r="F129" s="112"/>
      <c r="G129" s="112"/>
      <c r="H129" s="112"/>
      <c r="I129" s="112"/>
      <c r="J129" s="278"/>
      <c r="K129" s="235"/>
      <c r="L129" s="112"/>
      <c r="M129" s="301"/>
      <c r="N129" s="112"/>
      <c r="O129" s="112"/>
      <c r="P129" s="112"/>
      <c r="Q129" s="112"/>
      <c r="AJ129" s="111"/>
      <c r="AW129" s="111"/>
      <c r="AX129" s="111"/>
    </row>
    <row r="130" spans="1:50" ht="12" customHeight="1">
      <c r="A130" s="112"/>
      <c r="B130" s="250"/>
      <c r="C130" s="112"/>
      <c r="D130" s="112"/>
      <c r="E130" s="112"/>
      <c r="F130" s="112"/>
      <c r="G130" s="112"/>
      <c r="H130" s="112"/>
      <c r="I130" s="112"/>
      <c r="J130" s="278"/>
      <c r="K130" s="235"/>
      <c r="L130" s="112"/>
      <c r="M130" s="301"/>
      <c r="N130" s="112"/>
      <c r="O130" s="112"/>
      <c r="P130" s="112"/>
      <c r="Q130" s="112"/>
      <c r="AJ130" s="111"/>
      <c r="AW130" s="111"/>
      <c r="AX130" s="111"/>
    </row>
    <row r="131" spans="1:50" ht="12" customHeight="1">
      <c r="A131" s="112"/>
      <c r="B131" s="250"/>
      <c r="C131" s="112"/>
      <c r="D131" s="112"/>
      <c r="E131" s="112"/>
      <c r="F131" s="112"/>
      <c r="G131" s="112"/>
      <c r="H131" s="112"/>
      <c r="I131" s="112"/>
      <c r="J131" s="278"/>
      <c r="K131" s="235"/>
      <c r="L131" s="112"/>
      <c r="M131" s="301"/>
      <c r="N131" s="112"/>
      <c r="O131" s="112"/>
      <c r="P131" s="112"/>
      <c r="Q131" s="112"/>
      <c r="AJ131" s="111"/>
      <c r="AW131" s="111"/>
      <c r="AX131" s="111"/>
    </row>
    <row r="132" spans="1:50" ht="12" customHeight="1">
      <c r="A132" s="112"/>
      <c r="B132" s="250"/>
      <c r="C132" s="112"/>
      <c r="D132" s="112"/>
      <c r="E132" s="112"/>
      <c r="F132" s="112"/>
      <c r="G132" s="112"/>
      <c r="H132" s="112"/>
      <c r="I132" s="112"/>
      <c r="J132" s="278"/>
      <c r="K132" s="235"/>
      <c r="L132" s="112"/>
      <c r="M132" s="301"/>
      <c r="N132" s="112"/>
      <c r="O132" s="112"/>
      <c r="P132" s="112"/>
      <c r="Q132" s="112"/>
      <c r="AJ132" s="111"/>
      <c r="AW132" s="111"/>
      <c r="AX132" s="111"/>
    </row>
    <row r="133" spans="1:50" ht="12" customHeight="1">
      <c r="A133" s="112"/>
      <c r="B133" s="250"/>
      <c r="C133" s="112"/>
      <c r="D133" s="112"/>
      <c r="E133" s="112"/>
      <c r="F133" s="112"/>
      <c r="G133" s="112"/>
      <c r="H133" s="112"/>
      <c r="I133" s="112"/>
      <c r="J133" s="278"/>
      <c r="K133" s="235"/>
      <c r="L133" s="112"/>
      <c r="M133" s="301"/>
      <c r="N133" s="112"/>
      <c r="O133" s="112"/>
      <c r="P133" s="112"/>
      <c r="Q133" s="112"/>
      <c r="AJ133" s="111"/>
      <c r="AW133" s="111"/>
      <c r="AX133" s="111"/>
    </row>
    <row r="134" spans="1:50" ht="12" customHeight="1">
      <c r="A134" s="112"/>
      <c r="B134" s="250"/>
      <c r="C134" s="112"/>
      <c r="D134" s="112"/>
      <c r="E134" s="112"/>
      <c r="F134" s="112"/>
      <c r="G134" s="112"/>
      <c r="H134" s="112"/>
      <c r="I134" s="112"/>
      <c r="J134" s="278"/>
      <c r="K134" s="235"/>
      <c r="L134" s="112"/>
      <c r="M134" s="301"/>
      <c r="N134" s="112"/>
      <c r="O134" s="112"/>
      <c r="P134" s="112"/>
      <c r="Q134" s="112"/>
      <c r="AJ134" s="111"/>
      <c r="AW134" s="111"/>
      <c r="AX134" s="111"/>
    </row>
    <row r="135" spans="1:50" ht="12" customHeight="1">
      <c r="A135" s="112"/>
      <c r="B135" s="250"/>
      <c r="C135" s="112"/>
      <c r="D135" s="112"/>
      <c r="E135" s="112"/>
      <c r="F135" s="112"/>
      <c r="G135" s="112"/>
      <c r="H135" s="112"/>
      <c r="I135" s="112"/>
      <c r="J135" s="278"/>
      <c r="K135" s="235"/>
      <c r="L135" s="112"/>
      <c r="M135" s="301"/>
      <c r="N135" s="112"/>
      <c r="O135" s="112"/>
      <c r="P135" s="112"/>
      <c r="Q135" s="112"/>
      <c r="AJ135" s="111"/>
      <c r="AW135" s="111"/>
      <c r="AX135" s="111"/>
    </row>
    <row r="136" spans="1:50" ht="12" customHeight="1">
      <c r="A136" s="112"/>
      <c r="B136" s="250"/>
      <c r="C136" s="112"/>
      <c r="D136" s="112"/>
      <c r="E136" s="112"/>
      <c r="F136" s="112"/>
      <c r="G136" s="112"/>
      <c r="H136" s="112"/>
      <c r="I136" s="112"/>
      <c r="J136" s="278"/>
      <c r="K136" s="235"/>
      <c r="L136" s="112"/>
      <c r="M136" s="301"/>
      <c r="N136" s="112"/>
      <c r="O136" s="112"/>
      <c r="P136" s="112"/>
      <c r="Q136" s="112"/>
      <c r="AJ136" s="111"/>
      <c r="AW136" s="111"/>
      <c r="AX136" s="111"/>
    </row>
    <row r="137" spans="1:50" ht="12" customHeight="1">
      <c r="A137" s="112"/>
      <c r="B137" s="250"/>
      <c r="C137" s="112"/>
      <c r="D137" s="112"/>
      <c r="E137" s="112"/>
      <c r="F137" s="112"/>
      <c r="G137" s="112"/>
      <c r="H137" s="112"/>
      <c r="I137" s="112"/>
      <c r="J137" s="278"/>
      <c r="K137" s="235"/>
      <c r="L137" s="112"/>
      <c r="M137" s="301"/>
      <c r="N137" s="112"/>
      <c r="O137" s="112"/>
      <c r="P137" s="112"/>
      <c r="Q137" s="112"/>
      <c r="AJ137" s="111"/>
      <c r="AW137" s="111"/>
      <c r="AX137" s="111"/>
    </row>
    <row r="138" spans="1:50" ht="12" customHeight="1">
      <c r="A138" s="112"/>
      <c r="B138" s="250"/>
      <c r="C138" s="112"/>
      <c r="D138" s="112"/>
      <c r="E138" s="112"/>
      <c r="F138" s="112"/>
      <c r="G138" s="112"/>
      <c r="H138" s="112"/>
      <c r="I138" s="112"/>
      <c r="J138" s="278"/>
      <c r="K138" s="235"/>
      <c r="L138" s="112"/>
      <c r="M138" s="301"/>
      <c r="N138" s="112"/>
      <c r="O138" s="112"/>
      <c r="P138" s="112"/>
      <c r="Q138" s="112"/>
      <c r="AJ138" s="111"/>
      <c r="AW138" s="111"/>
      <c r="AX138" s="111"/>
    </row>
    <row r="139" spans="1:50" ht="12" customHeight="1">
      <c r="A139" s="112"/>
      <c r="B139" s="250"/>
      <c r="C139" s="112"/>
      <c r="D139" s="112"/>
      <c r="E139" s="112"/>
      <c r="F139" s="112"/>
      <c r="G139" s="112"/>
      <c r="H139" s="112"/>
      <c r="I139" s="112"/>
      <c r="J139" s="278"/>
      <c r="K139" s="235"/>
      <c r="L139" s="112"/>
      <c r="M139" s="301"/>
      <c r="N139" s="112"/>
      <c r="O139" s="112"/>
      <c r="P139" s="112"/>
      <c r="Q139" s="112"/>
      <c r="AJ139" s="111"/>
      <c r="AW139" s="111"/>
      <c r="AX139" s="111"/>
    </row>
    <row r="140" spans="1:50" ht="12" customHeight="1">
      <c r="A140" s="112"/>
      <c r="B140" s="250"/>
      <c r="C140" s="112"/>
      <c r="D140" s="112"/>
      <c r="E140" s="112"/>
      <c r="F140" s="112"/>
      <c r="G140" s="112"/>
      <c r="H140" s="112"/>
      <c r="I140" s="112"/>
      <c r="J140" s="278"/>
      <c r="K140" s="235"/>
      <c r="L140" s="112"/>
      <c r="M140" s="301"/>
      <c r="N140" s="112"/>
      <c r="O140" s="112"/>
      <c r="P140" s="112"/>
      <c r="Q140" s="112"/>
      <c r="AJ140" s="111"/>
      <c r="AW140" s="111"/>
      <c r="AX140" s="111"/>
    </row>
    <row r="141" spans="1:50" ht="12" customHeight="1">
      <c r="A141" s="112"/>
      <c r="B141" s="250"/>
      <c r="C141" s="112"/>
      <c r="D141" s="112"/>
      <c r="E141" s="112"/>
      <c r="F141" s="112"/>
      <c r="G141" s="112"/>
      <c r="H141" s="112"/>
      <c r="I141" s="112"/>
      <c r="J141" s="278"/>
      <c r="K141" s="235"/>
      <c r="L141" s="112"/>
      <c r="M141" s="301"/>
      <c r="N141" s="112"/>
      <c r="O141" s="112"/>
      <c r="P141" s="112"/>
      <c r="Q141" s="112"/>
      <c r="AJ141" s="111"/>
      <c r="AW141" s="111"/>
      <c r="AX141" s="111"/>
    </row>
    <row r="142" spans="1:50" ht="12" customHeight="1">
      <c r="A142" s="112"/>
      <c r="B142" s="250"/>
      <c r="C142" s="112"/>
      <c r="D142" s="112"/>
      <c r="E142" s="112"/>
      <c r="F142" s="112"/>
      <c r="G142" s="112"/>
      <c r="H142" s="112"/>
      <c r="I142" s="112"/>
      <c r="J142" s="278"/>
      <c r="K142" s="235"/>
      <c r="L142" s="112"/>
      <c r="M142" s="301"/>
      <c r="N142" s="112"/>
      <c r="O142" s="112"/>
      <c r="P142" s="112"/>
      <c r="Q142" s="112"/>
      <c r="AJ142" s="111"/>
      <c r="AW142" s="111"/>
      <c r="AX142" s="111"/>
    </row>
    <row r="143" spans="1:50" ht="12" customHeight="1">
      <c r="A143" s="112"/>
      <c r="B143" s="250"/>
      <c r="C143" s="112"/>
      <c r="D143" s="112"/>
      <c r="E143" s="112"/>
      <c r="F143" s="112"/>
      <c r="G143" s="112"/>
      <c r="H143" s="112"/>
      <c r="I143" s="112"/>
      <c r="J143" s="278"/>
      <c r="K143" s="235"/>
      <c r="L143" s="112"/>
      <c r="M143" s="301"/>
      <c r="N143" s="112"/>
      <c r="O143" s="112"/>
      <c r="P143" s="112"/>
      <c r="Q143" s="112"/>
      <c r="AJ143" s="111"/>
      <c r="AW143" s="111"/>
      <c r="AX143" s="111"/>
    </row>
    <row r="144" spans="1:50" ht="12" customHeight="1">
      <c r="A144" s="112"/>
      <c r="B144" s="250"/>
      <c r="C144" s="112"/>
      <c r="D144" s="112"/>
      <c r="E144" s="112"/>
      <c r="F144" s="112"/>
      <c r="G144" s="112"/>
      <c r="H144" s="112"/>
      <c r="I144" s="112"/>
      <c r="J144" s="278"/>
      <c r="K144" s="235"/>
      <c r="L144" s="112"/>
      <c r="M144" s="301"/>
      <c r="N144" s="112"/>
      <c r="O144" s="112"/>
      <c r="P144" s="112"/>
      <c r="Q144" s="112"/>
      <c r="AJ144" s="111"/>
      <c r="AW144" s="111"/>
      <c r="AX144" s="111"/>
    </row>
    <row r="145" spans="1:50" ht="12" customHeight="1">
      <c r="A145" s="112"/>
      <c r="B145" s="250"/>
      <c r="C145" s="112"/>
      <c r="D145" s="112"/>
      <c r="E145" s="112"/>
      <c r="F145" s="112"/>
      <c r="G145" s="112"/>
      <c r="H145" s="112"/>
      <c r="I145" s="112"/>
      <c r="J145" s="278"/>
      <c r="K145" s="235"/>
      <c r="L145" s="112"/>
      <c r="M145" s="301"/>
      <c r="N145" s="112"/>
      <c r="O145" s="112"/>
      <c r="P145" s="112"/>
      <c r="Q145" s="112"/>
      <c r="AJ145" s="111"/>
      <c r="AW145" s="111"/>
      <c r="AX145" s="111"/>
    </row>
    <row r="146" spans="1:50" ht="12" customHeight="1">
      <c r="A146" s="112"/>
      <c r="B146" s="250"/>
      <c r="C146" s="112"/>
      <c r="D146" s="112"/>
      <c r="E146" s="112"/>
      <c r="F146" s="112"/>
      <c r="G146" s="112"/>
      <c r="H146" s="112"/>
      <c r="I146" s="112"/>
      <c r="J146" s="278"/>
      <c r="K146" s="235"/>
      <c r="L146" s="112"/>
      <c r="M146" s="301"/>
      <c r="N146" s="112"/>
      <c r="O146" s="112"/>
      <c r="P146" s="112"/>
      <c r="Q146" s="112"/>
      <c r="AJ146" s="111"/>
      <c r="AW146" s="111"/>
      <c r="AX146" s="111"/>
    </row>
    <row r="147" spans="1:50" ht="12" customHeight="1">
      <c r="A147" s="112"/>
      <c r="B147" s="250"/>
      <c r="C147" s="112"/>
      <c r="D147" s="112"/>
      <c r="E147" s="112"/>
      <c r="F147" s="112"/>
      <c r="G147" s="112"/>
      <c r="H147" s="112"/>
      <c r="I147" s="112"/>
      <c r="J147" s="278"/>
      <c r="K147" s="235"/>
      <c r="L147" s="112"/>
      <c r="M147" s="301"/>
      <c r="N147" s="112"/>
      <c r="O147" s="112"/>
      <c r="P147" s="112"/>
      <c r="Q147" s="112"/>
      <c r="AJ147" s="111"/>
      <c r="AW147" s="111"/>
      <c r="AX147" s="111"/>
    </row>
    <row r="148" spans="1:50" ht="12" customHeight="1">
      <c r="A148" s="112"/>
      <c r="B148" s="250"/>
      <c r="C148" s="112"/>
      <c r="D148" s="112"/>
      <c r="E148" s="112"/>
      <c r="F148" s="112"/>
      <c r="G148" s="112"/>
      <c r="H148" s="112"/>
      <c r="I148" s="112"/>
      <c r="J148" s="278"/>
      <c r="K148" s="235"/>
      <c r="L148" s="112"/>
      <c r="M148" s="301"/>
      <c r="N148" s="112"/>
      <c r="O148" s="112"/>
      <c r="P148" s="112"/>
      <c r="Q148" s="112"/>
      <c r="AJ148" s="111"/>
      <c r="AW148" s="111"/>
      <c r="AX148" s="111"/>
    </row>
    <row r="149" spans="1:50" ht="12" customHeight="1">
      <c r="A149" s="112"/>
      <c r="B149" s="250"/>
      <c r="C149" s="112"/>
      <c r="D149" s="112"/>
      <c r="E149" s="112"/>
      <c r="F149" s="112"/>
      <c r="G149" s="112"/>
      <c r="H149" s="112"/>
      <c r="I149" s="112"/>
      <c r="J149" s="278"/>
      <c r="K149" s="235"/>
      <c r="L149" s="112"/>
      <c r="M149" s="301"/>
      <c r="N149" s="112"/>
      <c r="O149" s="112"/>
      <c r="P149" s="112"/>
      <c r="Q149" s="112"/>
      <c r="AJ149" s="111"/>
      <c r="AW149" s="111"/>
      <c r="AX149" s="111"/>
    </row>
    <row r="150" spans="1:50" ht="12" customHeight="1">
      <c r="A150" s="112"/>
      <c r="B150" s="250"/>
      <c r="C150" s="112"/>
      <c r="D150" s="112"/>
      <c r="E150" s="112"/>
      <c r="F150" s="112"/>
      <c r="G150" s="112"/>
      <c r="H150" s="112"/>
      <c r="I150" s="112"/>
      <c r="J150" s="278"/>
      <c r="K150" s="235"/>
      <c r="L150" s="112"/>
      <c r="M150" s="301"/>
      <c r="N150" s="112"/>
      <c r="O150" s="112"/>
      <c r="P150" s="112"/>
      <c r="Q150" s="112"/>
      <c r="AJ150" s="111"/>
      <c r="AW150" s="111"/>
      <c r="AX150" s="111"/>
    </row>
    <row r="151" spans="1:50" ht="12" customHeight="1">
      <c r="A151" s="112"/>
      <c r="B151" s="250"/>
      <c r="C151" s="112"/>
      <c r="D151" s="112"/>
      <c r="E151" s="112"/>
      <c r="F151" s="112"/>
      <c r="G151" s="112"/>
      <c r="H151" s="112"/>
      <c r="I151" s="112"/>
      <c r="J151" s="278"/>
      <c r="K151" s="235"/>
      <c r="L151" s="112"/>
      <c r="M151" s="301"/>
      <c r="N151" s="112"/>
      <c r="O151" s="112"/>
      <c r="P151" s="112"/>
      <c r="Q151" s="112"/>
      <c r="AJ151" s="111"/>
      <c r="AW151" s="111"/>
      <c r="AX151" s="111"/>
    </row>
    <row r="152" spans="1:50" ht="12" customHeight="1">
      <c r="A152" s="112"/>
      <c r="B152" s="250"/>
      <c r="C152" s="112"/>
      <c r="D152" s="112"/>
      <c r="E152" s="112"/>
      <c r="F152" s="112"/>
      <c r="G152" s="112"/>
      <c r="H152" s="112"/>
      <c r="I152" s="112"/>
      <c r="J152" s="278"/>
      <c r="K152" s="235"/>
      <c r="L152" s="112"/>
      <c r="M152" s="301"/>
      <c r="N152" s="112"/>
      <c r="O152" s="112"/>
      <c r="P152" s="112"/>
      <c r="Q152" s="112"/>
      <c r="AJ152" s="111"/>
      <c r="AW152" s="111"/>
      <c r="AX152" s="111"/>
    </row>
    <row r="153" spans="1:50" ht="12" customHeight="1">
      <c r="A153" s="112"/>
      <c r="B153" s="250"/>
      <c r="C153" s="112"/>
      <c r="D153" s="112"/>
      <c r="E153" s="112"/>
      <c r="F153" s="112"/>
      <c r="G153" s="112"/>
      <c r="H153" s="112"/>
      <c r="I153" s="112"/>
      <c r="J153" s="278"/>
      <c r="K153" s="235"/>
      <c r="L153" s="112"/>
      <c r="M153" s="301"/>
      <c r="N153" s="112"/>
      <c r="O153" s="112"/>
      <c r="P153" s="112"/>
      <c r="Q153" s="112"/>
      <c r="AJ153" s="111"/>
      <c r="AW153" s="111"/>
      <c r="AX153" s="111"/>
    </row>
    <row r="154" spans="1:50" ht="12" customHeight="1">
      <c r="A154" s="112"/>
      <c r="B154" s="250"/>
      <c r="C154" s="112"/>
      <c r="D154" s="112"/>
      <c r="E154" s="112"/>
      <c r="F154" s="112"/>
      <c r="G154" s="112"/>
      <c r="H154" s="112"/>
      <c r="I154" s="112"/>
      <c r="J154" s="278"/>
      <c r="K154" s="235"/>
      <c r="L154" s="112"/>
      <c r="M154" s="301"/>
      <c r="N154" s="112"/>
      <c r="O154" s="112"/>
      <c r="P154" s="112"/>
      <c r="Q154" s="112"/>
      <c r="AJ154" s="111"/>
      <c r="AW154" s="111"/>
      <c r="AX154" s="111"/>
    </row>
    <row r="155" spans="1:50" ht="12" customHeight="1">
      <c r="A155" s="112"/>
      <c r="B155" s="250"/>
      <c r="C155" s="112"/>
      <c r="D155" s="112"/>
      <c r="E155" s="112"/>
      <c r="F155" s="112"/>
      <c r="G155" s="112"/>
      <c r="H155" s="112"/>
      <c r="I155" s="112"/>
      <c r="J155" s="278"/>
      <c r="K155" s="235"/>
      <c r="L155" s="112"/>
      <c r="M155" s="301"/>
      <c r="N155" s="112"/>
      <c r="O155" s="112"/>
      <c r="P155" s="112"/>
      <c r="Q155" s="112"/>
      <c r="AJ155" s="111"/>
      <c r="AW155" s="111"/>
      <c r="AX155" s="111"/>
    </row>
    <row r="156" spans="1:50" ht="12" customHeight="1">
      <c r="A156" s="112"/>
      <c r="B156" s="250"/>
      <c r="C156" s="112"/>
      <c r="D156" s="112"/>
      <c r="E156" s="112"/>
      <c r="F156" s="112"/>
      <c r="G156" s="112"/>
      <c r="H156" s="112"/>
      <c r="I156" s="112"/>
      <c r="J156" s="278"/>
      <c r="K156" s="235"/>
      <c r="L156" s="112"/>
      <c r="M156" s="301"/>
      <c r="N156" s="112"/>
      <c r="O156" s="112"/>
      <c r="P156" s="112"/>
      <c r="Q156" s="112"/>
      <c r="AJ156" s="111"/>
      <c r="AW156" s="111"/>
      <c r="AX156" s="111"/>
    </row>
    <row r="157" spans="1:50" ht="12" customHeight="1">
      <c r="A157" s="112"/>
      <c r="B157" s="250"/>
      <c r="C157" s="112"/>
      <c r="D157" s="112"/>
      <c r="E157" s="112"/>
      <c r="F157" s="112"/>
      <c r="G157" s="112"/>
      <c r="H157" s="112"/>
      <c r="I157" s="112"/>
      <c r="J157" s="278"/>
      <c r="K157" s="235"/>
      <c r="L157" s="112"/>
      <c r="M157" s="301"/>
      <c r="N157" s="112"/>
      <c r="O157" s="112"/>
      <c r="P157" s="112"/>
      <c r="Q157" s="112"/>
      <c r="AJ157" s="111"/>
      <c r="AW157" s="111"/>
      <c r="AX157" s="111"/>
    </row>
    <row r="158" spans="1:50" ht="12" customHeight="1">
      <c r="A158" s="112"/>
      <c r="B158" s="250"/>
      <c r="C158" s="112"/>
      <c r="D158" s="112"/>
      <c r="E158" s="112"/>
      <c r="F158" s="112"/>
      <c r="G158" s="112"/>
      <c r="H158" s="112"/>
      <c r="I158" s="112"/>
      <c r="J158" s="278"/>
      <c r="K158" s="235"/>
      <c r="L158" s="112"/>
      <c r="M158" s="301"/>
      <c r="N158" s="112"/>
      <c r="O158" s="112"/>
      <c r="P158" s="112"/>
      <c r="Q158" s="112"/>
      <c r="AJ158" s="111"/>
      <c r="AW158" s="111"/>
      <c r="AX158" s="111"/>
    </row>
    <row r="159" spans="1:50" ht="12" customHeight="1">
      <c r="A159" s="112"/>
      <c r="B159" s="250"/>
      <c r="C159" s="112"/>
      <c r="D159" s="112"/>
      <c r="E159" s="112"/>
      <c r="F159" s="112"/>
      <c r="G159" s="112"/>
      <c r="H159" s="112"/>
      <c r="I159" s="112"/>
      <c r="J159" s="278"/>
      <c r="K159" s="235"/>
      <c r="L159" s="112"/>
      <c r="M159" s="301"/>
      <c r="N159" s="112"/>
      <c r="O159" s="112"/>
      <c r="P159" s="112"/>
      <c r="Q159" s="112"/>
      <c r="AJ159" s="111"/>
      <c r="AW159" s="111"/>
      <c r="AX159" s="111"/>
    </row>
    <row r="160" spans="1:50" ht="12" customHeight="1">
      <c r="A160" s="112"/>
      <c r="B160" s="250"/>
      <c r="C160" s="112"/>
      <c r="D160" s="112"/>
      <c r="E160" s="112"/>
      <c r="F160" s="112"/>
      <c r="G160" s="112"/>
      <c r="H160" s="112"/>
      <c r="I160" s="112"/>
      <c r="J160" s="278"/>
      <c r="K160" s="235"/>
      <c r="L160" s="112"/>
      <c r="M160" s="301"/>
      <c r="N160" s="112"/>
      <c r="O160" s="112"/>
      <c r="P160" s="112"/>
      <c r="Q160" s="112"/>
      <c r="AJ160" s="111"/>
      <c r="AW160" s="111"/>
      <c r="AX160" s="111"/>
    </row>
    <row r="161" spans="1:50" ht="12" customHeight="1">
      <c r="A161" s="112"/>
      <c r="B161" s="250"/>
      <c r="C161" s="112"/>
      <c r="D161" s="112"/>
      <c r="E161" s="112"/>
      <c r="F161" s="112"/>
      <c r="G161" s="112"/>
      <c r="H161" s="112"/>
      <c r="I161" s="112"/>
      <c r="J161" s="278"/>
      <c r="K161" s="235"/>
      <c r="L161" s="112"/>
      <c r="M161" s="301"/>
      <c r="N161" s="112"/>
      <c r="O161" s="112"/>
      <c r="P161" s="112"/>
      <c r="Q161" s="112"/>
      <c r="AJ161" s="111"/>
      <c r="AW161" s="111"/>
      <c r="AX161" s="111"/>
    </row>
    <row r="162" spans="1:50" ht="12" customHeight="1">
      <c r="A162" s="112"/>
      <c r="B162" s="250"/>
      <c r="C162" s="112"/>
      <c r="D162" s="112"/>
      <c r="E162" s="112"/>
      <c r="F162" s="112"/>
      <c r="G162" s="112"/>
      <c r="H162" s="112"/>
      <c r="I162" s="112"/>
      <c r="J162" s="278"/>
      <c r="K162" s="235"/>
      <c r="L162" s="112"/>
      <c r="M162" s="301"/>
      <c r="N162" s="112"/>
      <c r="O162" s="112"/>
      <c r="P162" s="112"/>
      <c r="Q162" s="112"/>
      <c r="AJ162" s="111"/>
      <c r="AW162" s="111"/>
      <c r="AX162" s="111"/>
    </row>
    <row r="163" spans="1:50" ht="12" customHeight="1">
      <c r="A163" s="112"/>
      <c r="B163" s="250"/>
      <c r="C163" s="112"/>
      <c r="D163" s="112"/>
      <c r="E163" s="112"/>
      <c r="F163" s="112"/>
      <c r="G163" s="112"/>
      <c r="H163" s="112"/>
      <c r="I163" s="112"/>
      <c r="J163" s="278"/>
      <c r="K163" s="235"/>
      <c r="L163" s="112"/>
      <c r="M163" s="301"/>
      <c r="N163" s="112"/>
      <c r="O163" s="112"/>
      <c r="P163" s="112"/>
      <c r="Q163" s="112"/>
      <c r="AJ163" s="111"/>
      <c r="AW163" s="111"/>
      <c r="AX163" s="111"/>
    </row>
    <row r="164" spans="1:50" ht="12" customHeight="1">
      <c r="A164" s="112"/>
      <c r="B164" s="250"/>
      <c r="C164" s="112"/>
      <c r="D164" s="112"/>
      <c r="E164" s="112"/>
      <c r="F164" s="112"/>
      <c r="G164" s="112"/>
      <c r="H164" s="112"/>
      <c r="I164" s="112"/>
      <c r="J164" s="278"/>
      <c r="K164" s="235"/>
      <c r="L164" s="112"/>
      <c r="M164" s="301"/>
      <c r="N164" s="112"/>
      <c r="O164" s="112"/>
      <c r="P164" s="112"/>
      <c r="Q164" s="112"/>
      <c r="AJ164" s="111"/>
      <c r="AW164" s="111"/>
      <c r="AX164" s="111"/>
    </row>
    <row r="165" spans="1:50" ht="12" customHeight="1">
      <c r="A165" s="112"/>
      <c r="B165" s="250"/>
      <c r="C165" s="112"/>
      <c r="D165" s="112"/>
      <c r="E165" s="112"/>
      <c r="F165" s="112"/>
      <c r="G165" s="112"/>
      <c r="H165" s="112"/>
      <c r="I165" s="112"/>
      <c r="J165" s="278"/>
      <c r="K165" s="235"/>
      <c r="L165" s="112"/>
      <c r="M165" s="301"/>
      <c r="N165" s="112"/>
      <c r="O165" s="112"/>
      <c r="P165" s="112"/>
      <c r="Q165" s="112"/>
      <c r="AJ165" s="111"/>
      <c r="AW165" s="111"/>
      <c r="AX165" s="111"/>
    </row>
    <row r="166" spans="1:50" ht="12" customHeight="1">
      <c r="A166" s="112"/>
      <c r="B166" s="250"/>
      <c r="C166" s="112"/>
      <c r="D166" s="112"/>
      <c r="E166" s="112"/>
      <c r="F166" s="112"/>
      <c r="G166" s="112"/>
      <c r="H166" s="112"/>
      <c r="I166" s="112"/>
      <c r="J166" s="278"/>
      <c r="K166" s="235"/>
      <c r="L166" s="112"/>
      <c r="M166" s="301"/>
      <c r="N166" s="112"/>
      <c r="O166" s="112"/>
      <c r="P166" s="112"/>
      <c r="Q166" s="112"/>
      <c r="AJ166" s="111"/>
      <c r="AW166" s="111"/>
      <c r="AX166" s="111"/>
    </row>
    <row r="167" spans="1:50" ht="10.5" customHeight="1">
      <c r="A167" s="112"/>
      <c r="B167" s="250"/>
      <c r="C167" s="112"/>
      <c r="D167" s="112"/>
      <c r="E167" s="112"/>
      <c r="F167" s="112"/>
      <c r="G167" s="112"/>
      <c r="H167" s="112"/>
      <c r="I167" s="112"/>
      <c r="J167" s="278"/>
      <c r="K167" s="235"/>
      <c r="L167" s="112"/>
      <c r="M167" s="301"/>
      <c r="N167" s="112"/>
      <c r="O167" s="112"/>
      <c r="P167" s="112"/>
      <c r="Q167" s="112"/>
      <c r="AJ167" s="111"/>
      <c r="AW167" s="111"/>
      <c r="AX167" s="111"/>
    </row>
    <row r="168" spans="1:50" ht="12" customHeight="1">
      <c r="A168" s="112"/>
      <c r="B168" s="250"/>
      <c r="C168" s="112"/>
      <c r="D168" s="112"/>
      <c r="E168" s="112"/>
      <c r="F168" s="112"/>
      <c r="G168" s="112"/>
      <c r="H168" s="112"/>
      <c r="I168" s="112"/>
      <c r="J168" s="278"/>
      <c r="K168" s="235"/>
      <c r="L168" s="112"/>
      <c r="M168" s="301"/>
      <c r="N168" s="112"/>
      <c r="O168" s="112"/>
      <c r="P168" s="112"/>
      <c r="Q168" s="112"/>
      <c r="AJ168" s="111"/>
      <c r="AW168" s="111"/>
      <c r="AX168" s="111"/>
    </row>
    <row r="169" spans="1:50" ht="12" customHeight="1">
      <c r="A169" s="112"/>
      <c r="B169" s="250"/>
      <c r="C169" s="112"/>
      <c r="D169" s="112"/>
      <c r="E169" s="112"/>
      <c r="F169" s="112"/>
      <c r="G169" s="112"/>
      <c r="H169" s="112"/>
      <c r="I169" s="112"/>
      <c r="J169" s="278"/>
      <c r="K169" s="235"/>
      <c r="L169" s="112"/>
      <c r="M169" s="301"/>
      <c r="N169" s="112"/>
      <c r="O169" s="112"/>
      <c r="P169" s="112"/>
      <c r="Q169" s="112"/>
      <c r="AJ169" s="111"/>
      <c r="AW169" s="111"/>
      <c r="AX169" s="111"/>
    </row>
    <row r="170" spans="1:50" ht="12" customHeight="1">
      <c r="A170" s="112"/>
      <c r="B170" s="250"/>
      <c r="C170" s="112"/>
      <c r="D170" s="112"/>
      <c r="E170" s="112"/>
      <c r="F170" s="112"/>
      <c r="G170" s="112"/>
      <c r="H170" s="112"/>
      <c r="I170" s="112"/>
      <c r="J170" s="278"/>
      <c r="K170" s="235"/>
      <c r="L170" s="112"/>
      <c r="M170" s="301"/>
      <c r="N170" s="112"/>
      <c r="O170" s="112"/>
      <c r="P170" s="112"/>
      <c r="Q170" s="112"/>
      <c r="AJ170" s="111"/>
      <c r="AW170" s="111"/>
      <c r="AX170" s="111"/>
    </row>
    <row r="171" spans="1:50" ht="12" customHeight="1">
      <c r="A171" s="112"/>
      <c r="B171" s="250"/>
      <c r="C171" s="112"/>
      <c r="D171" s="112"/>
      <c r="E171" s="112"/>
      <c r="F171" s="112"/>
      <c r="G171" s="112"/>
      <c r="H171" s="112"/>
      <c r="I171" s="112"/>
      <c r="J171" s="278"/>
      <c r="K171" s="235"/>
      <c r="L171" s="112"/>
      <c r="M171" s="301"/>
      <c r="N171" s="112"/>
      <c r="O171" s="112"/>
      <c r="P171" s="112"/>
      <c r="Q171" s="112"/>
      <c r="AJ171" s="111"/>
      <c r="AW171" s="111"/>
      <c r="AX171" s="111"/>
    </row>
    <row r="172" spans="1:50" ht="12" customHeight="1">
      <c r="A172" s="112"/>
      <c r="B172" s="250"/>
      <c r="C172" s="112"/>
      <c r="D172" s="112"/>
      <c r="E172" s="112"/>
      <c r="F172" s="112"/>
      <c r="G172" s="112"/>
      <c r="H172" s="112"/>
      <c r="I172" s="112"/>
      <c r="J172" s="278"/>
      <c r="K172" s="235"/>
      <c r="L172" s="112"/>
      <c r="M172" s="301"/>
      <c r="N172" s="112"/>
      <c r="O172" s="112"/>
      <c r="P172" s="112"/>
      <c r="Q172" s="112"/>
      <c r="AJ172" s="111"/>
      <c r="AW172" s="111"/>
      <c r="AX172" s="111"/>
    </row>
    <row r="173" spans="1:50" ht="12" customHeight="1">
      <c r="A173" s="112"/>
      <c r="B173" s="250"/>
      <c r="C173" s="112"/>
      <c r="D173" s="112"/>
      <c r="E173" s="112"/>
      <c r="F173" s="112"/>
      <c r="G173" s="112"/>
      <c r="H173" s="112"/>
      <c r="I173" s="112"/>
      <c r="J173" s="278"/>
      <c r="K173" s="235"/>
      <c r="L173" s="112"/>
      <c r="M173" s="301"/>
      <c r="N173" s="112"/>
      <c r="O173" s="112"/>
      <c r="P173" s="112"/>
      <c r="Q173" s="112"/>
      <c r="AJ173" s="111"/>
      <c r="AW173" s="111"/>
      <c r="AX173" s="111"/>
    </row>
    <row r="174" spans="1:50" ht="12" customHeight="1">
      <c r="A174" s="112"/>
      <c r="B174" s="250"/>
      <c r="C174" s="112"/>
      <c r="D174" s="112"/>
      <c r="E174" s="112"/>
      <c r="F174" s="112"/>
      <c r="G174" s="112"/>
      <c r="H174" s="112"/>
      <c r="I174" s="112"/>
      <c r="J174" s="278"/>
      <c r="K174" s="235"/>
      <c r="L174" s="112"/>
      <c r="M174" s="301"/>
      <c r="N174" s="112"/>
      <c r="O174" s="112"/>
      <c r="P174" s="112"/>
      <c r="Q174" s="112"/>
      <c r="AJ174" s="111"/>
      <c r="AW174" s="111"/>
      <c r="AX174" s="111"/>
    </row>
    <row r="175" spans="1:50" ht="12" customHeight="1">
      <c r="A175" s="112"/>
      <c r="B175" s="250"/>
      <c r="C175" s="112"/>
      <c r="D175" s="112"/>
      <c r="E175" s="112"/>
      <c r="F175" s="112"/>
      <c r="G175" s="112"/>
      <c r="H175" s="112"/>
      <c r="I175" s="112"/>
      <c r="J175" s="278"/>
      <c r="K175" s="235"/>
      <c r="L175" s="112"/>
      <c r="M175" s="301"/>
      <c r="N175" s="112"/>
      <c r="O175" s="112"/>
      <c r="P175" s="112"/>
      <c r="Q175" s="112"/>
      <c r="AJ175" s="111"/>
      <c r="AW175" s="111"/>
      <c r="AX175" s="111"/>
    </row>
    <row r="176" spans="1:50" ht="12" customHeight="1">
      <c r="A176" s="112"/>
      <c r="B176" s="250"/>
      <c r="C176" s="112"/>
      <c r="D176" s="112"/>
      <c r="E176" s="112"/>
      <c r="F176" s="112"/>
      <c r="G176" s="112"/>
      <c r="H176" s="112"/>
      <c r="I176" s="112"/>
      <c r="J176" s="278"/>
      <c r="K176" s="235"/>
      <c r="L176" s="112"/>
      <c r="M176" s="301"/>
      <c r="N176" s="112"/>
      <c r="O176" s="112"/>
      <c r="P176" s="112"/>
      <c r="Q176" s="112"/>
      <c r="AJ176" s="111"/>
      <c r="AW176" s="111"/>
      <c r="AX176" s="111"/>
    </row>
    <row r="177" spans="1:50" ht="12" customHeight="1">
      <c r="A177" s="112"/>
      <c r="B177" s="250"/>
      <c r="C177" s="112"/>
      <c r="D177" s="112"/>
      <c r="E177" s="112"/>
      <c r="F177" s="112"/>
      <c r="G177" s="112"/>
      <c r="H177" s="112"/>
      <c r="I177" s="112"/>
      <c r="J177" s="278"/>
      <c r="K177" s="235"/>
      <c r="L177" s="112"/>
      <c r="M177" s="301"/>
      <c r="N177" s="112"/>
      <c r="O177" s="112"/>
      <c r="P177" s="112"/>
      <c r="Q177" s="112"/>
      <c r="AJ177" s="111"/>
      <c r="AW177" s="111"/>
      <c r="AX177" s="111"/>
    </row>
    <row r="178" spans="1:50" ht="12" customHeight="1">
      <c r="A178" s="112"/>
      <c r="B178" s="250"/>
      <c r="C178" s="112"/>
      <c r="D178" s="112"/>
      <c r="E178" s="112"/>
      <c r="F178" s="112"/>
      <c r="G178" s="112"/>
      <c r="H178" s="112"/>
      <c r="I178" s="112"/>
      <c r="J178" s="278"/>
      <c r="K178" s="235"/>
      <c r="L178" s="112"/>
      <c r="M178" s="301"/>
      <c r="N178" s="112"/>
      <c r="O178" s="112"/>
      <c r="P178" s="112"/>
      <c r="Q178" s="112"/>
      <c r="AJ178" s="111"/>
      <c r="AW178" s="111"/>
      <c r="AX178" s="111"/>
    </row>
    <row r="179" spans="1:50" ht="12" customHeight="1">
      <c r="A179" s="112"/>
      <c r="B179" s="250"/>
      <c r="C179" s="112"/>
      <c r="D179" s="112"/>
      <c r="E179" s="112"/>
      <c r="F179" s="112"/>
      <c r="G179" s="112"/>
      <c r="H179" s="112"/>
      <c r="I179" s="112"/>
      <c r="J179" s="278"/>
      <c r="K179" s="235"/>
      <c r="L179" s="112"/>
      <c r="M179" s="301"/>
      <c r="N179" s="112"/>
      <c r="O179" s="112"/>
      <c r="P179" s="112"/>
      <c r="Q179" s="112"/>
      <c r="AJ179" s="111"/>
      <c r="AW179" s="111"/>
      <c r="AX179" s="111"/>
    </row>
    <row r="180" spans="1:50" ht="12" customHeight="1">
      <c r="A180" s="112"/>
      <c r="B180" s="250"/>
      <c r="C180" s="112"/>
      <c r="D180" s="112"/>
      <c r="E180" s="112"/>
      <c r="F180" s="112"/>
      <c r="G180" s="112"/>
      <c r="H180" s="112"/>
      <c r="I180" s="112"/>
      <c r="J180" s="278"/>
      <c r="K180" s="235"/>
      <c r="L180" s="112"/>
      <c r="M180" s="301"/>
      <c r="N180" s="112"/>
      <c r="O180" s="112"/>
      <c r="P180" s="112"/>
      <c r="Q180" s="112"/>
      <c r="AJ180" s="111"/>
      <c r="AW180" s="111"/>
      <c r="AX180" s="111"/>
    </row>
    <row r="181" spans="1:50" ht="12" customHeight="1">
      <c r="A181" s="112"/>
      <c r="B181" s="250"/>
      <c r="C181" s="112"/>
      <c r="D181" s="112"/>
      <c r="E181" s="112"/>
      <c r="F181" s="112"/>
      <c r="G181" s="112"/>
      <c r="H181" s="112"/>
      <c r="I181" s="112"/>
      <c r="J181" s="278"/>
      <c r="K181" s="235"/>
      <c r="L181" s="112"/>
      <c r="M181" s="301"/>
      <c r="N181" s="112"/>
      <c r="O181" s="112"/>
      <c r="P181" s="112"/>
      <c r="Q181" s="112"/>
      <c r="AJ181" s="111"/>
      <c r="AW181" s="111"/>
      <c r="AX181" s="111"/>
    </row>
    <row r="182" spans="1:50" ht="12" customHeight="1">
      <c r="A182" s="112"/>
      <c r="B182" s="250"/>
      <c r="C182" s="112"/>
      <c r="D182" s="112"/>
      <c r="E182" s="112"/>
      <c r="F182" s="112"/>
      <c r="G182" s="112"/>
      <c r="H182" s="112"/>
      <c r="I182" s="112"/>
      <c r="J182" s="278"/>
      <c r="K182" s="235"/>
      <c r="L182" s="112"/>
      <c r="M182" s="301"/>
      <c r="N182" s="112"/>
      <c r="O182" s="112"/>
      <c r="P182" s="112"/>
      <c r="Q182" s="112"/>
      <c r="AJ182" s="111"/>
      <c r="AW182" s="111"/>
      <c r="AX182" s="111"/>
    </row>
    <row r="183" spans="1:50" ht="12" customHeight="1">
      <c r="A183" s="112"/>
      <c r="B183" s="250"/>
      <c r="C183" s="112"/>
      <c r="D183" s="112"/>
      <c r="E183" s="112"/>
      <c r="F183" s="112"/>
      <c r="G183" s="112"/>
      <c r="H183" s="112"/>
      <c r="I183" s="112"/>
      <c r="J183" s="278"/>
      <c r="K183" s="235"/>
      <c r="L183" s="112"/>
      <c r="M183" s="301"/>
      <c r="N183" s="112"/>
      <c r="O183" s="112"/>
      <c r="P183" s="112"/>
      <c r="Q183" s="112"/>
      <c r="AJ183" s="111"/>
      <c r="AW183" s="111"/>
      <c r="AX183" s="111"/>
    </row>
    <row r="184" spans="1:50" ht="12" customHeight="1">
      <c r="A184" s="112"/>
      <c r="B184" s="250"/>
      <c r="C184" s="112"/>
      <c r="D184" s="112"/>
      <c r="E184" s="112"/>
      <c r="F184" s="112"/>
      <c r="G184" s="112"/>
      <c r="H184" s="112"/>
      <c r="I184" s="112"/>
      <c r="J184" s="278"/>
      <c r="K184" s="235"/>
      <c r="L184" s="112"/>
      <c r="M184" s="301"/>
      <c r="N184" s="112"/>
      <c r="O184" s="112"/>
      <c r="P184" s="112"/>
      <c r="Q184" s="112"/>
      <c r="AJ184" s="111"/>
      <c r="AW184" s="111"/>
      <c r="AX184" s="111"/>
    </row>
    <row r="185" spans="1:50" ht="12" customHeight="1">
      <c r="A185" s="112"/>
      <c r="B185" s="250"/>
      <c r="C185" s="112"/>
      <c r="D185" s="112"/>
      <c r="E185" s="112"/>
      <c r="F185" s="112"/>
      <c r="G185" s="112"/>
      <c r="H185" s="112"/>
      <c r="I185" s="112"/>
      <c r="J185" s="278"/>
      <c r="K185" s="235"/>
      <c r="L185" s="112"/>
      <c r="M185" s="301"/>
      <c r="N185" s="112"/>
      <c r="O185" s="112"/>
      <c r="P185" s="112"/>
      <c r="Q185" s="112"/>
      <c r="AJ185" s="111"/>
      <c r="AW185" s="111"/>
      <c r="AX185" s="111"/>
    </row>
    <row r="186" spans="1:50" ht="12" customHeight="1">
      <c r="A186" s="112"/>
      <c r="B186" s="250"/>
      <c r="C186" s="112"/>
      <c r="D186" s="112"/>
      <c r="E186" s="112"/>
      <c r="F186" s="112"/>
      <c r="G186" s="112"/>
      <c r="H186" s="112"/>
      <c r="I186" s="112"/>
      <c r="J186" s="278"/>
      <c r="K186" s="235"/>
      <c r="L186" s="112"/>
      <c r="M186" s="301"/>
      <c r="N186" s="112"/>
      <c r="O186" s="112"/>
      <c r="P186" s="112"/>
      <c r="Q186" s="112"/>
      <c r="AJ186" s="111"/>
      <c r="AW186" s="111"/>
      <c r="AX186" s="111"/>
    </row>
    <row r="187" spans="1:50" ht="12" customHeight="1">
      <c r="A187" s="112"/>
      <c r="B187" s="250"/>
      <c r="C187" s="112"/>
      <c r="D187" s="112"/>
      <c r="E187" s="112"/>
      <c r="F187" s="112"/>
      <c r="G187" s="112"/>
      <c r="H187" s="112"/>
      <c r="I187" s="112"/>
      <c r="J187" s="278"/>
      <c r="K187" s="235"/>
      <c r="L187" s="112"/>
      <c r="M187" s="301"/>
      <c r="N187" s="112"/>
      <c r="O187" s="112"/>
      <c r="P187" s="112"/>
      <c r="Q187" s="112"/>
      <c r="AJ187" s="111"/>
      <c r="AW187" s="111"/>
      <c r="AX187" s="111"/>
    </row>
    <row r="188" spans="1:50" ht="12" customHeight="1">
      <c r="A188" s="112"/>
      <c r="B188" s="250"/>
      <c r="C188" s="112"/>
      <c r="D188" s="112"/>
      <c r="E188" s="112"/>
      <c r="F188" s="112"/>
      <c r="G188" s="112"/>
      <c r="H188" s="112"/>
      <c r="I188" s="112"/>
      <c r="J188" s="278"/>
      <c r="K188" s="235"/>
      <c r="L188" s="112"/>
      <c r="M188" s="301"/>
      <c r="N188" s="112"/>
      <c r="O188" s="112"/>
      <c r="P188" s="112"/>
      <c r="Q188" s="112"/>
      <c r="AJ188" s="111"/>
      <c r="AW188" s="111"/>
      <c r="AX188" s="111"/>
    </row>
    <row r="189" spans="1:50" ht="12" customHeight="1">
      <c r="A189" s="112"/>
      <c r="B189" s="250"/>
      <c r="C189" s="112"/>
      <c r="D189" s="112"/>
      <c r="E189" s="112"/>
      <c r="F189" s="112"/>
      <c r="G189" s="112"/>
      <c r="H189" s="112"/>
      <c r="I189" s="112"/>
      <c r="J189" s="278"/>
      <c r="K189" s="235"/>
      <c r="L189" s="112"/>
      <c r="M189" s="301"/>
      <c r="N189" s="112"/>
      <c r="O189" s="112"/>
      <c r="P189" s="112"/>
      <c r="Q189" s="112"/>
      <c r="AJ189" s="111"/>
      <c r="AW189" s="111"/>
      <c r="AX189" s="111"/>
    </row>
    <row r="190" spans="1:50" ht="12" customHeight="1">
      <c r="A190" s="112"/>
      <c r="B190" s="250"/>
      <c r="C190" s="112"/>
      <c r="D190" s="112"/>
      <c r="E190" s="112"/>
      <c r="F190" s="112"/>
      <c r="G190" s="112"/>
      <c r="H190" s="112"/>
      <c r="I190" s="112"/>
      <c r="J190" s="278"/>
      <c r="K190" s="235"/>
      <c r="L190" s="112"/>
      <c r="M190" s="301"/>
      <c r="N190" s="112"/>
      <c r="O190" s="112"/>
      <c r="P190" s="112"/>
      <c r="Q190" s="112"/>
      <c r="AJ190" s="111"/>
      <c r="AW190" s="111"/>
      <c r="AX190" s="111"/>
    </row>
    <row r="191" spans="1:50" ht="12" customHeight="1">
      <c r="A191" s="112"/>
      <c r="B191" s="250"/>
      <c r="C191" s="112"/>
      <c r="D191" s="112"/>
      <c r="E191" s="112"/>
      <c r="F191" s="112"/>
      <c r="G191" s="112"/>
      <c r="H191" s="112"/>
      <c r="I191" s="112"/>
      <c r="J191" s="278"/>
      <c r="K191" s="235"/>
      <c r="L191" s="112"/>
      <c r="M191" s="301"/>
      <c r="N191" s="112"/>
      <c r="O191" s="112"/>
      <c r="P191" s="112"/>
      <c r="Q191" s="112"/>
      <c r="AJ191" s="111"/>
      <c r="AW191" s="111"/>
      <c r="AX191" s="111"/>
    </row>
    <row r="192" spans="1:50" ht="12" customHeight="1">
      <c r="A192" s="112"/>
      <c r="B192" s="250"/>
      <c r="C192" s="112"/>
      <c r="D192" s="112"/>
      <c r="E192" s="112"/>
      <c r="F192" s="112"/>
      <c r="G192" s="112"/>
      <c r="H192" s="112"/>
      <c r="I192" s="112"/>
      <c r="J192" s="278"/>
      <c r="K192" s="235"/>
      <c r="L192" s="112"/>
      <c r="M192" s="301"/>
      <c r="N192" s="112"/>
      <c r="O192" s="112"/>
      <c r="P192" s="112"/>
      <c r="Q192" s="112"/>
      <c r="AJ192" s="111"/>
      <c r="AW192" s="111"/>
      <c r="AX192" s="111"/>
    </row>
    <row r="193" spans="1:50" ht="12" customHeight="1">
      <c r="A193" s="112"/>
      <c r="B193" s="250"/>
      <c r="C193" s="112"/>
      <c r="D193" s="112"/>
      <c r="E193" s="112"/>
      <c r="F193" s="112"/>
      <c r="G193" s="112"/>
      <c r="H193" s="112"/>
      <c r="I193" s="112"/>
      <c r="J193" s="278"/>
      <c r="K193" s="235"/>
      <c r="L193" s="112"/>
      <c r="M193" s="301"/>
      <c r="N193" s="112"/>
      <c r="O193" s="112"/>
      <c r="P193" s="112"/>
      <c r="Q193" s="112"/>
      <c r="AJ193" s="111"/>
      <c r="AW193" s="111"/>
      <c r="AX193" s="111"/>
    </row>
    <row r="194" spans="1:50" ht="12" customHeight="1">
      <c r="A194" s="112"/>
      <c r="B194" s="250"/>
      <c r="C194" s="112"/>
      <c r="D194" s="112"/>
      <c r="E194" s="112"/>
      <c r="F194" s="112"/>
      <c r="G194" s="112"/>
      <c r="H194" s="112"/>
      <c r="I194" s="112"/>
      <c r="J194" s="278"/>
      <c r="K194" s="235"/>
      <c r="L194" s="112"/>
      <c r="M194" s="301"/>
      <c r="N194" s="112"/>
      <c r="O194" s="112"/>
      <c r="P194" s="112"/>
      <c r="Q194" s="112"/>
      <c r="AJ194" s="111"/>
      <c r="AW194" s="111"/>
      <c r="AX194" s="111"/>
    </row>
    <row r="195" spans="1:50" ht="12" customHeight="1">
      <c r="A195" s="112"/>
      <c r="B195" s="250"/>
      <c r="C195" s="112"/>
      <c r="D195" s="112"/>
      <c r="E195" s="112"/>
      <c r="F195" s="112"/>
      <c r="G195" s="112"/>
      <c r="H195" s="112"/>
      <c r="I195" s="112"/>
      <c r="J195" s="278"/>
      <c r="K195" s="235"/>
      <c r="L195" s="112"/>
      <c r="M195" s="301"/>
      <c r="N195" s="112"/>
      <c r="O195" s="112"/>
      <c r="P195" s="112"/>
      <c r="Q195" s="112"/>
      <c r="AJ195" s="111"/>
      <c r="AW195" s="111"/>
      <c r="AX195" s="111"/>
    </row>
    <row r="196" spans="1:50" ht="12" customHeight="1">
      <c r="A196" s="112"/>
      <c r="B196" s="250"/>
      <c r="C196" s="112"/>
      <c r="D196" s="112"/>
      <c r="E196" s="112"/>
      <c r="F196" s="112"/>
      <c r="G196" s="112"/>
      <c r="H196" s="112"/>
      <c r="I196" s="112"/>
      <c r="J196" s="278"/>
      <c r="K196" s="235"/>
      <c r="L196" s="112"/>
      <c r="M196" s="301"/>
      <c r="N196" s="112"/>
      <c r="O196" s="112"/>
      <c r="P196" s="112"/>
      <c r="Q196" s="112"/>
      <c r="AJ196" s="111"/>
      <c r="AW196" s="111"/>
      <c r="AX196" s="111"/>
    </row>
    <row r="197" spans="1:50" ht="12" customHeight="1">
      <c r="A197" s="112"/>
      <c r="B197" s="250"/>
      <c r="C197" s="112"/>
      <c r="D197" s="112"/>
      <c r="E197" s="112"/>
      <c r="F197" s="112"/>
      <c r="G197" s="112"/>
      <c r="H197" s="112"/>
      <c r="I197" s="112"/>
      <c r="J197" s="278"/>
      <c r="K197" s="235"/>
      <c r="L197" s="112"/>
      <c r="M197" s="301"/>
      <c r="N197" s="112"/>
      <c r="O197" s="112"/>
      <c r="P197" s="112"/>
      <c r="Q197" s="112"/>
      <c r="AJ197" s="111"/>
      <c r="AW197" s="111"/>
      <c r="AX197" s="111"/>
    </row>
    <row r="198" spans="1:50" ht="12" customHeight="1">
      <c r="A198" s="112"/>
      <c r="B198" s="250"/>
      <c r="C198" s="112"/>
      <c r="D198" s="112"/>
      <c r="E198" s="112"/>
      <c r="F198" s="112"/>
      <c r="G198" s="112"/>
      <c r="H198" s="112"/>
      <c r="I198" s="112"/>
      <c r="J198" s="278"/>
      <c r="K198" s="235"/>
      <c r="L198" s="112"/>
      <c r="M198" s="301"/>
      <c r="N198" s="112"/>
      <c r="O198" s="112"/>
      <c r="P198" s="112"/>
      <c r="Q198" s="112"/>
      <c r="AJ198" s="111"/>
      <c r="AW198" s="111"/>
      <c r="AX198" s="111"/>
    </row>
    <row r="199" spans="1:50" ht="12" customHeight="1">
      <c r="A199" s="112"/>
      <c r="B199" s="250"/>
      <c r="C199" s="112"/>
      <c r="D199" s="112"/>
      <c r="E199" s="112"/>
      <c r="F199" s="112"/>
      <c r="G199" s="112"/>
      <c r="H199" s="112"/>
      <c r="I199" s="112"/>
      <c r="J199" s="278"/>
      <c r="K199" s="235"/>
      <c r="L199" s="112"/>
      <c r="M199" s="301"/>
      <c r="N199" s="112"/>
      <c r="O199" s="112"/>
      <c r="P199" s="112"/>
      <c r="Q199" s="112"/>
      <c r="AJ199" s="111"/>
      <c r="AW199" s="111"/>
      <c r="AX199" s="111"/>
    </row>
    <row r="200" spans="1:50" ht="12" customHeight="1">
      <c r="A200" s="112"/>
      <c r="B200" s="250"/>
      <c r="C200" s="112"/>
      <c r="D200" s="112"/>
      <c r="E200" s="112"/>
      <c r="F200" s="112"/>
      <c r="G200" s="112"/>
      <c r="H200" s="112"/>
      <c r="I200" s="112"/>
      <c r="J200" s="278"/>
      <c r="K200" s="235"/>
      <c r="L200" s="112"/>
      <c r="M200" s="301"/>
      <c r="N200" s="112"/>
      <c r="O200" s="112"/>
      <c r="P200" s="112"/>
      <c r="Q200" s="112"/>
      <c r="AJ200" s="111"/>
      <c r="AW200" s="111"/>
      <c r="AX200" s="111"/>
    </row>
    <row r="201" spans="1:50" ht="12" customHeight="1">
      <c r="A201" s="112"/>
      <c r="B201" s="250"/>
      <c r="C201" s="112"/>
      <c r="D201" s="112"/>
      <c r="E201" s="112"/>
      <c r="F201" s="112"/>
      <c r="G201" s="112"/>
      <c r="H201" s="112"/>
      <c r="I201" s="112"/>
      <c r="J201" s="278"/>
      <c r="K201" s="235"/>
      <c r="L201" s="112"/>
      <c r="M201" s="301"/>
      <c r="N201" s="112"/>
      <c r="O201" s="112"/>
      <c r="P201" s="112"/>
      <c r="Q201" s="112"/>
      <c r="AJ201" s="111"/>
      <c r="AW201" s="111"/>
      <c r="AX201" s="111"/>
    </row>
    <row r="202" spans="1:50" ht="12" customHeight="1">
      <c r="A202" s="112"/>
      <c r="B202" s="250"/>
      <c r="C202" s="112"/>
      <c r="D202" s="112"/>
      <c r="E202" s="112"/>
      <c r="F202" s="112"/>
      <c r="G202" s="112"/>
      <c r="H202" s="112"/>
      <c r="I202" s="112"/>
      <c r="J202" s="278"/>
      <c r="K202" s="235"/>
      <c r="L202" s="112"/>
      <c r="M202" s="301"/>
      <c r="N202" s="112"/>
      <c r="O202" s="112"/>
      <c r="P202" s="112"/>
      <c r="Q202" s="112"/>
      <c r="AJ202" s="111"/>
      <c r="AW202" s="111"/>
      <c r="AX202" s="111"/>
    </row>
    <row r="203" spans="1:50" ht="12" customHeight="1">
      <c r="A203" s="112"/>
      <c r="B203" s="250"/>
      <c r="C203" s="112"/>
      <c r="D203" s="112"/>
      <c r="E203" s="112"/>
      <c r="F203" s="112"/>
      <c r="G203" s="112"/>
      <c r="H203" s="112"/>
      <c r="I203" s="112"/>
      <c r="J203" s="278"/>
      <c r="K203" s="235"/>
      <c r="L203" s="112"/>
      <c r="M203" s="301"/>
      <c r="N203" s="112"/>
      <c r="O203" s="112"/>
      <c r="P203" s="112"/>
      <c r="Q203" s="112"/>
      <c r="AJ203" s="111"/>
      <c r="AW203" s="111"/>
      <c r="AX203" s="111"/>
    </row>
    <row r="204" spans="1:50" ht="12" customHeight="1">
      <c r="A204" s="112"/>
      <c r="B204" s="250"/>
      <c r="C204" s="112"/>
      <c r="D204" s="112"/>
      <c r="E204" s="112"/>
      <c r="F204" s="112"/>
      <c r="G204" s="112"/>
      <c r="H204" s="112"/>
      <c r="I204" s="112"/>
      <c r="J204" s="278"/>
      <c r="K204" s="235"/>
      <c r="L204" s="112"/>
      <c r="M204" s="301"/>
      <c r="N204" s="112"/>
      <c r="O204" s="112"/>
      <c r="P204" s="112"/>
      <c r="Q204" s="112"/>
      <c r="AJ204" s="111"/>
      <c r="AW204" s="111"/>
      <c r="AX204" s="111"/>
    </row>
    <row r="205" spans="1:50" ht="12" customHeight="1">
      <c r="A205" s="112"/>
      <c r="B205" s="250"/>
      <c r="C205" s="112"/>
      <c r="D205" s="112"/>
      <c r="E205" s="112"/>
      <c r="F205" s="112"/>
      <c r="G205" s="112"/>
      <c r="H205" s="112"/>
      <c r="I205" s="112"/>
      <c r="J205" s="278"/>
      <c r="K205" s="235"/>
      <c r="L205" s="112"/>
      <c r="M205" s="301"/>
      <c r="N205" s="112"/>
      <c r="O205" s="112"/>
      <c r="P205" s="112"/>
      <c r="Q205" s="112"/>
      <c r="AJ205" s="111"/>
      <c r="AW205" s="111"/>
      <c r="AX205" s="111"/>
    </row>
    <row r="206" spans="1:50" ht="12" customHeight="1">
      <c r="A206" s="112"/>
      <c r="B206" s="250"/>
      <c r="C206" s="112"/>
      <c r="D206" s="112"/>
      <c r="E206" s="112"/>
      <c r="F206" s="112"/>
      <c r="G206" s="112"/>
      <c r="H206" s="112"/>
      <c r="I206" s="112"/>
      <c r="J206" s="278"/>
      <c r="K206" s="235"/>
      <c r="L206" s="112"/>
      <c r="M206" s="301"/>
      <c r="N206" s="112"/>
      <c r="O206" s="112"/>
      <c r="P206" s="112"/>
      <c r="Q206" s="112"/>
      <c r="AJ206" s="111"/>
      <c r="AW206" s="111"/>
      <c r="AX206" s="111"/>
    </row>
    <row r="207" spans="1:50" ht="12" customHeight="1">
      <c r="A207" s="112"/>
      <c r="B207" s="250"/>
      <c r="C207" s="112"/>
      <c r="D207" s="112"/>
      <c r="E207" s="112"/>
      <c r="F207" s="112"/>
      <c r="G207" s="112"/>
      <c r="H207" s="112"/>
      <c r="I207" s="112"/>
      <c r="J207" s="278"/>
      <c r="K207" s="235"/>
      <c r="L207" s="112"/>
      <c r="M207" s="301"/>
      <c r="N207" s="112"/>
      <c r="O207" s="112"/>
      <c r="P207" s="112"/>
      <c r="Q207" s="112"/>
      <c r="AJ207" s="111"/>
      <c r="AW207" s="111"/>
      <c r="AX207" s="111"/>
    </row>
    <row r="208" spans="1:50" ht="12" customHeight="1">
      <c r="A208" s="112"/>
      <c r="B208" s="250"/>
      <c r="C208" s="112"/>
      <c r="D208" s="112"/>
      <c r="E208" s="112"/>
      <c r="F208" s="112"/>
      <c r="G208" s="112"/>
      <c r="H208" s="112"/>
      <c r="I208" s="112"/>
      <c r="J208" s="278"/>
      <c r="K208" s="235"/>
      <c r="L208" s="112"/>
      <c r="M208" s="301"/>
      <c r="N208" s="112"/>
      <c r="O208" s="112"/>
      <c r="P208" s="112"/>
      <c r="Q208" s="112"/>
      <c r="AJ208" s="111"/>
      <c r="AW208" s="111"/>
      <c r="AX208" s="111"/>
    </row>
    <row r="209" spans="1:50" ht="12" customHeight="1">
      <c r="A209" s="112"/>
      <c r="B209" s="250"/>
      <c r="C209" s="112"/>
      <c r="D209" s="112"/>
      <c r="E209" s="112"/>
      <c r="F209" s="112"/>
      <c r="G209" s="112"/>
      <c r="H209" s="112"/>
      <c r="I209" s="112"/>
      <c r="J209" s="278"/>
      <c r="K209" s="235"/>
      <c r="L209" s="112"/>
      <c r="M209" s="301"/>
      <c r="N209" s="112"/>
      <c r="O209" s="112"/>
      <c r="P209" s="112"/>
      <c r="Q209" s="112"/>
      <c r="AJ209" s="111"/>
      <c r="AW209" s="111"/>
      <c r="AX209" s="111"/>
    </row>
    <row r="210" spans="1:50" ht="12" customHeight="1">
      <c r="A210" s="112"/>
      <c r="B210" s="250"/>
      <c r="C210" s="112"/>
      <c r="D210" s="112"/>
      <c r="E210" s="112"/>
      <c r="F210" s="112"/>
      <c r="G210" s="112"/>
      <c r="H210" s="112"/>
      <c r="I210" s="112"/>
      <c r="J210" s="278"/>
      <c r="K210" s="235"/>
      <c r="L210" s="112"/>
      <c r="M210" s="301"/>
      <c r="N210" s="112"/>
      <c r="O210" s="112"/>
      <c r="P210" s="112"/>
      <c r="Q210" s="112"/>
      <c r="AJ210" s="111"/>
      <c r="AW210" s="111"/>
      <c r="AX210" s="111"/>
    </row>
    <row r="211" spans="1:50" ht="12" customHeight="1">
      <c r="A211" s="112"/>
      <c r="B211" s="250"/>
      <c r="C211" s="112"/>
      <c r="D211" s="112"/>
      <c r="E211" s="112"/>
      <c r="F211" s="112"/>
      <c r="G211" s="112"/>
      <c r="H211" s="112"/>
      <c r="I211" s="112"/>
      <c r="J211" s="278"/>
      <c r="K211" s="235"/>
      <c r="L211" s="112"/>
      <c r="M211" s="301"/>
      <c r="N211" s="112"/>
      <c r="O211" s="112"/>
      <c r="P211" s="112"/>
      <c r="Q211" s="112"/>
      <c r="AJ211" s="111"/>
      <c r="AW211" s="111"/>
      <c r="AX211" s="111"/>
    </row>
    <row r="212" spans="1:50" ht="12" customHeight="1">
      <c r="A212" s="112"/>
      <c r="B212" s="250"/>
      <c r="C212" s="112"/>
      <c r="D212" s="112"/>
      <c r="E212" s="112"/>
      <c r="F212" s="112"/>
      <c r="G212" s="112"/>
      <c r="H212" s="112"/>
      <c r="I212" s="112"/>
      <c r="J212" s="278"/>
      <c r="K212" s="235"/>
      <c r="L212" s="112"/>
      <c r="M212" s="301"/>
      <c r="N212" s="112"/>
      <c r="O212" s="112"/>
      <c r="P212" s="112"/>
      <c r="Q212" s="112"/>
      <c r="AJ212" s="111"/>
      <c r="AW212" s="111"/>
      <c r="AX212" s="111"/>
    </row>
    <row r="213" spans="1:50" ht="12" customHeight="1">
      <c r="A213" s="112"/>
      <c r="B213" s="250"/>
      <c r="C213" s="112"/>
      <c r="D213" s="112"/>
      <c r="E213" s="112"/>
      <c r="F213" s="112"/>
      <c r="G213" s="112"/>
      <c r="H213" s="112"/>
      <c r="I213" s="112"/>
      <c r="J213" s="278"/>
      <c r="K213" s="235"/>
      <c r="L213" s="112"/>
      <c r="M213" s="301"/>
      <c r="N213" s="112"/>
      <c r="O213" s="112"/>
      <c r="P213" s="112"/>
      <c r="Q213" s="112"/>
      <c r="AJ213" s="111"/>
      <c r="AW213" s="111"/>
      <c r="AX213" s="111"/>
    </row>
    <row r="214" spans="1:50" ht="12" customHeight="1">
      <c r="A214" s="112"/>
      <c r="B214" s="250"/>
      <c r="C214" s="112"/>
      <c r="D214" s="112"/>
      <c r="E214" s="112"/>
      <c r="F214" s="112"/>
      <c r="G214" s="112"/>
      <c r="H214" s="112"/>
      <c r="I214" s="112"/>
      <c r="J214" s="278"/>
      <c r="K214" s="235"/>
      <c r="L214" s="112"/>
      <c r="M214" s="301"/>
      <c r="N214" s="112"/>
      <c r="O214" s="112"/>
      <c r="P214" s="112"/>
      <c r="Q214" s="112"/>
      <c r="AJ214" s="111"/>
      <c r="AW214" s="111"/>
      <c r="AX214" s="111"/>
    </row>
    <row r="215" spans="1:50" ht="12" customHeight="1">
      <c r="A215" s="112"/>
      <c r="B215" s="250"/>
      <c r="C215" s="112"/>
      <c r="D215" s="112"/>
      <c r="E215" s="112"/>
      <c r="F215" s="112"/>
      <c r="G215" s="112"/>
      <c r="H215" s="112"/>
      <c r="I215" s="112"/>
      <c r="J215" s="278"/>
      <c r="K215" s="235"/>
      <c r="L215" s="112"/>
      <c r="M215" s="301"/>
      <c r="N215" s="112"/>
      <c r="O215" s="112"/>
      <c r="P215" s="112"/>
      <c r="Q215" s="112"/>
      <c r="AJ215" s="111"/>
      <c r="AW215" s="111"/>
      <c r="AX215" s="111"/>
    </row>
    <row r="216" spans="1:50" ht="12" customHeight="1">
      <c r="A216" s="112"/>
      <c r="B216" s="250"/>
      <c r="C216" s="112"/>
      <c r="D216" s="112"/>
      <c r="E216" s="112"/>
      <c r="F216" s="112"/>
      <c r="G216" s="112"/>
      <c r="H216" s="112"/>
      <c r="I216" s="112"/>
      <c r="J216" s="278"/>
      <c r="K216" s="235"/>
      <c r="L216" s="112"/>
      <c r="M216" s="301"/>
      <c r="N216" s="112"/>
      <c r="O216" s="112"/>
      <c r="P216" s="112"/>
      <c r="Q216" s="112"/>
      <c r="AJ216" s="111"/>
      <c r="AW216" s="111"/>
      <c r="AX216" s="111"/>
    </row>
    <row r="217" spans="1:50" ht="12" customHeight="1">
      <c r="A217" s="112"/>
      <c r="B217" s="250"/>
      <c r="C217" s="112"/>
      <c r="D217" s="112"/>
      <c r="E217" s="112"/>
      <c r="F217" s="112"/>
      <c r="G217" s="112"/>
      <c r="H217" s="112"/>
      <c r="I217" s="112"/>
      <c r="J217" s="278"/>
      <c r="K217" s="235"/>
      <c r="L217" s="112"/>
      <c r="M217" s="301"/>
      <c r="N217" s="112"/>
      <c r="O217" s="112"/>
      <c r="P217" s="112"/>
      <c r="Q217" s="112"/>
      <c r="AJ217" s="111"/>
      <c r="AW217" s="111"/>
      <c r="AX217" s="111"/>
    </row>
    <row r="218" spans="1:50" ht="12" customHeight="1">
      <c r="A218" s="112"/>
      <c r="B218" s="250"/>
      <c r="C218" s="112"/>
      <c r="D218" s="112"/>
      <c r="E218" s="112"/>
      <c r="F218" s="112"/>
      <c r="G218" s="112"/>
      <c r="H218" s="112"/>
      <c r="I218" s="112"/>
      <c r="J218" s="278"/>
      <c r="K218" s="235"/>
      <c r="L218" s="112"/>
      <c r="M218" s="301"/>
      <c r="N218" s="112"/>
      <c r="O218" s="112"/>
      <c r="P218" s="112"/>
      <c r="Q218" s="112"/>
      <c r="AJ218" s="111"/>
      <c r="AW218" s="111"/>
      <c r="AX218" s="111"/>
    </row>
    <row r="219" spans="1:50" ht="13.5" customHeight="1">
      <c r="A219" s="112"/>
      <c r="B219" s="250"/>
      <c r="C219" s="112"/>
      <c r="D219" s="112"/>
      <c r="E219" s="112"/>
      <c r="F219" s="112"/>
      <c r="G219" s="112"/>
      <c r="H219" s="112"/>
      <c r="I219" s="112"/>
      <c r="J219" s="278"/>
      <c r="K219" s="235"/>
      <c r="L219" s="112"/>
      <c r="M219" s="301"/>
      <c r="N219" s="112"/>
      <c r="O219" s="112"/>
      <c r="P219" s="112"/>
      <c r="Q219" s="112"/>
      <c r="AJ219" s="111"/>
      <c r="AW219" s="111"/>
      <c r="AX219" s="111"/>
    </row>
    <row r="220" spans="1:50" ht="12" customHeight="1">
      <c r="A220" s="112"/>
      <c r="B220" s="250"/>
      <c r="C220" s="112"/>
      <c r="D220" s="112"/>
      <c r="E220" s="112"/>
      <c r="F220" s="112"/>
      <c r="G220" s="112"/>
      <c r="H220" s="112"/>
      <c r="I220" s="112"/>
      <c r="J220" s="278"/>
      <c r="K220" s="235"/>
      <c r="L220" s="112"/>
      <c r="M220" s="301"/>
      <c r="N220" s="112"/>
      <c r="O220" s="112"/>
      <c r="P220" s="112"/>
      <c r="Q220" s="112"/>
      <c r="AJ220" s="111"/>
      <c r="AW220" s="111"/>
      <c r="AX220" s="111"/>
    </row>
    <row r="221" spans="1:50" ht="12" customHeight="1">
      <c r="A221" s="112"/>
      <c r="B221" s="250"/>
      <c r="C221" s="112"/>
      <c r="D221" s="112"/>
      <c r="E221" s="112"/>
      <c r="F221" s="112"/>
      <c r="G221" s="112"/>
      <c r="H221" s="112"/>
      <c r="I221" s="112"/>
      <c r="J221" s="278"/>
      <c r="K221" s="235"/>
      <c r="L221" s="112"/>
      <c r="M221" s="301"/>
      <c r="N221" s="112"/>
      <c r="O221" s="112"/>
      <c r="P221" s="112"/>
      <c r="Q221" s="112"/>
      <c r="AJ221" s="111"/>
      <c r="AW221" s="111"/>
      <c r="AX221" s="111"/>
    </row>
    <row r="222" spans="1:50" ht="12" customHeight="1">
      <c r="A222" s="112"/>
      <c r="B222" s="250"/>
      <c r="C222" s="112"/>
      <c r="D222" s="112"/>
      <c r="E222" s="112"/>
      <c r="F222" s="112"/>
      <c r="G222" s="112"/>
      <c r="H222" s="112"/>
      <c r="I222" s="112"/>
      <c r="J222" s="278"/>
      <c r="K222" s="235"/>
      <c r="L222" s="112"/>
      <c r="M222" s="301"/>
      <c r="N222" s="112"/>
      <c r="O222" s="112"/>
      <c r="P222" s="112"/>
      <c r="Q222" s="112"/>
      <c r="AJ222" s="111"/>
      <c r="AW222" s="111"/>
      <c r="AX222" s="111"/>
    </row>
    <row r="223" spans="1:50" ht="12" customHeight="1">
      <c r="A223" s="112"/>
      <c r="B223" s="250"/>
      <c r="C223" s="112"/>
      <c r="D223" s="112"/>
      <c r="E223" s="112"/>
      <c r="F223" s="112"/>
      <c r="G223" s="112"/>
      <c r="H223" s="112"/>
      <c r="I223" s="112"/>
      <c r="J223" s="278"/>
      <c r="K223" s="235"/>
      <c r="L223" s="112"/>
      <c r="M223" s="301"/>
      <c r="N223" s="112"/>
      <c r="O223" s="112"/>
      <c r="P223" s="112"/>
      <c r="Q223" s="112"/>
      <c r="AJ223" s="111"/>
      <c r="AW223" s="111"/>
      <c r="AX223" s="111"/>
    </row>
    <row r="224" spans="1:50" ht="12" customHeight="1">
      <c r="A224" s="112"/>
      <c r="B224" s="250"/>
      <c r="C224" s="112"/>
      <c r="D224" s="112"/>
      <c r="E224" s="112"/>
      <c r="F224" s="112"/>
      <c r="G224" s="112"/>
      <c r="H224" s="112"/>
      <c r="I224" s="112"/>
      <c r="J224" s="278"/>
      <c r="K224" s="235"/>
      <c r="L224" s="112"/>
      <c r="M224" s="301"/>
      <c r="N224" s="112"/>
      <c r="O224" s="112"/>
      <c r="P224" s="112"/>
      <c r="Q224" s="112"/>
      <c r="AJ224" s="111"/>
      <c r="AW224" s="111"/>
      <c r="AX224" s="111"/>
    </row>
    <row r="225" spans="1:50" ht="12" customHeight="1">
      <c r="A225" s="112"/>
      <c r="B225" s="250"/>
      <c r="C225" s="112"/>
      <c r="D225" s="112"/>
      <c r="E225" s="112"/>
      <c r="F225" s="112"/>
      <c r="G225" s="112"/>
      <c r="H225" s="112"/>
      <c r="I225" s="112"/>
      <c r="J225" s="278"/>
      <c r="K225" s="235"/>
      <c r="L225" s="112"/>
      <c r="M225" s="301"/>
      <c r="N225" s="112"/>
      <c r="O225" s="112"/>
      <c r="P225" s="112"/>
      <c r="Q225" s="112"/>
      <c r="AJ225" s="111"/>
      <c r="AW225" s="111"/>
      <c r="AX225" s="111"/>
    </row>
    <row r="226" spans="1:50" ht="12" customHeight="1">
      <c r="A226" s="112"/>
      <c r="B226" s="250"/>
      <c r="C226" s="112"/>
      <c r="D226" s="112"/>
      <c r="E226" s="112"/>
      <c r="F226" s="112"/>
      <c r="G226" s="112"/>
      <c r="H226" s="112"/>
      <c r="I226" s="112"/>
      <c r="J226" s="278"/>
      <c r="K226" s="235"/>
      <c r="L226" s="112"/>
      <c r="M226" s="301"/>
      <c r="N226" s="112"/>
      <c r="O226" s="112"/>
      <c r="P226" s="112"/>
      <c r="Q226" s="112"/>
      <c r="AJ226" s="111"/>
      <c r="AW226" s="111"/>
      <c r="AX226" s="111"/>
    </row>
    <row r="227" spans="1:50" ht="12" customHeight="1">
      <c r="A227" s="112"/>
      <c r="B227" s="250"/>
      <c r="C227" s="112"/>
      <c r="D227" s="112"/>
      <c r="E227" s="112"/>
      <c r="F227" s="112"/>
      <c r="G227" s="112"/>
      <c r="H227" s="112"/>
      <c r="I227" s="112"/>
      <c r="J227" s="278"/>
      <c r="K227" s="235"/>
      <c r="L227" s="112"/>
      <c r="M227" s="301"/>
      <c r="N227" s="112"/>
      <c r="O227" s="112"/>
      <c r="P227" s="112"/>
      <c r="Q227" s="112"/>
      <c r="AJ227" s="111"/>
      <c r="AW227" s="111"/>
      <c r="AX227" s="111"/>
    </row>
    <row r="228" spans="1:50" ht="12" customHeight="1">
      <c r="A228" s="112"/>
      <c r="B228" s="250"/>
      <c r="C228" s="112"/>
      <c r="D228" s="112"/>
      <c r="E228" s="112"/>
      <c r="F228" s="112"/>
      <c r="G228" s="112"/>
      <c r="H228" s="112"/>
      <c r="I228" s="112"/>
      <c r="J228" s="278"/>
      <c r="K228" s="235"/>
      <c r="L228" s="112"/>
      <c r="M228" s="301"/>
      <c r="N228" s="112"/>
      <c r="O228" s="112"/>
      <c r="P228" s="112"/>
      <c r="Q228" s="112"/>
      <c r="AJ228" s="111"/>
      <c r="AW228" s="111"/>
      <c r="AX228" s="111"/>
    </row>
    <row r="229" spans="1:50" ht="12" customHeight="1">
      <c r="A229" s="112"/>
      <c r="B229" s="250"/>
      <c r="C229" s="112"/>
      <c r="D229" s="112"/>
      <c r="E229" s="112"/>
      <c r="F229" s="112"/>
      <c r="G229" s="112"/>
      <c r="H229" s="112"/>
      <c r="I229" s="112"/>
      <c r="J229" s="278"/>
      <c r="K229" s="235"/>
      <c r="L229" s="112"/>
      <c r="M229" s="301"/>
      <c r="N229" s="112"/>
      <c r="O229" s="112"/>
      <c r="P229" s="112"/>
      <c r="Q229" s="112"/>
      <c r="AJ229" s="111"/>
      <c r="AW229" s="111"/>
      <c r="AX229" s="111"/>
    </row>
    <row r="230" spans="1:50" ht="12" customHeight="1">
      <c r="A230" s="112"/>
      <c r="B230" s="250"/>
      <c r="C230" s="112"/>
      <c r="D230" s="112"/>
      <c r="E230" s="112"/>
      <c r="F230" s="112"/>
      <c r="G230" s="112"/>
      <c r="H230" s="112"/>
      <c r="I230" s="112"/>
      <c r="J230" s="278"/>
      <c r="K230" s="235"/>
      <c r="L230" s="112"/>
      <c r="M230" s="301"/>
      <c r="N230" s="112"/>
      <c r="O230" s="112"/>
      <c r="P230" s="112"/>
      <c r="Q230" s="112"/>
      <c r="AJ230" s="111"/>
      <c r="AW230" s="111"/>
      <c r="AX230" s="111"/>
    </row>
    <row r="231" spans="1:50" ht="12" customHeight="1">
      <c r="A231" s="92"/>
      <c r="B231" s="250"/>
      <c r="C231" s="112"/>
      <c r="D231" s="112"/>
      <c r="E231" s="112"/>
      <c r="F231" s="112"/>
      <c r="G231" s="112"/>
      <c r="H231" s="112"/>
      <c r="I231" s="112"/>
      <c r="J231" s="278"/>
      <c r="K231" s="235"/>
      <c r="L231" s="112"/>
      <c r="M231" s="301"/>
      <c r="N231" s="112"/>
      <c r="O231" s="112"/>
      <c r="P231" s="112"/>
      <c r="Q231" s="112"/>
      <c r="AJ231" s="111"/>
      <c r="AW231" s="111"/>
      <c r="AX231" s="111"/>
    </row>
    <row r="232" spans="1:50" ht="12" customHeight="1">
      <c r="A232" s="92"/>
      <c r="B232" s="250"/>
      <c r="C232" s="112"/>
      <c r="D232" s="112"/>
      <c r="E232" s="112"/>
      <c r="F232" s="112"/>
      <c r="G232" s="112"/>
      <c r="H232" s="112"/>
      <c r="I232" s="112"/>
      <c r="J232" s="278"/>
      <c r="K232" s="235"/>
      <c r="L232" s="112"/>
      <c r="M232" s="301"/>
      <c r="N232" s="112"/>
      <c r="O232" s="112"/>
      <c r="P232" s="112"/>
      <c r="Q232" s="112"/>
      <c r="AJ232" s="111"/>
      <c r="AW232" s="111"/>
      <c r="AX232" s="111"/>
    </row>
    <row r="233" spans="1:50" ht="12" customHeight="1">
      <c r="A233" s="92"/>
      <c r="B233" s="250"/>
      <c r="C233" s="112"/>
      <c r="D233" s="112"/>
      <c r="E233" s="112"/>
      <c r="F233" s="112"/>
      <c r="G233" s="112"/>
      <c r="H233" s="112"/>
      <c r="I233" s="112"/>
      <c r="J233" s="278"/>
      <c r="K233" s="235"/>
      <c r="L233" s="112"/>
      <c r="M233" s="301"/>
      <c r="N233" s="112"/>
      <c r="O233" s="112"/>
      <c r="P233" s="112"/>
      <c r="Q233" s="112"/>
      <c r="AJ233" s="111"/>
      <c r="AW233" s="111"/>
      <c r="AX233" s="111"/>
    </row>
    <row r="234" spans="1:50" ht="12" customHeight="1">
      <c r="A234" s="92"/>
      <c r="B234" s="250"/>
      <c r="C234" s="112"/>
      <c r="D234" s="112"/>
      <c r="E234" s="112"/>
      <c r="F234" s="112"/>
      <c r="G234" s="112"/>
      <c r="H234" s="112"/>
      <c r="I234" s="112"/>
      <c r="J234" s="278"/>
      <c r="K234" s="235"/>
      <c r="L234" s="112"/>
      <c r="M234" s="301"/>
      <c r="N234" s="112"/>
      <c r="O234" s="112"/>
      <c r="P234" s="112"/>
      <c r="Q234" s="112"/>
      <c r="AJ234" s="111"/>
      <c r="AW234" s="111"/>
      <c r="AX234" s="111"/>
    </row>
    <row r="235" spans="1:50" ht="12" customHeight="1">
      <c r="A235" s="92"/>
      <c r="B235" s="92"/>
      <c r="C235" s="92"/>
      <c r="D235" s="96"/>
      <c r="E235" s="112"/>
      <c r="F235" s="112"/>
      <c r="G235" s="112"/>
      <c r="H235" s="112"/>
      <c r="I235" s="112"/>
      <c r="J235" s="278"/>
      <c r="K235" s="235"/>
      <c r="L235" s="112"/>
      <c r="M235" s="301"/>
      <c r="N235" s="112"/>
      <c r="O235" s="112"/>
      <c r="P235" s="112"/>
      <c r="Q235" s="112"/>
      <c r="AJ235" s="111"/>
      <c r="AW235" s="111"/>
      <c r="AX235" s="111"/>
    </row>
    <row r="236" spans="1:50" ht="12" customHeight="1">
      <c r="A236" s="92"/>
      <c r="B236" s="92"/>
      <c r="C236" s="92"/>
      <c r="D236" s="96"/>
      <c r="E236" s="112"/>
      <c r="F236" s="112"/>
      <c r="G236" s="112"/>
      <c r="H236" s="112"/>
      <c r="I236" s="112"/>
      <c r="J236" s="278"/>
      <c r="K236" s="235"/>
      <c r="L236" s="112"/>
      <c r="M236" s="301"/>
      <c r="N236" s="112"/>
      <c r="O236" s="112"/>
      <c r="P236" s="112"/>
      <c r="Q236" s="112"/>
      <c r="AJ236" s="111"/>
      <c r="AW236" s="111"/>
      <c r="AX236" s="111"/>
    </row>
    <row r="237" spans="1:50" ht="12" customHeight="1">
      <c r="A237" s="92"/>
      <c r="B237" s="92"/>
      <c r="C237" s="92"/>
      <c r="D237" s="96"/>
      <c r="E237" s="112"/>
      <c r="F237" s="112"/>
      <c r="G237" s="112"/>
      <c r="H237" s="112"/>
      <c r="I237" s="112"/>
      <c r="J237" s="112"/>
      <c r="K237" s="235"/>
      <c r="L237" s="112"/>
      <c r="M237" s="301"/>
      <c r="N237" s="112"/>
      <c r="O237" s="112"/>
      <c r="P237" s="112"/>
      <c r="Q237" s="112"/>
      <c r="AJ237" s="111"/>
      <c r="AW237" s="111"/>
      <c r="AX237" s="111"/>
    </row>
    <row r="238" spans="1:50" ht="12" customHeight="1">
      <c r="A238" s="90"/>
      <c r="B238" s="92"/>
      <c r="C238" s="92"/>
      <c r="D238" s="96"/>
      <c r="E238" s="112"/>
      <c r="F238" s="112"/>
      <c r="G238" s="112"/>
      <c r="H238" s="112"/>
      <c r="I238" s="112"/>
      <c r="J238" s="112"/>
      <c r="K238" s="235"/>
      <c r="L238" s="112"/>
      <c r="M238" s="301"/>
      <c r="N238" s="112"/>
      <c r="O238" s="112"/>
      <c r="P238" s="112"/>
      <c r="Q238" s="112"/>
      <c r="AJ238" s="111"/>
      <c r="AW238" s="111"/>
      <c r="AX238" s="111"/>
    </row>
    <row r="239" spans="1:50" ht="12" customHeight="1">
      <c r="A239" s="407" t="e">
        <f>(F15-#REF!)*12%</f>
        <v>#REF!</v>
      </c>
      <c r="B239" s="92"/>
      <c r="C239" s="92"/>
      <c r="D239" s="92"/>
      <c r="E239" s="112"/>
      <c r="F239" s="197"/>
      <c r="G239" s="197"/>
      <c r="H239" s="197"/>
      <c r="I239" s="197"/>
      <c r="J239" s="112"/>
      <c r="K239" s="235"/>
      <c r="L239" s="112"/>
      <c r="M239" s="301"/>
      <c r="N239" s="112"/>
      <c r="O239" s="112"/>
      <c r="P239" s="112"/>
      <c r="Q239" s="112"/>
      <c r="AJ239" s="111"/>
      <c r="AW239" s="111"/>
      <c r="AX239" s="111"/>
    </row>
    <row r="240" spans="1:50" ht="12" customHeight="1">
      <c r="A240" s="408"/>
      <c r="B240" s="92"/>
      <c r="C240" s="92"/>
      <c r="D240" s="92"/>
      <c r="E240" s="112"/>
      <c r="F240" s="112"/>
      <c r="G240" s="112"/>
      <c r="H240" s="112"/>
      <c r="I240" s="112"/>
      <c r="J240" s="112"/>
      <c r="K240" s="235"/>
      <c r="L240" s="112"/>
      <c r="M240" s="301"/>
      <c r="N240" s="112"/>
      <c r="O240" s="112"/>
      <c r="P240" s="112"/>
      <c r="Q240" s="112"/>
      <c r="AJ240" s="111"/>
      <c r="AW240" s="111"/>
      <c r="AX240" s="111"/>
    </row>
    <row r="241" spans="1:50" ht="12" customHeight="1">
      <c r="A241" s="90"/>
      <c r="B241" s="92"/>
      <c r="C241" s="92"/>
      <c r="D241" s="314"/>
      <c r="E241" s="315"/>
      <c r="F241" s="315"/>
      <c r="G241" s="315"/>
      <c r="H241" s="315"/>
      <c r="I241" s="316"/>
      <c r="J241" s="112"/>
      <c r="K241" s="235"/>
      <c r="L241" s="112"/>
      <c r="M241" s="301"/>
      <c r="N241" s="112"/>
      <c r="O241" s="112"/>
      <c r="P241" s="112"/>
      <c r="Q241" s="112"/>
      <c r="AJ241" s="111"/>
      <c r="AW241" s="111"/>
      <c r="AX241" s="111"/>
    </row>
    <row r="242" spans="1:50" ht="17.25" customHeight="1">
      <c r="B242" s="92"/>
      <c r="C242" s="92"/>
      <c r="D242" s="314"/>
      <c r="E242" s="315"/>
      <c r="F242" s="315"/>
      <c r="G242" s="315"/>
      <c r="H242" s="315"/>
      <c r="I242" s="290"/>
      <c r="J242" s="112"/>
      <c r="K242" s="235"/>
      <c r="L242" s="112"/>
      <c r="M242" s="301"/>
      <c r="N242" s="112"/>
      <c r="O242" s="112"/>
      <c r="P242" s="112"/>
      <c r="Q242" s="112"/>
      <c r="AJ242" s="111"/>
      <c r="AW242" s="111"/>
      <c r="AX242" s="111"/>
    </row>
    <row r="243" spans="1:50" ht="15.75" customHeight="1">
      <c r="B243" s="407"/>
      <c r="C243" s="90"/>
      <c r="D243" s="317"/>
      <c r="E243" s="318"/>
      <c r="F243" s="319"/>
      <c r="G243" s="319"/>
      <c r="H243" s="319"/>
      <c r="I243" s="316"/>
      <c r="J243" s="112"/>
      <c r="K243" s="235"/>
      <c r="L243" s="112"/>
      <c r="M243" s="301"/>
      <c r="N243" s="112"/>
      <c r="O243" s="112"/>
      <c r="P243" s="112"/>
      <c r="Q243" s="112"/>
      <c r="AJ243" s="111"/>
      <c r="AW243" s="111"/>
      <c r="AX243" s="111"/>
    </row>
    <row r="244" spans="1:50" ht="12.75" customHeight="1">
      <c r="B244" s="90"/>
      <c r="C244" s="90"/>
      <c r="D244" s="317"/>
      <c r="F244" s="319"/>
      <c r="G244" s="319"/>
      <c r="H244" s="319"/>
      <c r="I244" s="320"/>
      <c r="J244" s="112"/>
      <c r="K244" s="235"/>
      <c r="L244" s="112"/>
      <c r="M244" s="301"/>
      <c r="N244" s="112"/>
      <c r="O244" s="112"/>
      <c r="P244" s="112"/>
      <c r="Q244" s="112"/>
      <c r="AJ244" s="111"/>
      <c r="AW244" s="111"/>
      <c r="AX244" s="111"/>
    </row>
    <row r="245" spans="1:50" ht="12.75" customHeight="1">
      <c r="B245" s="90"/>
      <c r="C245" s="90"/>
      <c r="D245" s="317"/>
      <c r="E245" s="318"/>
      <c r="F245" s="318"/>
      <c r="G245" s="318"/>
      <c r="H245" s="318"/>
      <c r="K245" s="235"/>
      <c r="L245" s="112"/>
      <c r="M245" s="301"/>
      <c r="N245" s="112"/>
      <c r="O245" s="112"/>
      <c r="P245" s="112"/>
      <c r="Q245" s="112"/>
      <c r="AJ245" s="111"/>
      <c r="AW245" s="111"/>
      <c r="AX245" s="111"/>
    </row>
    <row r="246" spans="1:50" ht="12.75" customHeight="1">
      <c r="D246" s="321"/>
      <c r="E246" s="318"/>
      <c r="F246" s="318"/>
      <c r="G246" s="318"/>
      <c r="H246" s="318"/>
      <c r="K246" s="235"/>
      <c r="L246" s="112"/>
      <c r="M246" s="301"/>
      <c r="N246" s="112"/>
      <c r="O246" s="112"/>
      <c r="P246" s="112"/>
      <c r="Q246" s="112"/>
      <c r="AJ246" s="111"/>
      <c r="AW246" s="111"/>
      <c r="AX246" s="111"/>
    </row>
    <row r="247" spans="1:50" ht="12.75" customHeight="1">
      <c r="D247" s="321"/>
      <c r="E247" s="318"/>
      <c r="F247" s="318"/>
      <c r="G247" s="318"/>
      <c r="H247" s="318"/>
      <c r="J247" s="322"/>
      <c r="K247" s="235"/>
      <c r="L247" s="112"/>
      <c r="M247" s="301"/>
      <c r="N247" s="112"/>
      <c r="O247" s="112"/>
      <c r="P247" s="112"/>
      <c r="Q247" s="112"/>
      <c r="AJ247" s="111"/>
      <c r="AW247" s="111"/>
      <c r="AX247" s="111"/>
    </row>
    <row r="248" spans="1:50" ht="12.75" customHeight="1">
      <c r="D248" s="321"/>
      <c r="E248" s="318"/>
      <c r="F248" s="318"/>
      <c r="G248" s="318"/>
      <c r="H248" s="318"/>
      <c r="J248" s="316"/>
      <c r="K248" s="235"/>
      <c r="L248" s="112"/>
      <c r="M248" s="301"/>
      <c r="N248" s="112"/>
      <c r="O248" s="112"/>
      <c r="P248" s="112"/>
      <c r="Q248" s="112"/>
      <c r="AJ248" s="111"/>
      <c r="AW248" s="111"/>
      <c r="AX248" s="111"/>
    </row>
    <row r="249" spans="1:50" ht="12.75" customHeight="1">
      <c r="D249" s="321"/>
      <c r="E249" s="318"/>
      <c r="F249" s="318"/>
      <c r="G249" s="318"/>
      <c r="H249" s="318"/>
      <c r="J249" s="290"/>
      <c r="K249" s="235"/>
      <c r="L249" s="112"/>
      <c r="M249" s="301"/>
      <c r="N249" s="112"/>
      <c r="O249" s="112"/>
      <c r="P249" s="112"/>
      <c r="Q249" s="112"/>
      <c r="AJ249" s="111"/>
      <c r="AW249" s="111"/>
      <c r="AX249" s="111"/>
    </row>
    <row r="250" spans="1:50" ht="12.75" customHeight="1">
      <c r="D250" s="321"/>
      <c r="E250" s="318"/>
      <c r="F250" s="318"/>
      <c r="G250" s="318"/>
      <c r="H250" s="318"/>
      <c r="J250" s="316"/>
      <c r="K250" s="235"/>
      <c r="L250" s="112"/>
      <c r="M250" s="301"/>
      <c r="N250" s="112"/>
      <c r="O250" s="112"/>
      <c r="P250" s="112"/>
      <c r="Q250" s="112"/>
      <c r="AJ250" s="111"/>
      <c r="AW250" s="111"/>
      <c r="AX250" s="111"/>
    </row>
    <row r="251" spans="1:50" ht="12.75" customHeight="1">
      <c r="D251" s="321"/>
      <c r="E251" s="318"/>
      <c r="F251" s="318"/>
      <c r="G251" s="318"/>
      <c r="H251" s="318"/>
      <c r="J251" s="320"/>
      <c r="K251" s="235"/>
      <c r="L251" s="112"/>
      <c r="M251" s="301"/>
      <c r="N251" s="112"/>
      <c r="O251" s="112"/>
      <c r="P251" s="112"/>
      <c r="Q251" s="112"/>
      <c r="AJ251" s="111"/>
      <c r="AW251" s="111"/>
      <c r="AX251" s="111"/>
    </row>
    <row r="252" spans="1:50" ht="12.75" customHeight="1">
      <c r="D252" s="321"/>
      <c r="E252" s="318"/>
      <c r="F252" s="318"/>
      <c r="G252" s="318"/>
      <c r="H252" s="318"/>
      <c r="K252" s="235"/>
      <c r="L252" s="112"/>
      <c r="M252" s="301"/>
      <c r="N252" s="112"/>
      <c r="O252" s="112"/>
      <c r="P252" s="112"/>
      <c r="Q252" s="112"/>
      <c r="AJ252" s="111"/>
      <c r="AW252" s="111"/>
      <c r="AX252" s="111"/>
    </row>
    <row r="253" spans="1:50" ht="12.75" customHeight="1">
      <c r="D253" s="321"/>
      <c r="E253" s="318"/>
      <c r="F253" s="318"/>
      <c r="G253" s="318"/>
      <c r="H253" s="318"/>
      <c r="K253" s="112"/>
      <c r="L253" s="112"/>
      <c r="M253" s="301"/>
      <c r="N253" s="112"/>
      <c r="O253" s="112"/>
      <c r="P253" s="112"/>
      <c r="Q253" s="112"/>
      <c r="AJ253" s="111"/>
      <c r="AW253" s="111"/>
      <c r="AX253" s="111"/>
    </row>
    <row r="254" spans="1:50" ht="12.75" customHeight="1">
      <c r="D254" s="321"/>
      <c r="E254" s="318"/>
      <c r="F254" s="318"/>
      <c r="G254" s="318"/>
      <c r="H254" s="318"/>
      <c r="K254" s="112"/>
      <c r="L254" s="112"/>
      <c r="M254" s="197"/>
      <c r="N254" s="112"/>
      <c r="O254" s="112"/>
      <c r="P254" s="112"/>
      <c r="Q254" s="112"/>
      <c r="AJ254" s="111"/>
      <c r="AW254" s="111"/>
      <c r="AX254" s="111"/>
    </row>
    <row r="255" spans="1:50" ht="12.75" customHeight="1">
      <c r="D255" s="321"/>
      <c r="E255" s="318"/>
      <c r="F255" s="318"/>
      <c r="G255" s="318"/>
      <c r="H255" s="318"/>
      <c r="K255" s="112"/>
      <c r="L255" s="112"/>
      <c r="M255" s="197"/>
      <c r="N255" s="112"/>
      <c r="O255" s="112"/>
      <c r="P255" s="112"/>
      <c r="Q255" s="112"/>
      <c r="AJ255" s="111"/>
      <c r="AW255" s="111"/>
      <c r="AX255" s="111"/>
    </row>
    <row r="256" spans="1:50" ht="12.75" customHeight="1">
      <c r="D256" s="321"/>
      <c r="E256" s="318"/>
      <c r="F256" s="318"/>
      <c r="G256" s="318"/>
      <c r="H256" s="318"/>
      <c r="K256" s="112"/>
      <c r="L256" s="112"/>
      <c r="M256" s="197"/>
      <c r="N256" s="112"/>
      <c r="O256" s="112"/>
      <c r="P256" s="112"/>
      <c r="Q256" s="112"/>
      <c r="AJ256" s="111"/>
      <c r="AW256" s="111"/>
      <c r="AX256" s="111"/>
    </row>
    <row r="257" spans="4:50" ht="12.75" customHeight="1">
      <c r="D257" s="321"/>
      <c r="E257" s="318"/>
      <c r="F257" s="318"/>
      <c r="G257" s="318"/>
      <c r="H257" s="318"/>
      <c r="K257" s="1568"/>
      <c r="L257" s="1568"/>
      <c r="M257" s="1568"/>
      <c r="N257" s="112"/>
      <c r="O257" s="112"/>
      <c r="P257" s="1568"/>
      <c r="Q257" s="1568"/>
      <c r="AJ257" s="111"/>
      <c r="AW257" s="111"/>
      <c r="AX257" s="111"/>
    </row>
    <row r="258" spans="4:50" ht="12.75" customHeight="1">
      <c r="D258" s="321"/>
      <c r="E258" s="318"/>
      <c r="F258" s="318"/>
      <c r="G258" s="318"/>
      <c r="H258" s="318"/>
      <c r="K258" s="112"/>
      <c r="L258" s="1564"/>
      <c r="M258" s="1564"/>
      <c r="N258" s="112"/>
      <c r="O258" s="112"/>
      <c r="P258" s="112"/>
      <c r="Q258" s="112"/>
      <c r="AJ258" s="111"/>
      <c r="AW258" s="111"/>
      <c r="AX258" s="111"/>
    </row>
    <row r="259" spans="4:50" ht="12.75" customHeight="1">
      <c r="D259" s="321"/>
      <c r="E259" s="318"/>
      <c r="F259" s="318"/>
      <c r="G259" s="318"/>
      <c r="H259" s="318"/>
      <c r="K259" s="316"/>
      <c r="L259" s="98"/>
      <c r="M259" s="112"/>
      <c r="N259" s="112"/>
      <c r="O259" s="112"/>
      <c r="P259" s="112"/>
      <c r="Q259" s="112"/>
      <c r="AJ259" s="111"/>
      <c r="AW259" s="111"/>
      <c r="AX259" s="111"/>
    </row>
    <row r="260" spans="4:50" ht="12.75" customHeight="1">
      <c r="D260" s="321"/>
      <c r="E260" s="318"/>
      <c r="F260" s="318"/>
      <c r="G260" s="318"/>
      <c r="H260" s="318"/>
      <c r="K260" s="290"/>
      <c r="L260" s="98"/>
      <c r="M260" s="112"/>
      <c r="N260" s="112"/>
      <c r="O260" s="112"/>
      <c r="P260" s="112"/>
      <c r="Q260" s="112"/>
      <c r="AJ260" s="111"/>
      <c r="AW260" s="111"/>
      <c r="AX260" s="111"/>
    </row>
    <row r="261" spans="4:50" ht="12.75" customHeight="1">
      <c r="D261" s="321"/>
      <c r="E261" s="318"/>
      <c r="F261" s="318"/>
      <c r="G261" s="318"/>
      <c r="H261" s="318"/>
      <c r="K261" s="316"/>
      <c r="L261" s="320"/>
      <c r="AJ261" s="111"/>
      <c r="AW261" s="111"/>
      <c r="AX261" s="111"/>
    </row>
    <row r="262" spans="4:50" ht="12.75" customHeight="1">
      <c r="D262" s="321"/>
      <c r="E262" s="318"/>
      <c r="F262" s="318"/>
      <c r="G262" s="318"/>
      <c r="H262" s="318"/>
      <c r="K262" s="322"/>
      <c r="L262" s="320"/>
      <c r="AJ262" s="111"/>
      <c r="AW262" s="111"/>
      <c r="AX262" s="111"/>
    </row>
    <row r="263" spans="4:50" ht="12.75" customHeight="1">
      <c r="D263" s="321"/>
      <c r="E263" s="318"/>
      <c r="F263" s="318"/>
      <c r="G263" s="318"/>
      <c r="H263" s="318"/>
      <c r="K263" s="170"/>
      <c r="L263" s="111"/>
      <c r="AJ263" s="111"/>
      <c r="AW263" s="111"/>
      <c r="AX263" s="111"/>
    </row>
    <row r="264" spans="4:50" ht="12.75" customHeight="1">
      <c r="D264" s="321"/>
      <c r="E264" s="318"/>
      <c r="F264" s="318"/>
      <c r="G264" s="318"/>
      <c r="H264" s="318"/>
      <c r="K264" s="170"/>
      <c r="L264" s="111"/>
      <c r="AJ264" s="111"/>
      <c r="AW264" s="111"/>
      <c r="AX264" s="111"/>
    </row>
    <row r="265" spans="4:50" ht="12.75" customHeight="1">
      <c r="D265" s="321"/>
      <c r="E265" s="318"/>
      <c r="F265" s="318"/>
      <c r="G265" s="318"/>
      <c r="H265" s="318"/>
      <c r="K265" s="170"/>
      <c r="L265" s="111"/>
      <c r="AJ265" s="111"/>
      <c r="AW265" s="111"/>
      <c r="AX265" s="111"/>
    </row>
    <row r="266" spans="4:50" ht="12.75" customHeight="1">
      <c r="D266" s="321"/>
      <c r="E266" s="318"/>
      <c r="F266" s="318"/>
      <c r="G266" s="318"/>
      <c r="H266" s="318"/>
      <c r="K266" s="170"/>
      <c r="L266" s="111"/>
      <c r="AJ266" s="111"/>
      <c r="AW266" s="111"/>
      <c r="AX266" s="111"/>
    </row>
    <row r="267" spans="4:50" ht="12.75" customHeight="1">
      <c r="D267" s="321"/>
      <c r="E267" s="318"/>
      <c r="F267" s="318"/>
      <c r="G267" s="318"/>
      <c r="H267" s="318"/>
      <c r="K267" s="170"/>
      <c r="L267" s="111"/>
      <c r="AJ267" s="111"/>
      <c r="AW267" s="111"/>
      <c r="AX267" s="111"/>
    </row>
    <row r="268" spans="4:50" ht="12.75" customHeight="1">
      <c r="D268" s="321"/>
      <c r="E268" s="318"/>
      <c r="F268" s="318"/>
      <c r="G268" s="318"/>
      <c r="H268" s="318"/>
      <c r="K268" s="170"/>
      <c r="L268" s="111"/>
      <c r="AJ268" s="111"/>
      <c r="AW268" s="111"/>
      <c r="AX268" s="111"/>
    </row>
    <row r="269" spans="4:50" ht="12.75" customHeight="1">
      <c r="D269" s="321"/>
      <c r="E269" s="318"/>
      <c r="F269" s="318"/>
      <c r="G269" s="318"/>
      <c r="H269" s="318"/>
      <c r="K269" s="170"/>
      <c r="L269" s="111"/>
      <c r="AJ269" s="111"/>
      <c r="AW269" s="111"/>
      <c r="AX269" s="111"/>
    </row>
    <row r="270" spans="4:50" ht="12.75" customHeight="1">
      <c r="D270" s="321"/>
      <c r="E270" s="318"/>
      <c r="F270" s="318"/>
      <c r="G270" s="318"/>
      <c r="H270" s="318"/>
      <c r="K270" s="170"/>
      <c r="L270" s="111"/>
      <c r="AJ270" s="111"/>
      <c r="AW270" s="111"/>
      <c r="AX270" s="111"/>
    </row>
    <row r="271" spans="4:50" ht="12.75" customHeight="1">
      <c r="D271" s="321"/>
      <c r="E271" s="318"/>
      <c r="F271" s="318"/>
      <c r="G271" s="318"/>
      <c r="H271" s="318"/>
      <c r="K271" s="170"/>
      <c r="L271" s="111"/>
      <c r="AJ271" s="111"/>
      <c r="AW271" s="111"/>
      <c r="AX271" s="111"/>
    </row>
    <row r="272" spans="4:50" ht="12.75" customHeight="1">
      <c r="D272" s="321"/>
      <c r="E272" s="318"/>
      <c r="F272" s="318"/>
      <c r="G272" s="318"/>
      <c r="H272" s="318"/>
      <c r="K272" s="170"/>
      <c r="L272" s="111"/>
      <c r="AJ272" s="111"/>
      <c r="AW272" s="111"/>
      <c r="AX272" s="111"/>
    </row>
    <row r="273" spans="4:50" ht="12.75" customHeight="1">
      <c r="D273" s="321"/>
      <c r="E273" s="318"/>
      <c r="F273" s="318"/>
      <c r="G273" s="318"/>
      <c r="H273" s="318"/>
      <c r="K273" s="170"/>
      <c r="L273" s="111"/>
      <c r="AJ273" s="111"/>
      <c r="AW273" s="111"/>
      <c r="AX273" s="111"/>
    </row>
    <row r="274" spans="4:50" ht="12.75" customHeight="1">
      <c r="D274" s="321"/>
      <c r="E274" s="318"/>
      <c r="F274" s="318"/>
      <c r="G274" s="318"/>
      <c r="H274" s="318"/>
      <c r="K274" s="170"/>
      <c r="L274" s="111"/>
      <c r="AJ274" s="111"/>
      <c r="AW274" s="111"/>
      <c r="AX274" s="111"/>
    </row>
    <row r="275" spans="4:50" ht="12.75" customHeight="1">
      <c r="D275" s="321"/>
      <c r="E275" s="318"/>
      <c r="F275" s="318"/>
      <c r="G275" s="318"/>
      <c r="H275" s="318"/>
      <c r="AJ275" s="111"/>
      <c r="AW275" s="111"/>
      <c r="AX275" s="111"/>
    </row>
    <row r="276" spans="4:50" ht="12.75" customHeight="1">
      <c r="D276" s="321"/>
      <c r="E276" s="318"/>
      <c r="F276" s="318"/>
      <c r="G276" s="318"/>
      <c r="H276" s="318"/>
      <c r="AJ276" s="111"/>
      <c r="AW276" s="111"/>
      <c r="AX276" s="111"/>
    </row>
    <row r="277" spans="4:50" ht="12.75" customHeight="1">
      <c r="D277" s="321"/>
      <c r="E277" s="318"/>
      <c r="F277" s="318"/>
      <c r="G277" s="318"/>
      <c r="H277" s="318"/>
      <c r="AJ277" s="111"/>
      <c r="AW277" s="111"/>
      <c r="AX277" s="111"/>
    </row>
    <row r="278" spans="4:50" ht="12.75" customHeight="1">
      <c r="D278" s="321"/>
      <c r="E278" s="318"/>
      <c r="F278" s="318"/>
      <c r="G278" s="318"/>
      <c r="H278" s="318"/>
      <c r="AJ278" s="111"/>
      <c r="AW278" s="111"/>
      <c r="AX278" s="111"/>
    </row>
    <row r="279" spans="4:50" ht="12.75" customHeight="1">
      <c r="D279" s="321"/>
      <c r="E279" s="318"/>
      <c r="F279" s="318"/>
      <c r="G279" s="318"/>
      <c r="H279" s="318"/>
      <c r="AJ279" s="111"/>
      <c r="AW279" s="111"/>
      <c r="AX279" s="111"/>
    </row>
    <row r="280" spans="4:50" ht="12.75" customHeight="1">
      <c r="D280" s="321"/>
      <c r="E280" s="318"/>
      <c r="F280" s="318"/>
      <c r="G280" s="318"/>
      <c r="H280" s="318"/>
      <c r="AJ280" s="111"/>
      <c r="AW280" s="111"/>
      <c r="AX280" s="111"/>
    </row>
    <row r="281" spans="4:50" ht="12.75" customHeight="1">
      <c r="D281" s="321"/>
      <c r="E281" s="318"/>
      <c r="F281" s="318"/>
      <c r="G281" s="318"/>
      <c r="H281" s="318"/>
      <c r="AJ281" s="111"/>
      <c r="AW281" s="111"/>
      <c r="AX281" s="111"/>
    </row>
    <row r="282" spans="4:50" ht="12.75" customHeight="1">
      <c r="D282" s="321"/>
      <c r="E282" s="318"/>
      <c r="F282" s="318"/>
      <c r="G282" s="318"/>
      <c r="H282" s="318"/>
      <c r="AJ282" s="111"/>
      <c r="AW282" s="111"/>
      <c r="AX282" s="111"/>
    </row>
    <row r="283" spans="4:50" ht="12.75" customHeight="1">
      <c r="D283" s="321"/>
      <c r="E283" s="318"/>
      <c r="F283" s="318"/>
      <c r="G283" s="318"/>
      <c r="H283" s="318"/>
      <c r="AJ283" s="111"/>
      <c r="AW283" s="111"/>
      <c r="AX283" s="111"/>
    </row>
    <row r="284" spans="4:50" ht="12.75" customHeight="1">
      <c r="D284" s="321"/>
      <c r="E284" s="318"/>
      <c r="F284" s="318"/>
      <c r="G284" s="318"/>
      <c r="H284" s="318"/>
      <c r="AJ284" s="111"/>
      <c r="AW284" s="111"/>
      <c r="AX284" s="111"/>
    </row>
    <row r="285" spans="4:50" ht="12.75" customHeight="1">
      <c r="D285" s="321"/>
      <c r="E285" s="318"/>
      <c r="F285" s="318"/>
      <c r="G285" s="318"/>
      <c r="H285" s="318"/>
      <c r="AJ285" s="111"/>
      <c r="AW285" s="111"/>
      <c r="AX285" s="111"/>
    </row>
    <row r="286" spans="4:50" ht="12.75" customHeight="1">
      <c r="D286" s="321"/>
      <c r="E286" s="318"/>
      <c r="F286" s="318"/>
      <c r="G286" s="318"/>
      <c r="H286" s="318"/>
      <c r="AJ286" s="111"/>
      <c r="AW286" s="111"/>
      <c r="AX286" s="111"/>
    </row>
    <row r="287" spans="4:50" ht="12.75" customHeight="1">
      <c r="D287" s="321"/>
      <c r="E287" s="318"/>
      <c r="F287" s="318"/>
      <c r="G287" s="318"/>
      <c r="H287" s="318"/>
      <c r="AJ287" s="111"/>
      <c r="AW287" s="111"/>
      <c r="AX287" s="111"/>
    </row>
    <row r="288" spans="4:50" ht="12.75" customHeight="1">
      <c r="D288" s="321"/>
      <c r="E288" s="318"/>
      <c r="F288" s="318"/>
      <c r="G288" s="318"/>
      <c r="H288" s="318"/>
      <c r="AJ288" s="111"/>
      <c r="AW288" s="111"/>
      <c r="AX288" s="111"/>
    </row>
    <row r="289" spans="4:50" ht="12.75" customHeight="1">
      <c r="D289" s="321"/>
      <c r="E289" s="318"/>
      <c r="F289" s="318"/>
      <c r="G289" s="318"/>
      <c r="H289" s="318"/>
      <c r="AJ289" s="111"/>
      <c r="AW289" s="111"/>
      <c r="AX289" s="111"/>
    </row>
    <row r="290" spans="4:50" ht="12.75" customHeight="1">
      <c r="D290" s="321"/>
      <c r="E290" s="318"/>
      <c r="F290" s="318"/>
      <c r="G290" s="318"/>
      <c r="H290" s="318"/>
      <c r="AJ290" s="111"/>
      <c r="AW290" s="111"/>
      <c r="AX290" s="111"/>
    </row>
    <row r="291" spans="4:50" ht="12.75" customHeight="1">
      <c r="D291" s="321"/>
      <c r="E291" s="318"/>
      <c r="F291" s="318"/>
      <c r="G291" s="318"/>
      <c r="H291" s="318"/>
      <c r="AJ291" s="111"/>
      <c r="AW291" s="111"/>
      <c r="AX291" s="111"/>
    </row>
    <row r="292" spans="4:50" ht="12.75" customHeight="1">
      <c r="D292" s="321"/>
      <c r="E292" s="318"/>
      <c r="F292" s="318"/>
      <c r="G292" s="318"/>
      <c r="H292" s="318"/>
      <c r="AJ292" s="111"/>
      <c r="AW292" s="111"/>
      <c r="AX292" s="111"/>
    </row>
    <row r="293" spans="4:50" ht="12.75" customHeight="1">
      <c r="D293" s="321"/>
      <c r="E293" s="318"/>
      <c r="F293" s="318"/>
      <c r="G293" s="318"/>
      <c r="H293" s="318"/>
      <c r="AJ293" s="111"/>
      <c r="AW293" s="111"/>
      <c r="AX293" s="111"/>
    </row>
    <row r="294" spans="4:50" ht="12.75" customHeight="1">
      <c r="D294" s="321"/>
      <c r="E294" s="318"/>
      <c r="F294" s="318"/>
      <c r="G294" s="318"/>
      <c r="H294" s="318"/>
      <c r="AJ294" s="111"/>
      <c r="AW294" s="111"/>
      <c r="AX294" s="111"/>
    </row>
    <row r="295" spans="4:50" ht="12.75" customHeight="1">
      <c r="D295" s="321"/>
      <c r="E295" s="318"/>
      <c r="F295" s="318"/>
      <c r="G295" s="318"/>
      <c r="H295" s="318"/>
      <c r="AJ295" s="111"/>
      <c r="AW295" s="111"/>
      <c r="AX295" s="111"/>
    </row>
    <row r="296" spans="4:50" ht="12.75" customHeight="1">
      <c r="D296" s="321"/>
      <c r="E296" s="318"/>
      <c r="F296" s="318"/>
      <c r="G296" s="318"/>
      <c r="H296" s="318"/>
      <c r="AJ296" s="111"/>
      <c r="AW296" s="111"/>
      <c r="AX296" s="111"/>
    </row>
    <row r="297" spans="4:50" ht="12.75" customHeight="1">
      <c r="D297" s="321"/>
      <c r="E297" s="318"/>
      <c r="F297" s="318"/>
      <c r="G297" s="318"/>
      <c r="H297" s="318"/>
      <c r="AJ297" s="111"/>
      <c r="AW297" s="111"/>
      <c r="AX297" s="111"/>
    </row>
    <row r="298" spans="4:50" ht="12.75" customHeight="1">
      <c r="D298" s="321"/>
      <c r="E298" s="318"/>
      <c r="F298" s="318"/>
      <c r="G298" s="318"/>
      <c r="H298" s="318"/>
      <c r="AJ298" s="111"/>
      <c r="AW298" s="111"/>
      <c r="AX298" s="111"/>
    </row>
    <row r="299" spans="4:50" ht="12.75" customHeight="1">
      <c r="D299" s="321"/>
      <c r="E299" s="318"/>
      <c r="F299" s="318"/>
      <c r="G299" s="318"/>
      <c r="H299" s="318"/>
      <c r="AJ299" s="111"/>
      <c r="AW299" s="111"/>
      <c r="AX299" s="111"/>
    </row>
    <row r="300" spans="4:50" ht="12.75" customHeight="1">
      <c r="D300" s="321"/>
      <c r="E300" s="318"/>
      <c r="F300" s="318"/>
      <c r="G300" s="318"/>
      <c r="H300" s="318"/>
      <c r="AJ300" s="111"/>
      <c r="AW300" s="111"/>
      <c r="AX300" s="111"/>
    </row>
    <row r="301" spans="4:50" ht="12.75" customHeight="1">
      <c r="D301" s="321"/>
      <c r="E301" s="318"/>
      <c r="F301" s="318"/>
      <c r="G301" s="318"/>
      <c r="H301" s="318"/>
      <c r="AJ301" s="111"/>
      <c r="AW301" s="111"/>
      <c r="AX301" s="111"/>
    </row>
    <row r="302" spans="4:50" ht="12.75" customHeight="1">
      <c r="D302" s="321"/>
      <c r="E302" s="318"/>
      <c r="F302" s="318"/>
      <c r="G302" s="318"/>
      <c r="H302" s="318"/>
      <c r="AJ302" s="111"/>
      <c r="AW302" s="111"/>
      <c r="AX302" s="111"/>
    </row>
    <row r="303" spans="4:50" ht="12.75" customHeight="1">
      <c r="D303" s="321"/>
      <c r="E303" s="318"/>
      <c r="F303" s="318"/>
      <c r="G303" s="318"/>
      <c r="H303" s="318"/>
      <c r="AJ303" s="111"/>
      <c r="AW303" s="111"/>
      <c r="AX303" s="111"/>
    </row>
    <row r="304" spans="4:50" ht="12.75" customHeight="1">
      <c r="D304" s="321"/>
      <c r="E304" s="318"/>
      <c r="F304" s="318"/>
      <c r="G304" s="318"/>
      <c r="H304" s="318"/>
      <c r="AJ304" s="111"/>
      <c r="AW304" s="111"/>
      <c r="AX304" s="111"/>
    </row>
    <row r="305" spans="4:50" ht="12.75" customHeight="1">
      <c r="D305" s="321"/>
      <c r="E305" s="318"/>
      <c r="F305" s="318"/>
      <c r="G305" s="318"/>
      <c r="H305" s="318"/>
      <c r="AJ305" s="111"/>
      <c r="AW305" s="111"/>
      <c r="AX305" s="111"/>
    </row>
    <row r="306" spans="4:50" ht="12.75" customHeight="1">
      <c r="D306" s="321"/>
      <c r="E306" s="318"/>
      <c r="F306" s="318"/>
      <c r="G306" s="318"/>
      <c r="H306" s="318"/>
      <c r="AJ306" s="111"/>
      <c r="AW306" s="111"/>
      <c r="AX306" s="111"/>
    </row>
    <row r="307" spans="4:50" ht="12.75" customHeight="1">
      <c r="D307" s="321"/>
      <c r="E307" s="318"/>
      <c r="F307" s="318"/>
      <c r="G307" s="318"/>
      <c r="H307" s="318"/>
      <c r="AJ307" s="111"/>
      <c r="AW307" s="111"/>
      <c r="AX307" s="111"/>
    </row>
    <row r="308" spans="4:50" ht="12.75" customHeight="1">
      <c r="D308" s="321"/>
      <c r="E308" s="318"/>
      <c r="F308" s="318"/>
      <c r="G308" s="318"/>
      <c r="H308" s="318"/>
      <c r="AJ308" s="111"/>
      <c r="AW308" s="111"/>
      <c r="AX308" s="111"/>
    </row>
    <row r="309" spans="4:50" ht="12.75" customHeight="1">
      <c r="D309" s="321"/>
      <c r="E309" s="318"/>
      <c r="F309" s="318"/>
      <c r="G309" s="318"/>
      <c r="H309" s="318"/>
      <c r="AJ309" s="111"/>
      <c r="AW309" s="111"/>
      <c r="AX309" s="111"/>
    </row>
    <row r="310" spans="4:50" ht="12.75" customHeight="1">
      <c r="D310" s="321"/>
      <c r="E310" s="318"/>
      <c r="F310" s="318"/>
      <c r="G310" s="318"/>
      <c r="H310" s="318"/>
      <c r="AJ310" s="111"/>
      <c r="AW310" s="111"/>
      <c r="AX310" s="111"/>
    </row>
    <row r="311" spans="4:50" ht="12.75" customHeight="1">
      <c r="D311" s="321"/>
      <c r="E311" s="318"/>
      <c r="F311" s="318"/>
      <c r="G311" s="318"/>
      <c r="H311" s="318"/>
      <c r="AJ311" s="111"/>
      <c r="AW311" s="111"/>
      <c r="AX311" s="111"/>
    </row>
    <row r="312" spans="4:50" ht="12.75" customHeight="1">
      <c r="D312" s="321"/>
      <c r="E312" s="318"/>
      <c r="F312" s="318"/>
      <c r="G312" s="318"/>
      <c r="H312" s="318"/>
      <c r="AJ312" s="111"/>
      <c r="AW312" s="111"/>
      <c r="AX312" s="111"/>
    </row>
    <row r="313" spans="4:50" ht="12.75" customHeight="1">
      <c r="D313" s="321"/>
      <c r="E313" s="318"/>
      <c r="F313" s="318"/>
      <c r="G313" s="318"/>
      <c r="H313" s="318"/>
      <c r="AJ313" s="111"/>
      <c r="AW313" s="111"/>
      <c r="AX313" s="111"/>
    </row>
    <row r="314" spans="4:50" ht="12.75" customHeight="1">
      <c r="D314" s="321"/>
      <c r="E314" s="318"/>
      <c r="F314" s="318"/>
      <c r="G314" s="318"/>
      <c r="H314" s="318"/>
      <c r="AJ314" s="111"/>
      <c r="AW314" s="111"/>
      <c r="AX314" s="111"/>
    </row>
    <row r="315" spans="4:50" ht="12.75" customHeight="1">
      <c r="D315" s="321"/>
      <c r="E315" s="318"/>
      <c r="F315" s="318"/>
      <c r="G315" s="318"/>
      <c r="H315" s="318"/>
      <c r="AJ315" s="111"/>
      <c r="AW315" s="111"/>
      <c r="AX315" s="111"/>
    </row>
    <row r="316" spans="4:50" ht="12.75" customHeight="1">
      <c r="D316" s="321"/>
      <c r="E316" s="318"/>
      <c r="F316" s="318"/>
      <c r="G316" s="318"/>
      <c r="H316" s="318"/>
      <c r="AJ316" s="111"/>
      <c r="AW316" s="111"/>
      <c r="AX316" s="111"/>
    </row>
    <row r="317" spans="4:50" ht="12.75" customHeight="1">
      <c r="D317" s="321"/>
      <c r="E317" s="318"/>
      <c r="F317" s="318"/>
      <c r="G317" s="318"/>
      <c r="H317" s="318"/>
      <c r="AJ317" s="111"/>
      <c r="AW317" s="111"/>
      <c r="AX317" s="111"/>
    </row>
    <row r="318" spans="4:50" ht="12.75" customHeight="1">
      <c r="D318" s="321"/>
      <c r="E318" s="318"/>
      <c r="F318" s="318"/>
      <c r="G318" s="318"/>
      <c r="H318" s="318"/>
      <c r="AJ318" s="111"/>
      <c r="AW318" s="111"/>
      <c r="AX318" s="111"/>
    </row>
    <row r="319" spans="4:50" ht="12.75" customHeight="1">
      <c r="D319" s="321"/>
      <c r="E319" s="318"/>
      <c r="F319" s="318"/>
      <c r="G319" s="318"/>
      <c r="H319" s="318"/>
      <c r="AJ319" s="111"/>
      <c r="AW319" s="111"/>
      <c r="AX319" s="111"/>
    </row>
    <row r="320" spans="4:50" ht="12.75" customHeight="1">
      <c r="D320" s="321"/>
      <c r="E320" s="318"/>
      <c r="F320" s="318"/>
      <c r="G320" s="318"/>
      <c r="H320" s="318"/>
      <c r="AJ320" s="111"/>
      <c r="AW320" s="111"/>
      <c r="AX320" s="111"/>
    </row>
    <row r="321" spans="4:50" ht="12.75" customHeight="1">
      <c r="D321" s="321"/>
      <c r="E321" s="318"/>
      <c r="F321" s="318"/>
      <c r="G321" s="318"/>
      <c r="H321" s="318"/>
      <c r="AJ321" s="111"/>
      <c r="AW321" s="111"/>
      <c r="AX321" s="111"/>
    </row>
    <row r="322" spans="4:50" ht="12.75" customHeight="1">
      <c r="D322" s="321"/>
      <c r="E322" s="318"/>
      <c r="F322" s="318"/>
      <c r="G322" s="318"/>
      <c r="H322" s="318"/>
      <c r="AJ322" s="111"/>
      <c r="AW322" s="111"/>
      <c r="AX322" s="111"/>
    </row>
    <row r="323" spans="4:50" ht="12.75" customHeight="1">
      <c r="D323" s="321"/>
      <c r="E323" s="318"/>
      <c r="F323" s="318"/>
      <c r="G323" s="318"/>
      <c r="H323" s="318"/>
      <c r="AJ323" s="111"/>
      <c r="AW323" s="111"/>
      <c r="AX323" s="111"/>
    </row>
    <row r="324" spans="4:50" ht="12.75" customHeight="1">
      <c r="D324" s="321"/>
      <c r="E324" s="318"/>
      <c r="F324" s="318"/>
      <c r="G324" s="318"/>
      <c r="H324" s="318"/>
      <c r="AJ324" s="111"/>
      <c r="AW324" s="111"/>
      <c r="AX324" s="111"/>
    </row>
    <row r="325" spans="4:50" ht="12.75" customHeight="1">
      <c r="D325" s="321"/>
      <c r="E325" s="318"/>
      <c r="F325" s="318"/>
      <c r="G325" s="318"/>
      <c r="H325" s="318"/>
      <c r="AJ325" s="111"/>
      <c r="AW325" s="111"/>
      <c r="AX325" s="111"/>
    </row>
    <row r="326" spans="4:50" ht="12.75" customHeight="1">
      <c r="D326" s="321"/>
      <c r="E326" s="318"/>
      <c r="F326" s="318"/>
      <c r="G326" s="318"/>
      <c r="H326" s="318"/>
      <c r="AJ326" s="111"/>
      <c r="AW326" s="111"/>
      <c r="AX326" s="111"/>
    </row>
    <row r="327" spans="4:50" ht="12.75" customHeight="1">
      <c r="D327" s="321"/>
      <c r="E327" s="318"/>
      <c r="F327" s="318"/>
      <c r="G327" s="318"/>
      <c r="H327" s="318"/>
      <c r="AJ327" s="111"/>
      <c r="AW327" s="111"/>
      <c r="AX327" s="111"/>
    </row>
    <row r="328" spans="4:50" ht="12.75" customHeight="1">
      <c r="D328" s="321"/>
      <c r="E328" s="318"/>
      <c r="F328" s="318"/>
      <c r="G328" s="318"/>
      <c r="H328" s="318"/>
      <c r="AJ328" s="111"/>
      <c r="AW328" s="111"/>
      <c r="AX328" s="111"/>
    </row>
    <row r="329" spans="4:50" ht="12.75" customHeight="1">
      <c r="D329" s="321"/>
      <c r="E329" s="318"/>
      <c r="F329" s="318"/>
      <c r="G329" s="318"/>
      <c r="H329" s="318"/>
      <c r="AJ329" s="111"/>
      <c r="AW329" s="111"/>
      <c r="AX329" s="111"/>
    </row>
    <row r="330" spans="4:50" ht="12.75" customHeight="1">
      <c r="D330" s="321"/>
      <c r="E330" s="318"/>
      <c r="F330" s="318"/>
      <c r="G330" s="318"/>
      <c r="H330" s="318"/>
      <c r="AJ330" s="111"/>
      <c r="AW330" s="111"/>
      <c r="AX330" s="111"/>
    </row>
    <row r="331" spans="4:50" ht="12.75" customHeight="1">
      <c r="D331" s="321"/>
      <c r="E331" s="318"/>
      <c r="F331" s="318"/>
      <c r="G331" s="318"/>
      <c r="H331" s="318"/>
      <c r="AJ331" s="111"/>
      <c r="AW331" s="111"/>
      <c r="AX331" s="111"/>
    </row>
    <row r="332" spans="4:50" ht="12.75" customHeight="1">
      <c r="D332" s="321"/>
      <c r="E332" s="318"/>
      <c r="F332" s="318"/>
      <c r="G332" s="318"/>
      <c r="H332" s="318"/>
      <c r="AJ332" s="111"/>
      <c r="AW332" s="111"/>
      <c r="AX332" s="111"/>
    </row>
    <row r="333" spans="4:50" ht="12.75" customHeight="1">
      <c r="D333" s="321"/>
      <c r="E333" s="318"/>
      <c r="F333" s="318"/>
      <c r="G333" s="318"/>
      <c r="H333" s="318"/>
      <c r="AJ333" s="111"/>
      <c r="AW333" s="111"/>
      <c r="AX333" s="111"/>
    </row>
    <row r="334" spans="4:50" ht="12.75" customHeight="1">
      <c r="D334" s="321"/>
      <c r="E334" s="318"/>
      <c r="F334" s="318"/>
      <c r="G334" s="318"/>
      <c r="H334" s="318"/>
      <c r="AJ334" s="111"/>
      <c r="AW334" s="111"/>
      <c r="AX334" s="111"/>
    </row>
    <row r="335" spans="4:50" ht="12.75" customHeight="1">
      <c r="D335" s="321"/>
      <c r="E335" s="318"/>
      <c r="F335" s="318"/>
      <c r="G335" s="318"/>
      <c r="H335" s="318"/>
      <c r="AJ335" s="111"/>
      <c r="AW335" s="111"/>
      <c r="AX335" s="111"/>
    </row>
    <row r="336" spans="4:50" ht="12.75" customHeight="1">
      <c r="D336" s="321"/>
      <c r="E336" s="318"/>
      <c r="F336" s="318"/>
      <c r="G336" s="318"/>
      <c r="H336" s="318"/>
      <c r="AJ336" s="111"/>
      <c r="AW336" s="111"/>
      <c r="AX336" s="111"/>
    </row>
    <row r="337" spans="4:50" ht="12.75" customHeight="1">
      <c r="D337" s="321"/>
      <c r="E337" s="318"/>
      <c r="F337" s="318"/>
      <c r="G337" s="318"/>
      <c r="H337" s="318"/>
      <c r="AJ337" s="111"/>
      <c r="AW337" s="111"/>
      <c r="AX337" s="111"/>
    </row>
    <row r="338" spans="4:50" ht="12.75" customHeight="1">
      <c r="D338" s="321"/>
      <c r="E338" s="318"/>
      <c r="F338" s="318"/>
      <c r="G338" s="318"/>
      <c r="H338" s="318"/>
      <c r="AJ338" s="111"/>
      <c r="AW338" s="111"/>
      <c r="AX338" s="111"/>
    </row>
    <row r="339" spans="4:50" ht="12.75" customHeight="1">
      <c r="D339" s="321"/>
      <c r="E339" s="318"/>
      <c r="F339" s="318"/>
      <c r="G339" s="318"/>
      <c r="H339" s="318"/>
      <c r="AJ339" s="111"/>
      <c r="AW339" s="111"/>
      <c r="AX339" s="111"/>
    </row>
    <row r="340" spans="4:50" ht="12.75" customHeight="1">
      <c r="D340" s="321"/>
      <c r="E340" s="318"/>
      <c r="F340" s="318"/>
      <c r="G340" s="318"/>
      <c r="H340" s="318"/>
      <c r="AJ340" s="111"/>
      <c r="AW340" s="111"/>
      <c r="AX340" s="111"/>
    </row>
    <row r="341" spans="4:50" ht="12.75" customHeight="1">
      <c r="D341" s="321"/>
      <c r="E341" s="318"/>
      <c r="F341" s="318"/>
      <c r="G341" s="318"/>
      <c r="H341" s="318"/>
      <c r="AJ341" s="111"/>
      <c r="AW341" s="111"/>
      <c r="AX341" s="111"/>
    </row>
    <row r="342" spans="4:50" ht="12.75" customHeight="1">
      <c r="D342" s="321"/>
      <c r="E342" s="318"/>
      <c r="F342" s="318"/>
      <c r="G342" s="318"/>
      <c r="H342" s="318"/>
      <c r="AJ342" s="111"/>
      <c r="AW342" s="111"/>
      <c r="AX342" s="111"/>
    </row>
    <row r="343" spans="4:50" ht="12.75" customHeight="1">
      <c r="D343" s="321"/>
      <c r="E343" s="318"/>
      <c r="F343" s="318"/>
      <c r="G343" s="318"/>
      <c r="H343" s="318"/>
      <c r="AJ343" s="111"/>
      <c r="AW343" s="111"/>
      <c r="AX343" s="111"/>
    </row>
    <row r="344" spans="4:50" ht="12.75" customHeight="1">
      <c r="D344" s="321"/>
      <c r="E344" s="318"/>
      <c r="F344" s="318"/>
      <c r="G344" s="318"/>
      <c r="H344" s="318"/>
      <c r="AJ344" s="111"/>
      <c r="AW344" s="111"/>
      <c r="AX344" s="111"/>
    </row>
    <row r="345" spans="4:50" ht="12.75" customHeight="1">
      <c r="D345" s="321"/>
      <c r="E345" s="318"/>
      <c r="F345" s="318"/>
      <c r="G345" s="318"/>
      <c r="H345" s="318"/>
      <c r="AJ345" s="111"/>
      <c r="AW345" s="111"/>
      <c r="AX345" s="111"/>
    </row>
    <row r="346" spans="4:50" ht="12.75" customHeight="1">
      <c r="D346" s="321"/>
      <c r="E346" s="318"/>
      <c r="F346" s="318"/>
      <c r="G346" s="318"/>
      <c r="H346" s="318"/>
      <c r="AJ346" s="111"/>
      <c r="AW346" s="111"/>
      <c r="AX346" s="111"/>
    </row>
    <row r="347" spans="4:50" ht="12.75" customHeight="1">
      <c r="D347" s="321"/>
      <c r="E347" s="318"/>
      <c r="F347" s="318"/>
      <c r="G347" s="318"/>
      <c r="H347" s="318"/>
      <c r="AJ347" s="111"/>
      <c r="AW347" s="111"/>
      <c r="AX347" s="111"/>
    </row>
    <row r="348" spans="4:50" ht="12.75" customHeight="1">
      <c r="D348" s="321"/>
      <c r="E348" s="318"/>
      <c r="F348" s="318"/>
      <c r="G348" s="318"/>
      <c r="H348" s="318"/>
      <c r="AJ348" s="111"/>
      <c r="AW348" s="111"/>
      <c r="AX348" s="111"/>
    </row>
    <row r="349" spans="4:50" ht="12.75" customHeight="1">
      <c r="D349" s="321"/>
      <c r="E349" s="318"/>
      <c r="F349" s="318"/>
      <c r="G349" s="318"/>
      <c r="H349" s="318"/>
      <c r="AJ349" s="111"/>
      <c r="AW349" s="111"/>
      <c r="AX349" s="111"/>
    </row>
    <row r="350" spans="4:50" ht="12.75" customHeight="1">
      <c r="D350" s="321"/>
      <c r="E350" s="318"/>
      <c r="F350" s="318"/>
      <c r="G350" s="318"/>
      <c r="H350" s="318"/>
      <c r="AJ350" s="111"/>
      <c r="AW350" s="111"/>
      <c r="AX350" s="111"/>
    </row>
    <row r="351" spans="4:50" ht="12.75" customHeight="1">
      <c r="D351" s="321"/>
      <c r="E351" s="318"/>
      <c r="F351" s="318"/>
      <c r="G351" s="318"/>
      <c r="H351" s="318"/>
      <c r="AJ351" s="111"/>
      <c r="AW351" s="111"/>
      <c r="AX351" s="111"/>
    </row>
    <row r="352" spans="4:50" ht="12.75" customHeight="1">
      <c r="D352" s="321"/>
      <c r="E352" s="318"/>
      <c r="F352" s="318"/>
      <c r="G352" s="318"/>
      <c r="H352" s="318"/>
      <c r="AJ352" s="111"/>
      <c r="AW352" s="111"/>
      <c r="AX352" s="111"/>
    </row>
    <row r="353" spans="4:50" ht="12.75" customHeight="1">
      <c r="D353" s="321"/>
      <c r="E353" s="318"/>
      <c r="F353" s="318"/>
      <c r="G353" s="318"/>
      <c r="H353" s="318"/>
      <c r="AJ353" s="111"/>
      <c r="AW353" s="111"/>
      <c r="AX353" s="111"/>
    </row>
    <row r="354" spans="4:50" ht="12.75" customHeight="1">
      <c r="D354" s="321"/>
      <c r="E354" s="318"/>
      <c r="F354" s="318"/>
      <c r="G354" s="318"/>
      <c r="H354" s="318"/>
      <c r="AJ354" s="111"/>
      <c r="AW354" s="111"/>
      <c r="AX354" s="111"/>
    </row>
    <row r="355" spans="4:50" ht="12.75" customHeight="1">
      <c r="D355" s="321"/>
      <c r="E355" s="318"/>
      <c r="F355" s="318"/>
      <c r="G355" s="318"/>
      <c r="H355" s="318"/>
      <c r="AJ355" s="111"/>
      <c r="AW355" s="111"/>
      <c r="AX355" s="111"/>
    </row>
    <row r="356" spans="4:50" ht="12.75" customHeight="1">
      <c r="D356" s="321"/>
      <c r="E356" s="318"/>
      <c r="F356" s="318"/>
      <c r="G356" s="318"/>
      <c r="H356" s="318"/>
      <c r="AJ356" s="111"/>
      <c r="AW356" s="111"/>
      <c r="AX356" s="111"/>
    </row>
    <row r="357" spans="4:50" ht="12.75" customHeight="1">
      <c r="D357" s="321"/>
      <c r="E357" s="318"/>
      <c r="F357" s="318"/>
      <c r="G357" s="318"/>
      <c r="H357" s="318"/>
      <c r="AJ357" s="111"/>
      <c r="AW357" s="111"/>
      <c r="AX357" s="111"/>
    </row>
    <row r="358" spans="4:50" ht="12.75" customHeight="1">
      <c r="D358" s="321"/>
      <c r="E358" s="318"/>
      <c r="F358" s="318"/>
      <c r="G358" s="318"/>
      <c r="H358" s="318"/>
      <c r="AJ358" s="111"/>
      <c r="AW358" s="111"/>
      <c r="AX358" s="111"/>
    </row>
    <row r="359" spans="4:50" ht="12.75" customHeight="1">
      <c r="D359" s="321"/>
      <c r="E359" s="318"/>
      <c r="F359" s="318"/>
      <c r="G359" s="318"/>
      <c r="H359" s="318"/>
      <c r="AJ359" s="111"/>
      <c r="AW359" s="111"/>
      <c r="AX359" s="111"/>
    </row>
    <row r="360" spans="4:50" ht="12.75" customHeight="1">
      <c r="D360" s="321"/>
      <c r="E360" s="318"/>
      <c r="F360" s="318"/>
      <c r="G360" s="318"/>
      <c r="H360" s="318"/>
      <c r="AJ360" s="111"/>
      <c r="AW360" s="111"/>
      <c r="AX360" s="111"/>
    </row>
    <row r="361" spans="4:50" ht="12.75" customHeight="1">
      <c r="D361" s="321"/>
      <c r="E361" s="318"/>
      <c r="F361" s="318"/>
      <c r="G361" s="318"/>
      <c r="H361" s="318"/>
      <c r="AJ361" s="111"/>
      <c r="AW361" s="111"/>
      <c r="AX361" s="111"/>
    </row>
    <row r="362" spans="4:50" ht="12.75" customHeight="1">
      <c r="D362" s="321"/>
      <c r="E362" s="318"/>
      <c r="F362" s="318"/>
      <c r="G362" s="318"/>
      <c r="H362" s="318"/>
      <c r="AJ362" s="111"/>
      <c r="AW362" s="111"/>
      <c r="AX362" s="111"/>
    </row>
    <row r="363" spans="4:50" ht="12.75" customHeight="1">
      <c r="D363" s="321"/>
      <c r="E363" s="318"/>
      <c r="F363" s="318"/>
      <c r="G363" s="318"/>
      <c r="H363" s="318"/>
      <c r="AJ363" s="111"/>
      <c r="AW363" s="111"/>
      <c r="AX363" s="111"/>
    </row>
    <row r="364" spans="4:50" ht="12.75" customHeight="1">
      <c r="D364" s="321"/>
      <c r="E364" s="318"/>
      <c r="F364" s="318"/>
      <c r="G364" s="318"/>
      <c r="H364" s="318"/>
      <c r="AJ364" s="111"/>
      <c r="AW364" s="111"/>
      <c r="AX364" s="111"/>
    </row>
    <row r="365" spans="4:50" ht="12.75" customHeight="1">
      <c r="D365" s="321"/>
      <c r="E365" s="318"/>
      <c r="F365" s="318"/>
      <c r="G365" s="318"/>
      <c r="H365" s="318"/>
      <c r="AJ365" s="111"/>
      <c r="AW365" s="111"/>
      <c r="AX365" s="111"/>
    </row>
    <row r="366" spans="4:50" ht="12.75" customHeight="1">
      <c r="D366" s="321"/>
      <c r="E366" s="318"/>
      <c r="F366" s="318"/>
      <c r="G366" s="318"/>
      <c r="H366" s="318"/>
      <c r="AJ366" s="111"/>
      <c r="AW366" s="111"/>
      <c r="AX366" s="111"/>
    </row>
    <row r="367" spans="4:50" ht="12.75" customHeight="1">
      <c r="D367" s="321"/>
      <c r="E367" s="318"/>
      <c r="F367" s="318"/>
      <c r="G367" s="318"/>
      <c r="H367" s="318"/>
      <c r="AJ367" s="111"/>
      <c r="AW367" s="111"/>
      <c r="AX367" s="111"/>
    </row>
    <row r="368" spans="4:50" ht="12.75" customHeight="1">
      <c r="D368" s="321"/>
      <c r="E368" s="318"/>
      <c r="F368" s="318"/>
      <c r="G368" s="318"/>
      <c r="H368" s="318"/>
      <c r="AJ368" s="111"/>
      <c r="AW368" s="111"/>
      <c r="AX368" s="111"/>
    </row>
    <row r="369" spans="4:50" ht="12.75" customHeight="1">
      <c r="D369" s="321"/>
      <c r="E369" s="318"/>
      <c r="F369" s="318"/>
      <c r="G369" s="318"/>
      <c r="H369" s="318"/>
      <c r="AJ369" s="111"/>
      <c r="AW369" s="111"/>
      <c r="AX369" s="111"/>
    </row>
    <row r="370" spans="4:50" ht="12.75" customHeight="1">
      <c r="D370" s="321"/>
      <c r="E370" s="318"/>
      <c r="F370" s="318"/>
      <c r="G370" s="318"/>
      <c r="H370" s="318"/>
      <c r="AJ370" s="111"/>
      <c r="AW370" s="111"/>
      <c r="AX370" s="111"/>
    </row>
    <row r="371" spans="4:50" ht="12.75" customHeight="1">
      <c r="D371" s="321"/>
      <c r="E371" s="318"/>
      <c r="F371" s="318"/>
      <c r="G371" s="318"/>
      <c r="H371" s="318"/>
      <c r="AJ371" s="111"/>
      <c r="AW371" s="111"/>
      <c r="AX371" s="111"/>
    </row>
    <row r="372" spans="4:50" ht="12.75" customHeight="1">
      <c r="D372" s="321"/>
      <c r="E372" s="318"/>
      <c r="F372" s="318"/>
      <c r="G372" s="318"/>
      <c r="H372" s="318"/>
      <c r="AJ372" s="111"/>
      <c r="AW372" s="111"/>
      <c r="AX372" s="111"/>
    </row>
    <row r="373" spans="4:50" ht="12.75" customHeight="1">
      <c r="D373" s="321"/>
      <c r="E373" s="318"/>
      <c r="F373" s="318"/>
      <c r="G373" s="318"/>
      <c r="H373" s="318"/>
      <c r="AJ373" s="111"/>
      <c r="AW373" s="111"/>
      <c r="AX373" s="111"/>
    </row>
    <row r="374" spans="4:50" ht="12.75" customHeight="1">
      <c r="D374" s="321"/>
      <c r="E374" s="318"/>
      <c r="F374" s="318"/>
      <c r="G374" s="318"/>
      <c r="H374" s="318"/>
      <c r="AJ374" s="111"/>
      <c r="AW374" s="111"/>
      <c r="AX374" s="111"/>
    </row>
    <row r="375" spans="4:50" ht="12.75" customHeight="1">
      <c r="D375" s="321"/>
      <c r="E375" s="318"/>
      <c r="F375" s="318"/>
      <c r="G375" s="318"/>
      <c r="H375" s="318"/>
      <c r="AJ375" s="111"/>
      <c r="AW375" s="111"/>
      <c r="AX375" s="111"/>
    </row>
    <row r="376" spans="4:50" ht="12.75" customHeight="1">
      <c r="D376" s="321"/>
      <c r="E376" s="318"/>
      <c r="F376" s="318"/>
      <c r="G376" s="318"/>
      <c r="H376" s="318"/>
      <c r="AJ376" s="111"/>
      <c r="AW376" s="111"/>
      <c r="AX376" s="111"/>
    </row>
    <row r="377" spans="4:50" ht="12.75" customHeight="1">
      <c r="D377" s="321"/>
      <c r="E377" s="318"/>
      <c r="F377" s="318"/>
      <c r="G377" s="318"/>
      <c r="H377" s="318"/>
      <c r="AJ377" s="111"/>
      <c r="AW377" s="111"/>
      <c r="AX377" s="111"/>
    </row>
    <row r="378" spans="4:50" ht="12.75" customHeight="1">
      <c r="D378" s="321"/>
      <c r="E378" s="318"/>
      <c r="F378" s="318"/>
      <c r="G378" s="318"/>
      <c r="H378" s="318"/>
      <c r="AJ378" s="111"/>
      <c r="AW378" s="111"/>
      <c r="AX378" s="111"/>
    </row>
    <row r="379" spans="4:50" ht="12.75" customHeight="1">
      <c r="D379" s="321"/>
      <c r="E379" s="318"/>
      <c r="F379" s="318"/>
      <c r="G379" s="318"/>
      <c r="H379" s="318"/>
      <c r="AJ379" s="111"/>
      <c r="AW379" s="111"/>
      <c r="AX379" s="111"/>
    </row>
    <row r="380" spans="4:50" ht="12.75" customHeight="1">
      <c r="D380" s="321"/>
      <c r="E380" s="318"/>
      <c r="F380" s="318"/>
      <c r="G380" s="318"/>
      <c r="H380" s="318"/>
      <c r="AJ380" s="111"/>
      <c r="AW380" s="111"/>
      <c r="AX380" s="111"/>
    </row>
    <row r="381" spans="4:50" ht="12.75" customHeight="1">
      <c r="D381" s="321"/>
      <c r="E381" s="318"/>
      <c r="F381" s="318"/>
      <c r="G381" s="318"/>
      <c r="H381" s="318"/>
      <c r="AJ381" s="111"/>
      <c r="AW381" s="111"/>
      <c r="AX381" s="111"/>
    </row>
    <row r="382" spans="4:50" ht="12.75" customHeight="1">
      <c r="D382" s="321"/>
      <c r="E382" s="318"/>
      <c r="F382" s="318"/>
      <c r="G382" s="318"/>
      <c r="H382" s="318"/>
      <c r="AJ382" s="111"/>
      <c r="AW382" s="111"/>
      <c r="AX382" s="111"/>
    </row>
    <row r="383" spans="4:50" ht="12.75" customHeight="1">
      <c r="D383" s="321"/>
      <c r="E383" s="318"/>
      <c r="F383" s="318"/>
      <c r="G383" s="318"/>
      <c r="H383" s="318"/>
      <c r="AJ383" s="111"/>
      <c r="AW383" s="111"/>
      <c r="AX383" s="111"/>
    </row>
    <row r="384" spans="4:50" ht="12.75" customHeight="1">
      <c r="D384" s="321"/>
      <c r="E384" s="318"/>
      <c r="F384" s="318"/>
      <c r="G384" s="318"/>
      <c r="H384" s="318"/>
      <c r="AF384" s="409"/>
      <c r="AG384" s="410"/>
      <c r="AH384" s="409"/>
      <c r="AJ384" s="111"/>
      <c r="AW384" s="111"/>
      <c r="AX384" s="111"/>
    </row>
    <row r="385" spans="4:53" ht="12.75" customHeight="1">
      <c r="D385" s="321"/>
      <c r="E385" s="318"/>
      <c r="F385" s="318"/>
      <c r="G385" s="318"/>
      <c r="H385" s="318"/>
      <c r="AF385" s="411"/>
      <c r="AG385" s="411"/>
      <c r="AH385" s="409"/>
      <c r="AI385" s="410"/>
      <c r="AJ385" s="412"/>
      <c r="AK385" s="413"/>
      <c r="AL385" s="414"/>
      <c r="AM385" s="415"/>
      <c r="AN385" s="415"/>
      <c r="AO385" s="416"/>
      <c r="AP385" s="417"/>
      <c r="AQ385" s="415"/>
      <c r="AR385" s="415"/>
      <c r="AS385" s="418">
        <v>20000</v>
      </c>
      <c r="AT385" s="415"/>
      <c r="AU385" s="409">
        <v>24</v>
      </c>
      <c r="AV385" s="419"/>
      <c r="AW385" s="420"/>
      <c r="AX385" s="419"/>
      <c r="AY385" s="415"/>
      <c r="AZ385" s="415"/>
      <c r="BA385" s="415"/>
    </row>
    <row r="386" spans="4:53" ht="12.75" customHeight="1">
      <c r="D386" s="321"/>
      <c r="E386" s="318"/>
      <c r="F386" s="318"/>
      <c r="G386" s="318"/>
      <c r="H386" s="318"/>
      <c r="AF386" s="411"/>
      <c r="AG386" s="411"/>
      <c r="AH386" s="409"/>
      <c r="AI386" s="411"/>
      <c r="AJ386" s="421"/>
      <c r="AK386" s="422"/>
      <c r="AL386" s="423"/>
      <c r="AM386" s="418"/>
      <c r="AN386" s="418"/>
      <c r="AO386" s="424"/>
      <c r="AP386" s="425"/>
      <c r="AQ386" s="418"/>
      <c r="AR386" s="418"/>
      <c r="AS386" s="418">
        <v>15000</v>
      </c>
      <c r="AT386" s="418"/>
      <c r="AU386" s="411"/>
      <c r="AV386" s="426"/>
      <c r="AW386" s="427"/>
      <c r="AX386" s="426"/>
      <c r="AY386" s="418"/>
      <c r="AZ386" s="418"/>
      <c r="BA386" s="418"/>
    </row>
    <row r="387" spans="4:53" ht="12.75" customHeight="1">
      <c r="D387" s="321"/>
      <c r="E387" s="318"/>
      <c r="F387" s="318"/>
      <c r="G387" s="318"/>
      <c r="H387" s="318"/>
      <c r="AF387" s="411"/>
      <c r="AG387" s="411"/>
      <c r="AH387" s="409"/>
      <c r="AI387" s="411"/>
      <c r="AJ387" s="421"/>
      <c r="AK387" s="422"/>
      <c r="AL387" s="423"/>
      <c r="AM387" s="418"/>
      <c r="AN387" s="418"/>
      <c r="AO387" s="424"/>
      <c r="AP387" s="425"/>
      <c r="AQ387" s="418"/>
      <c r="AR387" s="418"/>
      <c r="AS387" s="418"/>
      <c r="AT387" s="418"/>
      <c r="AU387" s="411"/>
      <c r="AV387" s="426"/>
      <c r="AW387" s="427"/>
      <c r="AX387" s="426"/>
      <c r="AY387" s="418"/>
      <c r="AZ387" s="418"/>
      <c r="BA387" s="418"/>
    </row>
    <row r="388" spans="4:53" ht="12.75" customHeight="1">
      <c r="D388" s="321"/>
      <c r="E388" s="318"/>
      <c r="F388" s="318"/>
      <c r="G388" s="318"/>
      <c r="H388" s="318"/>
      <c r="AF388" s="411"/>
      <c r="AG388" s="411"/>
      <c r="AH388" s="409"/>
      <c r="AI388" s="411"/>
      <c r="AJ388" s="421"/>
      <c r="AK388" s="422"/>
      <c r="AL388" s="423"/>
      <c r="AM388" s="418"/>
      <c r="AN388" s="418"/>
      <c r="AO388" s="424"/>
      <c r="AP388" s="425"/>
      <c r="AQ388" s="418"/>
      <c r="AR388" s="418"/>
      <c r="AS388" s="418"/>
      <c r="AT388" s="418"/>
      <c r="AU388" s="411"/>
      <c r="AV388" s="426"/>
      <c r="AW388" s="427"/>
      <c r="AX388" s="426"/>
      <c r="AY388" s="418"/>
      <c r="AZ388" s="418"/>
      <c r="BA388" s="418"/>
    </row>
    <row r="389" spans="4:53" ht="12.75" customHeight="1">
      <c r="D389" s="321"/>
      <c r="E389" s="318"/>
      <c r="F389" s="318"/>
      <c r="G389" s="318"/>
      <c r="H389" s="318"/>
      <c r="AF389" s="411"/>
      <c r="AG389" s="411"/>
      <c r="AH389" s="409"/>
      <c r="AI389" s="411"/>
      <c r="AJ389" s="421"/>
      <c r="AK389" s="422"/>
      <c r="AL389" s="423"/>
      <c r="AM389" s="418"/>
      <c r="AN389" s="418"/>
      <c r="AO389" s="424"/>
      <c r="AP389" s="425"/>
      <c r="AQ389" s="418"/>
      <c r="AR389" s="418"/>
      <c r="AS389" s="418"/>
      <c r="AT389" s="418"/>
      <c r="AU389" s="411"/>
      <c r="AV389" s="426"/>
      <c r="AW389" s="427"/>
      <c r="AX389" s="426"/>
      <c r="AY389" s="418"/>
      <c r="AZ389" s="418"/>
      <c r="BA389" s="418"/>
    </row>
    <row r="390" spans="4:53" ht="12.75" customHeight="1">
      <c r="D390" s="321"/>
      <c r="E390" s="318"/>
      <c r="F390" s="318"/>
      <c r="G390" s="318"/>
      <c r="H390" s="318"/>
      <c r="AF390" s="411"/>
      <c r="AG390" s="411"/>
      <c r="AH390" s="409"/>
      <c r="AI390" s="411"/>
      <c r="AJ390" s="421"/>
      <c r="AK390" s="422"/>
      <c r="AL390" s="423"/>
      <c r="AM390" s="418"/>
      <c r="AN390" s="418"/>
      <c r="AO390" s="424"/>
      <c r="AP390" s="425"/>
      <c r="AQ390" s="418"/>
      <c r="AR390" s="418"/>
      <c r="AS390" s="418"/>
      <c r="AT390" s="418"/>
      <c r="AU390" s="411"/>
      <c r="AV390" s="426"/>
      <c r="AW390" s="427"/>
      <c r="AX390" s="426"/>
      <c r="AY390" s="418"/>
      <c r="AZ390" s="418"/>
      <c r="BA390" s="418"/>
    </row>
    <row r="391" spans="4:53" ht="12.75" customHeight="1">
      <c r="D391" s="321"/>
      <c r="E391" s="318"/>
      <c r="F391" s="318"/>
      <c r="G391" s="318"/>
      <c r="H391" s="318"/>
      <c r="AF391" s="411"/>
      <c r="AG391" s="411"/>
      <c r="AH391" s="409"/>
      <c r="AI391" s="411"/>
      <c r="AJ391" s="421"/>
      <c r="AK391" s="422"/>
      <c r="AL391" s="423"/>
      <c r="AM391" s="418"/>
      <c r="AN391" s="418"/>
      <c r="AO391" s="424"/>
      <c r="AP391" s="425"/>
      <c r="AQ391" s="418"/>
      <c r="AR391" s="418"/>
      <c r="AS391" s="418"/>
      <c r="AT391" s="418"/>
      <c r="AU391" s="411"/>
      <c r="AV391" s="426"/>
      <c r="AW391" s="427"/>
      <c r="AX391" s="426"/>
      <c r="AY391" s="418"/>
      <c r="AZ391" s="418"/>
      <c r="BA391" s="418"/>
    </row>
    <row r="392" spans="4:53" ht="12.75" customHeight="1">
      <c r="D392" s="321"/>
      <c r="E392" s="318"/>
      <c r="F392" s="318"/>
      <c r="G392" s="318"/>
      <c r="H392" s="318"/>
      <c r="AF392" s="411"/>
      <c r="AG392" s="411"/>
      <c r="AH392" s="409"/>
      <c r="AI392" s="411"/>
      <c r="AJ392" s="421"/>
      <c r="AK392" s="422"/>
      <c r="AL392" s="423"/>
      <c r="AM392" s="418"/>
      <c r="AN392" s="418"/>
      <c r="AO392" s="424"/>
      <c r="AP392" s="425"/>
      <c r="AQ392" s="418"/>
      <c r="AR392" s="418"/>
      <c r="AS392" s="418"/>
      <c r="AT392" s="418"/>
      <c r="AU392" s="411"/>
      <c r="AV392" s="426"/>
      <c r="AW392" s="427"/>
      <c r="AX392" s="426"/>
      <c r="AY392" s="418"/>
      <c r="AZ392" s="418"/>
      <c r="BA392" s="418"/>
    </row>
    <row r="393" spans="4:53" ht="12.75" customHeight="1">
      <c r="D393" s="321"/>
      <c r="E393" s="318"/>
      <c r="F393" s="318"/>
      <c r="G393" s="318"/>
      <c r="H393" s="318"/>
      <c r="AF393" s="411"/>
      <c r="AG393" s="411"/>
      <c r="AH393" s="409"/>
      <c r="AI393" s="411"/>
      <c r="AJ393" s="421"/>
      <c r="AK393" s="422"/>
      <c r="AL393" s="423"/>
      <c r="AM393" s="418"/>
      <c r="AN393" s="418"/>
      <c r="AO393" s="424"/>
      <c r="AP393" s="425"/>
      <c r="AQ393" s="418"/>
      <c r="AR393" s="418"/>
      <c r="AS393" s="418"/>
      <c r="AT393" s="418"/>
      <c r="AU393" s="411"/>
      <c r="AV393" s="426"/>
      <c r="AW393" s="427"/>
      <c r="AX393" s="426"/>
      <c r="AY393" s="418"/>
      <c r="AZ393" s="418"/>
      <c r="BA393" s="418"/>
    </row>
    <row r="394" spans="4:53" ht="12.75" customHeight="1">
      <c r="D394" s="321"/>
      <c r="E394" s="318"/>
      <c r="F394" s="318"/>
      <c r="G394" s="318"/>
      <c r="H394" s="318"/>
      <c r="AF394" s="170"/>
      <c r="AI394" s="411"/>
      <c r="AJ394" s="421"/>
      <c r="AK394" s="422"/>
      <c r="AL394" s="423"/>
      <c r="AM394" s="418"/>
      <c r="AN394" s="418"/>
      <c r="AO394" s="424"/>
      <c r="AP394" s="425"/>
      <c r="AQ394" s="418"/>
      <c r="AR394" s="418"/>
      <c r="AS394" s="418"/>
      <c r="AT394" s="418"/>
      <c r="AU394" s="411"/>
      <c r="AV394" s="426"/>
      <c r="AW394" s="427"/>
      <c r="AX394" s="426"/>
      <c r="AY394" s="418"/>
      <c r="AZ394" s="418"/>
      <c r="BA394" s="418"/>
    </row>
    <row r="395" spans="4:53" ht="12.75" customHeight="1">
      <c r="D395" s="321"/>
      <c r="E395" s="318"/>
      <c r="F395" s="318"/>
      <c r="G395" s="318"/>
      <c r="H395" s="318"/>
      <c r="AF395" s="170"/>
      <c r="AJ395" s="428"/>
      <c r="AS395" s="279"/>
    </row>
    <row r="396" spans="4:53" ht="12.75" customHeight="1">
      <c r="D396" s="321"/>
      <c r="E396" s="318"/>
      <c r="F396" s="318"/>
      <c r="G396" s="318"/>
      <c r="H396" s="318"/>
      <c r="AF396" s="170"/>
      <c r="AJ396" s="428"/>
      <c r="AS396" s="279"/>
    </row>
    <row r="397" spans="4:53" ht="12.75" customHeight="1">
      <c r="D397" s="321"/>
      <c r="E397" s="318"/>
      <c r="F397" s="318"/>
      <c r="G397" s="318"/>
      <c r="H397" s="318"/>
      <c r="AF397" s="170"/>
      <c r="AJ397" s="428"/>
      <c r="AS397" s="279"/>
    </row>
    <row r="398" spans="4:53" ht="12.75" customHeight="1">
      <c r="D398" s="321"/>
      <c r="E398" s="318"/>
      <c r="F398" s="318"/>
      <c r="G398" s="318"/>
      <c r="H398" s="318"/>
      <c r="AF398" s="170"/>
      <c r="AJ398" s="428"/>
      <c r="AS398" s="279"/>
    </row>
    <row r="399" spans="4:53" ht="12.75" customHeight="1">
      <c r="D399" s="321"/>
      <c r="E399" s="318"/>
      <c r="F399" s="318"/>
      <c r="G399" s="318"/>
      <c r="H399" s="318"/>
      <c r="AF399" s="170"/>
      <c r="AJ399" s="428"/>
      <c r="AS399" s="279"/>
    </row>
    <row r="400" spans="4:53" ht="12.75" customHeight="1">
      <c r="D400" s="321"/>
      <c r="E400" s="318"/>
      <c r="F400" s="318"/>
      <c r="G400" s="318"/>
      <c r="H400" s="318"/>
      <c r="AF400" s="170"/>
      <c r="AJ400" s="428"/>
      <c r="AS400" s="279"/>
    </row>
    <row r="401" spans="4:45" ht="12.75" customHeight="1">
      <c r="D401" s="321"/>
      <c r="E401" s="318"/>
      <c r="F401" s="318"/>
      <c r="G401" s="318"/>
      <c r="H401" s="318"/>
      <c r="AF401" s="170"/>
      <c r="AJ401" s="428"/>
      <c r="AS401" s="279"/>
    </row>
    <row r="402" spans="4:45" ht="12.75" customHeight="1">
      <c r="D402" s="321"/>
      <c r="E402" s="318"/>
      <c r="F402" s="318"/>
      <c r="G402" s="318"/>
      <c r="H402" s="318"/>
      <c r="AJ402" s="428"/>
      <c r="AS402" s="279"/>
    </row>
    <row r="403" spans="4:45" ht="12.75" customHeight="1">
      <c r="D403" s="321"/>
      <c r="E403" s="318"/>
      <c r="F403" s="318"/>
      <c r="G403" s="318"/>
      <c r="H403" s="318"/>
      <c r="AJ403" s="428"/>
    </row>
    <row r="404" spans="4:45" ht="12.75" customHeight="1">
      <c r="D404" s="321"/>
      <c r="E404" s="318"/>
      <c r="F404" s="318"/>
      <c r="G404" s="318"/>
      <c r="H404" s="318"/>
      <c r="AJ404" s="428"/>
    </row>
    <row r="405" spans="4:45" ht="12.75" customHeight="1">
      <c r="D405" s="321"/>
      <c r="E405" s="318"/>
      <c r="F405" s="318"/>
      <c r="G405" s="318"/>
      <c r="H405" s="318"/>
      <c r="AJ405" s="428"/>
    </row>
    <row r="406" spans="4:45" ht="12.75" customHeight="1">
      <c r="D406" s="321"/>
      <c r="E406" s="318"/>
      <c r="F406" s="318"/>
      <c r="G406" s="318"/>
      <c r="H406" s="318"/>
      <c r="AJ406" s="428"/>
    </row>
    <row r="407" spans="4:45" ht="12.75" customHeight="1">
      <c r="D407" s="321"/>
      <c r="E407" s="318"/>
      <c r="F407" s="318"/>
      <c r="G407" s="318"/>
      <c r="H407" s="318"/>
      <c r="AJ407" s="428"/>
    </row>
    <row r="408" spans="4:45" ht="12.75" customHeight="1">
      <c r="D408" s="321"/>
      <c r="E408" s="318"/>
      <c r="F408" s="318"/>
      <c r="G408" s="318"/>
      <c r="H408" s="318"/>
      <c r="AJ408" s="428"/>
    </row>
    <row r="409" spans="4:45" ht="12.75" customHeight="1">
      <c r="D409" s="321"/>
      <c r="E409" s="318"/>
      <c r="F409" s="318"/>
      <c r="G409" s="318"/>
      <c r="H409" s="318"/>
      <c r="AJ409" s="428"/>
    </row>
    <row r="410" spans="4:45" ht="12.75" customHeight="1">
      <c r="D410" s="321"/>
      <c r="E410" s="318"/>
      <c r="F410" s="318"/>
      <c r="G410" s="318"/>
      <c r="H410" s="318"/>
    </row>
    <row r="411" spans="4:45" ht="12.75" customHeight="1">
      <c r="D411" s="321"/>
      <c r="E411" s="318"/>
      <c r="F411" s="318"/>
      <c r="G411" s="318"/>
      <c r="H411" s="318"/>
    </row>
    <row r="412" spans="4:45" ht="12.75" customHeight="1">
      <c r="D412" s="321"/>
      <c r="E412" s="318"/>
      <c r="F412" s="318"/>
      <c r="G412" s="318"/>
      <c r="H412" s="318"/>
    </row>
    <row r="413" spans="4:45" ht="12.75" customHeight="1">
      <c r="D413" s="321"/>
      <c r="E413" s="318"/>
      <c r="F413" s="318"/>
      <c r="G413" s="318"/>
      <c r="H413" s="318"/>
    </row>
    <row r="414" spans="4:45" ht="12.75" customHeight="1">
      <c r="D414" s="321"/>
      <c r="E414" s="318"/>
      <c r="F414" s="318"/>
      <c r="G414" s="318"/>
      <c r="H414" s="318"/>
    </row>
    <row r="415" spans="4:45" ht="12.75" customHeight="1">
      <c r="D415" s="321"/>
      <c r="E415" s="318"/>
      <c r="F415" s="318"/>
      <c r="G415" s="318"/>
      <c r="H415" s="318"/>
    </row>
    <row r="416" spans="4:45" ht="12.75" customHeight="1">
      <c r="D416" s="321"/>
      <c r="E416" s="318"/>
      <c r="F416" s="318"/>
      <c r="G416" s="318"/>
      <c r="H416" s="318"/>
    </row>
    <row r="417" spans="4:8" ht="12.75" customHeight="1">
      <c r="D417" s="321"/>
      <c r="E417" s="318"/>
      <c r="F417" s="318"/>
      <c r="G417" s="318"/>
      <c r="H417" s="318"/>
    </row>
    <row r="418" spans="4:8" ht="12.75" customHeight="1">
      <c r="D418" s="321"/>
      <c r="E418" s="318"/>
      <c r="F418" s="318"/>
      <c r="G418" s="318"/>
      <c r="H418" s="318"/>
    </row>
    <row r="419" spans="4:8" ht="12.75" customHeight="1">
      <c r="D419" s="321"/>
      <c r="E419" s="318"/>
      <c r="F419" s="318"/>
      <c r="G419" s="318"/>
      <c r="H419" s="318"/>
    </row>
    <row r="420" spans="4:8" ht="12.75" customHeight="1">
      <c r="D420" s="321"/>
      <c r="E420" s="318"/>
      <c r="F420" s="318"/>
      <c r="G420" s="318"/>
      <c r="H420" s="318"/>
    </row>
    <row r="421" spans="4:8" ht="12.75" customHeight="1">
      <c r="D421" s="321"/>
      <c r="E421" s="318"/>
      <c r="F421" s="318"/>
      <c r="G421" s="318"/>
      <c r="H421" s="318"/>
    </row>
    <row r="422" spans="4:8" ht="12.75" customHeight="1">
      <c r="D422" s="321"/>
      <c r="E422" s="318"/>
      <c r="F422" s="318"/>
      <c r="G422" s="318"/>
      <c r="H422" s="318"/>
    </row>
    <row r="423" spans="4:8" ht="12.75" customHeight="1">
      <c r="D423" s="321"/>
      <c r="E423" s="318"/>
      <c r="F423" s="318"/>
      <c r="G423" s="318"/>
      <c r="H423" s="318"/>
    </row>
    <row r="424" spans="4:8" ht="12.75" customHeight="1">
      <c r="D424" s="321"/>
      <c r="E424" s="318"/>
      <c r="F424" s="318"/>
      <c r="G424" s="318"/>
      <c r="H424" s="318"/>
    </row>
    <row r="425" spans="4:8" ht="12.75" customHeight="1">
      <c r="D425" s="321"/>
      <c r="E425" s="318"/>
      <c r="F425" s="318"/>
      <c r="G425" s="318"/>
      <c r="H425" s="318"/>
    </row>
    <row r="426" spans="4:8" ht="12.75" customHeight="1">
      <c r="D426" s="321"/>
      <c r="E426" s="318"/>
      <c r="F426" s="318"/>
      <c r="G426" s="318"/>
      <c r="H426" s="318"/>
    </row>
    <row r="427" spans="4:8" ht="12.75" customHeight="1">
      <c r="D427" s="321"/>
      <c r="E427" s="318"/>
      <c r="F427" s="318"/>
      <c r="G427" s="318"/>
      <c r="H427" s="318"/>
    </row>
    <row r="428" spans="4:8" ht="12.75" customHeight="1">
      <c r="D428" s="321"/>
      <c r="E428" s="318"/>
      <c r="F428" s="318"/>
      <c r="G428" s="318"/>
      <c r="H428" s="318"/>
    </row>
    <row r="429" spans="4:8" ht="12.75" customHeight="1">
      <c r="D429" s="321"/>
      <c r="E429" s="318"/>
      <c r="F429" s="318"/>
      <c r="G429" s="318"/>
      <c r="H429" s="318"/>
    </row>
    <row r="430" spans="4:8" ht="12.75" customHeight="1">
      <c r="D430" s="321"/>
      <c r="E430" s="318"/>
      <c r="F430" s="318"/>
      <c r="G430" s="318"/>
      <c r="H430" s="318"/>
    </row>
    <row r="431" spans="4:8" ht="12.75" customHeight="1">
      <c r="D431" s="321"/>
      <c r="E431" s="318"/>
      <c r="F431" s="318"/>
      <c r="G431" s="318"/>
      <c r="H431" s="318"/>
    </row>
    <row r="432" spans="4:8" ht="12.75" customHeight="1">
      <c r="D432" s="321"/>
      <c r="E432" s="318"/>
      <c r="F432" s="318"/>
      <c r="G432" s="318"/>
      <c r="H432" s="318"/>
    </row>
    <row r="433" spans="4:8" ht="12.75" customHeight="1">
      <c r="D433" s="321"/>
      <c r="E433" s="318"/>
      <c r="F433" s="318"/>
      <c r="G433" s="318"/>
      <c r="H433" s="318"/>
    </row>
    <row r="434" spans="4:8" ht="12.75" customHeight="1">
      <c r="D434" s="321"/>
      <c r="E434" s="318"/>
      <c r="F434" s="318"/>
      <c r="G434" s="318"/>
      <c r="H434" s="318"/>
    </row>
    <row r="435" spans="4:8" ht="12.75" customHeight="1">
      <c r="D435" s="321"/>
      <c r="E435" s="318"/>
      <c r="F435" s="318"/>
      <c r="G435" s="318"/>
      <c r="H435" s="318"/>
    </row>
    <row r="436" spans="4:8" ht="12.75" customHeight="1">
      <c r="D436" s="321"/>
      <c r="E436" s="318"/>
      <c r="F436" s="318"/>
      <c r="G436" s="318"/>
      <c r="H436" s="318"/>
    </row>
    <row r="437" spans="4:8" ht="12.75" customHeight="1">
      <c r="D437" s="321"/>
      <c r="E437" s="318"/>
      <c r="F437" s="318"/>
      <c r="G437" s="318"/>
      <c r="H437" s="318"/>
    </row>
    <row r="438" spans="4:8" ht="12.75" customHeight="1">
      <c r="D438" s="321"/>
      <c r="E438" s="318"/>
      <c r="F438" s="318"/>
      <c r="G438" s="318"/>
      <c r="H438" s="318"/>
    </row>
    <row r="439" spans="4:8" ht="12.75" customHeight="1">
      <c r="D439" s="321"/>
      <c r="E439" s="318"/>
      <c r="F439" s="318"/>
      <c r="G439" s="318"/>
      <c r="H439" s="318"/>
    </row>
    <row r="440" spans="4:8" ht="12.75" customHeight="1">
      <c r="D440" s="321"/>
      <c r="E440" s="318"/>
      <c r="F440" s="318"/>
      <c r="G440" s="318"/>
      <c r="H440" s="318"/>
    </row>
    <row r="441" spans="4:8" ht="12.75" customHeight="1">
      <c r="D441" s="321"/>
      <c r="E441" s="318"/>
      <c r="F441" s="318"/>
      <c r="G441" s="318"/>
      <c r="H441" s="318"/>
    </row>
    <row r="442" spans="4:8" ht="12.75" customHeight="1">
      <c r="D442" s="321"/>
      <c r="E442" s="318"/>
      <c r="F442" s="318"/>
      <c r="G442" s="318"/>
      <c r="H442" s="318"/>
    </row>
    <row r="443" spans="4:8" ht="12.75" customHeight="1">
      <c r="D443" s="321"/>
      <c r="E443" s="318"/>
      <c r="F443" s="318"/>
      <c r="G443" s="318"/>
      <c r="H443" s="318"/>
    </row>
    <row r="444" spans="4:8" ht="12.75" customHeight="1">
      <c r="D444" s="321"/>
      <c r="E444" s="318"/>
      <c r="F444" s="318"/>
      <c r="G444" s="318"/>
      <c r="H444" s="318"/>
    </row>
    <row r="445" spans="4:8" ht="12.75" customHeight="1">
      <c r="D445" s="321"/>
      <c r="E445" s="318"/>
      <c r="F445" s="318"/>
      <c r="G445" s="318"/>
      <c r="H445" s="318"/>
    </row>
    <row r="446" spans="4:8" ht="12.75" customHeight="1">
      <c r="D446" s="321"/>
      <c r="E446" s="318"/>
      <c r="F446" s="318"/>
      <c r="G446" s="318"/>
      <c r="H446" s="318"/>
    </row>
    <row r="447" spans="4:8" ht="12.75" customHeight="1">
      <c r="D447" s="321"/>
      <c r="E447" s="318"/>
      <c r="F447" s="318"/>
      <c r="G447" s="318"/>
      <c r="H447" s="318"/>
    </row>
    <row r="448" spans="4:8" ht="12.75" customHeight="1">
      <c r="D448" s="321"/>
      <c r="E448" s="318"/>
      <c r="F448" s="318"/>
      <c r="G448" s="318"/>
      <c r="H448" s="318"/>
    </row>
    <row r="449" spans="4:8" ht="12.75" customHeight="1">
      <c r="D449" s="321"/>
      <c r="E449" s="318"/>
      <c r="F449" s="318"/>
      <c r="G449" s="318"/>
      <c r="H449" s="318"/>
    </row>
    <row r="450" spans="4:8" ht="12.75" customHeight="1">
      <c r="D450" s="321"/>
      <c r="E450" s="318"/>
      <c r="F450" s="318"/>
      <c r="G450" s="318"/>
      <c r="H450" s="318"/>
    </row>
    <row r="451" spans="4:8" ht="12.75" customHeight="1">
      <c r="D451" s="321"/>
      <c r="E451" s="318"/>
      <c r="F451" s="318"/>
      <c r="G451" s="318"/>
      <c r="H451" s="318"/>
    </row>
    <row r="452" spans="4:8" ht="12.75" customHeight="1">
      <c r="D452" s="321"/>
      <c r="E452" s="318"/>
      <c r="F452" s="318"/>
      <c r="G452" s="318"/>
      <c r="H452" s="318"/>
    </row>
    <row r="453" spans="4:8" ht="12.75" customHeight="1">
      <c r="D453" s="321"/>
      <c r="E453" s="318"/>
      <c r="F453" s="318"/>
      <c r="G453" s="318"/>
      <c r="H453" s="318"/>
    </row>
    <row r="454" spans="4:8" ht="12.75" customHeight="1">
      <c r="D454" s="321"/>
      <c r="E454" s="318"/>
      <c r="F454" s="318"/>
      <c r="G454" s="318"/>
      <c r="H454" s="318"/>
    </row>
    <row r="455" spans="4:8" ht="12.75" customHeight="1">
      <c r="D455" s="321"/>
      <c r="E455" s="318"/>
      <c r="F455" s="318"/>
      <c r="G455" s="318"/>
      <c r="H455" s="318"/>
    </row>
    <row r="456" spans="4:8" ht="12.75" customHeight="1">
      <c r="D456" s="321"/>
      <c r="E456" s="318"/>
      <c r="F456" s="318"/>
      <c r="G456" s="318"/>
      <c r="H456" s="318"/>
    </row>
    <row r="457" spans="4:8" ht="12.75" customHeight="1">
      <c r="D457" s="321"/>
      <c r="E457" s="318"/>
      <c r="F457" s="318"/>
      <c r="G457" s="318"/>
      <c r="H457" s="318"/>
    </row>
    <row r="458" spans="4:8" ht="12.75" customHeight="1">
      <c r="D458" s="321"/>
      <c r="E458" s="318"/>
      <c r="F458" s="318"/>
      <c r="G458" s="318"/>
      <c r="H458" s="318"/>
    </row>
    <row r="459" spans="4:8" ht="12.75" customHeight="1">
      <c r="D459" s="321"/>
      <c r="E459" s="318"/>
      <c r="F459" s="318"/>
      <c r="G459" s="318"/>
      <c r="H459" s="318"/>
    </row>
    <row r="460" spans="4:8" ht="12.75" customHeight="1">
      <c r="D460" s="321"/>
      <c r="E460" s="318"/>
      <c r="F460" s="318"/>
      <c r="G460" s="318"/>
      <c r="H460" s="318"/>
    </row>
    <row r="461" spans="4:8" ht="12.75" customHeight="1">
      <c r="D461" s="321"/>
      <c r="E461" s="318"/>
      <c r="F461" s="318"/>
      <c r="G461" s="318"/>
      <c r="H461" s="318"/>
    </row>
    <row r="462" spans="4:8" ht="12.75" customHeight="1">
      <c r="D462" s="321"/>
      <c r="E462" s="318"/>
      <c r="F462" s="318"/>
      <c r="G462" s="318"/>
      <c r="H462" s="318"/>
    </row>
    <row r="463" spans="4:8" ht="12.75" customHeight="1">
      <c r="D463" s="321"/>
      <c r="E463" s="318"/>
      <c r="F463" s="318"/>
      <c r="G463" s="318"/>
      <c r="H463" s="318"/>
    </row>
    <row r="464" spans="4:8" ht="12.75" customHeight="1">
      <c r="D464" s="321"/>
      <c r="E464" s="318"/>
      <c r="F464" s="318"/>
      <c r="G464" s="318"/>
      <c r="H464" s="318"/>
    </row>
    <row r="465" spans="4:8" ht="12.75" customHeight="1">
      <c r="D465" s="321"/>
      <c r="E465" s="318"/>
      <c r="F465" s="318"/>
      <c r="G465" s="318"/>
      <c r="H465" s="318"/>
    </row>
    <row r="466" spans="4:8" ht="12.75" customHeight="1">
      <c r="D466" s="321"/>
      <c r="E466" s="318"/>
      <c r="F466" s="318"/>
      <c r="G466" s="318"/>
      <c r="H466" s="318"/>
    </row>
    <row r="467" spans="4:8" ht="12.75" customHeight="1">
      <c r="D467" s="321"/>
      <c r="E467" s="318"/>
      <c r="F467" s="318"/>
      <c r="G467" s="318"/>
      <c r="H467" s="318"/>
    </row>
    <row r="468" spans="4:8" ht="12.75" customHeight="1">
      <c r="D468" s="321"/>
      <c r="E468" s="318"/>
      <c r="F468" s="318"/>
      <c r="G468" s="318"/>
      <c r="H468" s="318"/>
    </row>
    <row r="469" spans="4:8" ht="12.75" customHeight="1">
      <c r="D469" s="321"/>
      <c r="E469" s="318"/>
      <c r="F469" s="318"/>
      <c r="G469" s="318"/>
      <c r="H469" s="318"/>
    </row>
    <row r="470" spans="4:8" ht="12.75" customHeight="1">
      <c r="D470" s="321"/>
      <c r="E470" s="318"/>
      <c r="F470" s="318"/>
      <c r="G470" s="318"/>
      <c r="H470" s="318"/>
    </row>
    <row r="471" spans="4:8" ht="12.75" customHeight="1">
      <c r="D471" s="321"/>
      <c r="E471" s="318"/>
      <c r="F471" s="318"/>
      <c r="G471" s="318"/>
      <c r="H471" s="318"/>
    </row>
    <row r="472" spans="4:8" ht="12.75" customHeight="1">
      <c r="D472" s="321"/>
      <c r="E472" s="318"/>
      <c r="F472" s="318"/>
      <c r="G472" s="318"/>
      <c r="H472" s="318"/>
    </row>
    <row r="473" spans="4:8" ht="12.75" customHeight="1">
      <c r="D473" s="321"/>
      <c r="E473" s="318"/>
      <c r="F473" s="318"/>
      <c r="G473" s="318"/>
      <c r="H473" s="318"/>
    </row>
    <row r="474" spans="4:8" ht="12.75" customHeight="1">
      <c r="D474" s="321"/>
      <c r="E474" s="318"/>
      <c r="F474" s="318"/>
      <c r="G474" s="318"/>
      <c r="H474" s="318"/>
    </row>
    <row r="475" spans="4:8" ht="12.75" customHeight="1">
      <c r="D475" s="321"/>
      <c r="E475" s="318"/>
      <c r="F475" s="318"/>
      <c r="G475" s="318"/>
      <c r="H475" s="318"/>
    </row>
    <row r="476" spans="4:8" ht="12.75" customHeight="1">
      <c r="D476" s="321"/>
      <c r="E476" s="318"/>
      <c r="F476" s="318"/>
      <c r="G476" s="318"/>
      <c r="H476" s="318"/>
    </row>
    <row r="477" spans="4:8" ht="12.75" customHeight="1">
      <c r="D477" s="321"/>
      <c r="E477" s="318"/>
      <c r="F477" s="318"/>
      <c r="G477" s="318"/>
      <c r="H477" s="318"/>
    </row>
    <row r="478" spans="4:8" ht="12.75" customHeight="1">
      <c r="D478" s="321"/>
      <c r="E478" s="318"/>
      <c r="F478" s="318"/>
      <c r="G478" s="318"/>
      <c r="H478" s="318"/>
    </row>
    <row r="479" spans="4:8" ht="12.75" customHeight="1">
      <c r="D479" s="321"/>
      <c r="E479" s="318"/>
      <c r="F479" s="318"/>
      <c r="G479" s="318"/>
      <c r="H479" s="318"/>
    </row>
    <row r="480" spans="4:8" ht="12.75" customHeight="1">
      <c r="D480" s="321"/>
      <c r="E480" s="318"/>
      <c r="F480" s="318"/>
      <c r="G480" s="318"/>
      <c r="H480" s="318"/>
    </row>
    <row r="481" spans="4:8" ht="12.75" customHeight="1">
      <c r="D481" s="321"/>
      <c r="E481" s="318"/>
      <c r="F481" s="318"/>
      <c r="G481" s="318"/>
      <c r="H481" s="318"/>
    </row>
    <row r="482" spans="4:8" ht="12.75" customHeight="1">
      <c r="D482" s="321"/>
      <c r="E482" s="318"/>
      <c r="F482" s="318"/>
      <c r="G482" s="318"/>
      <c r="H482" s="318"/>
    </row>
    <row r="483" spans="4:8" ht="12.75" customHeight="1">
      <c r="D483" s="321"/>
      <c r="E483" s="318"/>
      <c r="F483" s="318"/>
      <c r="G483" s="318"/>
      <c r="H483" s="318"/>
    </row>
    <row r="484" spans="4:8" ht="12.75" customHeight="1">
      <c r="D484" s="321"/>
      <c r="E484" s="318"/>
      <c r="F484" s="318"/>
      <c r="G484" s="318"/>
      <c r="H484" s="318"/>
    </row>
    <row r="485" spans="4:8" ht="12.75" customHeight="1">
      <c r="D485" s="321"/>
      <c r="E485" s="318"/>
      <c r="F485" s="318"/>
      <c r="G485" s="318"/>
      <c r="H485" s="318"/>
    </row>
    <row r="486" spans="4:8" ht="12.75" customHeight="1">
      <c r="D486" s="321"/>
      <c r="E486" s="318"/>
      <c r="F486" s="318"/>
      <c r="G486" s="318"/>
      <c r="H486" s="318"/>
    </row>
    <row r="487" spans="4:8" ht="12.75" customHeight="1">
      <c r="D487" s="321"/>
      <c r="E487" s="318"/>
      <c r="F487" s="318"/>
      <c r="G487" s="318"/>
      <c r="H487" s="318"/>
    </row>
    <row r="488" spans="4:8" ht="12.75" customHeight="1">
      <c r="D488" s="321"/>
      <c r="E488" s="318"/>
      <c r="F488" s="318"/>
      <c r="G488" s="318"/>
      <c r="H488" s="318"/>
    </row>
    <row r="489" spans="4:8" ht="12.75" customHeight="1">
      <c r="D489" s="321"/>
      <c r="E489" s="318"/>
      <c r="F489" s="318"/>
      <c r="G489" s="318"/>
      <c r="H489" s="318"/>
    </row>
    <row r="490" spans="4:8" ht="12.75" customHeight="1">
      <c r="D490" s="321"/>
      <c r="E490" s="318"/>
      <c r="F490" s="318"/>
      <c r="G490" s="318"/>
      <c r="H490" s="318"/>
    </row>
    <row r="491" spans="4:8" ht="12.75" customHeight="1">
      <c r="D491" s="321"/>
      <c r="E491" s="318"/>
      <c r="F491" s="318"/>
      <c r="G491" s="318"/>
      <c r="H491" s="318"/>
    </row>
    <row r="492" spans="4:8" ht="12.75" customHeight="1">
      <c r="D492" s="321"/>
      <c r="E492" s="318"/>
      <c r="F492" s="318"/>
      <c r="G492" s="318"/>
      <c r="H492" s="318"/>
    </row>
    <row r="493" spans="4:8" ht="12.75" customHeight="1">
      <c r="D493" s="321"/>
      <c r="E493" s="318"/>
      <c r="F493" s="318"/>
      <c r="G493" s="318"/>
      <c r="H493" s="318"/>
    </row>
    <row r="494" spans="4:8" ht="12.75" customHeight="1">
      <c r="D494" s="321"/>
      <c r="E494" s="318"/>
      <c r="F494" s="318"/>
      <c r="G494" s="318"/>
      <c r="H494" s="318"/>
    </row>
    <row r="495" spans="4:8" ht="12.75" customHeight="1">
      <c r="D495" s="321"/>
      <c r="E495" s="318"/>
      <c r="F495" s="318"/>
      <c r="G495" s="318"/>
      <c r="H495" s="318"/>
    </row>
    <row r="496" spans="4:8" ht="12.75" customHeight="1">
      <c r="D496" s="321"/>
      <c r="E496" s="318"/>
      <c r="F496" s="318"/>
      <c r="G496" s="318"/>
      <c r="H496" s="318"/>
    </row>
    <row r="497" spans="4:8" ht="12.75" customHeight="1">
      <c r="D497" s="321"/>
      <c r="E497" s="318"/>
      <c r="F497" s="318"/>
      <c r="G497" s="318"/>
      <c r="H497" s="318"/>
    </row>
    <row r="498" spans="4:8" ht="12.75" customHeight="1">
      <c r="D498" s="321"/>
      <c r="E498" s="318"/>
      <c r="F498" s="318"/>
      <c r="G498" s="318"/>
      <c r="H498" s="318"/>
    </row>
    <row r="499" spans="4:8" ht="12.75" customHeight="1">
      <c r="D499" s="321"/>
      <c r="E499" s="318"/>
      <c r="F499" s="318"/>
      <c r="G499" s="318"/>
      <c r="H499" s="318"/>
    </row>
    <row r="500" spans="4:8" ht="12.75" customHeight="1">
      <c r="D500" s="321"/>
      <c r="E500" s="318"/>
      <c r="F500" s="318"/>
      <c r="G500" s="318"/>
      <c r="H500" s="318"/>
    </row>
    <row r="501" spans="4:8" ht="12.75" customHeight="1">
      <c r="D501" s="321"/>
      <c r="E501" s="318"/>
      <c r="F501" s="318"/>
      <c r="G501" s="318"/>
      <c r="H501" s="318"/>
    </row>
    <row r="502" spans="4:8" ht="12.75" customHeight="1">
      <c r="D502" s="321"/>
      <c r="E502" s="318"/>
      <c r="F502" s="318"/>
      <c r="G502" s="318"/>
      <c r="H502" s="318"/>
    </row>
    <row r="503" spans="4:8" ht="12.75" customHeight="1">
      <c r="D503" s="321"/>
      <c r="E503" s="318"/>
      <c r="F503" s="318"/>
      <c r="G503" s="318"/>
      <c r="H503" s="318"/>
    </row>
    <row r="504" spans="4:8" ht="12.75" customHeight="1">
      <c r="D504" s="321"/>
      <c r="E504" s="318"/>
      <c r="F504" s="318"/>
      <c r="G504" s="318"/>
      <c r="H504" s="318"/>
    </row>
    <row r="505" spans="4:8" ht="12.75" customHeight="1">
      <c r="D505" s="321"/>
      <c r="E505" s="318"/>
      <c r="F505" s="318"/>
      <c r="G505" s="318"/>
      <c r="H505" s="318"/>
    </row>
    <row r="506" spans="4:8" ht="12.75" customHeight="1">
      <c r="D506" s="321"/>
      <c r="E506" s="318"/>
      <c r="F506" s="318"/>
      <c r="G506" s="318"/>
      <c r="H506" s="318"/>
    </row>
    <row r="507" spans="4:8" ht="12.75" customHeight="1">
      <c r="D507" s="321"/>
      <c r="E507" s="318"/>
      <c r="F507" s="318"/>
      <c r="G507" s="318"/>
      <c r="H507" s="318"/>
    </row>
    <row r="508" spans="4:8" ht="12.75" customHeight="1">
      <c r="D508" s="321"/>
      <c r="E508" s="318"/>
      <c r="F508" s="318"/>
      <c r="G508" s="318"/>
      <c r="H508" s="318"/>
    </row>
    <row r="509" spans="4:8" ht="12.75" customHeight="1">
      <c r="D509" s="321"/>
      <c r="E509" s="318"/>
      <c r="F509" s="318"/>
      <c r="G509" s="318"/>
      <c r="H509" s="318"/>
    </row>
    <row r="510" spans="4:8" ht="12.75" customHeight="1">
      <c r="D510" s="321"/>
      <c r="E510" s="318"/>
      <c r="F510" s="318"/>
      <c r="G510" s="318"/>
      <c r="H510" s="318"/>
    </row>
    <row r="511" spans="4:8" ht="12.75" customHeight="1">
      <c r="D511" s="321"/>
      <c r="E511" s="318"/>
      <c r="F511" s="318"/>
      <c r="G511" s="318"/>
      <c r="H511" s="318"/>
    </row>
    <row r="512" spans="4:8" ht="12.75" customHeight="1">
      <c r="D512" s="321"/>
      <c r="E512" s="318"/>
      <c r="F512" s="318"/>
      <c r="G512" s="318"/>
      <c r="H512" s="318"/>
    </row>
    <row r="513" spans="4:8" ht="12.75" customHeight="1">
      <c r="D513" s="321"/>
      <c r="E513" s="318"/>
      <c r="F513" s="318"/>
      <c r="G513" s="318"/>
      <c r="H513" s="318"/>
    </row>
    <row r="514" spans="4:8" ht="12.75" customHeight="1">
      <c r="D514" s="321"/>
      <c r="E514" s="318"/>
      <c r="F514" s="318"/>
      <c r="G514" s="318"/>
      <c r="H514" s="318"/>
    </row>
    <row r="515" spans="4:8" ht="12.75" customHeight="1">
      <c r="D515" s="321"/>
      <c r="E515" s="318"/>
      <c r="F515" s="318"/>
      <c r="G515" s="318"/>
      <c r="H515" s="318"/>
    </row>
    <row r="516" spans="4:8" ht="12.75" customHeight="1">
      <c r="D516" s="321"/>
      <c r="E516" s="318"/>
      <c r="F516" s="318"/>
      <c r="G516" s="318"/>
      <c r="H516" s="318"/>
    </row>
    <row r="517" spans="4:8" ht="12.75" customHeight="1">
      <c r="D517" s="321"/>
      <c r="E517" s="318"/>
      <c r="F517" s="318"/>
      <c r="G517" s="318"/>
      <c r="H517" s="318"/>
    </row>
    <row r="518" spans="4:8" ht="12.75" customHeight="1">
      <c r="D518" s="321"/>
      <c r="E518" s="318"/>
      <c r="F518" s="318"/>
      <c r="G518" s="318"/>
      <c r="H518" s="318"/>
    </row>
    <row r="519" spans="4:8" ht="12.75" customHeight="1">
      <c r="D519" s="321"/>
      <c r="E519" s="318"/>
      <c r="F519" s="318"/>
      <c r="G519" s="318"/>
      <c r="H519" s="318"/>
    </row>
    <row r="520" spans="4:8" ht="12.75" customHeight="1">
      <c r="D520" s="321"/>
      <c r="E520" s="318"/>
      <c r="F520" s="318"/>
      <c r="G520" s="318"/>
      <c r="H520" s="318"/>
    </row>
    <row r="521" spans="4:8" ht="12.75" customHeight="1">
      <c r="D521" s="321"/>
      <c r="E521" s="318"/>
      <c r="F521" s="318"/>
      <c r="G521" s="318"/>
      <c r="H521" s="318"/>
    </row>
    <row r="522" spans="4:8" ht="12.75" customHeight="1">
      <c r="D522" s="321"/>
      <c r="E522" s="318"/>
      <c r="F522" s="318"/>
      <c r="G522" s="318"/>
      <c r="H522" s="318"/>
    </row>
    <row r="523" spans="4:8" ht="12.75" customHeight="1">
      <c r="D523" s="321"/>
      <c r="E523" s="318"/>
      <c r="F523" s="318"/>
      <c r="G523" s="318"/>
      <c r="H523" s="318"/>
    </row>
    <row r="524" spans="4:8" ht="12.75" customHeight="1">
      <c r="D524" s="321"/>
      <c r="E524" s="318"/>
      <c r="F524" s="318"/>
      <c r="G524" s="318"/>
      <c r="H524" s="318"/>
    </row>
    <row r="525" spans="4:8" ht="12.75" customHeight="1">
      <c r="D525" s="321"/>
      <c r="E525" s="318"/>
      <c r="F525" s="318"/>
      <c r="G525" s="318"/>
      <c r="H525" s="318"/>
    </row>
    <row r="526" spans="4:8" ht="12.75" customHeight="1">
      <c r="D526" s="321"/>
      <c r="E526" s="318"/>
      <c r="F526" s="318"/>
      <c r="G526" s="318"/>
      <c r="H526" s="318"/>
    </row>
    <row r="527" spans="4:8" ht="12.75" customHeight="1">
      <c r="D527" s="321"/>
      <c r="E527" s="318"/>
      <c r="F527" s="318"/>
      <c r="G527" s="318"/>
      <c r="H527" s="318"/>
    </row>
    <row r="528" spans="4:8" ht="12.75" customHeight="1">
      <c r="D528" s="321"/>
      <c r="E528" s="318"/>
      <c r="F528" s="318"/>
      <c r="G528" s="318"/>
      <c r="H528" s="318"/>
    </row>
    <row r="529" spans="4:8" ht="12.75" customHeight="1">
      <c r="D529" s="321"/>
      <c r="E529" s="318"/>
      <c r="F529" s="318"/>
      <c r="G529" s="318"/>
      <c r="H529" s="318"/>
    </row>
    <row r="530" spans="4:8" ht="12.75" customHeight="1">
      <c r="D530" s="321"/>
      <c r="E530" s="318"/>
      <c r="F530" s="318"/>
      <c r="G530" s="318"/>
      <c r="H530" s="318"/>
    </row>
    <row r="531" spans="4:8" ht="12.75" customHeight="1">
      <c r="D531" s="321"/>
      <c r="E531" s="318"/>
      <c r="F531" s="318"/>
      <c r="G531" s="318"/>
      <c r="H531" s="318"/>
    </row>
    <row r="532" spans="4:8" ht="12.75" customHeight="1">
      <c r="D532" s="321"/>
      <c r="E532" s="318"/>
      <c r="F532" s="318"/>
      <c r="G532" s="318"/>
      <c r="H532" s="318"/>
    </row>
    <row r="533" spans="4:8" ht="12.75" customHeight="1">
      <c r="D533" s="321"/>
      <c r="E533" s="318"/>
      <c r="F533" s="318"/>
      <c r="G533" s="318"/>
      <c r="H533" s="318"/>
    </row>
    <row r="534" spans="4:8" ht="12.75" customHeight="1">
      <c r="D534" s="321"/>
      <c r="E534" s="318"/>
      <c r="F534" s="318"/>
      <c r="G534" s="318"/>
      <c r="H534" s="318"/>
    </row>
    <row r="535" spans="4:8" ht="12.75" customHeight="1">
      <c r="D535" s="321"/>
      <c r="E535" s="318"/>
      <c r="F535" s="318"/>
      <c r="G535" s="318"/>
      <c r="H535" s="318"/>
    </row>
    <row r="536" spans="4:8" ht="12.75" customHeight="1">
      <c r="D536" s="321"/>
      <c r="E536" s="318"/>
      <c r="F536" s="318"/>
      <c r="G536" s="318"/>
      <c r="H536" s="318"/>
    </row>
    <row r="537" spans="4:8" ht="12.75" customHeight="1">
      <c r="D537" s="321"/>
      <c r="E537" s="318"/>
      <c r="F537" s="318"/>
      <c r="G537" s="318"/>
      <c r="H537" s="318"/>
    </row>
    <row r="538" spans="4:8" ht="12.75" customHeight="1">
      <c r="D538" s="321"/>
      <c r="E538" s="318"/>
      <c r="F538" s="318"/>
      <c r="G538" s="318"/>
      <c r="H538" s="318"/>
    </row>
    <row r="539" spans="4:8" ht="12.75" customHeight="1">
      <c r="D539" s="321"/>
      <c r="E539" s="318"/>
      <c r="F539" s="318"/>
      <c r="G539" s="318"/>
      <c r="H539" s="318"/>
    </row>
    <row r="540" spans="4:8" ht="12.75" customHeight="1">
      <c r="D540" s="321"/>
      <c r="E540" s="318"/>
      <c r="F540" s="318"/>
      <c r="G540" s="318"/>
      <c r="H540" s="318"/>
    </row>
    <row r="541" spans="4:8" ht="12.75" customHeight="1">
      <c r="D541" s="321"/>
      <c r="E541" s="318"/>
      <c r="F541" s="318"/>
      <c r="G541" s="318"/>
      <c r="H541" s="318"/>
    </row>
    <row r="542" spans="4:8" ht="12.75" customHeight="1">
      <c r="D542" s="321"/>
      <c r="E542" s="318"/>
      <c r="F542" s="318"/>
      <c r="G542" s="318"/>
      <c r="H542" s="318"/>
    </row>
    <row r="543" spans="4:8" ht="12.75" customHeight="1">
      <c r="D543" s="321"/>
      <c r="E543" s="318"/>
      <c r="F543" s="318"/>
      <c r="G543" s="318"/>
      <c r="H543" s="318"/>
    </row>
    <row r="544" spans="4:8" ht="12.75" customHeight="1">
      <c r="D544" s="321"/>
      <c r="E544" s="318"/>
      <c r="F544" s="318"/>
      <c r="G544" s="318"/>
      <c r="H544" s="318"/>
    </row>
    <row r="545" spans="4:8" ht="12.75" customHeight="1">
      <c r="D545" s="321"/>
      <c r="E545" s="318"/>
      <c r="F545" s="318"/>
      <c r="G545" s="318"/>
      <c r="H545" s="318"/>
    </row>
    <row r="546" spans="4:8" ht="12.75" customHeight="1">
      <c r="D546" s="321"/>
      <c r="E546" s="318"/>
      <c r="F546" s="318"/>
      <c r="G546" s="318"/>
      <c r="H546" s="318"/>
    </row>
    <row r="547" spans="4:8" ht="12.75" customHeight="1">
      <c r="D547" s="321"/>
      <c r="E547" s="318"/>
      <c r="F547" s="318"/>
      <c r="G547" s="318"/>
      <c r="H547" s="318"/>
    </row>
    <row r="548" spans="4:8" ht="12.75" customHeight="1">
      <c r="D548" s="321"/>
      <c r="E548" s="318"/>
      <c r="F548" s="318"/>
      <c r="G548" s="318"/>
      <c r="H548" s="318"/>
    </row>
    <row r="549" spans="4:8" ht="12.75" customHeight="1">
      <c r="D549" s="321"/>
      <c r="E549" s="318"/>
      <c r="F549" s="318"/>
      <c r="G549" s="318"/>
      <c r="H549" s="318"/>
    </row>
    <row r="550" spans="4:8" ht="12.75" customHeight="1">
      <c r="D550" s="321"/>
      <c r="E550" s="318"/>
      <c r="F550" s="318"/>
      <c r="G550" s="318"/>
      <c r="H550" s="318"/>
    </row>
    <row r="551" spans="4:8" ht="12.75" customHeight="1">
      <c r="D551" s="321"/>
      <c r="E551" s="318"/>
      <c r="F551" s="318"/>
      <c r="G551" s="318"/>
      <c r="H551" s="318"/>
    </row>
    <row r="552" spans="4:8" ht="12.75" customHeight="1">
      <c r="D552" s="321"/>
      <c r="E552" s="318"/>
      <c r="F552" s="318"/>
      <c r="G552" s="318"/>
      <c r="H552" s="318"/>
    </row>
    <row r="553" spans="4:8" ht="12.75" customHeight="1">
      <c r="D553" s="321"/>
      <c r="E553" s="318"/>
      <c r="F553" s="318"/>
      <c r="G553" s="318"/>
      <c r="H553" s="318"/>
    </row>
    <row r="554" spans="4:8" ht="12.75" customHeight="1">
      <c r="D554" s="321"/>
      <c r="E554" s="318"/>
      <c r="F554" s="318"/>
      <c r="G554" s="318"/>
      <c r="H554" s="318"/>
    </row>
    <row r="555" spans="4:8" ht="12.75" customHeight="1">
      <c r="D555" s="321"/>
      <c r="E555" s="318"/>
      <c r="F555" s="318"/>
      <c r="G555" s="318"/>
      <c r="H555" s="318"/>
    </row>
    <row r="556" spans="4:8" ht="12.75" customHeight="1">
      <c r="D556" s="321"/>
      <c r="E556" s="318"/>
      <c r="F556" s="318"/>
      <c r="G556" s="318"/>
      <c r="H556" s="318"/>
    </row>
    <row r="557" spans="4:8" ht="12.75" customHeight="1">
      <c r="D557" s="321"/>
      <c r="E557" s="318"/>
      <c r="F557" s="318"/>
      <c r="G557" s="318"/>
      <c r="H557" s="318"/>
    </row>
    <row r="558" spans="4:8" ht="12.75" customHeight="1">
      <c r="D558" s="321"/>
      <c r="E558" s="318"/>
      <c r="F558" s="318"/>
      <c r="G558" s="318"/>
      <c r="H558" s="318"/>
    </row>
    <row r="559" spans="4:8" ht="12.75" customHeight="1">
      <c r="D559" s="321"/>
      <c r="E559" s="318"/>
      <c r="F559" s="318"/>
      <c r="G559" s="318"/>
      <c r="H559" s="318"/>
    </row>
    <row r="560" spans="4:8" ht="12.75" customHeight="1">
      <c r="D560" s="321"/>
      <c r="E560" s="318"/>
      <c r="F560" s="318"/>
      <c r="G560" s="318"/>
      <c r="H560" s="318"/>
    </row>
    <row r="561" spans="4:8" ht="12.75" customHeight="1">
      <c r="D561" s="321"/>
      <c r="E561" s="318"/>
      <c r="F561" s="318"/>
      <c r="G561" s="318"/>
      <c r="H561" s="318"/>
    </row>
    <row r="562" spans="4:8" ht="12.75" customHeight="1">
      <c r="D562" s="321"/>
      <c r="E562" s="318"/>
      <c r="F562" s="318"/>
      <c r="G562" s="318"/>
      <c r="H562" s="318"/>
    </row>
    <row r="563" spans="4:8" ht="12.75" customHeight="1">
      <c r="D563" s="321"/>
      <c r="E563" s="318"/>
      <c r="F563" s="318"/>
      <c r="G563" s="318"/>
      <c r="H563" s="318"/>
    </row>
    <row r="564" spans="4:8" ht="12.75" customHeight="1">
      <c r="D564" s="321"/>
      <c r="E564" s="318"/>
      <c r="F564" s="318"/>
      <c r="G564" s="318"/>
      <c r="H564" s="318"/>
    </row>
    <row r="565" spans="4:8" ht="12.75" customHeight="1">
      <c r="D565" s="321"/>
      <c r="E565" s="318"/>
      <c r="F565" s="318"/>
      <c r="G565" s="318"/>
      <c r="H565" s="318"/>
    </row>
    <row r="566" spans="4:8" ht="12.75" customHeight="1">
      <c r="D566" s="321"/>
      <c r="E566" s="318"/>
      <c r="F566" s="318"/>
      <c r="G566" s="318"/>
      <c r="H566" s="318"/>
    </row>
    <row r="567" spans="4:8" ht="12.75" customHeight="1">
      <c r="D567" s="321"/>
      <c r="E567" s="318"/>
      <c r="F567" s="318"/>
      <c r="G567" s="318"/>
      <c r="H567" s="318"/>
    </row>
    <row r="568" spans="4:8" ht="12.75" customHeight="1">
      <c r="D568" s="321"/>
      <c r="E568" s="318"/>
      <c r="F568" s="318"/>
      <c r="G568" s="318"/>
      <c r="H568" s="318"/>
    </row>
    <row r="569" spans="4:8" ht="12.75" customHeight="1">
      <c r="D569" s="321"/>
      <c r="E569" s="318"/>
      <c r="F569" s="318"/>
      <c r="G569" s="318"/>
      <c r="H569" s="318"/>
    </row>
    <row r="570" spans="4:8" ht="12.75" customHeight="1">
      <c r="D570" s="321"/>
      <c r="E570" s="318"/>
      <c r="F570" s="318"/>
      <c r="G570" s="318"/>
      <c r="H570" s="318"/>
    </row>
    <row r="571" spans="4:8" ht="12.75" customHeight="1">
      <c r="D571" s="321"/>
      <c r="E571" s="318"/>
      <c r="F571" s="318"/>
      <c r="G571" s="318"/>
      <c r="H571" s="318"/>
    </row>
    <row r="572" spans="4:8" ht="12.75" customHeight="1">
      <c r="D572" s="321"/>
      <c r="E572" s="318"/>
      <c r="F572" s="318"/>
      <c r="G572" s="318"/>
      <c r="H572" s="318"/>
    </row>
    <row r="573" spans="4:8" ht="12.75" customHeight="1">
      <c r="D573" s="321"/>
      <c r="E573" s="318"/>
      <c r="F573" s="318"/>
      <c r="G573" s="318"/>
      <c r="H573" s="318"/>
    </row>
    <row r="574" spans="4:8" ht="12.75" customHeight="1">
      <c r="D574" s="321"/>
      <c r="E574" s="318"/>
      <c r="F574" s="318"/>
      <c r="G574" s="318"/>
      <c r="H574" s="318"/>
    </row>
    <row r="575" spans="4:8" ht="12.75" customHeight="1">
      <c r="D575" s="321"/>
      <c r="E575" s="318"/>
      <c r="F575" s="318"/>
      <c r="G575" s="318"/>
      <c r="H575" s="318"/>
    </row>
    <row r="576" spans="4:8" ht="12.75" customHeight="1">
      <c r="D576" s="321"/>
      <c r="E576" s="318"/>
      <c r="F576" s="318"/>
      <c r="G576" s="318"/>
      <c r="H576" s="318"/>
    </row>
    <row r="577" spans="4:8" ht="12.75" customHeight="1">
      <c r="D577" s="321"/>
      <c r="E577" s="318"/>
      <c r="F577" s="318"/>
      <c r="G577" s="318"/>
      <c r="H577" s="318"/>
    </row>
    <row r="578" spans="4:8" ht="12.75" customHeight="1">
      <c r="D578" s="321"/>
      <c r="E578" s="318"/>
      <c r="F578" s="318"/>
      <c r="G578" s="318"/>
      <c r="H578" s="318"/>
    </row>
    <row r="579" spans="4:8" ht="12.75" customHeight="1">
      <c r="D579" s="321"/>
      <c r="E579" s="318"/>
      <c r="F579" s="318"/>
      <c r="G579" s="318"/>
      <c r="H579" s="318"/>
    </row>
    <row r="580" spans="4:8" ht="12.75" customHeight="1">
      <c r="D580" s="321"/>
      <c r="E580" s="318"/>
      <c r="F580" s="318"/>
      <c r="G580" s="318"/>
      <c r="H580" s="318"/>
    </row>
    <row r="581" spans="4:8" ht="12.75" customHeight="1">
      <c r="D581" s="321"/>
      <c r="E581" s="318"/>
      <c r="F581" s="318"/>
      <c r="G581" s="318"/>
      <c r="H581" s="318"/>
    </row>
    <row r="582" spans="4:8" ht="12.75" customHeight="1">
      <c r="D582" s="321"/>
      <c r="E582" s="318"/>
      <c r="F582" s="318"/>
      <c r="G582" s="318"/>
      <c r="H582" s="318"/>
    </row>
    <row r="583" spans="4:8" ht="12.75" customHeight="1">
      <c r="D583" s="321"/>
      <c r="E583" s="318"/>
      <c r="F583" s="318"/>
      <c r="G583" s="318"/>
      <c r="H583" s="318"/>
    </row>
    <row r="584" spans="4:8" ht="12.75" customHeight="1">
      <c r="D584" s="321"/>
      <c r="E584" s="318"/>
      <c r="F584" s="318"/>
      <c r="G584" s="318"/>
      <c r="H584" s="318"/>
    </row>
    <row r="585" spans="4:8" ht="12.75" customHeight="1">
      <c r="D585" s="321"/>
      <c r="E585" s="318"/>
      <c r="F585" s="318"/>
      <c r="G585" s="318"/>
      <c r="H585" s="318"/>
    </row>
    <row r="586" spans="4:8" ht="12.75" customHeight="1">
      <c r="D586" s="321"/>
      <c r="E586" s="318"/>
      <c r="F586" s="318"/>
      <c r="G586" s="318"/>
      <c r="H586" s="318"/>
    </row>
    <row r="587" spans="4:8" ht="12.75" customHeight="1">
      <c r="D587" s="321"/>
      <c r="E587" s="318"/>
      <c r="F587" s="318"/>
      <c r="G587" s="318"/>
      <c r="H587" s="318"/>
    </row>
    <row r="588" spans="4:8" ht="12.75" customHeight="1">
      <c r="D588" s="321"/>
      <c r="E588" s="318"/>
      <c r="F588" s="318"/>
      <c r="G588" s="318"/>
      <c r="H588" s="318"/>
    </row>
    <row r="589" spans="4:8" ht="12.75" customHeight="1">
      <c r="D589" s="321"/>
      <c r="E589" s="318"/>
      <c r="F589" s="318"/>
      <c r="G589" s="318"/>
      <c r="H589" s="318"/>
    </row>
    <row r="590" spans="4:8" ht="12.75" customHeight="1">
      <c r="D590" s="321"/>
      <c r="E590" s="318"/>
      <c r="F590" s="318"/>
      <c r="G590" s="318"/>
      <c r="H590" s="318"/>
    </row>
    <row r="591" spans="4:8" ht="12.75" customHeight="1">
      <c r="D591" s="321"/>
      <c r="E591" s="318"/>
      <c r="F591" s="318"/>
      <c r="G591" s="318"/>
      <c r="H591" s="318"/>
    </row>
    <row r="592" spans="4:8" ht="12.75" customHeight="1">
      <c r="D592" s="321"/>
      <c r="E592" s="318"/>
      <c r="F592" s="318"/>
      <c r="G592" s="318"/>
      <c r="H592" s="318"/>
    </row>
    <row r="593" spans="4:8" ht="12.75" customHeight="1">
      <c r="D593" s="321"/>
      <c r="E593" s="318"/>
      <c r="F593" s="318"/>
      <c r="G593" s="318"/>
      <c r="H593" s="318"/>
    </row>
    <row r="594" spans="4:8" ht="12.75" customHeight="1">
      <c r="D594" s="321"/>
      <c r="E594" s="318"/>
      <c r="F594" s="318"/>
      <c r="G594" s="318"/>
      <c r="H594" s="318"/>
    </row>
    <row r="595" spans="4:8" ht="12.75" customHeight="1">
      <c r="D595" s="321"/>
      <c r="E595" s="318"/>
      <c r="F595" s="318"/>
      <c r="G595" s="318"/>
      <c r="H595" s="318"/>
    </row>
    <row r="596" spans="4:8" ht="12.75" customHeight="1">
      <c r="D596" s="321"/>
      <c r="E596" s="318"/>
      <c r="F596" s="318"/>
      <c r="G596" s="318"/>
      <c r="H596" s="318"/>
    </row>
    <row r="597" spans="4:8" ht="12.75" customHeight="1">
      <c r="D597" s="321"/>
      <c r="E597" s="318"/>
      <c r="F597" s="318"/>
      <c r="G597" s="318"/>
      <c r="H597" s="318"/>
    </row>
    <row r="598" spans="4:8" ht="12.75" customHeight="1">
      <c r="D598" s="321"/>
      <c r="E598" s="318"/>
      <c r="F598" s="318"/>
      <c r="G598" s="318"/>
      <c r="H598" s="318"/>
    </row>
    <row r="599" spans="4:8" ht="12.75" customHeight="1">
      <c r="D599" s="321"/>
      <c r="E599" s="318"/>
      <c r="F599" s="318"/>
      <c r="G599" s="318"/>
      <c r="H599" s="318"/>
    </row>
    <row r="600" spans="4:8" ht="12.75" customHeight="1">
      <c r="D600" s="321"/>
      <c r="E600" s="318"/>
      <c r="F600" s="318"/>
      <c r="G600" s="318"/>
      <c r="H600" s="318"/>
    </row>
    <row r="601" spans="4:8" ht="12.75" customHeight="1">
      <c r="D601" s="321"/>
      <c r="E601" s="318"/>
      <c r="F601" s="318"/>
      <c r="G601" s="318"/>
      <c r="H601" s="318"/>
    </row>
    <row r="602" spans="4:8" ht="12.75" customHeight="1">
      <c r="D602" s="321"/>
      <c r="E602" s="318"/>
      <c r="F602" s="318"/>
      <c r="G602" s="318"/>
      <c r="H602" s="318"/>
    </row>
    <row r="603" spans="4:8" ht="12.75" customHeight="1">
      <c r="D603" s="321"/>
      <c r="E603" s="318"/>
      <c r="F603" s="318"/>
      <c r="G603" s="318"/>
      <c r="H603" s="318"/>
    </row>
    <row r="604" spans="4:8" ht="12.75" customHeight="1">
      <c r="D604" s="321"/>
      <c r="E604" s="318"/>
      <c r="F604" s="318"/>
      <c r="G604" s="318"/>
      <c r="H604" s="318"/>
    </row>
    <row r="605" spans="4:8" ht="12.75" customHeight="1">
      <c r="D605" s="321"/>
      <c r="E605" s="318"/>
      <c r="F605" s="318"/>
      <c r="G605" s="318"/>
      <c r="H605" s="318"/>
    </row>
    <row r="606" spans="4:8" ht="12.75" customHeight="1">
      <c r="D606" s="321"/>
      <c r="E606" s="318"/>
      <c r="F606" s="318"/>
      <c r="G606" s="318"/>
      <c r="H606" s="318"/>
    </row>
    <row r="607" spans="4:8" ht="12.75" customHeight="1">
      <c r="D607" s="321"/>
      <c r="E607" s="318"/>
      <c r="F607" s="318"/>
      <c r="G607" s="318"/>
      <c r="H607" s="318"/>
    </row>
    <row r="608" spans="4:8" ht="12.75" customHeight="1">
      <c r="D608" s="321"/>
      <c r="E608" s="318"/>
      <c r="F608" s="318"/>
      <c r="G608" s="318"/>
      <c r="H608" s="318"/>
    </row>
    <row r="609" spans="4:8" ht="12.75" customHeight="1">
      <c r="D609" s="321"/>
      <c r="E609" s="318"/>
      <c r="F609" s="318"/>
      <c r="G609" s="318"/>
      <c r="H609" s="318"/>
    </row>
    <row r="610" spans="4:8" ht="12.75" customHeight="1">
      <c r="D610" s="321"/>
      <c r="E610" s="318"/>
      <c r="F610" s="318"/>
      <c r="G610" s="318"/>
      <c r="H610" s="318"/>
    </row>
    <row r="611" spans="4:8" ht="12.75" customHeight="1">
      <c r="D611" s="321"/>
      <c r="E611" s="318"/>
      <c r="F611" s="318"/>
      <c r="G611" s="318"/>
      <c r="H611" s="318"/>
    </row>
    <row r="612" spans="4:8" ht="12.75" customHeight="1">
      <c r="D612" s="321"/>
      <c r="E612" s="318"/>
      <c r="F612" s="318"/>
      <c r="G612" s="318"/>
      <c r="H612" s="318"/>
    </row>
    <row r="613" spans="4:8" ht="12.75" customHeight="1">
      <c r="D613" s="321"/>
      <c r="E613" s="318"/>
      <c r="F613" s="318"/>
      <c r="G613" s="318"/>
      <c r="H613" s="318"/>
    </row>
    <row r="614" spans="4:8" ht="12.75" customHeight="1">
      <c r="D614" s="321"/>
      <c r="E614" s="318"/>
      <c r="F614" s="318"/>
      <c r="G614" s="318"/>
      <c r="H614" s="318"/>
    </row>
    <row r="615" spans="4:8" ht="12.75" customHeight="1">
      <c r="D615" s="321"/>
      <c r="E615" s="318"/>
      <c r="F615" s="318"/>
      <c r="G615" s="318"/>
      <c r="H615" s="318"/>
    </row>
    <row r="616" spans="4:8" ht="12.75" customHeight="1">
      <c r="D616" s="321"/>
      <c r="E616" s="318"/>
      <c r="F616" s="318"/>
      <c r="G616" s="318"/>
      <c r="H616" s="318"/>
    </row>
    <row r="617" spans="4:8" ht="12.75" customHeight="1">
      <c r="D617" s="321"/>
      <c r="E617" s="318"/>
      <c r="F617" s="318"/>
      <c r="G617" s="318"/>
      <c r="H617" s="318"/>
    </row>
    <row r="618" spans="4:8" ht="12.75" customHeight="1">
      <c r="D618" s="321"/>
      <c r="E618" s="318"/>
      <c r="F618" s="318"/>
      <c r="G618" s="318"/>
      <c r="H618" s="318"/>
    </row>
    <row r="619" spans="4:8" ht="12.75" customHeight="1">
      <c r="D619" s="321"/>
      <c r="E619" s="318"/>
      <c r="F619" s="318"/>
      <c r="G619" s="318"/>
      <c r="H619" s="318"/>
    </row>
    <row r="620" spans="4:8" ht="12.75" customHeight="1">
      <c r="D620" s="321"/>
      <c r="E620" s="318"/>
      <c r="F620" s="318"/>
      <c r="G620" s="318"/>
      <c r="H620" s="318"/>
    </row>
    <row r="621" spans="4:8" ht="12.75" customHeight="1">
      <c r="D621" s="321"/>
      <c r="E621" s="318"/>
      <c r="F621" s="318"/>
      <c r="G621" s="318"/>
      <c r="H621" s="318"/>
    </row>
    <row r="622" spans="4:8" ht="12.75" customHeight="1">
      <c r="D622" s="321"/>
      <c r="E622" s="318"/>
      <c r="F622" s="318"/>
      <c r="G622" s="318"/>
      <c r="H622" s="318"/>
    </row>
    <row r="623" spans="4:8" ht="12.75" customHeight="1">
      <c r="D623" s="321"/>
      <c r="E623" s="318"/>
      <c r="F623" s="318"/>
      <c r="G623" s="318"/>
      <c r="H623" s="318"/>
    </row>
    <row r="624" spans="4:8" ht="12.75" customHeight="1">
      <c r="D624" s="321"/>
      <c r="E624" s="318"/>
      <c r="F624" s="318"/>
      <c r="G624" s="318"/>
      <c r="H624" s="318"/>
    </row>
    <row r="625" spans="4:8" ht="12.75" customHeight="1">
      <c r="D625" s="321"/>
      <c r="E625" s="318"/>
      <c r="F625" s="318"/>
      <c r="G625" s="318"/>
      <c r="H625" s="318"/>
    </row>
    <row r="626" spans="4:8" ht="12.75" customHeight="1">
      <c r="D626" s="321"/>
      <c r="E626" s="318"/>
      <c r="F626" s="318"/>
      <c r="G626" s="318"/>
      <c r="H626" s="318"/>
    </row>
    <row r="627" spans="4:8" ht="12.75" customHeight="1">
      <c r="D627" s="321"/>
      <c r="E627" s="318"/>
      <c r="F627" s="318"/>
      <c r="G627" s="318"/>
      <c r="H627" s="318"/>
    </row>
    <row r="628" spans="4:8" ht="12.75" customHeight="1">
      <c r="D628" s="321"/>
      <c r="E628" s="318"/>
      <c r="F628" s="318"/>
      <c r="G628" s="318"/>
      <c r="H628" s="318"/>
    </row>
    <row r="629" spans="4:8" ht="12.75" customHeight="1">
      <c r="D629" s="321"/>
      <c r="E629" s="318"/>
      <c r="F629" s="318"/>
      <c r="G629" s="318"/>
      <c r="H629" s="318"/>
    </row>
    <row r="630" spans="4:8" ht="12.75" customHeight="1">
      <c r="D630" s="321"/>
      <c r="E630" s="318"/>
      <c r="F630" s="318"/>
      <c r="G630" s="318"/>
      <c r="H630" s="318"/>
    </row>
    <row r="631" spans="4:8" ht="12.75" customHeight="1">
      <c r="D631" s="321"/>
      <c r="E631" s="318"/>
      <c r="F631" s="318"/>
      <c r="G631" s="318"/>
      <c r="H631" s="318"/>
    </row>
    <row r="632" spans="4:8" ht="12.75" customHeight="1">
      <c r="D632" s="321"/>
      <c r="E632" s="318"/>
      <c r="F632" s="318"/>
      <c r="G632" s="318"/>
      <c r="H632" s="318"/>
    </row>
    <row r="633" spans="4:8" ht="12.75" customHeight="1">
      <c r="D633" s="321"/>
      <c r="E633" s="318"/>
      <c r="F633" s="318"/>
      <c r="G633" s="318"/>
      <c r="H633" s="318"/>
    </row>
    <row r="634" spans="4:8" ht="12.75" customHeight="1">
      <c r="D634" s="321"/>
      <c r="E634" s="318"/>
      <c r="F634" s="318"/>
      <c r="G634" s="318"/>
      <c r="H634" s="318"/>
    </row>
    <row r="635" spans="4:8" ht="12.75" customHeight="1">
      <c r="D635" s="321"/>
      <c r="E635" s="318"/>
      <c r="F635" s="318"/>
      <c r="G635" s="318"/>
      <c r="H635" s="318"/>
    </row>
    <row r="636" spans="4:8" ht="12.75" customHeight="1">
      <c r="D636" s="321"/>
      <c r="E636" s="318"/>
      <c r="F636" s="318"/>
      <c r="G636" s="318"/>
      <c r="H636" s="318"/>
    </row>
    <row r="637" spans="4:8" ht="12.75" customHeight="1">
      <c r="D637" s="321"/>
      <c r="E637" s="318"/>
      <c r="F637" s="318"/>
      <c r="G637" s="318"/>
      <c r="H637" s="318"/>
    </row>
    <row r="638" spans="4:8" ht="12.75" customHeight="1">
      <c r="D638" s="321"/>
      <c r="E638" s="318"/>
      <c r="F638" s="318"/>
      <c r="G638" s="318"/>
      <c r="H638" s="318"/>
    </row>
    <row r="639" spans="4:8" ht="12.75" customHeight="1">
      <c r="D639" s="321"/>
      <c r="E639" s="318"/>
      <c r="F639" s="318"/>
      <c r="G639" s="318"/>
      <c r="H639" s="318"/>
    </row>
    <row r="640" spans="4:8" ht="12.75" customHeight="1">
      <c r="D640" s="321"/>
      <c r="E640" s="318"/>
      <c r="F640" s="318"/>
      <c r="G640" s="318"/>
      <c r="H640" s="318"/>
    </row>
    <row r="641" spans="4:8" ht="12.75" customHeight="1">
      <c r="D641" s="321"/>
      <c r="E641" s="318"/>
      <c r="F641" s="318"/>
      <c r="G641" s="318"/>
      <c r="H641" s="318"/>
    </row>
    <row r="642" spans="4:8" ht="12.75" customHeight="1">
      <c r="D642" s="321"/>
      <c r="E642" s="318"/>
      <c r="F642" s="318"/>
      <c r="G642" s="318"/>
      <c r="H642" s="318"/>
    </row>
    <row r="643" spans="4:8" ht="12.75" customHeight="1">
      <c r="D643" s="321"/>
      <c r="E643" s="318"/>
      <c r="F643" s="318"/>
      <c r="G643" s="318"/>
      <c r="H643" s="318"/>
    </row>
    <row r="644" spans="4:8" ht="12.75" customHeight="1">
      <c r="D644" s="321"/>
      <c r="E644" s="318"/>
      <c r="F644" s="318"/>
      <c r="G644" s="318"/>
      <c r="H644" s="318"/>
    </row>
    <row r="645" spans="4:8" ht="12.75" customHeight="1">
      <c r="D645" s="321"/>
      <c r="E645" s="318"/>
      <c r="F645" s="318"/>
      <c r="G645" s="318"/>
      <c r="H645" s="318"/>
    </row>
    <row r="646" spans="4:8" ht="12.75" customHeight="1">
      <c r="D646" s="321"/>
      <c r="E646" s="318"/>
      <c r="F646" s="318"/>
      <c r="G646" s="318"/>
      <c r="H646" s="318"/>
    </row>
    <row r="647" spans="4:8" ht="12.75" customHeight="1">
      <c r="D647" s="321"/>
      <c r="E647" s="318"/>
      <c r="F647" s="318"/>
      <c r="G647" s="318"/>
      <c r="H647" s="318"/>
    </row>
    <row r="648" spans="4:8" ht="12.75" customHeight="1">
      <c r="D648" s="321"/>
      <c r="E648" s="318"/>
      <c r="F648" s="318"/>
      <c r="G648" s="318"/>
      <c r="H648" s="318"/>
    </row>
    <row r="649" spans="4:8" ht="12.75" customHeight="1">
      <c r="D649" s="321"/>
      <c r="E649" s="318"/>
      <c r="F649" s="318"/>
      <c r="G649" s="318"/>
      <c r="H649" s="318"/>
    </row>
    <row r="650" spans="4:8" ht="12.75" customHeight="1">
      <c r="D650" s="321"/>
      <c r="E650" s="318"/>
      <c r="F650" s="318"/>
      <c r="G650" s="318"/>
      <c r="H650" s="318"/>
    </row>
    <row r="651" spans="4:8" ht="12.75" customHeight="1">
      <c r="D651" s="321"/>
      <c r="E651" s="318"/>
      <c r="F651" s="318"/>
      <c r="G651" s="318"/>
      <c r="H651" s="318"/>
    </row>
    <row r="652" spans="4:8" ht="12.75" customHeight="1">
      <c r="D652" s="321"/>
      <c r="E652" s="318"/>
      <c r="F652" s="318"/>
      <c r="G652" s="318"/>
      <c r="H652" s="318"/>
    </row>
    <row r="653" spans="4:8" ht="12.75" customHeight="1">
      <c r="D653" s="321"/>
      <c r="E653" s="318"/>
      <c r="F653" s="318"/>
      <c r="G653" s="318"/>
      <c r="H653" s="318"/>
    </row>
    <row r="654" spans="4:8" ht="12.75" customHeight="1">
      <c r="D654" s="321"/>
      <c r="E654" s="318"/>
      <c r="F654" s="318"/>
      <c r="G654" s="318"/>
      <c r="H654" s="318"/>
    </row>
    <row r="655" spans="4:8" ht="12.75" customHeight="1">
      <c r="D655" s="321"/>
      <c r="E655" s="318"/>
      <c r="F655" s="318"/>
      <c r="G655" s="318"/>
      <c r="H655" s="318"/>
    </row>
    <row r="656" spans="4:8" ht="12.75" customHeight="1">
      <c r="D656" s="321"/>
      <c r="E656" s="318"/>
      <c r="F656" s="318"/>
      <c r="G656" s="318"/>
      <c r="H656" s="318"/>
    </row>
    <row r="657" spans="4:8" ht="12.75" customHeight="1">
      <c r="D657" s="321"/>
      <c r="E657" s="318"/>
      <c r="F657" s="318"/>
      <c r="G657" s="318"/>
      <c r="H657" s="318"/>
    </row>
    <row r="658" spans="4:8" ht="12.75" customHeight="1">
      <c r="D658" s="321"/>
      <c r="E658" s="318"/>
      <c r="F658" s="318"/>
      <c r="G658" s="318"/>
      <c r="H658" s="318"/>
    </row>
    <row r="659" spans="4:8" ht="12.75" customHeight="1">
      <c r="D659" s="321"/>
      <c r="E659" s="318"/>
      <c r="F659" s="318"/>
      <c r="G659" s="318"/>
      <c r="H659" s="318"/>
    </row>
    <row r="660" spans="4:8" ht="12.75" customHeight="1">
      <c r="D660" s="321"/>
      <c r="E660" s="318"/>
      <c r="F660" s="318"/>
      <c r="G660" s="318"/>
      <c r="H660" s="318"/>
    </row>
    <row r="661" spans="4:8" ht="12.75" customHeight="1">
      <c r="D661" s="321"/>
      <c r="E661" s="318"/>
      <c r="F661" s="318"/>
      <c r="G661" s="318"/>
      <c r="H661" s="318"/>
    </row>
    <row r="662" spans="4:8" ht="12.75" customHeight="1">
      <c r="D662" s="321"/>
      <c r="E662" s="318"/>
      <c r="F662" s="318"/>
      <c r="G662" s="318"/>
      <c r="H662" s="318"/>
    </row>
    <row r="663" spans="4:8" ht="12.75" customHeight="1">
      <c r="D663" s="321"/>
      <c r="E663" s="318"/>
      <c r="F663" s="318"/>
      <c r="G663" s="318"/>
      <c r="H663" s="318"/>
    </row>
    <row r="664" spans="4:8" ht="12.75" customHeight="1">
      <c r="D664" s="321"/>
      <c r="E664" s="318"/>
      <c r="F664" s="318"/>
      <c r="G664" s="318"/>
      <c r="H664" s="318"/>
    </row>
    <row r="665" spans="4:8" ht="12.75" customHeight="1">
      <c r="D665" s="321"/>
      <c r="E665" s="318"/>
      <c r="F665" s="318"/>
      <c r="G665" s="318"/>
      <c r="H665" s="318"/>
    </row>
    <row r="666" spans="4:8" ht="12.75" customHeight="1">
      <c r="D666" s="321"/>
      <c r="E666" s="318"/>
      <c r="F666" s="318"/>
      <c r="G666" s="318"/>
      <c r="H666" s="318"/>
    </row>
    <row r="667" spans="4:8" ht="12.75" customHeight="1">
      <c r="D667" s="321"/>
      <c r="E667" s="318"/>
      <c r="F667" s="318"/>
      <c r="G667" s="318"/>
      <c r="H667" s="318"/>
    </row>
    <row r="668" spans="4:8" ht="12.75" customHeight="1">
      <c r="D668" s="321"/>
      <c r="E668" s="318"/>
      <c r="F668" s="318"/>
      <c r="G668" s="318"/>
      <c r="H668" s="318"/>
    </row>
    <row r="669" spans="4:8" ht="12.75" customHeight="1">
      <c r="D669" s="321"/>
      <c r="E669" s="318"/>
      <c r="F669" s="318"/>
      <c r="G669" s="318"/>
      <c r="H669" s="318"/>
    </row>
    <row r="670" spans="4:8" ht="12.75" customHeight="1">
      <c r="D670" s="321"/>
      <c r="E670" s="318"/>
      <c r="F670" s="318"/>
      <c r="G670" s="318"/>
      <c r="H670" s="318"/>
    </row>
    <row r="671" spans="4:8" ht="12.75" customHeight="1">
      <c r="D671" s="321"/>
      <c r="E671" s="318"/>
      <c r="F671" s="318"/>
      <c r="G671" s="318"/>
      <c r="H671" s="318"/>
    </row>
    <row r="672" spans="4:8" ht="12.75" customHeight="1">
      <c r="D672" s="321"/>
      <c r="E672" s="318"/>
      <c r="F672" s="318"/>
      <c r="G672" s="318"/>
      <c r="H672" s="318"/>
    </row>
    <row r="673" spans="4:8" ht="12.75" customHeight="1">
      <c r="D673" s="321"/>
      <c r="E673" s="318"/>
      <c r="F673" s="318"/>
      <c r="G673" s="318"/>
      <c r="H673" s="318"/>
    </row>
    <row r="674" spans="4:8" ht="12.75" customHeight="1">
      <c r="D674" s="321"/>
      <c r="E674" s="318"/>
      <c r="F674" s="318"/>
      <c r="G674" s="318"/>
      <c r="H674" s="318"/>
    </row>
    <row r="675" spans="4:8" ht="12.75" customHeight="1">
      <c r="D675" s="321"/>
      <c r="E675" s="318"/>
      <c r="F675" s="318"/>
      <c r="G675" s="318"/>
      <c r="H675" s="318"/>
    </row>
    <row r="676" spans="4:8" ht="12.75" customHeight="1">
      <c r="D676" s="321"/>
      <c r="E676" s="318"/>
      <c r="F676" s="318"/>
      <c r="G676" s="318"/>
      <c r="H676" s="318"/>
    </row>
    <row r="677" spans="4:8" ht="12.75" customHeight="1">
      <c r="D677" s="321"/>
      <c r="E677" s="318"/>
      <c r="F677" s="318"/>
      <c r="G677" s="318"/>
      <c r="H677" s="318"/>
    </row>
    <row r="678" spans="4:8" ht="12.75" customHeight="1">
      <c r="D678" s="321"/>
      <c r="E678" s="318"/>
      <c r="F678" s="318"/>
      <c r="G678" s="318"/>
      <c r="H678" s="318"/>
    </row>
    <row r="679" spans="4:8" ht="12.75" customHeight="1">
      <c r="D679" s="321"/>
      <c r="E679" s="318"/>
      <c r="F679" s="318"/>
      <c r="G679" s="318"/>
      <c r="H679" s="318"/>
    </row>
    <row r="680" spans="4:8" ht="12.75" customHeight="1">
      <c r="D680" s="321"/>
      <c r="E680" s="318"/>
      <c r="F680" s="318"/>
      <c r="G680" s="318"/>
      <c r="H680" s="318"/>
    </row>
    <row r="681" spans="4:8" ht="12.75" customHeight="1">
      <c r="D681" s="321"/>
      <c r="E681" s="318"/>
      <c r="F681" s="318"/>
      <c r="G681" s="318"/>
      <c r="H681" s="318"/>
    </row>
    <row r="682" spans="4:8" ht="12.75" customHeight="1">
      <c r="D682" s="321"/>
      <c r="E682" s="318"/>
      <c r="F682" s="318"/>
      <c r="G682" s="318"/>
      <c r="H682" s="318"/>
    </row>
    <row r="683" spans="4:8" ht="12.75" customHeight="1">
      <c r="D683" s="321"/>
      <c r="E683" s="318"/>
      <c r="F683" s="318"/>
      <c r="G683" s="318"/>
      <c r="H683" s="318"/>
    </row>
    <row r="684" spans="4:8" ht="12.75" customHeight="1">
      <c r="D684" s="321"/>
      <c r="E684" s="318"/>
      <c r="F684" s="318"/>
      <c r="G684" s="318"/>
      <c r="H684" s="318"/>
    </row>
    <row r="685" spans="4:8" ht="12.75" customHeight="1">
      <c r="D685" s="321"/>
      <c r="E685" s="318"/>
      <c r="F685" s="318"/>
      <c r="G685" s="318"/>
      <c r="H685" s="318"/>
    </row>
    <row r="686" spans="4:8" ht="12.75" customHeight="1">
      <c r="D686" s="321"/>
      <c r="E686" s="318"/>
      <c r="F686" s="318"/>
      <c r="G686" s="318"/>
      <c r="H686" s="318"/>
    </row>
    <row r="687" spans="4:8" ht="12.75" customHeight="1">
      <c r="D687" s="321"/>
      <c r="E687" s="318"/>
      <c r="F687" s="318"/>
      <c r="G687" s="318"/>
      <c r="H687" s="318"/>
    </row>
    <row r="688" spans="4:8" ht="12.75" customHeight="1">
      <c r="D688" s="321"/>
      <c r="E688" s="318"/>
      <c r="F688" s="318"/>
      <c r="G688" s="318"/>
      <c r="H688" s="318"/>
    </row>
    <row r="689" spans="4:8" ht="12.75" customHeight="1">
      <c r="D689" s="321"/>
      <c r="E689" s="318"/>
      <c r="F689" s="318"/>
      <c r="G689" s="318"/>
      <c r="H689" s="318"/>
    </row>
    <row r="690" spans="4:8" ht="12.75" customHeight="1">
      <c r="D690" s="321"/>
      <c r="E690" s="318"/>
      <c r="F690" s="318"/>
      <c r="G690" s="318"/>
      <c r="H690" s="318"/>
    </row>
    <row r="691" spans="4:8" ht="12.75" customHeight="1">
      <c r="D691" s="321"/>
      <c r="E691" s="318"/>
      <c r="F691" s="318"/>
      <c r="G691" s="318"/>
      <c r="H691" s="318"/>
    </row>
    <row r="692" spans="4:8" ht="12.75" customHeight="1">
      <c r="D692" s="321"/>
      <c r="E692" s="318"/>
      <c r="F692" s="318"/>
      <c r="G692" s="318"/>
      <c r="H692" s="318"/>
    </row>
    <row r="693" spans="4:8" ht="12.75" customHeight="1">
      <c r="D693" s="321"/>
      <c r="E693" s="318"/>
      <c r="F693" s="318"/>
      <c r="G693" s="318"/>
      <c r="H693" s="318"/>
    </row>
    <row r="694" spans="4:8" ht="12.75" customHeight="1">
      <c r="D694" s="321"/>
      <c r="E694" s="318"/>
      <c r="F694" s="318"/>
      <c r="G694" s="318"/>
      <c r="H694" s="318"/>
    </row>
    <row r="695" spans="4:8" ht="12.75" customHeight="1">
      <c r="D695" s="321"/>
      <c r="E695" s="318"/>
      <c r="F695" s="318"/>
      <c r="G695" s="318"/>
      <c r="H695" s="318"/>
    </row>
    <row r="696" spans="4:8" ht="12.75" customHeight="1">
      <c r="D696" s="321"/>
      <c r="E696" s="318"/>
      <c r="F696" s="318"/>
      <c r="G696" s="318"/>
      <c r="H696" s="318"/>
    </row>
    <row r="697" spans="4:8" ht="12.75" customHeight="1">
      <c r="D697" s="321"/>
      <c r="E697" s="318"/>
      <c r="F697" s="318"/>
      <c r="G697" s="318"/>
      <c r="H697" s="318"/>
    </row>
    <row r="698" spans="4:8" ht="12.75" customHeight="1">
      <c r="D698" s="321"/>
      <c r="E698" s="318"/>
      <c r="F698" s="318"/>
      <c r="G698" s="318"/>
      <c r="H698" s="318"/>
    </row>
    <row r="699" spans="4:8" ht="12.75" customHeight="1">
      <c r="D699" s="321"/>
      <c r="E699" s="318"/>
      <c r="F699" s="318"/>
      <c r="G699" s="318"/>
      <c r="H699" s="318"/>
    </row>
    <row r="700" spans="4:8" ht="12.75" customHeight="1">
      <c r="D700" s="321"/>
      <c r="E700" s="318"/>
      <c r="F700" s="318"/>
      <c r="G700" s="318"/>
      <c r="H700" s="318"/>
    </row>
    <row r="701" spans="4:8" ht="12.75" customHeight="1">
      <c r="D701" s="321"/>
      <c r="E701" s="318"/>
      <c r="F701" s="318"/>
      <c r="G701" s="318"/>
      <c r="H701" s="318"/>
    </row>
    <row r="702" spans="4:8" ht="12.75" customHeight="1">
      <c r="D702" s="321"/>
      <c r="E702" s="318"/>
      <c r="F702" s="318"/>
      <c r="G702" s="318"/>
      <c r="H702" s="318"/>
    </row>
    <row r="703" spans="4:8" ht="12.75" customHeight="1">
      <c r="D703" s="321"/>
      <c r="E703" s="318"/>
      <c r="F703" s="318"/>
      <c r="G703" s="318"/>
      <c r="H703" s="318"/>
    </row>
    <row r="704" spans="4:8" ht="12.75" customHeight="1">
      <c r="D704" s="321"/>
      <c r="E704" s="318"/>
      <c r="F704" s="318"/>
      <c r="G704" s="318"/>
      <c r="H704" s="318"/>
    </row>
    <row r="705" spans="4:8" ht="12.75" customHeight="1">
      <c r="D705" s="321"/>
      <c r="E705" s="318"/>
      <c r="F705" s="318"/>
      <c r="G705" s="318"/>
      <c r="H705" s="318"/>
    </row>
    <row r="706" spans="4:8" ht="12.75" customHeight="1">
      <c r="D706" s="321"/>
      <c r="E706" s="318"/>
      <c r="F706" s="318"/>
      <c r="G706" s="318"/>
      <c r="H706" s="318"/>
    </row>
    <row r="707" spans="4:8" ht="12.75" customHeight="1">
      <c r="D707" s="321"/>
      <c r="E707" s="318"/>
      <c r="F707" s="318"/>
      <c r="G707" s="318"/>
      <c r="H707" s="318"/>
    </row>
    <row r="708" spans="4:8" ht="12.75" customHeight="1">
      <c r="D708" s="321"/>
      <c r="E708" s="318"/>
      <c r="F708" s="318"/>
      <c r="G708" s="318"/>
      <c r="H708" s="318"/>
    </row>
    <row r="709" spans="4:8" ht="12.75" customHeight="1">
      <c r="D709" s="321"/>
      <c r="E709" s="318"/>
      <c r="F709" s="318"/>
      <c r="G709" s="318"/>
      <c r="H709" s="318"/>
    </row>
    <row r="710" spans="4:8" ht="12.75" customHeight="1">
      <c r="D710" s="321"/>
      <c r="E710" s="318"/>
      <c r="F710" s="318"/>
      <c r="G710" s="318"/>
      <c r="H710" s="318"/>
    </row>
    <row r="711" spans="4:8" ht="12.75" customHeight="1">
      <c r="D711" s="321"/>
      <c r="E711" s="318"/>
      <c r="F711" s="318"/>
      <c r="G711" s="318"/>
      <c r="H711" s="318"/>
    </row>
    <row r="712" spans="4:8" ht="12.75" customHeight="1">
      <c r="D712" s="321"/>
      <c r="E712" s="318"/>
      <c r="F712" s="318"/>
      <c r="G712" s="318"/>
      <c r="H712" s="318"/>
    </row>
    <row r="713" spans="4:8" ht="12.75" customHeight="1">
      <c r="D713" s="321"/>
      <c r="E713" s="318"/>
      <c r="F713" s="318"/>
      <c r="G713" s="318"/>
      <c r="H713" s="318"/>
    </row>
    <row r="714" spans="4:8" ht="12.75" customHeight="1">
      <c r="D714" s="321"/>
      <c r="E714" s="318"/>
      <c r="F714" s="318"/>
      <c r="G714" s="318"/>
      <c r="H714" s="318"/>
    </row>
    <row r="715" spans="4:8" ht="12.75" customHeight="1">
      <c r="D715" s="321"/>
      <c r="E715" s="318"/>
      <c r="F715" s="318"/>
      <c r="G715" s="318"/>
      <c r="H715" s="318"/>
    </row>
    <row r="716" spans="4:8" ht="12.75" customHeight="1">
      <c r="D716" s="321"/>
      <c r="E716" s="318"/>
      <c r="F716" s="318"/>
      <c r="G716" s="318"/>
      <c r="H716" s="318"/>
    </row>
    <row r="717" spans="4:8" ht="12.75" customHeight="1">
      <c r="D717" s="321"/>
      <c r="E717" s="318"/>
      <c r="F717" s="318"/>
      <c r="G717" s="318"/>
      <c r="H717" s="318"/>
    </row>
    <row r="718" spans="4:8" ht="12.75" customHeight="1">
      <c r="D718" s="321"/>
      <c r="E718" s="318"/>
      <c r="F718" s="318"/>
      <c r="G718" s="318"/>
      <c r="H718" s="318"/>
    </row>
    <row r="719" spans="4:8" ht="12.75" customHeight="1">
      <c r="D719" s="321"/>
      <c r="E719" s="318"/>
      <c r="F719" s="318"/>
      <c r="G719" s="318"/>
      <c r="H719" s="318"/>
    </row>
    <row r="720" spans="4:8" ht="12.75" customHeight="1">
      <c r="D720" s="321"/>
      <c r="E720" s="318"/>
      <c r="F720" s="318"/>
      <c r="G720" s="318"/>
      <c r="H720" s="318"/>
    </row>
    <row r="721" spans="4:8" ht="12.75" customHeight="1">
      <c r="D721" s="321"/>
      <c r="E721" s="318"/>
      <c r="F721" s="318"/>
      <c r="G721" s="318"/>
      <c r="H721" s="318"/>
    </row>
    <row r="722" spans="4:8" ht="12.75" customHeight="1">
      <c r="D722" s="321"/>
      <c r="E722" s="318"/>
      <c r="F722" s="318"/>
      <c r="G722" s="318"/>
      <c r="H722" s="318"/>
    </row>
    <row r="723" spans="4:8" ht="12.75" customHeight="1">
      <c r="D723" s="321"/>
      <c r="E723" s="318"/>
      <c r="F723" s="318"/>
      <c r="G723" s="318"/>
      <c r="H723" s="318"/>
    </row>
    <row r="724" spans="4:8" ht="12.75" customHeight="1">
      <c r="D724" s="321"/>
      <c r="E724" s="318"/>
      <c r="F724" s="318"/>
      <c r="G724" s="318"/>
      <c r="H724" s="318"/>
    </row>
    <row r="725" spans="4:8" ht="12.75" customHeight="1">
      <c r="D725" s="321"/>
      <c r="E725" s="318"/>
      <c r="F725" s="318"/>
      <c r="G725" s="318"/>
      <c r="H725" s="318"/>
    </row>
    <row r="726" spans="4:8" ht="12.75" customHeight="1">
      <c r="D726" s="321"/>
      <c r="E726" s="318"/>
      <c r="F726" s="318"/>
      <c r="G726" s="318"/>
      <c r="H726" s="318"/>
    </row>
    <row r="727" spans="4:8" ht="12.75" customHeight="1">
      <c r="D727" s="321"/>
      <c r="E727" s="318"/>
      <c r="F727" s="318"/>
      <c r="G727" s="318"/>
      <c r="H727" s="318"/>
    </row>
    <row r="728" spans="4:8" ht="12.75" customHeight="1">
      <c r="D728" s="321"/>
      <c r="E728" s="318"/>
      <c r="F728" s="318"/>
      <c r="G728" s="318"/>
      <c r="H728" s="318"/>
    </row>
    <row r="729" spans="4:8" ht="12.75" customHeight="1">
      <c r="D729" s="321"/>
      <c r="E729" s="318"/>
      <c r="F729" s="318"/>
      <c r="G729" s="318"/>
      <c r="H729" s="318"/>
    </row>
    <row r="730" spans="4:8" ht="12.75" customHeight="1">
      <c r="D730" s="321"/>
      <c r="E730" s="318"/>
      <c r="F730" s="318"/>
      <c r="G730" s="318"/>
      <c r="H730" s="318"/>
    </row>
    <row r="731" spans="4:8" ht="12.75" customHeight="1">
      <c r="D731" s="321"/>
      <c r="E731" s="318"/>
      <c r="F731" s="318"/>
      <c r="G731" s="318"/>
      <c r="H731" s="318"/>
    </row>
    <row r="732" spans="4:8" ht="12.75" customHeight="1">
      <c r="D732" s="321"/>
      <c r="E732" s="318"/>
      <c r="F732" s="318"/>
      <c r="G732" s="318"/>
      <c r="H732" s="318"/>
    </row>
    <row r="733" spans="4:8" ht="12.75" customHeight="1">
      <c r="D733" s="321"/>
      <c r="E733" s="318"/>
      <c r="F733" s="318"/>
      <c r="G733" s="318"/>
      <c r="H733" s="318"/>
    </row>
    <row r="734" spans="4:8" ht="12.75" customHeight="1">
      <c r="D734" s="321"/>
      <c r="E734" s="318"/>
      <c r="F734" s="318"/>
      <c r="G734" s="318"/>
      <c r="H734" s="318"/>
    </row>
    <row r="735" spans="4:8" ht="12.75" customHeight="1">
      <c r="D735" s="321"/>
      <c r="E735" s="318"/>
      <c r="F735" s="318"/>
      <c r="G735" s="318"/>
      <c r="H735" s="318"/>
    </row>
    <row r="736" spans="4:8" ht="12.75" customHeight="1">
      <c r="D736" s="321"/>
      <c r="E736" s="318"/>
      <c r="F736" s="318"/>
      <c r="G736" s="318"/>
      <c r="H736" s="318"/>
    </row>
    <row r="737" spans="4:8" ht="12.75" customHeight="1">
      <c r="D737" s="321"/>
      <c r="E737" s="318"/>
      <c r="F737" s="318"/>
      <c r="G737" s="318"/>
      <c r="H737" s="318"/>
    </row>
    <row r="738" spans="4:8" ht="12.75" customHeight="1">
      <c r="D738" s="321"/>
      <c r="E738" s="318"/>
      <c r="F738" s="318"/>
      <c r="G738" s="318"/>
      <c r="H738" s="318"/>
    </row>
    <row r="739" spans="4:8" ht="12.75" customHeight="1">
      <c r="D739" s="321"/>
      <c r="E739" s="318"/>
      <c r="F739" s="318"/>
      <c r="G739" s="318"/>
      <c r="H739" s="318"/>
    </row>
    <row r="740" spans="4:8" ht="12.75" customHeight="1">
      <c r="D740" s="321"/>
      <c r="E740" s="318"/>
      <c r="F740" s="318"/>
      <c r="G740" s="318"/>
      <c r="H740" s="318"/>
    </row>
    <row r="741" spans="4:8" ht="12.75" customHeight="1">
      <c r="D741" s="321"/>
      <c r="E741" s="318"/>
      <c r="F741" s="318"/>
      <c r="G741" s="318"/>
      <c r="H741" s="318"/>
    </row>
    <row r="742" spans="4:8" ht="12.75" customHeight="1">
      <c r="D742" s="321"/>
      <c r="E742" s="318"/>
      <c r="F742" s="318"/>
      <c r="G742" s="318"/>
      <c r="H742" s="318"/>
    </row>
    <row r="743" spans="4:8" ht="13.5" customHeight="1">
      <c r="D743" s="321"/>
      <c r="E743" s="318"/>
      <c r="F743" s="318"/>
      <c r="G743" s="318"/>
      <c r="H743" s="318"/>
    </row>
    <row r="744" spans="4:8" ht="12.75" customHeight="1">
      <c r="D744" s="321"/>
      <c r="E744" s="318"/>
      <c r="F744" s="318"/>
      <c r="G744" s="318"/>
      <c r="H744" s="318"/>
    </row>
    <row r="745" spans="4:8" ht="12.75" customHeight="1">
      <c r="D745" s="321"/>
      <c r="E745" s="318"/>
      <c r="F745" s="318"/>
      <c r="G745" s="318"/>
      <c r="H745" s="318"/>
    </row>
    <row r="746" spans="4:8" ht="12.75" customHeight="1">
      <c r="D746" s="321"/>
      <c r="E746" s="318"/>
      <c r="F746" s="318"/>
      <c r="G746" s="318"/>
      <c r="H746" s="318"/>
    </row>
    <row r="747" spans="4:8" ht="12.75" customHeight="1">
      <c r="D747" s="321"/>
      <c r="E747" s="318"/>
      <c r="F747" s="318"/>
      <c r="G747" s="318"/>
      <c r="H747" s="318"/>
    </row>
    <row r="748" spans="4:8" ht="12.75" customHeight="1">
      <c r="D748" s="321"/>
      <c r="E748" s="318"/>
      <c r="F748" s="318"/>
      <c r="G748" s="318"/>
      <c r="H748" s="318"/>
    </row>
    <row r="749" spans="4:8" ht="12.75" customHeight="1">
      <c r="D749" s="321"/>
      <c r="E749" s="318"/>
      <c r="F749" s="318"/>
      <c r="G749" s="318"/>
      <c r="H749" s="318"/>
    </row>
    <row r="750" spans="4:8" ht="12.75" customHeight="1">
      <c r="D750" s="321"/>
      <c r="E750" s="318"/>
      <c r="F750" s="318"/>
      <c r="G750" s="318"/>
      <c r="H750" s="318"/>
    </row>
    <row r="751" spans="4:8" ht="12.75" customHeight="1">
      <c r="D751" s="321"/>
      <c r="E751" s="318"/>
      <c r="F751" s="318"/>
      <c r="G751" s="318"/>
      <c r="H751" s="318"/>
    </row>
    <row r="752" spans="4:8" ht="12.75" customHeight="1">
      <c r="D752" s="321"/>
      <c r="E752" s="318"/>
      <c r="F752" s="318"/>
      <c r="G752" s="318"/>
      <c r="H752" s="318"/>
    </row>
    <row r="753" spans="4:8" ht="12.75" customHeight="1">
      <c r="D753" s="321"/>
      <c r="E753" s="318"/>
      <c r="F753" s="318"/>
      <c r="G753" s="318"/>
      <c r="H753" s="318"/>
    </row>
    <row r="754" spans="4:8" ht="12.75" customHeight="1">
      <c r="D754" s="321"/>
      <c r="E754" s="318"/>
      <c r="F754" s="318"/>
      <c r="G754" s="318"/>
      <c r="H754" s="318"/>
    </row>
    <row r="755" spans="4:8" ht="12.75" customHeight="1">
      <c r="D755" s="321"/>
      <c r="E755" s="318"/>
      <c r="F755" s="318"/>
      <c r="G755" s="318"/>
      <c r="H755" s="318"/>
    </row>
    <row r="756" spans="4:8" ht="12.75" customHeight="1">
      <c r="D756" s="321"/>
      <c r="E756" s="318"/>
      <c r="F756" s="318"/>
      <c r="G756" s="318"/>
      <c r="H756" s="318"/>
    </row>
    <row r="757" spans="4:8" ht="12.75" customHeight="1">
      <c r="D757" s="321"/>
      <c r="E757" s="318"/>
      <c r="F757" s="318"/>
      <c r="G757" s="318"/>
      <c r="H757" s="318"/>
    </row>
    <row r="758" spans="4:8" ht="12.75" customHeight="1">
      <c r="D758" s="321"/>
      <c r="E758" s="318"/>
      <c r="F758" s="318"/>
      <c r="G758" s="318"/>
      <c r="H758" s="318"/>
    </row>
    <row r="759" spans="4:8" ht="12.75" customHeight="1">
      <c r="D759" s="321"/>
      <c r="E759" s="318"/>
      <c r="F759" s="318"/>
      <c r="G759" s="318"/>
      <c r="H759" s="318"/>
    </row>
    <row r="760" spans="4:8" ht="12.75" customHeight="1">
      <c r="D760" s="321"/>
      <c r="E760" s="318"/>
      <c r="F760" s="318"/>
      <c r="G760" s="318"/>
      <c r="H760" s="318"/>
    </row>
    <row r="761" spans="4:8" ht="12.75" customHeight="1">
      <c r="D761" s="321"/>
      <c r="E761" s="318"/>
      <c r="F761" s="318"/>
      <c r="G761" s="318"/>
      <c r="H761" s="318"/>
    </row>
    <row r="762" spans="4:8" ht="12.75" customHeight="1">
      <c r="D762" s="321"/>
      <c r="E762" s="318"/>
      <c r="F762" s="318"/>
      <c r="G762" s="318"/>
      <c r="H762" s="318"/>
    </row>
    <row r="763" spans="4:8" ht="12.75" customHeight="1">
      <c r="D763" s="321"/>
      <c r="E763" s="318"/>
      <c r="F763" s="318"/>
      <c r="G763" s="318"/>
      <c r="H763" s="318"/>
    </row>
    <row r="764" spans="4:8" ht="12.75" customHeight="1">
      <c r="D764" s="321"/>
      <c r="E764" s="318"/>
      <c r="F764" s="318"/>
      <c r="G764" s="318"/>
      <c r="H764" s="318"/>
    </row>
    <row r="765" spans="4:8" ht="12.75" customHeight="1">
      <c r="D765" s="321"/>
      <c r="E765" s="318"/>
      <c r="F765" s="318"/>
      <c r="G765" s="318"/>
      <c r="H765" s="318"/>
    </row>
    <row r="766" spans="4:8" ht="12.75" customHeight="1">
      <c r="D766" s="321"/>
      <c r="E766" s="318"/>
      <c r="F766" s="318"/>
      <c r="G766" s="318"/>
      <c r="H766" s="318"/>
    </row>
    <row r="767" spans="4:8" ht="12.75" customHeight="1">
      <c r="D767" s="321"/>
      <c r="E767" s="318"/>
      <c r="F767" s="318"/>
      <c r="G767" s="318"/>
      <c r="H767" s="318"/>
    </row>
    <row r="768" spans="4:8" ht="12.75" customHeight="1">
      <c r="D768" s="321"/>
      <c r="E768" s="318"/>
      <c r="F768" s="318"/>
      <c r="G768" s="318"/>
      <c r="H768" s="318"/>
    </row>
    <row r="769" spans="4:30" ht="12.75" customHeight="1">
      <c r="D769" s="321"/>
      <c r="E769" s="318"/>
      <c r="F769" s="318"/>
      <c r="G769" s="318"/>
      <c r="H769" s="318"/>
    </row>
    <row r="770" spans="4:30" ht="12.75" customHeight="1">
      <c r="D770" s="321"/>
      <c r="E770" s="318"/>
      <c r="F770" s="318"/>
      <c r="G770" s="318"/>
      <c r="H770" s="318"/>
      <c r="AD770" s="111">
        <v>1</v>
      </c>
    </row>
    <row r="771" spans="4:30" ht="12.75" customHeight="1">
      <c r="D771" s="321"/>
      <c r="E771" s="318"/>
      <c r="F771" s="318"/>
      <c r="G771" s="318"/>
      <c r="H771" s="318"/>
    </row>
    <row r="772" spans="4:30" ht="12.75" customHeight="1">
      <c r="D772" s="321"/>
      <c r="E772" s="318"/>
      <c r="F772" s="318"/>
      <c r="G772" s="318"/>
      <c r="H772" s="318"/>
    </row>
    <row r="773" spans="4:30" ht="12.75" customHeight="1">
      <c r="D773" s="321"/>
      <c r="E773" s="318"/>
      <c r="F773" s="318"/>
      <c r="G773" s="318"/>
      <c r="H773" s="318"/>
    </row>
    <row r="774" spans="4:30" ht="12.75" customHeight="1">
      <c r="D774" s="321"/>
      <c r="E774" s="318"/>
      <c r="F774" s="318"/>
      <c r="G774" s="318"/>
      <c r="H774" s="318"/>
    </row>
    <row r="775" spans="4:30" ht="12.75" customHeight="1">
      <c r="D775" s="321"/>
      <c r="E775" s="318"/>
      <c r="F775" s="318"/>
      <c r="G775" s="318"/>
      <c r="H775" s="318"/>
    </row>
    <row r="776" spans="4:30" ht="12.75" customHeight="1">
      <c r="D776" s="321"/>
      <c r="E776" s="318"/>
      <c r="F776" s="318"/>
      <c r="G776" s="318"/>
      <c r="H776" s="318"/>
    </row>
    <row r="777" spans="4:30" ht="12.75" customHeight="1">
      <c r="D777" s="321"/>
      <c r="E777" s="318"/>
      <c r="F777" s="318"/>
      <c r="G777" s="318"/>
      <c r="H777" s="318"/>
    </row>
    <row r="778" spans="4:30" ht="12.75" customHeight="1">
      <c r="D778" s="321"/>
      <c r="E778" s="318"/>
      <c r="F778" s="318"/>
      <c r="G778" s="318"/>
      <c r="H778" s="318"/>
    </row>
    <row r="779" spans="4:30" ht="12.75" customHeight="1">
      <c r="D779" s="321"/>
      <c r="E779" s="318"/>
      <c r="F779" s="318"/>
      <c r="G779" s="318"/>
      <c r="H779" s="318"/>
    </row>
    <row r="780" spans="4:30" ht="12.75" customHeight="1">
      <c r="D780" s="321"/>
      <c r="E780" s="318"/>
      <c r="F780" s="318"/>
      <c r="G780" s="318"/>
      <c r="H780" s="318"/>
    </row>
    <row r="781" spans="4:30" ht="12.75" customHeight="1">
      <c r="D781" s="321"/>
      <c r="E781" s="318"/>
      <c r="F781" s="318"/>
      <c r="G781" s="318"/>
      <c r="H781" s="318"/>
    </row>
    <row r="782" spans="4:30" ht="12.75" customHeight="1">
      <c r="D782" s="321"/>
      <c r="E782" s="318"/>
      <c r="F782" s="318"/>
      <c r="G782" s="318"/>
      <c r="H782" s="318"/>
    </row>
    <row r="783" spans="4:30" ht="12.75" customHeight="1">
      <c r="D783" s="321"/>
      <c r="F783" s="318"/>
      <c r="G783" s="318"/>
      <c r="H783" s="318"/>
    </row>
    <row r="784" spans="4:30" ht="12.75" customHeight="1">
      <c r="D784" s="321"/>
      <c r="F784" s="318"/>
      <c r="G784" s="318"/>
      <c r="H784" s="318"/>
    </row>
    <row r="785" spans="31:31" ht="12.75" customHeight="1"/>
    <row r="786" spans="31:31" ht="12.75" customHeight="1"/>
    <row r="787" spans="31:31" ht="12.75" customHeight="1"/>
    <row r="788" spans="31:31" ht="12.75" customHeight="1"/>
    <row r="789" spans="31:31" ht="12.75" customHeight="1"/>
    <row r="790" spans="31:31" ht="12.75" customHeight="1"/>
    <row r="791" spans="31:31" ht="12.75" customHeight="1"/>
    <row r="792" spans="31:31" ht="12.75" customHeight="1"/>
    <row r="793" spans="31:31" ht="12" customHeight="1"/>
    <row r="794" spans="31:31" ht="12.75" customHeight="1"/>
    <row r="795" spans="31:31" ht="12.75" customHeight="1"/>
    <row r="796" spans="31:31" ht="12.75" customHeight="1"/>
    <row r="797" spans="31:31" ht="12.75" customHeight="1"/>
    <row r="798" spans="31:31" ht="12.75" customHeight="1">
      <c r="AE798" s="429"/>
    </row>
    <row r="799" spans="31:31" ht="12.75" customHeight="1"/>
    <row r="800" spans="31:31"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281">
    <mergeCell ref="K257:M257"/>
    <mergeCell ref="P257:Q257"/>
    <mergeCell ref="L258:M258"/>
    <mergeCell ref="B71:D71"/>
    <mergeCell ref="F71:I71"/>
    <mergeCell ref="L71:M71"/>
    <mergeCell ref="O71:Q71"/>
    <mergeCell ref="C72:D72"/>
    <mergeCell ref="F72:H72"/>
    <mergeCell ref="K64:L64"/>
    <mergeCell ref="N64:O64"/>
    <mergeCell ref="P64:Q64"/>
    <mergeCell ref="K65:L65"/>
    <mergeCell ref="N65:O65"/>
    <mergeCell ref="K70:M70"/>
    <mergeCell ref="O70:Q70"/>
    <mergeCell ref="D62:F62"/>
    <mergeCell ref="K62:L62"/>
    <mergeCell ref="N62:O62"/>
    <mergeCell ref="P59:Q59"/>
    <mergeCell ref="P57:Q57"/>
    <mergeCell ref="T57:U57"/>
    <mergeCell ref="K58:L58"/>
    <mergeCell ref="N58:O58"/>
    <mergeCell ref="P58:Q58"/>
    <mergeCell ref="T58:U58"/>
    <mergeCell ref="T62:U62"/>
    <mergeCell ref="K63:L63"/>
    <mergeCell ref="N63:O63"/>
    <mergeCell ref="T63:U63"/>
    <mergeCell ref="T59:U59"/>
    <mergeCell ref="K60:L60"/>
    <mergeCell ref="N60:O60"/>
    <mergeCell ref="P60:Q60"/>
    <mergeCell ref="T60:U60"/>
    <mergeCell ref="K61:L61"/>
    <mergeCell ref="N61:O61"/>
    <mergeCell ref="P61:Q61"/>
    <mergeCell ref="T61:U61"/>
    <mergeCell ref="B57:C58"/>
    <mergeCell ref="D57:F58"/>
    <mergeCell ref="G57:I58"/>
    <mergeCell ref="K57:L57"/>
    <mergeCell ref="N57:O57"/>
    <mergeCell ref="B59:C60"/>
    <mergeCell ref="D59:F60"/>
    <mergeCell ref="G59:I60"/>
    <mergeCell ref="K59:L59"/>
    <mergeCell ref="N59:O59"/>
    <mergeCell ref="B55:C56"/>
    <mergeCell ref="D55:F56"/>
    <mergeCell ref="G55:I56"/>
    <mergeCell ref="K55:L55"/>
    <mergeCell ref="N55:O55"/>
    <mergeCell ref="P55:Q55"/>
    <mergeCell ref="T55:U55"/>
    <mergeCell ref="K56:L56"/>
    <mergeCell ref="N56:O56"/>
    <mergeCell ref="P56:Q56"/>
    <mergeCell ref="T56:U56"/>
    <mergeCell ref="B53:C54"/>
    <mergeCell ref="D53:F54"/>
    <mergeCell ref="G53:I54"/>
    <mergeCell ref="K53:L53"/>
    <mergeCell ref="N53:O53"/>
    <mergeCell ref="P53:Q53"/>
    <mergeCell ref="T53:U53"/>
    <mergeCell ref="K54:L54"/>
    <mergeCell ref="N54:O54"/>
    <mergeCell ref="P54:Q54"/>
    <mergeCell ref="T54:U54"/>
    <mergeCell ref="B51:C52"/>
    <mergeCell ref="D51:F52"/>
    <mergeCell ref="G51:I52"/>
    <mergeCell ref="K51:L51"/>
    <mergeCell ref="N51:O51"/>
    <mergeCell ref="P51:Q51"/>
    <mergeCell ref="T51:U51"/>
    <mergeCell ref="K52:L52"/>
    <mergeCell ref="N52:O52"/>
    <mergeCell ref="P52:Q52"/>
    <mergeCell ref="T52:U52"/>
    <mergeCell ref="T48:U48"/>
    <mergeCell ref="B49:C50"/>
    <mergeCell ref="D49:F50"/>
    <mergeCell ref="G49:I50"/>
    <mergeCell ref="K49:L49"/>
    <mergeCell ref="N49:O49"/>
    <mergeCell ref="P49:Q49"/>
    <mergeCell ref="T49:U49"/>
    <mergeCell ref="K50:L50"/>
    <mergeCell ref="N50:O50"/>
    <mergeCell ref="B48:C48"/>
    <mergeCell ref="D48:F48"/>
    <mergeCell ref="G48:I48"/>
    <mergeCell ref="K48:L48"/>
    <mergeCell ref="N48:O48"/>
    <mergeCell ref="P48:Q48"/>
    <mergeCell ref="P50:Q50"/>
    <mergeCell ref="T50:U50"/>
    <mergeCell ref="K46:L46"/>
    <mergeCell ref="N46:O46"/>
    <mergeCell ref="P46:Q46"/>
    <mergeCell ref="T46:U46"/>
    <mergeCell ref="K47:L47"/>
    <mergeCell ref="N47:O47"/>
    <mergeCell ref="P47:Q47"/>
    <mergeCell ref="T47:U47"/>
    <mergeCell ref="K44:L44"/>
    <mergeCell ref="N44:O44"/>
    <mergeCell ref="P44:Q44"/>
    <mergeCell ref="T44:U44"/>
    <mergeCell ref="K45:L45"/>
    <mergeCell ref="N45:O45"/>
    <mergeCell ref="P45:Q45"/>
    <mergeCell ref="T45:U45"/>
    <mergeCell ref="K42:L42"/>
    <mergeCell ref="N42:O42"/>
    <mergeCell ref="P42:Q42"/>
    <mergeCell ref="T42:U42"/>
    <mergeCell ref="K43:L43"/>
    <mergeCell ref="N43:O43"/>
    <mergeCell ref="P43:Q43"/>
    <mergeCell ref="T43:U43"/>
    <mergeCell ref="F40:I40"/>
    <mergeCell ref="K40:L40"/>
    <mergeCell ref="N40:O40"/>
    <mergeCell ref="P40:Q40"/>
    <mergeCell ref="T40:U40"/>
    <mergeCell ref="F41:G41"/>
    <mergeCell ref="K41:L41"/>
    <mergeCell ref="N41:O41"/>
    <mergeCell ref="P41:Q41"/>
    <mergeCell ref="T41:U41"/>
    <mergeCell ref="F38:I38"/>
    <mergeCell ref="K38:L38"/>
    <mergeCell ref="N38:O38"/>
    <mergeCell ref="P38:Q38"/>
    <mergeCell ref="T38:U38"/>
    <mergeCell ref="F39:I39"/>
    <mergeCell ref="K39:L39"/>
    <mergeCell ref="N39:O39"/>
    <mergeCell ref="P39:Q39"/>
    <mergeCell ref="T39:U39"/>
    <mergeCell ref="F36:I36"/>
    <mergeCell ref="K36:L36"/>
    <mergeCell ref="N36:O36"/>
    <mergeCell ref="P36:Q36"/>
    <mergeCell ref="T36:U36"/>
    <mergeCell ref="F37:I37"/>
    <mergeCell ref="K37:L37"/>
    <mergeCell ref="N37:O37"/>
    <mergeCell ref="P37:Q37"/>
    <mergeCell ref="T37:U37"/>
    <mergeCell ref="K34:L34"/>
    <mergeCell ref="N34:O34"/>
    <mergeCell ref="P34:Q34"/>
    <mergeCell ref="T34:U34"/>
    <mergeCell ref="K35:L35"/>
    <mergeCell ref="N35:O35"/>
    <mergeCell ref="P35:Q35"/>
    <mergeCell ref="T35:U35"/>
    <mergeCell ref="F32:I32"/>
    <mergeCell ref="K32:L32"/>
    <mergeCell ref="N32:O32"/>
    <mergeCell ref="P32:Q32"/>
    <mergeCell ref="T32:U32"/>
    <mergeCell ref="K33:L33"/>
    <mergeCell ref="N33:O33"/>
    <mergeCell ref="P33:Q33"/>
    <mergeCell ref="T33:U33"/>
    <mergeCell ref="F30:I30"/>
    <mergeCell ref="K30:L30"/>
    <mergeCell ref="N30:O30"/>
    <mergeCell ref="P30:Q30"/>
    <mergeCell ref="T30:U30"/>
    <mergeCell ref="K31:L31"/>
    <mergeCell ref="N31:O31"/>
    <mergeCell ref="P31:Q31"/>
    <mergeCell ref="T31:U31"/>
    <mergeCell ref="B29:C29"/>
    <mergeCell ref="F29:I29"/>
    <mergeCell ref="K29:L29"/>
    <mergeCell ref="N29:O29"/>
    <mergeCell ref="P29:Q29"/>
    <mergeCell ref="T29:U29"/>
    <mergeCell ref="F27:I27"/>
    <mergeCell ref="K27:L27"/>
    <mergeCell ref="N27:O27"/>
    <mergeCell ref="P27:Q27"/>
    <mergeCell ref="T27:U27"/>
    <mergeCell ref="K28:L28"/>
    <mergeCell ref="N28:O28"/>
    <mergeCell ref="P28:Q28"/>
    <mergeCell ref="T28:U28"/>
    <mergeCell ref="K25:L25"/>
    <mergeCell ref="N25:O25"/>
    <mergeCell ref="P25:Q25"/>
    <mergeCell ref="T25:U25"/>
    <mergeCell ref="K26:L26"/>
    <mergeCell ref="N26:O26"/>
    <mergeCell ref="P26:Q26"/>
    <mergeCell ref="T26:U26"/>
    <mergeCell ref="K23:L23"/>
    <mergeCell ref="N23:O23"/>
    <mergeCell ref="P23:Q23"/>
    <mergeCell ref="T23:U23"/>
    <mergeCell ref="F24:I24"/>
    <mergeCell ref="K24:L24"/>
    <mergeCell ref="N24:O24"/>
    <mergeCell ref="P24:Q24"/>
    <mergeCell ref="T24:U24"/>
    <mergeCell ref="K21:L21"/>
    <mergeCell ref="N21:O21"/>
    <mergeCell ref="P21:Q21"/>
    <mergeCell ref="T21:U21"/>
    <mergeCell ref="F22:I22"/>
    <mergeCell ref="K22:L22"/>
    <mergeCell ref="N22:O22"/>
    <mergeCell ref="P22:Q22"/>
    <mergeCell ref="T22:U22"/>
    <mergeCell ref="F20:I20"/>
    <mergeCell ref="K20:L20"/>
    <mergeCell ref="N20:O20"/>
    <mergeCell ref="P20:Q20"/>
    <mergeCell ref="T20:U20"/>
    <mergeCell ref="Y20:Z20"/>
    <mergeCell ref="T18:U18"/>
    <mergeCell ref="Y18:Z18"/>
    <mergeCell ref="F19:I19"/>
    <mergeCell ref="K19:L19"/>
    <mergeCell ref="N19:O19"/>
    <mergeCell ref="P19:Q19"/>
    <mergeCell ref="T19:U19"/>
    <mergeCell ref="Y19:Z19"/>
    <mergeCell ref="F16:I16"/>
    <mergeCell ref="F17:I17"/>
    <mergeCell ref="K17:L17"/>
    <mergeCell ref="N17:O17"/>
    <mergeCell ref="P17:Q17"/>
    <mergeCell ref="K18:L18"/>
    <mergeCell ref="N18:O18"/>
    <mergeCell ref="P18:Q18"/>
    <mergeCell ref="E13:F13"/>
    <mergeCell ref="H13:I13"/>
    <mergeCell ref="K13:L13"/>
    <mergeCell ref="N13:O13"/>
    <mergeCell ref="P13:Q13"/>
    <mergeCell ref="F15:I15"/>
    <mergeCell ref="K15:L16"/>
    <mergeCell ref="M15:M16"/>
    <mergeCell ref="N15:O16"/>
    <mergeCell ref="P15:Q16"/>
    <mergeCell ref="E11:F11"/>
    <mergeCell ref="H11:I11"/>
    <mergeCell ref="K11:L11"/>
    <mergeCell ref="N11:O11"/>
    <mergeCell ref="P11:Q11"/>
    <mergeCell ref="E12:F12"/>
    <mergeCell ref="H12:I12"/>
    <mergeCell ref="K12:L12"/>
    <mergeCell ref="N12:O12"/>
    <mergeCell ref="P12:Q12"/>
    <mergeCell ref="E10:I10"/>
    <mergeCell ref="K10:L10"/>
    <mergeCell ref="N10:Q10"/>
    <mergeCell ref="E7:F7"/>
    <mergeCell ref="K7:L7"/>
    <mergeCell ref="N7:Q7"/>
    <mergeCell ref="E8:I8"/>
    <mergeCell ref="K8:L8"/>
    <mergeCell ref="N8:Q8"/>
    <mergeCell ref="G2:I2"/>
    <mergeCell ref="B4:I4"/>
    <mergeCell ref="K4:Q4"/>
    <mergeCell ref="E6:I6"/>
    <mergeCell ref="K6:L6"/>
    <mergeCell ref="N6:Q6"/>
    <mergeCell ref="E9:I9"/>
    <mergeCell ref="K9:L9"/>
    <mergeCell ref="N9:Q9"/>
  </mergeCells>
  <pageMargins left="0.70866141732283472" right="0.70866141732283472" top="0.82677165354330717" bottom="0.74803149606299213" header="0.31496062992125984" footer="0.31496062992125984"/>
  <pageSetup paperSize="10000" scale="70" orientation="portrait" r:id="rId1"/>
  <headerFooter>
    <oddHeader xml:space="preserve">&amp;R&amp;"Century Gothic,Bold"&amp;18ANNEX A: 
SAMPLE PACKAGE COMPUTATION
</oddHead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7">
    <tabColor rgb="FF00B0F0"/>
  </sheetPr>
  <dimension ref="A1:BM114"/>
  <sheetViews>
    <sheetView showGridLines="0" showZeros="0" showRuler="0" view="pageLayout" topLeftCell="A4" zoomScale="85" zoomScaleNormal="90" zoomScaleSheetLayoutView="80" zoomScalePageLayoutView="85" workbookViewId="0">
      <selection activeCell="A25" sqref="A25"/>
    </sheetView>
  </sheetViews>
  <sheetFormatPr defaultColWidth="9.140625" defaultRowHeight="13.5"/>
  <cols>
    <col min="1" max="1" width="1.140625" style="15" customWidth="1"/>
    <col min="2" max="2" width="12" style="15" customWidth="1"/>
    <col min="3" max="3" width="30.85546875" style="15" customWidth="1"/>
    <col min="4" max="4" width="21" style="21" customWidth="1"/>
    <col min="5" max="5" width="19.85546875" style="15" customWidth="1"/>
    <col min="6" max="6" width="17.140625" style="15" customWidth="1"/>
    <col min="7" max="7" width="18.85546875" style="15" customWidth="1"/>
    <col min="8" max="8" width="11.140625" style="15" customWidth="1"/>
    <col min="9" max="9" width="7" style="15" customWidth="1"/>
    <col min="10" max="10" width="0.85546875" style="15" customWidth="1"/>
    <col min="11" max="11" width="9.140625" style="15"/>
    <col min="12" max="12" width="26" style="15" customWidth="1"/>
    <col min="13" max="13" width="22.140625" style="339" customWidth="1"/>
    <col min="14" max="14" width="12.140625" style="15" customWidth="1"/>
    <col min="15" max="15" width="16.5703125" style="15" customWidth="1"/>
    <col min="16" max="16" width="21.140625" style="15" customWidth="1"/>
    <col min="17" max="17" width="27.140625" style="15" customWidth="1"/>
    <col min="18" max="18" width="0.140625" style="15" customWidth="1"/>
    <col min="19" max="19" width="0.85546875" style="15" customWidth="1"/>
    <col min="20" max="20" width="7.85546875" style="15" customWidth="1"/>
    <col min="21" max="21" width="24" style="15" customWidth="1"/>
    <col min="22" max="22" width="4.5703125" style="15" customWidth="1"/>
    <col min="23" max="23" width="18.42578125" style="15" customWidth="1"/>
    <col min="24" max="24" width="8.140625" style="15" customWidth="1"/>
    <col min="25" max="25" width="9.85546875" style="15" customWidth="1"/>
    <col min="26" max="26" width="14.42578125" style="15" customWidth="1"/>
    <col min="27" max="27" width="7.5703125" style="15" customWidth="1"/>
    <col min="28" max="28" width="17.85546875" style="15" customWidth="1"/>
    <col min="29" max="29" width="18.42578125" style="15" customWidth="1"/>
    <col min="30" max="30" width="3" style="15" customWidth="1"/>
    <col min="31" max="31" width="4.42578125" style="15" customWidth="1"/>
    <col min="32" max="34" width="9.140625" style="15"/>
    <col min="35" max="35" width="9.140625" style="15" customWidth="1"/>
    <col min="36" max="37" width="9.140625" style="15" hidden="1" customWidth="1"/>
    <col min="38" max="16384" width="9.140625" style="15"/>
  </cols>
  <sheetData>
    <row r="1" spans="1:65" s="19" customFormat="1" ht="12.6">
      <c r="B1" s="243" t="s">
        <v>783</v>
      </c>
      <c r="C1" s="478">
        <f>FORM!I20</f>
        <v>45901</v>
      </c>
      <c r="D1" s="242"/>
      <c r="E1" s="90"/>
      <c r="F1" s="173" t="s">
        <v>784</v>
      </c>
      <c r="G1" s="1414" t="s">
        <v>986</v>
      </c>
      <c r="H1" s="1414"/>
      <c r="I1" s="1414"/>
      <c r="J1" s="17"/>
      <c r="K1" s="712" t="s">
        <v>783</v>
      </c>
      <c r="L1" s="713">
        <f>C1</f>
        <v>45901</v>
      </c>
      <c r="M1" s="714"/>
      <c r="O1" s="715"/>
      <c r="P1" s="716" t="s">
        <v>786</v>
      </c>
      <c r="Q1" s="326" t="s">
        <v>987</v>
      </c>
      <c r="S1" s="1787" t="s">
        <v>783</v>
      </c>
      <c r="T1" s="1787"/>
      <c r="U1" s="1788">
        <f>L1</f>
        <v>45901</v>
      </c>
      <c r="V1" s="1788"/>
      <c r="W1" s="717"/>
      <c r="Y1" s="715"/>
      <c r="Z1" s="1789" t="s">
        <v>786</v>
      </c>
      <c r="AA1" s="1789"/>
      <c r="AB1" s="1788" t="s">
        <v>988</v>
      </c>
      <c r="AC1" s="1788"/>
      <c r="AD1" s="1788"/>
    </row>
    <row r="2" spans="1:65" s="19" customFormat="1" ht="7.5" customHeight="1">
      <c r="B2" s="90"/>
      <c r="C2" s="91"/>
      <c r="D2" s="91"/>
      <c r="E2" s="90"/>
      <c r="F2" s="90"/>
      <c r="G2" s="90"/>
      <c r="H2" s="90"/>
      <c r="I2" s="90"/>
      <c r="K2" s="327"/>
      <c r="L2" s="327"/>
      <c r="M2" s="327"/>
      <c r="N2" s="327"/>
      <c r="O2" s="327"/>
      <c r="P2" s="327"/>
      <c r="Q2" s="327"/>
    </row>
    <row r="3" spans="1:65" s="19" customFormat="1" ht="14.25" customHeight="1">
      <c r="B3" s="1415" t="s">
        <v>989</v>
      </c>
      <c r="C3" s="1415"/>
      <c r="D3" s="1415"/>
      <c r="E3" s="1415"/>
      <c r="F3" s="1415"/>
      <c r="G3" s="1415"/>
      <c r="H3" s="1415"/>
      <c r="I3" s="1415"/>
      <c r="J3" s="328"/>
      <c r="K3" s="1790" t="s">
        <v>788</v>
      </c>
      <c r="L3" s="1790"/>
      <c r="M3" s="1790"/>
      <c r="N3" s="1790"/>
      <c r="O3" s="1790"/>
      <c r="P3" s="1790"/>
      <c r="Q3" s="1790"/>
      <c r="S3" s="1790" t="s">
        <v>990</v>
      </c>
      <c r="T3" s="1790"/>
      <c r="U3" s="1790"/>
      <c r="V3" s="1790"/>
      <c r="W3" s="1790"/>
      <c r="X3" s="1790"/>
      <c r="Y3" s="1790"/>
      <c r="Z3" s="1790"/>
      <c r="AA3" s="1790"/>
      <c r="AB3" s="1790"/>
      <c r="AC3" s="1790"/>
      <c r="AD3" s="1790"/>
    </row>
    <row r="4" spans="1:65" s="19" customFormat="1" ht="12.75" customHeight="1">
      <c r="B4" s="1415"/>
      <c r="C4" s="1415"/>
      <c r="D4" s="1415"/>
      <c r="E4" s="1415"/>
      <c r="F4" s="1415"/>
      <c r="G4" s="1415"/>
      <c r="H4" s="1415"/>
      <c r="I4" s="1415"/>
      <c r="J4" s="328"/>
      <c r="K4" s="1790"/>
      <c r="L4" s="1790"/>
      <c r="M4" s="1790"/>
      <c r="N4" s="1790"/>
      <c r="O4" s="1790"/>
      <c r="P4" s="1790"/>
      <c r="Q4" s="1790"/>
      <c r="S4" s="1790"/>
      <c r="T4" s="1790"/>
      <c r="U4" s="1790"/>
      <c r="V4" s="1790"/>
      <c r="W4" s="1790"/>
      <c r="X4" s="1790"/>
      <c r="Y4" s="1790"/>
      <c r="Z4" s="1790"/>
      <c r="AA4" s="1790"/>
      <c r="AB4" s="1790"/>
      <c r="AC4" s="1790"/>
      <c r="AD4" s="1790"/>
    </row>
    <row r="5" spans="1:65" s="19" customFormat="1" ht="12.75" customHeight="1">
      <c r="B5" s="308"/>
      <c r="C5" s="308"/>
      <c r="D5" s="344"/>
      <c r="E5" s="101"/>
      <c r="F5" s="101"/>
      <c r="G5" s="101"/>
      <c r="H5" s="101"/>
      <c r="I5" s="101"/>
      <c r="J5" s="329"/>
      <c r="K5" s="330"/>
      <c r="L5" s="331"/>
      <c r="M5" s="332"/>
      <c r="N5" s="331"/>
      <c r="O5" s="331"/>
      <c r="P5" s="331"/>
      <c r="Q5" s="332"/>
    </row>
    <row r="6" spans="1:65" s="18" customFormat="1" ht="12.6">
      <c r="A6" s="16"/>
      <c r="B6" s="365" t="s">
        <v>789</v>
      </c>
      <c r="C6" s="366"/>
      <c r="D6" s="197" t="s">
        <v>741</v>
      </c>
      <c r="E6" s="1416">
        <f>FORM!I26</f>
        <v>0</v>
      </c>
      <c r="F6" s="1417"/>
      <c r="G6" s="1417"/>
      <c r="H6" s="1417"/>
      <c r="I6" s="1418"/>
      <c r="J6" s="4"/>
      <c r="K6" s="333" t="s">
        <v>789</v>
      </c>
      <c r="L6" s="334"/>
      <c r="M6" s="13" t="s">
        <v>741</v>
      </c>
      <c r="N6" s="1783">
        <f>E6</f>
        <v>0</v>
      </c>
      <c r="O6" s="1783"/>
      <c r="P6" s="1783"/>
      <c r="Q6" s="1783"/>
      <c r="S6" s="333" t="s">
        <v>789</v>
      </c>
      <c r="T6" s="333"/>
      <c r="U6" s="333"/>
      <c r="V6" s="333"/>
      <c r="W6" s="632" t="s">
        <v>741</v>
      </c>
      <c r="X6" s="1784">
        <f t="shared" ref="X6:X13" si="0">N6</f>
        <v>0</v>
      </c>
      <c r="Y6" s="1785"/>
      <c r="Z6" s="1785"/>
      <c r="AA6" s="1785"/>
      <c r="AB6" s="1785"/>
      <c r="AC6" s="1785"/>
      <c r="AD6" s="1786"/>
      <c r="AY6" s="633"/>
      <c r="BL6" s="634"/>
      <c r="BM6" s="635"/>
    </row>
    <row r="7" spans="1:65" s="18" customFormat="1" ht="12.6">
      <c r="A7" s="16"/>
      <c r="B7" s="206" t="s">
        <v>740</v>
      </c>
      <c r="C7" s="367"/>
      <c r="D7" s="197" t="s">
        <v>741</v>
      </c>
      <c r="E7" s="1428" t="str">
        <f>FORM!I11</f>
        <v>The Southprime Flats</v>
      </c>
      <c r="F7" s="1429"/>
      <c r="G7" s="369" t="str">
        <f>FORM!I14</f>
        <v>B2</v>
      </c>
      <c r="H7" s="369"/>
      <c r="I7" s="217"/>
      <c r="J7" s="4"/>
      <c r="K7" s="335" t="s">
        <v>740</v>
      </c>
      <c r="L7" s="336"/>
      <c r="M7" s="13" t="s">
        <v>741</v>
      </c>
      <c r="N7" s="1783" t="str">
        <f>E7</f>
        <v>The Southprime Flats</v>
      </c>
      <c r="O7" s="1783"/>
      <c r="P7" s="1783"/>
      <c r="Q7" s="1783"/>
      <c r="S7" s="333" t="s">
        <v>740</v>
      </c>
      <c r="T7" s="333"/>
      <c r="U7" s="333"/>
      <c r="V7" s="333"/>
      <c r="W7" s="632" t="s">
        <v>741</v>
      </c>
      <c r="X7" s="1784" t="str">
        <f t="shared" si="0"/>
        <v>The Southprime Flats</v>
      </c>
      <c r="Y7" s="1785"/>
      <c r="Z7" s="1785"/>
      <c r="AA7" s="1785"/>
      <c r="AB7" s="1785"/>
      <c r="AC7" s="1785"/>
      <c r="AD7" s="1786"/>
      <c r="AY7" s="633"/>
      <c r="BL7" s="634"/>
      <c r="BM7" s="635"/>
    </row>
    <row r="8" spans="1:65" s="18" customFormat="1" ht="12.6">
      <c r="A8" s="16"/>
      <c r="B8" s="206" t="s">
        <v>790</v>
      </c>
      <c r="C8" s="367"/>
      <c r="D8" s="197" t="s">
        <v>741</v>
      </c>
      <c r="E8" s="1416" t="str">
        <f>'STANDARD COMP.'!E8</f>
        <v>2L</v>
      </c>
      <c r="F8" s="1417"/>
      <c r="G8" s="1417"/>
      <c r="H8" s="1417"/>
      <c r="I8" s="1418"/>
      <c r="J8" s="4"/>
      <c r="K8" s="335" t="s">
        <v>790</v>
      </c>
      <c r="L8" s="336"/>
      <c r="M8" s="13" t="s">
        <v>741</v>
      </c>
      <c r="N8" s="1783" t="str">
        <f>E8</f>
        <v>2L</v>
      </c>
      <c r="O8" s="1783"/>
      <c r="P8" s="1783"/>
      <c r="Q8" s="1783"/>
      <c r="S8" s="333" t="s">
        <v>790</v>
      </c>
      <c r="T8" s="333"/>
      <c r="U8" s="333"/>
      <c r="V8" s="333"/>
      <c r="W8" s="632" t="s">
        <v>741</v>
      </c>
      <c r="X8" s="1784" t="str">
        <f t="shared" si="0"/>
        <v>2L</v>
      </c>
      <c r="Y8" s="1785"/>
      <c r="Z8" s="1785"/>
      <c r="AA8" s="1785"/>
      <c r="AB8" s="1785"/>
      <c r="AC8" s="1785"/>
      <c r="AD8" s="1786"/>
      <c r="AY8" s="633"/>
      <c r="BL8" s="634"/>
      <c r="BM8" s="635"/>
    </row>
    <row r="9" spans="1:65" s="18" customFormat="1" ht="12.6" hidden="1">
      <c r="A9" s="16"/>
      <c r="B9" s="206" t="s">
        <v>791</v>
      </c>
      <c r="C9" s="367"/>
      <c r="D9" s="197" t="s">
        <v>741</v>
      </c>
      <c r="E9" s="1416" t="e">
        <f>FORM!#REF!</f>
        <v>#REF!</v>
      </c>
      <c r="F9" s="1417"/>
      <c r="G9" s="1417"/>
      <c r="H9" s="1417"/>
      <c r="I9" s="1418"/>
      <c r="J9" s="4"/>
      <c r="K9" s="335" t="s">
        <v>791</v>
      </c>
      <c r="L9" s="336"/>
      <c r="M9" s="13" t="s">
        <v>741</v>
      </c>
      <c r="N9" s="1783" t="e">
        <f>FORM!#REF!</f>
        <v>#REF!</v>
      </c>
      <c r="O9" s="1783"/>
      <c r="P9" s="1783"/>
      <c r="Q9" s="1783"/>
      <c r="S9" s="333" t="s">
        <v>791</v>
      </c>
      <c r="T9" s="333"/>
      <c r="U9" s="333"/>
      <c r="V9" s="333"/>
      <c r="W9" s="632" t="s">
        <v>741</v>
      </c>
      <c r="X9" s="1784" t="e">
        <f t="shared" si="0"/>
        <v>#REF!</v>
      </c>
      <c r="Y9" s="1785"/>
      <c r="Z9" s="1785"/>
      <c r="AA9" s="1785"/>
      <c r="AB9" s="1785"/>
      <c r="AC9" s="1785"/>
      <c r="AD9" s="1786"/>
      <c r="AY9" s="633"/>
      <c r="BL9" s="634"/>
      <c r="BM9" s="635"/>
    </row>
    <row r="10" spans="1:65" s="18" customFormat="1" ht="12.6">
      <c r="A10" s="16"/>
      <c r="B10" s="206" t="s">
        <v>792</v>
      </c>
      <c r="C10" s="367"/>
      <c r="D10" s="197" t="s">
        <v>741</v>
      </c>
      <c r="E10" s="1416" t="str">
        <f>'STANDARD COMP.'!E10</f>
        <v>Studio</v>
      </c>
      <c r="F10" s="1417"/>
      <c r="G10" s="1417"/>
      <c r="H10" s="1417"/>
      <c r="I10" s="1418"/>
      <c r="J10" s="4"/>
      <c r="K10" s="335" t="s">
        <v>792</v>
      </c>
      <c r="L10" s="336"/>
      <c r="M10" s="13" t="s">
        <v>741</v>
      </c>
      <c r="N10" s="1783" t="str">
        <f>E10</f>
        <v>Studio</v>
      </c>
      <c r="O10" s="1783"/>
      <c r="P10" s="1783"/>
      <c r="Q10" s="1783"/>
      <c r="S10" s="333" t="s">
        <v>792</v>
      </c>
      <c r="T10" s="333"/>
      <c r="U10" s="333"/>
      <c r="V10" s="333"/>
      <c r="W10" s="632" t="s">
        <v>741</v>
      </c>
      <c r="X10" s="1784" t="str">
        <f t="shared" si="0"/>
        <v>Studio</v>
      </c>
      <c r="Y10" s="1785"/>
      <c r="Z10" s="1785"/>
      <c r="AA10" s="1785"/>
      <c r="AB10" s="1785"/>
      <c r="AC10" s="1785"/>
      <c r="AD10" s="1786"/>
      <c r="AY10" s="633"/>
      <c r="BL10" s="634"/>
      <c r="BM10" s="635"/>
    </row>
    <row r="11" spans="1:65" s="18" customFormat="1" ht="12.6">
      <c r="A11" s="16"/>
      <c r="B11" s="206" t="s">
        <v>793</v>
      </c>
      <c r="C11" s="367"/>
      <c r="D11" s="197" t="s">
        <v>741</v>
      </c>
      <c r="E11" s="1420">
        <f>'STANDARD COMP.'!E11:F11</f>
        <v>22</v>
      </c>
      <c r="F11" s="1421"/>
      <c r="G11" s="1422" t="s">
        <v>794</v>
      </c>
      <c r="H11" s="1422"/>
      <c r="I11" s="1423"/>
      <c r="J11" s="4"/>
      <c r="K11" s="335" t="s">
        <v>793</v>
      </c>
      <c r="L11" s="336"/>
      <c r="M11" s="13" t="s">
        <v>741</v>
      </c>
      <c r="N11" s="1791">
        <f>E11</f>
        <v>22</v>
      </c>
      <c r="O11" s="1792"/>
      <c r="P11" s="1793" t="s">
        <v>794</v>
      </c>
      <c r="Q11" s="1794"/>
      <c r="S11" s="333" t="s">
        <v>793</v>
      </c>
      <c r="T11" s="333"/>
      <c r="U11" s="333"/>
      <c r="V11" s="333"/>
      <c r="W11" s="632" t="s">
        <v>741</v>
      </c>
      <c r="X11" s="1791">
        <f t="shared" si="0"/>
        <v>22</v>
      </c>
      <c r="Y11" s="1795"/>
      <c r="Z11" s="636" t="s">
        <v>794</v>
      </c>
      <c r="AA11" s="636"/>
      <c r="AB11" s="637"/>
      <c r="AC11" s="637"/>
      <c r="AD11" s="638"/>
      <c r="AY11" s="633"/>
      <c r="BL11" s="634"/>
      <c r="BM11" s="635"/>
    </row>
    <row r="12" spans="1:65" s="18" customFormat="1" ht="12.6">
      <c r="A12" s="16"/>
      <c r="B12" s="215" t="s">
        <v>795</v>
      </c>
      <c r="C12" s="367"/>
      <c r="D12" s="197" t="s">
        <v>741</v>
      </c>
      <c r="E12" s="1589">
        <f>'STANDARD COMP.'!E12:F12</f>
        <v>0</v>
      </c>
      <c r="F12" s="1590"/>
      <c r="G12" s="1422" t="s">
        <v>794</v>
      </c>
      <c r="H12" s="1422"/>
      <c r="I12" s="1423"/>
      <c r="J12" s="4"/>
      <c r="K12" s="336" t="s">
        <v>795</v>
      </c>
      <c r="L12" s="336"/>
      <c r="M12" s="13" t="s">
        <v>741</v>
      </c>
      <c r="N12" s="1803">
        <f>E12</f>
        <v>0</v>
      </c>
      <c r="O12" s="1804"/>
      <c r="P12" s="1793" t="s">
        <v>794</v>
      </c>
      <c r="Q12" s="1794"/>
      <c r="S12" s="333" t="s">
        <v>795</v>
      </c>
      <c r="T12" s="333"/>
      <c r="U12" s="333"/>
      <c r="V12" s="333"/>
      <c r="W12" s="632" t="s">
        <v>741</v>
      </c>
      <c r="X12" s="1791">
        <f t="shared" si="0"/>
        <v>0</v>
      </c>
      <c r="Y12" s="1795"/>
      <c r="Z12" s="636" t="s">
        <v>794</v>
      </c>
      <c r="AA12" s="636"/>
      <c r="AB12" s="637"/>
      <c r="AC12" s="637"/>
      <c r="AD12" s="638"/>
      <c r="AY12" s="633"/>
      <c r="BL12" s="634"/>
      <c r="BM12" s="635"/>
    </row>
    <row r="13" spans="1:65" s="18" customFormat="1" ht="12.6">
      <c r="A13" s="16"/>
      <c r="B13" s="384" t="s">
        <v>796</v>
      </c>
      <c r="C13" s="122"/>
      <c r="D13" s="197" t="s">
        <v>741</v>
      </c>
      <c r="E13" s="1589">
        <f>'STANDARD COMP.'!E13:F13</f>
        <v>22</v>
      </c>
      <c r="F13" s="1590"/>
      <c r="G13" s="1422" t="s">
        <v>794</v>
      </c>
      <c r="H13" s="1422"/>
      <c r="I13" s="1423"/>
      <c r="J13" s="4"/>
      <c r="K13" s="337" t="s">
        <v>796</v>
      </c>
      <c r="L13" s="338"/>
      <c r="M13" s="13" t="s">
        <v>741</v>
      </c>
      <c r="N13" s="1803">
        <f>E13</f>
        <v>22</v>
      </c>
      <c r="O13" s="1804"/>
      <c r="P13" s="1793" t="s">
        <v>794</v>
      </c>
      <c r="Q13" s="1794"/>
      <c r="S13" s="333" t="s">
        <v>796</v>
      </c>
      <c r="T13" s="333"/>
      <c r="U13" s="333"/>
      <c r="V13" s="333"/>
      <c r="W13" s="632" t="s">
        <v>741</v>
      </c>
      <c r="X13" s="1791">
        <f t="shared" si="0"/>
        <v>22</v>
      </c>
      <c r="Y13" s="1795"/>
      <c r="Z13" s="636" t="s">
        <v>794</v>
      </c>
      <c r="AA13" s="636"/>
      <c r="AB13" s="637"/>
      <c r="AC13" s="637"/>
      <c r="AD13" s="638"/>
      <c r="AY13" s="633"/>
      <c r="BL13" s="634"/>
      <c r="BM13" s="635"/>
    </row>
    <row r="14" spans="1:65" s="18" customFormat="1" ht="12.6">
      <c r="B14" s="16"/>
      <c r="C14" s="16"/>
      <c r="D14" s="13"/>
      <c r="E14" s="16"/>
      <c r="F14" s="16"/>
      <c r="G14" s="16"/>
      <c r="H14" s="16"/>
      <c r="I14" s="16"/>
      <c r="M14" s="639"/>
    </row>
    <row r="15" spans="1:65" s="18" customFormat="1" ht="12.6">
      <c r="B15" s="640" t="s">
        <v>797</v>
      </c>
      <c r="C15" s="641"/>
      <c r="D15" s="4" t="s">
        <v>741</v>
      </c>
      <c r="E15" s="642"/>
      <c r="F15" s="1807">
        <f>'STANDARD COMP.'!F15:I15</f>
        <v>3379693.0676632621</v>
      </c>
      <c r="G15" s="1808"/>
      <c r="H15" s="1808"/>
      <c r="I15" s="1809"/>
      <c r="J15" s="340"/>
      <c r="K15" s="1789" t="s">
        <v>798</v>
      </c>
      <c r="L15" s="1789"/>
      <c r="M15" s="1810" t="s">
        <v>709</v>
      </c>
      <c r="N15" s="1789" t="s">
        <v>712</v>
      </c>
      <c r="O15" s="1789"/>
      <c r="P15" s="1796" t="s">
        <v>458</v>
      </c>
      <c r="Q15" s="1797"/>
      <c r="S15" s="1800" t="s">
        <v>991</v>
      </c>
      <c r="T15" s="1801"/>
      <c r="U15" s="1801"/>
      <c r="V15" s="1801"/>
      <c r="W15" s="1801"/>
      <c r="X15" s="1801"/>
      <c r="Y15" s="1801"/>
      <c r="Z15" s="1801"/>
      <c r="AA15" s="1801"/>
      <c r="AB15" s="1801"/>
      <c r="AC15" s="1801"/>
      <c r="AD15" s="1802"/>
    </row>
    <row r="16" spans="1:65" s="340" customFormat="1" ht="12.6">
      <c r="B16" s="335" t="s">
        <v>799</v>
      </c>
      <c r="C16" s="336"/>
      <c r="D16" s="13" t="s">
        <v>741</v>
      </c>
      <c r="E16" s="645"/>
      <c r="F16" s="1805">
        <f>'STANDARD COMP.'!F16:I16</f>
        <v>0</v>
      </c>
      <c r="G16" s="1805"/>
      <c r="H16" s="1805"/>
      <c r="I16" s="1806"/>
      <c r="J16" s="18"/>
      <c r="K16" s="1789"/>
      <c r="L16" s="1789"/>
      <c r="M16" s="1810"/>
      <c r="N16" s="1789"/>
      <c r="O16" s="1789"/>
      <c r="P16" s="1798"/>
      <c r="Q16" s="1799"/>
      <c r="S16" s="341" t="s">
        <v>992</v>
      </c>
      <c r="T16" s="342"/>
      <c r="U16" s="643"/>
      <c r="V16" s="643"/>
      <c r="W16" s="643"/>
      <c r="X16" s="342" t="s">
        <v>993</v>
      </c>
      <c r="Y16" s="643"/>
      <c r="Z16" s="643"/>
      <c r="AA16" s="643"/>
      <c r="AB16" s="643"/>
      <c r="AC16" s="643"/>
      <c r="AD16" s="644"/>
    </row>
    <row r="17" spans="1:43" s="18" customFormat="1" ht="12.6">
      <c r="B17" s="652" t="s">
        <v>800</v>
      </c>
      <c r="C17" s="653"/>
      <c r="D17" s="4" t="s">
        <v>741</v>
      </c>
      <c r="E17" s="654"/>
      <c r="F17" s="1807">
        <f>F15-F16</f>
        <v>3379693.0676632621</v>
      </c>
      <c r="G17" s="1808"/>
      <c r="H17" s="1808"/>
      <c r="I17" s="1809"/>
      <c r="J17" s="340"/>
      <c r="K17" s="1783" t="s">
        <v>758</v>
      </c>
      <c r="L17" s="1783"/>
      <c r="M17" s="646">
        <f>C1</f>
        <v>45901</v>
      </c>
      <c r="N17" s="1446">
        <f>F25</f>
        <v>30000</v>
      </c>
      <c r="O17" s="1446"/>
      <c r="P17" s="647"/>
      <c r="Q17" s="648"/>
      <c r="S17" s="649"/>
      <c r="T17" s="650"/>
      <c r="U17" s="650"/>
      <c r="V17" s="650"/>
      <c r="W17" s="650"/>
      <c r="X17" s="650"/>
      <c r="Y17" s="650"/>
      <c r="Z17" s="650"/>
      <c r="AA17" s="650"/>
      <c r="AB17" s="650"/>
      <c r="AC17" s="650"/>
      <c r="AD17" s="651"/>
    </row>
    <row r="18" spans="1:43" s="340" customFormat="1" ht="12.6">
      <c r="B18" s="660"/>
      <c r="C18" s="16"/>
      <c r="D18" s="13"/>
      <c r="E18" s="661"/>
      <c r="F18" s="662"/>
      <c r="G18" s="662"/>
      <c r="H18" s="662"/>
      <c r="I18" s="663"/>
      <c r="J18" s="18"/>
      <c r="K18" s="1783" t="str">
        <f>'10% spread plus 5% lumpsum'!K18:L18</f>
        <v>1st EQUITY PAYMENT</v>
      </c>
      <c r="L18" s="1783"/>
      <c r="M18" s="475">
        <f>'10% spread plus 5% lumpsum'!M18</f>
        <v>45935</v>
      </c>
      <c r="N18" s="1446" t="e">
        <f>G30</f>
        <v>#DIV/0!</v>
      </c>
      <c r="O18" s="1446"/>
      <c r="P18" s="647"/>
      <c r="Q18" s="648"/>
      <c r="S18" s="655"/>
      <c r="T18" s="18"/>
      <c r="U18" s="18"/>
      <c r="V18" s="18"/>
      <c r="W18" s="656" t="s">
        <v>994</v>
      </c>
      <c r="X18" s="657"/>
      <c r="Y18" s="657"/>
      <c r="Z18" s="657"/>
      <c r="AA18" s="657"/>
      <c r="AB18" s="657"/>
      <c r="AC18" s="657"/>
      <c r="AD18" s="658"/>
      <c r="AJ18" s="659"/>
      <c r="AK18" s="659"/>
    </row>
    <row r="19" spans="1:43" s="18" customFormat="1" ht="12.95">
      <c r="B19" s="336" t="s">
        <v>803</v>
      </c>
      <c r="C19" s="336"/>
      <c r="D19" s="13" t="s">
        <v>741</v>
      </c>
      <c r="E19" s="665">
        <v>0.12</v>
      </c>
      <c r="F19" s="1815">
        <f>'STANDARD COMP.'!F19:I19</f>
        <v>0</v>
      </c>
      <c r="G19" s="1805"/>
      <c r="H19" s="1805"/>
      <c r="I19" s="1806"/>
      <c r="K19" s="1783" t="str">
        <f>'10% spread plus 5% lumpsum'!K19:L19</f>
        <v>2nd EQUITY PAYMENT</v>
      </c>
      <c r="L19" s="1783"/>
      <c r="M19" s="475">
        <f>'10% spread plus 5% lumpsum'!M19</f>
        <v>45966</v>
      </c>
      <c r="N19" s="1446" t="e">
        <f>N18</f>
        <v>#DIV/0!</v>
      </c>
      <c r="O19" s="1446"/>
      <c r="P19" s="647"/>
      <c r="Q19" s="648"/>
      <c r="S19" s="655"/>
      <c r="W19" s="656"/>
      <c r="X19" s="664"/>
      <c r="Y19" s="664"/>
      <c r="Z19" s="664"/>
      <c r="AA19" s="664"/>
      <c r="AB19" s="657"/>
      <c r="AC19" s="664"/>
      <c r="AD19" s="658"/>
      <c r="AJ19" s="1814" t="s">
        <v>945</v>
      </c>
      <c r="AK19" s="1814"/>
      <c r="AP19" s="1783"/>
      <c r="AQ19" s="1783"/>
    </row>
    <row r="20" spans="1:43" s="18" customFormat="1" ht="12.95">
      <c r="B20" s="337" t="s">
        <v>806</v>
      </c>
      <c r="C20" s="338"/>
      <c r="D20" s="13" t="s">
        <v>741</v>
      </c>
      <c r="E20" s="890"/>
      <c r="F20" s="1811">
        <f>'STANDARD COMP.'!F20:I20</f>
        <v>464707.79680369853</v>
      </c>
      <c r="G20" s="1811"/>
      <c r="H20" s="1811"/>
      <c r="I20" s="1812"/>
      <c r="K20" s="1783" t="str">
        <f>'10% spread plus 5% lumpsum'!K20:L20</f>
        <v>3rd EQUITY PAYMENT</v>
      </c>
      <c r="L20" s="1783"/>
      <c r="M20" s="475">
        <f>'10% spread plus 5% lumpsum'!M20</f>
        <v>45996</v>
      </c>
      <c r="N20" s="1446" t="e">
        <f>N19</f>
        <v>#DIV/0!</v>
      </c>
      <c r="O20" s="1446"/>
      <c r="P20" s="647"/>
      <c r="Q20" s="648"/>
      <c r="S20" s="655"/>
      <c r="T20" s="1816"/>
      <c r="U20" s="1816"/>
      <c r="W20" s="18" t="s">
        <v>995</v>
      </c>
      <c r="X20" s="657"/>
      <c r="Y20" s="657"/>
      <c r="Z20" s="657"/>
      <c r="AA20" s="657"/>
      <c r="AB20" s="657"/>
      <c r="AC20" s="657"/>
      <c r="AD20" s="658"/>
      <c r="AJ20" s="1814" t="s">
        <v>804</v>
      </c>
      <c r="AK20" s="1814"/>
      <c r="AL20" s="18" t="s">
        <v>757</v>
      </c>
      <c r="AP20" s="1783"/>
      <c r="AQ20" s="1783"/>
    </row>
    <row r="21" spans="1:43" s="18" customFormat="1" ht="12.95">
      <c r="B21" s="660"/>
      <c r="C21" s="16"/>
      <c r="D21" s="13"/>
      <c r="E21" s="670"/>
      <c r="F21" s="671"/>
      <c r="G21" s="672"/>
      <c r="H21" s="672"/>
      <c r="I21" s="673"/>
      <c r="K21" s="1783" t="str">
        <f>'10% spread plus 5% lumpsum'!K21:L21</f>
        <v>4th EQUITY PAYMENT</v>
      </c>
      <c r="L21" s="1783"/>
      <c r="M21" s="475">
        <f>'10% spread plus 5% lumpsum'!M21</f>
        <v>46027</v>
      </c>
      <c r="N21" s="1446" t="e">
        <f t="shared" ref="N21:N28" si="1">N20</f>
        <v>#DIV/0!</v>
      </c>
      <c r="O21" s="1446"/>
      <c r="P21" s="647"/>
      <c r="Q21" s="648"/>
      <c r="S21" s="666"/>
      <c r="T21" s="1813" t="s">
        <v>996</v>
      </c>
      <c r="U21" s="1813"/>
      <c r="V21" s="667"/>
      <c r="W21" s="340"/>
      <c r="X21" s="668" t="s">
        <v>757</v>
      </c>
      <c r="Y21" s="668"/>
      <c r="Z21" s="668"/>
      <c r="AA21" s="668"/>
      <c r="AD21" s="669"/>
      <c r="AJ21" s="1814" t="s">
        <v>807</v>
      </c>
      <c r="AK21" s="1814"/>
      <c r="AP21" s="1783"/>
      <c r="AQ21" s="1783"/>
    </row>
    <row r="22" spans="1:43" s="18" customFormat="1" ht="12.95">
      <c r="B22" s="652" t="s">
        <v>810</v>
      </c>
      <c r="C22" s="653"/>
      <c r="D22" s="4" t="s">
        <v>741</v>
      </c>
      <c r="E22" s="677"/>
      <c r="F22" s="1817">
        <f>SUM(F19:I20,F17)</f>
        <v>3844400.8644669605</v>
      </c>
      <c r="G22" s="1817"/>
      <c r="H22" s="1817"/>
      <c r="I22" s="1818"/>
      <c r="K22" s="1783" t="str">
        <f>'10% spread plus 5% lumpsum'!K22:L22</f>
        <v>5th EQUITY PAYMENT</v>
      </c>
      <c r="L22" s="1783"/>
      <c r="M22" s="475">
        <f>'10% spread plus 5% lumpsum'!M22</f>
        <v>46058</v>
      </c>
      <c r="N22" s="1446" t="e">
        <f t="shared" si="1"/>
        <v>#DIV/0!</v>
      </c>
      <c r="O22" s="1446"/>
      <c r="P22" s="647"/>
      <c r="Q22" s="648"/>
      <c r="S22" s="674" t="s">
        <v>997</v>
      </c>
      <c r="T22" s="675"/>
      <c r="U22" s="676"/>
      <c r="V22" s="676"/>
      <c r="W22" s="643"/>
      <c r="X22" s="342" t="s">
        <v>993</v>
      </c>
      <c r="Y22" s="643"/>
      <c r="Z22" s="643"/>
      <c r="AA22" s="643"/>
      <c r="AB22" s="643"/>
      <c r="AC22" s="643"/>
      <c r="AD22" s="644"/>
      <c r="AJ22" s="1814" t="s">
        <v>808</v>
      </c>
      <c r="AK22" s="1814"/>
      <c r="AP22" s="1783"/>
      <c r="AQ22" s="1783"/>
    </row>
    <row r="23" spans="1:43" s="18" customFormat="1" ht="12.95">
      <c r="A23" s="340"/>
      <c r="B23" s="660"/>
      <c r="C23" s="16"/>
      <c r="D23" s="13"/>
      <c r="E23" s="13"/>
      <c r="F23" s="679"/>
      <c r="G23" s="679"/>
      <c r="H23" s="679"/>
      <c r="I23" s="16"/>
      <c r="J23" s="340"/>
      <c r="K23" s="1783" t="str">
        <f>'10% spread plus 5% lumpsum'!K23:L23</f>
        <v>6th EQUITY PAYMENT</v>
      </c>
      <c r="L23" s="1783"/>
      <c r="M23" s="475">
        <f>'10% spread plus 5% lumpsum'!M23</f>
        <v>46086</v>
      </c>
      <c r="N23" s="1446" t="e">
        <f t="shared" si="1"/>
        <v>#DIV/0!</v>
      </c>
      <c r="O23" s="1446"/>
      <c r="P23" s="647"/>
      <c r="Q23" s="648"/>
      <c r="S23" s="655"/>
      <c r="X23" s="678"/>
      <c r="Y23" s="678"/>
      <c r="Z23" s="678"/>
      <c r="AA23" s="678"/>
      <c r="AB23" s="678"/>
      <c r="AC23" s="678"/>
      <c r="AD23" s="658"/>
      <c r="AJ23" s="1814" t="s">
        <v>811</v>
      </c>
      <c r="AK23" s="1814"/>
      <c r="AP23" s="1783"/>
      <c r="AQ23" s="1783"/>
    </row>
    <row r="24" spans="1:43" s="340" customFormat="1" ht="12.95">
      <c r="A24" s="18"/>
      <c r="B24" s="652" t="s">
        <v>813</v>
      </c>
      <c r="C24" s="641"/>
      <c r="D24" s="4" t="s">
        <v>741</v>
      </c>
      <c r="E24" s="680">
        <v>0.15</v>
      </c>
      <c r="F24" s="1807">
        <f>F22*E24</f>
        <v>576660.12967004406</v>
      </c>
      <c r="G24" s="1808"/>
      <c r="H24" s="1808"/>
      <c r="I24" s="1809"/>
      <c r="J24" s="18"/>
      <c r="K24" s="1783" t="str">
        <f>'10% spread plus 5% lumpsum'!K24:L24</f>
        <v>7th EQUITY PAYMENT</v>
      </c>
      <c r="L24" s="1783"/>
      <c r="M24" s="475">
        <f>'10% spread plus 5% lumpsum'!M24</f>
        <v>46117</v>
      </c>
      <c r="N24" s="1446" t="e">
        <f t="shared" si="1"/>
        <v>#DIV/0!</v>
      </c>
      <c r="O24" s="1446"/>
      <c r="P24" s="647"/>
      <c r="Q24" s="648"/>
      <c r="S24" s="655"/>
      <c r="T24" s="18"/>
      <c r="U24" s="18"/>
      <c r="V24" s="18"/>
      <c r="W24" s="656" t="s">
        <v>994</v>
      </c>
      <c r="X24" s="657"/>
      <c r="Y24" s="657"/>
      <c r="Z24" s="657"/>
      <c r="AA24" s="657"/>
      <c r="AB24" s="657"/>
      <c r="AC24" s="657"/>
      <c r="AD24" s="658"/>
      <c r="AJ24" s="1814" t="s">
        <v>812</v>
      </c>
      <c r="AK24" s="1814"/>
      <c r="AP24" s="1783"/>
      <c r="AQ24" s="1783"/>
    </row>
    <row r="25" spans="1:43" s="18" customFormat="1" ht="12.95">
      <c r="B25" s="335" t="s">
        <v>815</v>
      </c>
      <c r="C25" s="336"/>
      <c r="D25" s="13" t="s">
        <v>741</v>
      </c>
      <c r="E25" s="681"/>
      <c r="F25" s="1815">
        <f>'10% spread plus 5% lumpsum'!F25</f>
        <v>30000</v>
      </c>
      <c r="G25" s="1805"/>
      <c r="H25" s="1805"/>
      <c r="I25" s="1806"/>
      <c r="K25" s="1783" t="str">
        <f>'10% spread plus 5% lumpsum'!K25:L25</f>
        <v>8th EQUITY PAYMENT</v>
      </c>
      <c r="L25" s="1783"/>
      <c r="M25" s="475">
        <f>'10% spread plus 5% lumpsum'!M25</f>
        <v>46147</v>
      </c>
      <c r="N25" s="1446" t="e">
        <f t="shared" si="1"/>
        <v>#DIV/0!</v>
      </c>
      <c r="O25" s="1446"/>
      <c r="P25" s="647"/>
      <c r="Q25" s="648"/>
      <c r="S25" s="666"/>
      <c r="T25" s="340"/>
      <c r="U25" s="340"/>
      <c r="V25" s="340"/>
      <c r="W25" s="656"/>
      <c r="X25" s="657"/>
      <c r="Y25" s="657"/>
      <c r="Z25" s="657"/>
      <c r="AA25" s="657"/>
      <c r="AB25" s="657"/>
      <c r="AC25" s="657"/>
      <c r="AD25" s="669"/>
      <c r="AJ25" s="1814" t="s">
        <v>814</v>
      </c>
      <c r="AK25" s="1814"/>
      <c r="AP25" s="1783"/>
      <c r="AQ25" s="1783"/>
    </row>
    <row r="26" spans="1:43" s="18" customFormat="1" ht="12.95">
      <c r="A26" s="340"/>
      <c r="B26" s="335" t="s">
        <v>998</v>
      </c>
      <c r="C26" s="631"/>
      <c r="D26" s="13"/>
      <c r="E26" s="618">
        <v>0.05</v>
      </c>
      <c r="F26" s="682">
        <f>F22*E26</f>
        <v>192220.04322334804</v>
      </c>
      <c r="G26" s="683"/>
      <c r="H26" s="683"/>
      <c r="I26" s="684"/>
      <c r="J26" s="340"/>
      <c r="K26" s="1783" t="str">
        <f>'10% spread plus 5% lumpsum'!K26:L26</f>
        <v>9th EQUITY PAYMENT</v>
      </c>
      <c r="L26" s="1783"/>
      <c r="M26" s="475">
        <f>'10% spread plus 5% lumpsum'!M26</f>
        <v>46178</v>
      </c>
      <c r="N26" s="1446" t="e">
        <f t="shared" si="1"/>
        <v>#DIV/0!</v>
      </c>
      <c r="O26" s="1446"/>
      <c r="P26" s="647"/>
      <c r="Q26" s="648"/>
      <c r="S26" s="655"/>
      <c r="T26" s="1816"/>
      <c r="U26" s="1816"/>
      <c r="W26" s="18" t="s">
        <v>995</v>
      </c>
      <c r="X26" s="657"/>
      <c r="Y26" s="657"/>
      <c r="Z26" s="657"/>
      <c r="AA26" s="657"/>
      <c r="AB26" s="657"/>
      <c r="AC26" s="657"/>
      <c r="AD26" s="658"/>
      <c r="AJ26" s="1814" t="s">
        <v>816</v>
      </c>
      <c r="AK26" s="1814"/>
      <c r="AP26" s="1783"/>
      <c r="AQ26" s="1783"/>
    </row>
    <row r="27" spans="1:43" s="340" customFormat="1" ht="12.95">
      <c r="B27" s="652" t="s">
        <v>817</v>
      </c>
      <c r="C27" s="653"/>
      <c r="D27" s="4" t="s">
        <v>741</v>
      </c>
      <c r="E27" s="689"/>
      <c r="F27" s="1807">
        <f>F24-F25-F26</f>
        <v>354440.08644669602</v>
      </c>
      <c r="G27" s="1808"/>
      <c r="H27" s="1808"/>
      <c r="I27" s="1809"/>
      <c r="J27" s="666"/>
      <c r="K27" s="1783" t="str">
        <f>'10% spread plus 5% lumpsum'!K27:L27</f>
        <v>10th EQUITY PAYMENT</v>
      </c>
      <c r="L27" s="1783"/>
      <c r="M27" s="475">
        <f>'10% spread plus 5% lumpsum'!M27</f>
        <v>46208</v>
      </c>
      <c r="N27" s="1446" t="e">
        <f t="shared" si="1"/>
        <v>#DIV/0!</v>
      </c>
      <c r="O27" s="1446"/>
      <c r="P27" s="647"/>
      <c r="Q27" s="648"/>
      <c r="R27" s="340" t="s">
        <v>757</v>
      </c>
      <c r="S27" s="685"/>
      <c r="T27" s="1813" t="s">
        <v>999</v>
      </c>
      <c r="U27" s="1813"/>
      <c r="V27" s="686"/>
      <c r="W27" s="668"/>
      <c r="X27" s="687"/>
      <c r="Y27" s="687"/>
      <c r="Z27" s="687"/>
      <c r="AA27" s="687"/>
      <c r="AB27" s="668"/>
      <c r="AC27" s="668"/>
      <c r="AD27" s="688"/>
      <c r="AJ27" s="1814" t="s">
        <v>818</v>
      </c>
      <c r="AK27" s="1814"/>
      <c r="AP27" s="1783"/>
      <c r="AQ27" s="1783"/>
    </row>
    <row r="28" spans="1:43" s="340" customFormat="1" ht="12.95">
      <c r="B28" s="660"/>
      <c r="C28" s="16"/>
      <c r="D28" s="13"/>
      <c r="E28" s="13"/>
      <c r="F28" s="679"/>
      <c r="G28" s="679"/>
      <c r="H28" s="679"/>
      <c r="I28" s="690"/>
      <c r="K28" s="1783" t="str">
        <f>'10% spread plus 5% lumpsum'!K28:L28</f>
        <v>11th EQUITY PAYMENT</v>
      </c>
      <c r="L28" s="1783"/>
      <c r="M28" s="475">
        <f>'10% spread plus 5% lumpsum'!M28</f>
        <v>46239</v>
      </c>
      <c r="N28" s="1446" t="e">
        <f t="shared" si="1"/>
        <v>#DIV/0!</v>
      </c>
      <c r="O28" s="1446"/>
      <c r="P28" s="647"/>
      <c r="Q28" s="648"/>
      <c r="S28" s="674" t="s">
        <v>997</v>
      </c>
      <c r="T28" s="675"/>
      <c r="U28" s="676"/>
      <c r="V28" s="676"/>
      <c r="W28" s="643"/>
      <c r="X28" s="342" t="s">
        <v>993</v>
      </c>
      <c r="Y28" s="643"/>
      <c r="Z28" s="643"/>
      <c r="AA28" s="643"/>
      <c r="AB28" s="643"/>
      <c r="AC28" s="643"/>
      <c r="AD28" s="644"/>
      <c r="AJ28" s="1814" t="s">
        <v>819</v>
      </c>
      <c r="AK28" s="1814"/>
      <c r="AP28" s="1783"/>
      <c r="AQ28" s="1783"/>
    </row>
    <row r="29" spans="1:43" s="340" customFormat="1" ht="12.95">
      <c r="A29" s="18"/>
      <c r="B29" s="1461" t="s">
        <v>820</v>
      </c>
      <c r="C29" s="1461"/>
      <c r="D29" s="4"/>
      <c r="E29" s="691" t="s">
        <v>771</v>
      </c>
      <c r="F29" s="692" t="s">
        <v>770</v>
      </c>
      <c r="G29" s="1820" t="s">
        <v>821</v>
      </c>
      <c r="H29" s="1820"/>
      <c r="I29" s="1820"/>
      <c r="J29" s="18"/>
      <c r="K29" s="1783" t="str">
        <f>'10% spread plus 5% lumpsum'!K29:L29</f>
        <v>12th EQUITY AND 1ST LUMPSUM</v>
      </c>
      <c r="L29" s="1783"/>
      <c r="M29" s="475">
        <f>'10% spread plus 5% lumpsum'!M29</f>
        <v>46270</v>
      </c>
      <c r="N29" s="1446" t="e">
        <f>G31+G33</f>
        <v>#DIV/0!</v>
      </c>
      <c r="O29" s="1446"/>
      <c r="P29" s="647"/>
      <c r="Q29" s="648"/>
      <c r="S29" s="655"/>
      <c r="T29" s="18"/>
      <c r="U29" s="18"/>
      <c r="V29" s="18"/>
      <c r="W29" s="18"/>
      <c r="X29" s="678"/>
      <c r="Y29" s="678"/>
      <c r="Z29" s="678"/>
      <c r="AA29" s="678"/>
      <c r="AB29" s="678"/>
      <c r="AC29" s="678"/>
      <c r="AD29" s="658"/>
      <c r="AJ29" s="1814" t="s">
        <v>822</v>
      </c>
      <c r="AK29" s="1814"/>
      <c r="AP29" s="1783"/>
      <c r="AQ29" s="1783"/>
    </row>
    <row r="30" spans="1:43" s="18" customFormat="1" ht="12.95">
      <c r="A30" s="340"/>
      <c r="B30" s="1461" t="s">
        <v>1000</v>
      </c>
      <c r="C30" s="1461"/>
      <c r="D30" s="4" t="s">
        <v>741</v>
      </c>
      <c r="E30" s="693">
        <v>0.25</v>
      </c>
      <c r="F30" s="694">
        <f>'Step-up with Lumpsum'!F30</f>
        <v>0</v>
      </c>
      <c r="G30" s="1819" t="e">
        <f>F27*E30/F30</f>
        <v>#DIV/0!</v>
      </c>
      <c r="H30" s="1819"/>
      <c r="I30" s="1819"/>
      <c r="J30" s="340"/>
      <c r="K30" s="1783" t="str">
        <f>'10% spread plus 5% lumpsum'!K30:L30</f>
        <v>13th EQUITY PAYMENT</v>
      </c>
      <c r="L30" s="1783"/>
      <c r="M30" s="475">
        <f>'10% spread plus 5% lumpsum'!M30</f>
        <v>46300</v>
      </c>
      <c r="N30" s="1446" t="e">
        <f>G31</f>
        <v>#DIV/0!</v>
      </c>
      <c r="O30" s="1446"/>
      <c r="P30" s="647"/>
      <c r="Q30" s="648"/>
      <c r="R30" s="340"/>
      <c r="S30" s="655"/>
      <c r="W30" s="656" t="s">
        <v>994</v>
      </c>
      <c r="X30" s="657"/>
      <c r="Y30" s="657"/>
      <c r="Z30" s="657"/>
      <c r="AA30" s="657"/>
      <c r="AB30" s="657"/>
      <c r="AC30" s="657"/>
      <c r="AD30" s="658"/>
      <c r="AE30" s="340"/>
      <c r="AJ30" s="1814" t="s">
        <v>823</v>
      </c>
      <c r="AK30" s="1814"/>
      <c r="AP30" s="1783"/>
      <c r="AQ30" s="1783"/>
    </row>
    <row r="31" spans="1:43" s="340" customFormat="1" ht="12.95">
      <c r="A31" s="18"/>
      <c r="B31" s="1461" t="s">
        <v>1001</v>
      </c>
      <c r="C31" s="1461"/>
      <c r="D31" s="4" t="s">
        <v>741</v>
      </c>
      <c r="E31" s="693">
        <v>0.35</v>
      </c>
      <c r="F31" s="694">
        <f>'Step-up with Lumpsum'!F31</f>
        <v>0</v>
      </c>
      <c r="G31" s="1821" t="e">
        <f>F27*E31/F31</f>
        <v>#DIV/0!</v>
      </c>
      <c r="H31" s="1821"/>
      <c r="I31" s="1821"/>
      <c r="J31" s="18"/>
      <c r="K31" s="1783" t="str">
        <f>'10% spread plus 5% lumpsum'!K31:L31</f>
        <v>14th EQUITY PAYMENT</v>
      </c>
      <c r="L31" s="1783"/>
      <c r="M31" s="475">
        <f>'10% spread plus 5% lumpsum'!M31</f>
        <v>46331</v>
      </c>
      <c r="N31" s="1446" t="e">
        <f>N30</f>
        <v>#DIV/0!</v>
      </c>
      <c r="O31" s="1446"/>
      <c r="P31" s="647"/>
      <c r="Q31" s="648"/>
      <c r="S31" s="666"/>
      <c r="W31" s="656"/>
      <c r="X31" s="657"/>
      <c r="Y31" s="657"/>
      <c r="Z31" s="657"/>
      <c r="AA31" s="657"/>
      <c r="AB31" s="657"/>
      <c r="AC31" s="657"/>
      <c r="AD31" s="669"/>
      <c r="AJ31" s="1814" t="s">
        <v>824</v>
      </c>
      <c r="AK31" s="1814"/>
      <c r="AP31" s="1783"/>
      <c r="AQ31" s="1783"/>
    </row>
    <row r="32" spans="1:43" s="18" customFormat="1" ht="12.95">
      <c r="A32" s="340"/>
      <c r="B32" s="1461" t="s">
        <v>1002</v>
      </c>
      <c r="C32" s="1461"/>
      <c r="D32" s="4" t="s">
        <v>741</v>
      </c>
      <c r="E32" s="693">
        <v>0.4</v>
      </c>
      <c r="F32" s="694">
        <f>'Step-up with Lumpsum'!F32</f>
        <v>0</v>
      </c>
      <c r="G32" s="1821" t="e">
        <f>F27*E32/F32</f>
        <v>#DIV/0!</v>
      </c>
      <c r="H32" s="1821"/>
      <c r="I32" s="1821"/>
      <c r="J32" s="340"/>
      <c r="K32" s="1783" t="str">
        <f>'10% spread plus 5% lumpsum'!K32:L32</f>
        <v>15th EQUITY PAYMENT</v>
      </c>
      <c r="L32" s="1783"/>
      <c r="M32" s="475">
        <f>'10% spread plus 5% lumpsum'!M32</f>
        <v>46361</v>
      </c>
      <c r="N32" s="1446" t="e">
        <f t="shared" ref="N32:N40" si="2">N31</f>
        <v>#DIV/0!</v>
      </c>
      <c r="O32" s="1446"/>
      <c r="P32" s="647"/>
      <c r="Q32" s="648"/>
      <c r="R32" s="340"/>
      <c r="S32" s="655"/>
      <c r="T32" s="1816"/>
      <c r="U32" s="1816"/>
      <c r="W32" s="18" t="s">
        <v>995</v>
      </c>
      <c r="X32" s="657"/>
      <c r="Y32" s="657"/>
      <c r="Z32" s="657"/>
      <c r="AA32" s="657"/>
      <c r="AB32" s="657"/>
      <c r="AC32" s="657"/>
      <c r="AD32" s="658"/>
      <c r="AE32" s="340"/>
      <c r="AJ32" s="1814" t="s">
        <v>825</v>
      </c>
      <c r="AK32" s="1814"/>
      <c r="AP32" s="1783"/>
      <c r="AQ32" s="1783"/>
    </row>
    <row r="33" spans="1:43" s="340" customFormat="1" ht="12.95">
      <c r="A33" s="18"/>
      <c r="B33" s="1461" t="str">
        <f>'10% spread plus 5% lumpsum'!B30</f>
        <v>Lumpsum payment of the 12th and 24th</v>
      </c>
      <c r="C33" s="1461"/>
      <c r="D33" s="4" t="s">
        <v>741</v>
      </c>
      <c r="E33" s="693"/>
      <c r="F33" s="1045">
        <f>'10% spread plus 5% lumpsum'!E30</f>
        <v>2</v>
      </c>
      <c r="G33" s="1821">
        <f>F26/F33</f>
        <v>96110.021611674019</v>
      </c>
      <c r="H33" s="1821"/>
      <c r="I33" s="1821"/>
      <c r="J33" s="18"/>
      <c r="K33" s="1783" t="str">
        <f>'10% spread plus 5% lumpsum'!K33:L33</f>
        <v>16th EQUITY PAYMENT</v>
      </c>
      <c r="L33" s="1783"/>
      <c r="M33" s="475">
        <f>'10% spread plus 5% lumpsum'!M33</f>
        <v>46392</v>
      </c>
      <c r="N33" s="1446" t="e">
        <f t="shared" si="2"/>
        <v>#DIV/0!</v>
      </c>
      <c r="O33" s="1446"/>
      <c r="P33" s="647"/>
      <c r="Q33" s="648"/>
      <c r="S33" s="685"/>
      <c r="T33" s="1813" t="s">
        <v>1003</v>
      </c>
      <c r="U33" s="1813"/>
      <c r="V33" s="686"/>
      <c r="W33" s="668"/>
      <c r="X33" s="687"/>
      <c r="Y33" s="687"/>
      <c r="Z33" s="687"/>
      <c r="AA33" s="687"/>
      <c r="AB33" s="668"/>
      <c r="AC33" s="668"/>
      <c r="AD33" s="688"/>
      <c r="AJ33" s="1814" t="s">
        <v>826</v>
      </c>
      <c r="AK33" s="1814"/>
      <c r="AP33" s="1783"/>
      <c r="AQ33" s="1783"/>
    </row>
    <row r="34" spans="1:43" s="18" customFormat="1" ht="12.95">
      <c r="B34" s="309"/>
      <c r="C34" s="309"/>
      <c r="D34" s="13"/>
      <c r="E34" s="13"/>
      <c r="F34" s="695"/>
      <c r="G34" s="695"/>
      <c r="H34" s="695"/>
      <c r="I34" s="16"/>
      <c r="K34" s="1783" t="str">
        <f>'10% spread plus 5% lumpsum'!K34:L34</f>
        <v>17th EQUITY PAYMENT</v>
      </c>
      <c r="L34" s="1783"/>
      <c r="M34" s="475">
        <f>'10% spread plus 5% lumpsum'!M34</f>
        <v>46423</v>
      </c>
      <c r="N34" s="1446" t="e">
        <f t="shared" si="2"/>
        <v>#DIV/0!</v>
      </c>
      <c r="O34" s="1446"/>
      <c r="P34" s="647"/>
      <c r="Q34" s="648"/>
      <c r="AJ34" s="1814" t="s">
        <v>828</v>
      </c>
      <c r="AK34" s="1814"/>
      <c r="AP34" s="1783"/>
      <c r="AQ34" s="1783"/>
    </row>
    <row r="35" spans="1:43" s="18" customFormat="1" ht="12.95">
      <c r="A35" s="340"/>
      <c r="B35" s="652" t="s">
        <v>827</v>
      </c>
      <c r="C35" s="653"/>
      <c r="D35" s="4" t="s">
        <v>741</v>
      </c>
      <c r="E35" s="680">
        <f>100%-E24</f>
        <v>0.85</v>
      </c>
      <c r="F35" s="1807">
        <f>F22*E35</f>
        <v>3267740.7347969166</v>
      </c>
      <c r="G35" s="1808"/>
      <c r="H35" s="1808"/>
      <c r="I35" s="1809"/>
      <c r="J35" s="340"/>
      <c r="K35" s="1783" t="str">
        <f>'10% spread plus 5% lumpsum'!K35:L35</f>
        <v>18th EQUITY PAYMENT</v>
      </c>
      <c r="L35" s="1783"/>
      <c r="M35" s="475">
        <f>'10% spread plus 5% lumpsum'!M35</f>
        <v>46451</v>
      </c>
      <c r="N35" s="1446" t="e">
        <f t="shared" si="2"/>
        <v>#DIV/0!</v>
      </c>
      <c r="O35" s="1446"/>
      <c r="P35" s="647"/>
      <c r="Q35" s="648"/>
      <c r="AJ35" s="1814" t="s">
        <v>829</v>
      </c>
      <c r="AK35" s="1814"/>
      <c r="AP35" s="1783"/>
      <c r="AQ35" s="1783"/>
    </row>
    <row r="36" spans="1:43" s="340" customFormat="1" ht="12.95">
      <c r="A36" s="18"/>
      <c r="B36" s="660"/>
      <c r="C36" s="16"/>
      <c r="D36" s="13"/>
      <c r="E36" s="16"/>
      <c r="F36" s="16"/>
      <c r="G36" s="16"/>
      <c r="H36" s="16"/>
      <c r="I36" s="16"/>
      <c r="J36" s="18"/>
      <c r="K36" s="1783" t="str">
        <f>'10% spread plus 5% lumpsum'!K36:L36</f>
        <v>19th EQUITY PAYMENT</v>
      </c>
      <c r="L36" s="1783"/>
      <c r="M36" s="475">
        <f>'10% spread plus 5% lumpsum'!M36</f>
        <v>46482</v>
      </c>
      <c r="N36" s="1446" t="e">
        <f t="shared" si="2"/>
        <v>#DIV/0!</v>
      </c>
      <c r="O36" s="1446"/>
      <c r="P36" s="647"/>
      <c r="Q36" s="648"/>
      <c r="S36" s="18"/>
      <c r="T36" s="18"/>
      <c r="U36" s="18"/>
      <c r="V36" s="18"/>
      <c r="W36" s="18"/>
      <c r="X36" s="18"/>
      <c r="Y36" s="18"/>
      <c r="Z36" s="18"/>
      <c r="AA36" s="18"/>
      <c r="AB36" s="18"/>
      <c r="AC36" s="18"/>
      <c r="AD36" s="18"/>
      <c r="AJ36" s="1814" t="s">
        <v>831</v>
      </c>
      <c r="AK36" s="1814"/>
      <c r="AP36" s="1783"/>
      <c r="AQ36" s="1783"/>
    </row>
    <row r="37" spans="1:43" s="18" customFormat="1" ht="12.95">
      <c r="B37" s="653" t="s">
        <v>830</v>
      </c>
      <c r="C37" s="653"/>
      <c r="D37" s="696"/>
      <c r="E37" s="696"/>
      <c r="F37" s="696"/>
      <c r="G37" s="696"/>
      <c r="H37" s="696"/>
      <c r="I37" s="696"/>
      <c r="K37" s="1783" t="str">
        <f>'10% spread plus 5% lumpsum'!K37:L37</f>
        <v>20th EQUITY PAYMENT</v>
      </c>
      <c r="L37" s="1783"/>
      <c r="M37" s="475">
        <f>'10% spread plus 5% lumpsum'!M37</f>
        <v>46512</v>
      </c>
      <c r="N37" s="1446" t="e">
        <f t="shared" si="2"/>
        <v>#DIV/0!</v>
      </c>
      <c r="O37" s="1446"/>
      <c r="P37" s="647"/>
      <c r="Q37" s="648"/>
      <c r="AJ37" s="1814" t="s">
        <v>832</v>
      </c>
      <c r="AK37" s="1814"/>
      <c r="AP37" s="1783"/>
      <c r="AQ37" s="1783"/>
    </row>
    <row r="38" spans="1:43" s="18" customFormat="1" ht="12.95">
      <c r="B38" s="697" t="s">
        <v>833</v>
      </c>
      <c r="C38" s="689" t="s">
        <v>352</v>
      </c>
      <c r="D38" s="1822" t="s">
        <v>834</v>
      </c>
      <c r="E38" s="1822"/>
      <c r="F38" s="689" t="s">
        <v>835</v>
      </c>
      <c r="G38" s="1823" t="s">
        <v>836</v>
      </c>
      <c r="H38" s="1824"/>
      <c r="I38" s="1825"/>
      <c r="K38" s="1783" t="str">
        <f>'10% spread plus 5% lumpsum'!K38:L38</f>
        <v>21st EQUITY PAYMENT</v>
      </c>
      <c r="L38" s="1783"/>
      <c r="M38" s="475">
        <f>'10% spread plus 5% lumpsum'!M38</f>
        <v>46543</v>
      </c>
      <c r="N38" s="1446" t="e">
        <f t="shared" si="2"/>
        <v>#DIV/0!</v>
      </c>
      <c r="O38" s="1446"/>
      <c r="P38" s="647"/>
      <c r="Q38" s="648"/>
      <c r="AJ38" s="1814" t="s">
        <v>837</v>
      </c>
      <c r="AK38" s="1814"/>
      <c r="AP38" s="1783"/>
      <c r="AQ38" s="1783"/>
    </row>
    <row r="39" spans="1:43" s="18" customFormat="1" ht="12.95">
      <c r="B39" s="698">
        <v>5</v>
      </c>
      <c r="C39" s="699">
        <f>'STANDARD COMP.'!C35</f>
        <v>7.0000000000000007E-2</v>
      </c>
      <c r="D39" s="1826">
        <f>PMT(C39/12,B39*12,-1)</f>
        <v>1.9801198540349535E-2</v>
      </c>
      <c r="E39" s="1826"/>
      <c r="F39" s="700">
        <f>D39*F35</f>
        <v>64705.183068101425</v>
      </c>
      <c r="G39" s="1827">
        <f>F39/0.3</f>
        <v>215683.94356033808</v>
      </c>
      <c r="H39" s="1828"/>
      <c r="I39" s="1829"/>
      <c r="K39" s="1783" t="str">
        <f>'10% spread plus 5% lumpsum'!K39:L39</f>
        <v>22nd EQUITY PAYMENT</v>
      </c>
      <c r="L39" s="1783"/>
      <c r="M39" s="475">
        <f>'10% spread plus 5% lumpsum'!M39</f>
        <v>46573</v>
      </c>
      <c r="N39" s="1446" t="e">
        <f t="shared" si="2"/>
        <v>#DIV/0!</v>
      </c>
      <c r="O39" s="1446"/>
      <c r="P39" s="647"/>
      <c r="Q39" s="648"/>
      <c r="AJ39" s="1814" t="s">
        <v>838</v>
      </c>
      <c r="AK39" s="1814"/>
      <c r="AP39" s="1783"/>
      <c r="AQ39" s="1783"/>
    </row>
    <row r="40" spans="1:43" s="18" customFormat="1" ht="12.95">
      <c r="B40" s="698">
        <v>10</v>
      </c>
      <c r="C40" s="699">
        <f>'STANDARD COMP.'!C36</f>
        <v>7.0000000000000007E-2</v>
      </c>
      <c r="D40" s="1826">
        <f>PMT(C40/12,B40*12,-1)</f>
        <v>1.1610847921862406E-2</v>
      </c>
      <c r="E40" s="1826"/>
      <c r="F40" s="700">
        <f>D40*F35</f>
        <v>37941.240719801914</v>
      </c>
      <c r="G40" s="1827">
        <f>F40/0.3</f>
        <v>126470.80239933972</v>
      </c>
      <c r="H40" s="1828"/>
      <c r="I40" s="1829"/>
      <c r="K40" s="1783" t="str">
        <f>'10% spread plus 5% lumpsum'!K40:L40</f>
        <v>23rd EQUITY PAYMENT</v>
      </c>
      <c r="L40" s="1783"/>
      <c r="M40" s="475">
        <f>'10% spread plus 5% lumpsum'!M40</f>
        <v>46604</v>
      </c>
      <c r="N40" s="1446" t="e">
        <f t="shared" si="2"/>
        <v>#DIV/0!</v>
      </c>
      <c r="O40" s="1446"/>
      <c r="P40" s="647"/>
      <c r="Q40" s="648"/>
      <c r="AJ40" s="1814" t="s">
        <v>839</v>
      </c>
      <c r="AK40" s="1814"/>
      <c r="AP40" s="1783"/>
      <c r="AQ40" s="1783"/>
    </row>
    <row r="41" spans="1:43" s="18" customFormat="1" ht="12.95">
      <c r="B41" s="698">
        <v>15</v>
      </c>
      <c r="C41" s="699">
        <f>'STANDARD COMP.'!C37</f>
        <v>7.0000000000000007E-2</v>
      </c>
      <c r="D41" s="1826">
        <f>PMT(C41/12,B41*12,-1)</f>
        <v>8.988282708524269E-3</v>
      </c>
      <c r="E41" s="1826"/>
      <c r="F41" s="700">
        <f>D41*F35</f>
        <v>29371.377542515515</v>
      </c>
      <c r="G41" s="1827">
        <f>F41/0.3</f>
        <v>97904.591808385056</v>
      </c>
      <c r="H41" s="1828"/>
      <c r="I41" s="1829"/>
      <c r="K41" s="1783" t="str">
        <f>'10% spread plus 5% lumpsum'!K41:L41</f>
        <v>24th EQUITY AND 2ND LUMPSUM</v>
      </c>
      <c r="L41" s="1783"/>
      <c r="M41" s="475">
        <f>'10% spread plus 5% lumpsum'!M41</f>
        <v>46635</v>
      </c>
      <c r="N41" s="1446" t="e">
        <f>G32+G33</f>
        <v>#DIV/0!</v>
      </c>
      <c r="O41" s="1446"/>
      <c r="P41" s="647"/>
      <c r="Q41" s="648"/>
      <c r="AJ41" s="1814" t="s">
        <v>840</v>
      </c>
      <c r="AK41" s="1814"/>
      <c r="AP41" s="1783"/>
      <c r="AQ41" s="1783"/>
    </row>
    <row r="42" spans="1:43" s="18" customFormat="1" ht="12.95">
      <c r="B42" s="698">
        <v>20</v>
      </c>
      <c r="C42" s="699">
        <f>'STANDARD COMP.'!C38</f>
        <v>7.0000000000000007E-2</v>
      </c>
      <c r="D42" s="1830">
        <f>PMT(C42/12,B42*12,-1)</f>
        <v>7.7529893561887461E-3</v>
      </c>
      <c r="E42" s="1830"/>
      <c r="F42" s="700">
        <f>D42*F35</f>
        <v>25334.759135664888</v>
      </c>
      <c r="G42" s="1827">
        <f>F42/0.3</f>
        <v>84449.197118882963</v>
      </c>
      <c r="H42" s="1828"/>
      <c r="I42" s="1829"/>
      <c r="K42" s="1783" t="str">
        <f>'10% spread plus 5% lumpsum'!K42:L42</f>
        <v>25th EQUITY PAYMENT</v>
      </c>
      <c r="L42" s="1783"/>
      <c r="M42" s="475">
        <f>'10% spread plus 5% lumpsum'!M42</f>
        <v>46665</v>
      </c>
      <c r="N42" s="1471" t="e">
        <f>G32</f>
        <v>#DIV/0!</v>
      </c>
      <c r="O42" s="1471"/>
      <c r="P42" s="647"/>
      <c r="Q42" s="648"/>
      <c r="AJ42" s="1814" t="s">
        <v>841</v>
      </c>
      <c r="AK42" s="1814"/>
      <c r="AP42" s="1783"/>
      <c r="AQ42" s="1783"/>
    </row>
    <row r="43" spans="1:43" s="18" customFormat="1" ht="12.95">
      <c r="B43" s="476" t="str">
        <f>'STANDARD COMP.'!B39</f>
        <v>Fixed for three (3) years</v>
      </c>
      <c r="G43" s="701"/>
      <c r="K43" s="1783" t="str">
        <f>'10% spread plus 5% lumpsum'!K43:L43</f>
        <v>26th EQUITY PAYMENT</v>
      </c>
      <c r="L43" s="1783"/>
      <c r="M43" s="475">
        <f>'10% spread plus 5% lumpsum'!M43</f>
        <v>46696</v>
      </c>
      <c r="N43" s="1471" t="e">
        <f>N42</f>
        <v>#DIV/0!</v>
      </c>
      <c r="O43" s="1471"/>
      <c r="P43" s="647"/>
      <c r="Q43" s="648"/>
      <c r="AJ43" s="1814" t="s">
        <v>842</v>
      </c>
      <c r="AK43" s="1814"/>
      <c r="AP43" s="1783"/>
      <c r="AQ43" s="1783"/>
    </row>
    <row r="44" spans="1:43" s="18" customFormat="1" ht="12.95">
      <c r="B44" s="476" t="str">
        <f>'STANDARD COMP.'!B40</f>
        <v>Sample Computation for Interest rate is at 7% fixed for three (3) years only</v>
      </c>
      <c r="C44" s="702"/>
      <c r="D44" s="632"/>
      <c r="K44" s="1783" t="str">
        <f>'10% spread plus 5% lumpsum'!K44:L44</f>
        <v>27th EQUITY PAYMENT</v>
      </c>
      <c r="L44" s="1783"/>
      <c r="M44" s="475">
        <f>'10% spread plus 5% lumpsum'!M44</f>
        <v>46726</v>
      </c>
      <c r="N44" s="1471" t="e">
        <f t="shared" ref="N44:N52" si="3">N43</f>
        <v>#DIV/0!</v>
      </c>
      <c r="O44" s="1471"/>
      <c r="P44" s="647"/>
      <c r="Q44" s="648"/>
      <c r="AJ44" s="1814" t="s">
        <v>843</v>
      </c>
      <c r="AK44" s="1814"/>
      <c r="AP44" s="1783"/>
      <c r="AQ44" s="1783"/>
    </row>
    <row r="45" spans="1:43" s="18" customFormat="1" ht="12.95">
      <c r="B45" s="703" t="s">
        <v>844</v>
      </c>
      <c r="D45" s="632"/>
      <c r="K45" s="1783" t="str">
        <f>'10% spread plus 5% lumpsum'!K45:L45</f>
        <v>28th EQUITY PAYMENT</v>
      </c>
      <c r="L45" s="1783"/>
      <c r="M45" s="475">
        <f>'10% spread plus 5% lumpsum'!M45</f>
        <v>46757</v>
      </c>
      <c r="N45" s="1471" t="e">
        <f t="shared" si="3"/>
        <v>#DIV/0!</v>
      </c>
      <c r="O45" s="1471"/>
      <c r="P45" s="647"/>
      <c r="Q45" s="648"/>
      <c r="AJ45" s="1814" t="s">
        <v>845</v>
      </c>
      <c r="AK45" s="1814"/>
      <c r="AP45" s="1783"/>
      <c r="AQ45" s="1783"/>
    </row>
    <row r="46" spans="1:43" s="18" customFormat="1" ht="12.95">
      <c r="B46" s="703" t="s">
        <v>846</v>
      </c>
      <c r="C46" s="702"/>
      <c r="D46" s="632"/>
      <c r="K46" s="1783" t="str">
        <f>'10% spread plus 5% lumpsum'!K46:L46</f>
        <v>29th EQUITY PAYMENT</v>
      </c>
      <c r="L46" s="1783"/>
      <c r="M46" s="475">
        <f>'10% spread plus 5% lumpsum'!M46</f>
        <v>46788</v>
      </c>
      <c r="N46" s="1471" t="e">
        <f t="shared" si="3"/>
        <v>#DIV/0!</v>
      </c>
      <c r="O46" s="1471"/>
      <c r="P46" s="647"/>
      <c r="Q46" s="648"/>
      <c r="AJ46" s="1814" t="s">
        <v>847</v>
      </c>
      <c r="AK46" s="1814"/>
      <c r="AP46" s="1783"/>
      <c r="AQ46" s="1783"/>
    </row>
    <row r="47" spans="1:43" s="18" customFormat="1" ht="12.95">
      <c r="D47" s="632"/>
      <c r="K47" s="1783" t="str">
        <f>'10% spread plus 5% lumpsum'!K47:L47</f>
        <v>30th EQUITY PAYMENT</v>
      </c>
      <c r="L47" s="1783"/>
      <c r="M47" s="475">
        <f>'10% spread plus 5% lumpsum'!M47</f>
        <v>46817</v>
      </c>
      <c r="N47" s="1471" t="e">
        <f t="shared" si="3"/>
        <v>#DIV/0!</v>
      </c>
      <c r="O47" s="1471"/>
      <c r="P47" s="647"/>
      <c r="Q47" s="648"/>
      <c r="AJ47" s="1814" t="s">
        <v>848</v>
      </c>
      <c r="AK47" s="1814"/>
      <c r="AP47" s="1783"/>
      <c r="AQ47" s="1783"/>
    </row>
    <row r="48" spans="1:43" s="18" customFormat="1" ht="12.95">
      <c r="B48" s="653" t="s">
        <v>864</v>
      </c>
      <c r="C48" s="704"/>
      <c r="D48" s="340"/>
      <c r="E48" s="340"/>
      <c r="F48" s="340"/>
      <c r="G48" s="340"/>
      <c r="H48" s="340"/>
      <c r="I48" s="340"/>
      <c r="K48" s="1783" t="str">
        <f>'10% spread plus 5% lumpsum'!K48:L48</f>
        <v>31st EQUITY PAYMENT</v>
      </c>
      <c r="L48" s="1783"/>
      <c r="M48" s="475">
        <f>'10% spread plus 5% lumpsum'!M48</f>
        <v>46848</v>
      </c>
      <c r="N48" s="1471" t="e">
        <f t="shared" si="3"/>
        <v>#DIV/0!</v>
      </c>
      <c r="O48" s="1471"/>
      <c r="P48" s="647"/>
      <c r="Q48" s="648"/>
      <c r="AJ48" s="1814" t="s">
        <v>850</v>
      </c>
      <c r="AK48" s="1814"/>
      <c r="AP48" s="1783"/>
      <c r="AQ48" s="1783"/>
    </row>
    <row r="49" spans="2:37" s="18" customFormat="1" ht="12.95">
      <c r="B49" s="340"/>
      <c r="C49" s="340"/>
      <c r="D49" s="340"/>
      <c r="E49" s="340"/>
      <c r="F49" s="340"/>
      <c r="G49" s="340"/>
      <c r="H49" s="340"/>
      <c r="I49" s="340"/>
      <c r="K49" s="1783" t="str">
        <f>'10% spread plus 5% lumpsum'!K49:L49</f>
        <v>32nd EQUITY PAYMENT</v>
      </c>
      <c r="L49" s="1783"/>
      <c r="M49" s="475">
        <f>'10% spread plus 5% lumpsum'!M49</f>
        <v>46878</v>
      </c>
      <c r="N49" s="1471" t="e">
        <f t="shared" si="3"/>
        <v>#DIV/0!</v>
      </c>
      <c r="O49" s="1471"/>
      <c r="P49" s="647"/>
      <c r="Q49" s="648"/>
      <c r="AJ49" s="1831" t="s">
        <v>851</v>
      </c>
      <c r="AK49" s="1831"/>
    </row>
    <row r="50" spans="2:37" s="18" customFormat="1" ht="12.6">
      <c r="B50" s="1789" t="s">
        <v>753</v>
      </c>
      <c r="C50" s="1789"/>
      <c r="D50" s="1789" t="s">
        <v>754</v>
      </c>
      <c r="E50" s="1789"/>
      <c r="F50" s="1789"/>
      <c r="G50" s="1789" t="s">
        <v>868</v>
      </c>
      <c r="H50" s="1789"/>
      <c r="I50" s="1789"/>
      <c r="K50" s="1783" t="str">
        <f>'10% spread plus 5% lumpsum'!K50:L50</f>
        <v>33rd EQUITY PAYMENT</v>
      </c>
      <c r="L50" s="1783"/>
      <c r="M50" s="475">
        <f>'10% spread plus 5% lumpsum'!M50</f>
        <v>46909</v>
      </c>
      <c r="N50" s="1471" t="e">
        <f t="shared" si="3"/>
        <v>#DIV/0!</v>
      </c>
      <c r="O50" s="1471"/>
      <c r="P50" s="647"/>
      <c r="Q50" s="648"/>
    </row>
    <row r="51" spans="2:37" s="18" customFormat="1" ht="12.6">
      <c r="B51" s="1832">
        <f>FORM!O19</f>
        <v>0</v>
      </c>
      <c r="C51" s="1833"/>
      <c r="D51" s="1832">
        <f>FORM!S19</f>
        <v>0</v>
      </c>
      <c r="E51" s="1836"/>
      <c r="F51" s="1833"/>
      <c r="G51" s="1838">
        <f>FORM!V19</f>
        <v>0</v>
      </c>
      <c r="H51" s="1839"/>
      <c r="I51" s="1840"/>
      <c r="K51" s="1783" t="str">
        <f>'10% spread plus 5% lumpsum'!K51:L51</f>
        <v>34th EQUITY PAYMENT</v>
      </c>
      <c r="L51" s="1783"/>
      <c r="M51" s="475">
        <f>'10% spread plus 5% lumpsum'!M51</f>
        <v>46939</v>
      </c>
      <c r="N51" s="1471" t="e">
        <f t="shared" si="3"/>
        <v>#DIV/0!</v>
      </c>
      <c r="O51" s="1471"/>
      <c r="P51" s="647"/>
      <c r="Q51" s="648"/>
    </row>
    <row r="52" spans="2:37" s="18" customFormat="1" ht="12.6">
      <c r="B52" s="1834"/>
      <c r="C52" s="1835"/>
      <c r="D52" s="1834"/>
      <c r="E52" s="1837"/>
      <c r="F52" s="1835"/>
      <c r="G52" s="1841"/>
      <c r="H52" s="1842"/>
      <c r="I52" s="1843"/>
      <c r="K52" s="1783" t="str">
        <f>'10% spread plus 5% lumpsum'!K52:L52</f>
        <v>35th EQUITY PAYMENT</v>
      </c>
      <c r="L52" s="1783"/>
      <c r="M52" s="475">
        <f>'10% spread plus 5% lumpsum'!M52</f>
        <v>46970</v>
      </c>
      <c r="N52" s="1471" t="e">
        <f t="shared" si="3"/>
        <v>#DIV/0!</v>
      </c>
      <c r="O52" s="1471"/>
      <c r="P52" s="647"/>
      <c r="Q52" s="648"/>
    </row>
    <row r="53" spans="2:37" s="18" customFormat="1" ht="12.6">
      <c r="B53" s="1832">
        <f>FORM!O21</f>
        <v>0</v>
      </c>
      <c r="C53" s="1833"/>
      <c r="D53" s="1832">
        <f>FORM!S21</f>
        <v>0</v>
      </c>
      <c r="E53" s="1836"/>
      <c r="F53" s="1833"/>
      <c r="G53" s="1838">
        <f>FORM!V21</f>
        <v>0</v>
      </c>
      <c r="H53" s="1839"/>
      <c r="I53" s="1840"/>
      <c r="K53" s="1783">
        <f>'10% spread plus 5% lumpsum'!K53:L53</f>
        <v>0</v>
      </c>
      <c r="L53" s="1783"/>
      <c r="M53" s="475" t="str">
        <f>'10% spread plus 5% lumpsum'!M53</f>
        <v/>
      </c>
      <c r="N53" s="1471"/>
      <c r="O53" s="1471"/>
      <c r="P53" s="647"/>
      <c r="Q53" s="648"/>
    </row>
    <row r="54" spans="2:37" s="18" customFormat="1" ht="12.6">
      <c r="B54" s="1834"/>
      <c r="C54" s="1835"/>
      <c r="D54" s="1834"/>
      <c r="E54" s="1837"/>
      <c r="F54" s="1835"/>
      <c r="G54" s="1841"/>
      <c r="H54" s="1842"/>
      <c r="I54" s="1843"/>
      <c r="K54" s="1783"/>
      <c r="L54" s="1783"/>
      <c r="M54" s="475" t="str">
        <f>'STANDARD COMP.'!M54</f>
        <v/>
      </c>
      <c r="N54" s="1471"/>
      <c r="O54" s="1471"/>
      <c r="P54" s="647"/>
      <c r="Q54" s="648"/>
    </row>
    <row r="55" spans="2:37" s="18" customFormat="1" ht="12.6">
      <c r="B55" s="1832">
        <f>FORM!O25</f>
        <v>0</v>
      </c>
      <c r="C55" s="1833"/>
      <c r="D55" s="1832">
        <f>FORM!S25</f>
        <v>0</v>
      </c>
      <c r="E55" s="1836"/>
      <c r="F55" s="1833"/>
      <c r="G55" s="1838">
        <f>FORM!V25</f>
        <v>0</v>
      </c>
      <c r="H55" s="1839"/>
      <c r="I55" s="1840"/>
      <c r="K55" s="1783"/>
      <c r="L55" s="1783"/>
      <c r="M55" s="475" t="str">
        <f>'STANDARD COMP.'!M55</f>
        <v/>
      </c>
      <c r="N55" s="1477"/>
      <c r="O55" s="1478"/>
      <c r="P55" s="647"/>
      <c r="Q55" s="648"/>
    </row>
    <row r="56" spans="2:37" s="18" customFormat="1" ht="12.6">
      <c r="B56" s="1834"/>
      <c r="C56" s="1835"/>
      <c r="D56" s="1834"/>
      <c r="E56" s="1837"/>
      <c r="F56" s="1835"/>
      <c r="G56" s="1841"/>
      <c r="H56" s="1842"/>
      <c r="I56" s="1843"/>
      <c r="K56" s="1783"/>
      <c r="L56" s="1783"/>
      <c r="M56" s="475"/>
      <c r="N56" s="1471"/>
      <c r="O56" s="1471"/>
      <c r="P56" s="647"/>
      <c r="Q56" s="648"/>
    </row>
    <row r="57" spans="2:37" s="18" customFormat="1" ht="12.6">
      <c r="B57" s="1832">
        <f>FORM!O27</f>
        <v>0</v>
      </c>
      <c r="C57" s="1833"/>
      <c r="D57" s="1832">
        <f>FORM!S27</f>
        <v>0</v>
      </c>
      <c r="E57" s="1836"/>
      <c r="F57" s="1833"/>
      <c r="G57" s="1838">
        <f>FORM!V27</f>
        <v>0</v>
      </c>
      <c r="H57" s="1839"/>
      <c r="I57" s="1840"/>
      <c r="J57" s="18" t="s">
        <v>757</v>
      </c>
      <c r="K57" s="1783" t="s">
        <v>866</v>
      </c>
      <c r="L57" s="1783"/>
      <c r="M57" s="475">
        <f>'STANDARD COMP.'!M64</f>
        <v>46482</v>
      </c>
      <c r="N57" s="1845">
        <f>F35</f>
        <v>3267740.7347969166</v>
      </c>
      <c r="O57" s="1845"/>
      <c r="P57" s="647"/>
      <c r="Q57" s="648"/>
    </row>
    <row r="58" spans="2:37" s="18" customFormat="1" ht="12.6">
      <c r="B58" s="1834"/>
      <c r="C58" s="1835"/>
      <c r="D58" s="1834"/>
      <c r="E58" s="1837"/>
      <c r="F58" s="1835"/>
      <c r="G58" s="1841"/>
      <c r="H58" s="1842"/>
      <c r="I58" s="1843"/>
      <c r="K58" s="705"/>
      <c r="M58" s="639"/>
    </row>
    <row r="59" spans="2:37" s="18" customFormat="1" ht="12.6">
      <c r="B59" s="1832">
        <f>FORM!O31</f>
        <v>0</v>
      </c>
      <c r="C59" s="1833"/>
      <c r="D59" s="1832">
        <f>FORM!S31</f>
        <v>0</v>
      </c>
      <c r="E59" s="1836"/>
      <c r="F59" s="1833"/>
      <c r="G59" s="1838">
        <f>FORM!V31</f>
        <v>0</v>
      </c>
      <c r="H59" s="1839"/>
      <c r="I59" s="1840"/>
      <c r="K59" s="705"/>
      <c r="M59" s="639"/>
    </row>
    <row r="60" spans="2:37" s="18" customFormat="1" ht="12.6">
      <c r="B60" s="1834"/>
      <c r="C60" s="1835"/>
      <c r="D60" s="1834"/>
      <c r="E60" s="1837"/>
      <c r="F60" s="1835"/>
      <c r="G60" s="1841"/>
      <c r="H60" s="1842"/>
      <c r="I60" s="1843"/>
      <c r="M60" s="639"/>
    </row>
    <row r="61" spans="2:37" s="18" customFormat="1" ht="12.6">
      <c r="B61" s="1832">
        <f>FORM!O33</f>
        <v>0</v>
      </c>
      <c r="C61" s="1833"/>
      <c r="D61" s="1832">
        <f>FORM!S33</f>
        <v>0</v>
      </c>
      <c r="E61" s="1836"/>
      <c r="F61" s="1833"/>
      <c r="G61" s="1838">
        <f>FORM!V33</f>
        <v>0</v>
      </c>
      <c r="H61" s="1839"/>
      <c r="I61" s="1840"/>
      <c r="K61" s="340" t="s">
        <v>869</v>
      </c>
      <c r="L61" s="340"/>
      <c r="M61" s="340"/>
      <c r="N61" s="340"/>
      <c r="P61" s="340" t="s">
        <v>870</v>
      </c>
      <c r="Q61" s="340"/>
    </row>
    <row r="62" spans="2:37" s="18" customFormat="1" ht="12.6">
      <c r="B62" s="1834"/>
      <c r="C62" s="1835"/>
      <c r="D62" s="1834"/>
      <c r="E62" s="1837"/>
      <c r="F62" s="1835"/>
      <c r="G62" s="1841"/>
      <c r="H62" s="1842"/>
      <c r="I62" s="1843"/>
      <c r="M62" s="632"/>
    </row>
    <row r="63" spans="2:37" s="18" customFormat="1" ht="12.6">
      <c r="D63" s="632"/>
      <c r="M63" s="632"/>
    </row>
    <row r="64" spans="2:37" s="18" customFormat="1" ht="12.6">
      <c r="B64" s="706"/>
      <c r="C64" s="707" t="s">
        <v>872</v>
      </c>
      <c r="D64" s="1547"/>
      <c r="E64" s="1547"/>
      <c r="F64" s="1547"/>
      <c r="K64" s="1844">
        <f>FORM!I28</f>
        <v>0</v>
      </c>
      <c r="L64" s="1844"/>
      <c r="M64" s="1844"/>
      <c r="P64" s="1844">
        <f>FORM!I26</f>
        <v>0</v>
      </c>
      <c r="Q64" s="1844"/>
    </row>
    <row r="65" spans="2:17" s="18" customFormat="1" ht="12.6">
      <c r="B65" s="708"/>
      <c r="C65" s="16"/>
      <c r="D65" s="16"/>
      <c r="E65" s="16"/>
      <c r="F65" s="690"/>
      <c r="K65" s="709" t="s">
        <v>871</v>
      </c>
      <c r="L65" s="709"/>
      <c r="M65" s="710"/>
      <c r="P65" s="709" t="s">
        <v>871</v>
      </c>
      <c r="Q65" s="709"/>
    </row>
    <row r="66" spans="2:17" s="18" customFormat="1" ht="12.6">
      <c r="B66" s="340" t="s">
        <v>869</v>
      </c>
      <c r="C66" s="340"/>
      <c r="D66" s="340"/>
      <c r="E66" s="340"/>
      <c r="F66" s="340" t="s">
        <v>870</v>
      </c>
      <c r="G66" s="340"/>
      <c r="H66" s="340"/>
    </row>
    <row r="67" spans="2:17" s="18" customFormat="1" ht="12.6">
      <c r="D67" s="632"/>
    </row>
    <row r="68" spans="2:17" s="18" customFormat="1" ht="12.6">
      <c r="B68" s="1844">
        <f>FORM!I28</f>
        <v>0</v>
      </c>
      <c r="C68" s="1844"/>
      <c r="D68" s="711"/>
      <c r="F68" s="1844">
        <f>FORM!I26</f>
        <v>0</v>
      </c>
      <c r="G68" s="1844"/>
      <c r="M68" s="639"/>
    </row>
    <row r="69" spans="2:17" s="18" customFormat="1" ht="12.6">
      <c r="B69" s="709" t="s">
        <v>871</v>
      </c>
      <c r="C69" s="709"/>
      <c r="D69" s="632"/>
      <c r="F69" s="709" t="s">
        <v>871</v>
      </c>
      <c r="G69" s="709"/>
      <c r="M69" s="639"/>
    </row>
    <row r="70" spans="2:17" s="18" customFormat="1" ht="12.6">
      <c r="D70" s="632"/>
      <c r="M70" s="639"/>
    </row>
    <row r="114" spans="1:1">
      <c r="A114" s="343">
        <f>F17*12%</f>
        <v>405563.16811959143</v>
      </c>
    </row>
  </sheetData>
  <sheetProtection password="CC2E" sheet="1" selectLockedCells="1"/>
  <mergeCells count="248">
    <mergeCell ref="B68:C68"/>
    <mergeCell ref="F68:G68"/>
    <mergeCell ref="B33:C33"/>
    <mergeCell ref="G33:I33"/>
    <mergeCell ref="B61:C62"/>
    <mergeCell ref="D61:F62"/>
    <mergeCell ref="G61:I62"/>
    <mergeCell ref="D64:F64"/>
    <mergeCell ref="K64:M64"/>
    <mergeCell ref="B55:C56"/>
    <mergeCell ref="D55:F56"/>
    <mergeCell ref="G55:I56"/>
    <mergeCell ref="K55:L55"/>
    <mergeCell ref="B51:C52"/>
    <mergeCell ref="D51:F52"/>
    <mergeCell ref="G51:I52"/>
    <mergeCell ref="K51:L51"/>
    <mergeCell ref="K47:L47"/>
    <mergeCell ref="K43:L43"/>
    <mergeCell ref="D41:E41"/>
    <mergeCell ref="G41:I41"/>
    <mergeCell ref="K41:L41"/>
    <mergeCell ref="D39:E39"/>
    <mergeCell ref="G39:I39"/>
    <mergeCell ref="P64:Q64"/>
    <mergeCell ref="B57:C58"/>
    <mergeCell ref="D57:F58"/>
    <mergeCell ref="G57:I58"/>
    <mergeCell ref="K57:L57"/>
    <mergeCell ref="N57:O57"/>
    <mergeCell ref="B59:C60"/>
    <mergeCell ref="D59:F60"/>
    <mergeCell ref="G59:I60"/>
    <mergeCell ref="N55:O55"/>
    <mergeCell ref="K56:L56"/>
    <mergeCell ref="N56:O56"/>
    <mergeCell ref="B53:C54"/>
    <mergeCell ref="D53:F54"/>
    <mergeCell ref="G53:I54"/>
    <mergeCell ref="K53:L53"/>
    <mergeCell ref="N53:O53"/>
    <mergeCell ref="K54:L54"/>
    <mergeCell ref="N54:O54"/>
    <mergeCell ref="N51:O51"/>
    <mergeCell ref="K52:L52"/>
    <mergeCell ref="N52:O52"/>
    <mergeCell ref="K49:L49"/>
    <mergeCell ref="N49:O49"/>
    <mergeCell ref="AJ49:AK49"/>
    <mergeCell ref="B50:C50"/>
    <mergeCell ref="D50:F50"/>
    <mergeCell ref="G50:I50"/>
    <mergeCell ref="K50:L50"/>
    <mergeCell ref="N50:O50"/>
    <mergeCell ref="N47:O47"/>
    <mergeCell ref="AJ47:AK47"/>
    <mergeCell ref="AP47:AQ47"/>
    <mergeCell ref="K48:L48"/>
    <mergeCell ref="N48:O48"/>
    <mergeCell ref="AJ48:AK48"/>
    <mergeCell ref="AP48:AQ48"/>
    <mergeCell ref="K45:L45"/>
    <mergeCell ref="N45:O45"/>
    <mergeCell ref="AJ45:AK45"/>
    <mergeCell ref="AP45:AQ45"/>
    <mergeCell ref="K46:L46"/>
    <mergeCell ref="N46:O46"/>
    <mergeCell ref="AJ46:AK46"/>
    <mergeCell ref="AP46:AQ46"/>
    <mergeCell ref="N43:O43"/>
    <mergeCell ref="AJ43:AK43"/>
    <mergeCell ref="AP43:AQ43"/>
    <mergeCell ref="K44:L44"/>
    <mergeCell ref="N44:O44"/>
    <mergeCell ref="AJ44:AK44"/>
    <mergeCell ref="AP44:AQ44"/>
    <mergeCell ref="D42:E42"/>
    <mergeCell ref="G42:I42"/>
    <mergeCell ref="K42:L42"/>
    <mergeCell ref="N42:O42"/>
    <mergeCell ref="AJ42:AK42"/>
    <mergeCell ref="AP42:AQ42"/>
    <mergeCell ref="N41:O41"/>
    <mergeCell ref="AJ41:AK41"/>
    <mergeCell ref="AP41:AQ41"/>
    <mergeCell ref="D40:E40"/>
    <mergeCell ref="G40:I40"/>
    <mergeCell ref="K40:L40"/>
    <mergeCell ref="N40:O40"/>
    <mergeCell ref="AJ40:AK40"/>
    <mergeCell ref="AP40:AQ40"/>
    <mergeCell ref="K39:L39"/>
    <mergeCell ref="N39:O39"/>
    <mergeCell ref="AJ39:AK39"/>
    <mergeCell ref="AP39:AQ39"/>
    <mergeCell ref="D38:E38"/>
    <mergeCell ref="G38:I38"/>
    <mergeCell ref="K38:L38"/>
    <mergeCell ref="N38:O38"/>
    <mergeCell ref="AJ38:AK38"/>
    <mergeCell ref="AP38:AQ38"/>
    <mergeCell ref="K36:L36"/>
    <mergeCell ref="N36:O36"/>
    <mergeCell ref="AJ36:AK36"/>
    <mergeCell ref="AP36:AQ36"/>
    <mergeCell ref="K37:L37"/>
    <mergeCell ref="N37:O37"/>
    <mergeCell ref="AJ37:AK37"/>
    <mergeCell ref="AP37:AQ37"/>
    <mergeCell ref="K34:L34"/>
    <mergeCell ref="N34:O34"/>
    <mergeCell ref="AJ34:AK34"/>
    <mergeCell ref="AP34:AQ34"/>
    <mergeCell ref="F35:I35"/>
    <mergeCell ref="K35:L35"/>
    <mergeCell ref="N35:O35"/>
    <mergeCell ref="AJ35:AK35"/>
    <mergeCell ref="AP35:AQ35"/>
    <mergeCell ref="AP32:AQ32"/>
    <mergeCell ref="B32:C32"/>
    <mergeCell ref="G32:I32"/>
    <mergeCell ref="K33:L33"/>
    <mergeCell ref="N33:O33"/>
    <mergeCell ref="T33:U33"/>
    <mergeCell ref="AJ33:AK33"/>
    <mergeCell ref="AP33:AQ33"/>
    <mergeCell ref="K32:L32"/>
    <mergeCell ref="N32:O32"/>
    <mergeCell ref="T32:U32"/>
    <mergeCell ref="AJ32:AK32"/>
    <mergeCell ref="B30:C30"/>
    <mergeCell ref="G30:I30"/>
    <mergeCell ref="K31:L31"/>
    <mergeCell ref="N31:O31"/>
    <mergeCell ref="AJ31:AK31"/>
    <mergeCell ref="AP31:AQ31"/>
    <mergeCell ref="K29:L29"/>
    <mergeCell ref="N29:O29"/>
    <mergeCell ref="AJ29:AK29"/>
    <mergeCell ref="AP29:AQ29"/>
    <mergeCell ref="B29:C29"/>
    <mergeCell ref="G29:I29"/>
    <mergeCell ref="K30:L30"/>
    <mergeCell ref="N30:O30"/>
    <mergeCell ref="AJ30:AK30"/>
    <mergeCell ref="AP30:AQ30"/>
    <mergeCell ref="B31:C31"/>
    <mergeCell ref="G31:I31"/>
    <mergeCell ref="K27:L27"/>
    <mergeCell ref="N27:O27"/>
    <mergeCell ref="T27:U27"/>
    <mergeCell ref="AJ27:AK27"/>
    <mergeCell ref="AP27:AQ27"/>
    <mergeCell ref="F27:I27"/>
    <mergeCell ref="K28:L28"/>
    <mergeCell ref="N28:O28"/>
    <mergeCell ref="AJ28:AK28"/>
    <mergeCell ref="AP28:AQ28"/>
    <mergeCell ref="F25:I25"/>
    <mergeCell ref="K26:L26"/>
    <mergeCell ref="N26:O26"/>
    <mergeCell ref="T26:U26"/>
    <mergeCell ref="AJ26:AK26"/>
    <mergeCell ref="AP26:AQ26"/>
    <mergeCell ref="K24:L24"/>
    <mergeCell ref="N24:O24"/>
    <mergeCell ref="AJ24:AK24"/>
    <mergeCell ref="AP24:AQ24"/>
    <mergeCell ref="F24:I24"/>
    <mergeCell ref="K25:L25"/>
    <mergeCell ref="N25:O25"/>
    <mergeCell ref="AJ25:AK25"/>
    <mergeCell ref="AP25:AQ25"/>
    <mergeCell ref="K22:L22"/>
    <mergeCell ref="N22:O22"/>
    <mergeCell ref="AJ22:AK22"/>
    <mergeCell ref="AP22:AQ22"/>
    <mergeCell ref="F22:I22"/>
    <mergeCell ref="K23:L23"/>
    <mergeCell ref="N23:O23"/>
    <mergeCell ref="AJ23:AK23"/>
    <mergeCell ref="AP23:AQ23"/>
    <mergeCell ref="F20:I20"/>
    <mergeCell ref="K21:L21"/>
    <mergeCell ref="N21:O21"/>
    <mergeCell ref="T21:U21"/>
    <mergeCell ref="AJ21:AK21"/>
    <mergeCell ref="AP21:AQ21"/>
    <mergeCell ref="K19:L19"/>
    <mergeCell ref="N19:O19"/>
    <mergeCell ref="AJ19:AK19"/>
    <mergeCell ref="AP19:AQ19"/>
    <mergeCell ref="F19:I19"/>
    <mergeCell ref="K20:L20"/>
    <mergeCell ref="N20:O20"/>
    <mergeCell ref="T20:U20"/>
    <mergeCell ref="AJ20:AK20"/>
    <mergeCell ref="AP20:AQ20"/>
    <mergeCell ref="K17:L17"/>
    <mergeCell ref="N17:O17"/>
    <mergeCell ref="F17:I17"/>
    <mergeCell ref="K18:L18"/>
    <mergeCell ref="N18:O18"/>
    <mergeCell ref="F15:I15"/>
    <mergeCell ref="K15:L16"/>
    <mergeCell ref="M15:M16"/>
    <mergeCell ref="N15:O16"/>
    <mergeCell ref="P15:Q16"/>
    <mergeCell ref="S15:AD15"/>
    <mergeCell ref="E12:F12"/>
    <mergeCell ref="G12:I12"/>
    <mergeCell ref="N12:O12"/>
    <mergeCell ref="P12:Q12"/>
    <mergeCell ref="X12:Y12"/>
    <mergeCell ref="E13:F13"/>
    <mergeCell ref="G13:I13"/>
    <mergeCell ref="N13:O13"/>
    <mergeCell ref="P13:Q13"/>
    <mergeCell ref="X13:Y13"/>
    <mergeCell ref="F16:I16"/>
    <mergeCell ref="E10:I10"/>
    <mergeCell ref="N10:Q10"/>
    <mergeCell ref="X10:AD10"/>
    <mergeCell ref="E11:F11"/>
    <mergeCell ref="G11:I11"/>
    <mergeCell ref="N11:O11"/>
    <mergeCell ref="P11:Q11"/>
    <mergeCell ref="X11:Y11"/>
    <mergeCell ref="E8:I8"/>
    <mergeCell ref="N8:Q8"/>
    <mergeCell ref="X8:AD8"/>
    <mergeCell ref="E9:I9"/>
    <mergeCell ref="N9:Q9"/>
    <mergeCell ref="X9:AD9"/>
    <mergeCell ref="E6:I6"/>
    <mergeCell ref="N6:Q6"/>
    <mergeCell ref="X6:AD6"/>
    <mergeCell ref="E7:F7"/>
    <mergeCell ref="N7:Q7"/>
    <mergeCell ref="X7:AD7"/>
    <mergeCell ref="G1:I1"/>
    <mergeCell ref="S1:T1"/>
    <mergeCell ref="U1:V1"/>
    <mergeCell ref="Z1:AA1"/>
    <mergeCell ref="AB1:AD1"/>
    <mergeCell ref="B3:I4"/>
    <mergeCell ref="K3:Q4"/>
    <mergeCell ref="S3:AD4"/>
  </mergeCells>
  <pageMargins left="0.59055118110236227" right="0.59055118110236227" top="1.1811023622047245" bottom="0.74803149606299213" header="0.31496062992125984" footer="0.31496062992125984"/>
  <pageSetup paperSize="14" scale="65"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drawing r:id="rId2"/>
  <legacyDrawing r:id="rId3"/>
  <mc:AlternateContent xmlns:mc="http://schemas.openxmlformats.org/markup-compatibility/2006">
    <mc:Choice Requires="x14">
      <controls>
        <mc:AlternateContent xmlns:mc="http://schemas.openxmlformats.org/markup-compatibility/2006">
          <mc:Choice Requires="x14">
            <control shapeId="139265" r:id="rId4" name="Check Box 1">
              <controlPr defaultSize="0" autoFill="0" autoLine="0" autoPict="0">
                <anchor moveWithCells="1">
                  <from>
                    <xdr:col>21</xdr:col>
                    <xdr:colOff>76200</xdr:colOff>
                    <xdr:row>17</xdr:row>
                    <xdr:rowOff>0</xdr:rowOff>
                  </from>
                  <to>
                    <xdr:col>21</xdr:col>
                    <xdr:colOff>298450</xdr:colOff>
                    <xdr:row>18</xdr:row>
                    <xdr:rowOff>50800</xdr:rowOff>
                  </to>
                </anchor>
              </controlPr>
            </control>
          </mc:Choice>
        </mc:AlternateContent>
        <mc:AlternateContent xmlns:mc="http://schemas.openxmlformats.org/markup-compatibility/2006">
          <mc:Choice Requires="x14">
            <control shapeId="139266" r:id="rId5" name="Check Box 2">
              <controlPr defaultSize="0" autoFill="0" autoLine="0" autoPict="0">
                <anchor moveWithCells="1">
                  <from>
                    <xdr:col>21</xdr:col>
                    <xdr:colOff>76200</xdr:colOff>
                    <xdr:row>18</xdr:row>
                    <xdr:rowOff>190500</xdr:rowOff>
                  </from>
                  <to>
                    <xdr:col>21</xdr:col>
                    <xdr:colOff>298450</xdr:colOff>
                    <xdr:row>20</xdr:row>
                    <xdr:rowOff>31750</xdr:rowOff>
                  </to>
                </anchor>
              </controlPr>
            </control>
          </mc:Choice>
        </mc:AlternateContent>
        <mc:AlternateContent xmlns:mc="http://schemas.openxmlformats.org/markup-compatibility/2006">
          <mc:Choice Requires="x14">
            <control shapeId="139267" r:id="rId6" name="Check Box 3">
              <controlPr defaultSize="0" autoFill="0" autoLine="0" autoPict="0">
                <anchor moveWithCells="1">
                  <from>
                    <xdr:col>21</xdr:col>
                    <xdr:colOff>76200</xdr:colOff>
                    <xdr:row>23</xdr:row>
                    <xdr:rowOff>0</xdr:rowOff>
                  </from>
                  <to>
                    <xdr:col>21</xdr:col>
                    <xdr:colOff>292100</xdr:colOff>
                    <xdr:row>24</xdr:row>
                    <xdr:rowOff>50800</xdr:rowOff>
                  </to>
                </anchor>
              </controlPr>
            </control>
          </mc:Choice>
        </mc:AlternateContent>
        <mc:AlternateContent xmlns:mc="http://schemas.openxmlformats.org/markup-compatibility/2006">
          <mc:Choice Requires="x14">
            <control shapeId="139268" r:id="rId7" name="Check Box 4">
              <controlPr defaultSize="0" autoFill="0" autoLine="0" autoPict="0">
                <anchor moveWithCells="1">
                  <from>
                    <xdr:col>21</xdr:col>
                    <xdr:colOff>69850</xdr:colOff>
                    <xdr:row>24</xdr:row>
                    <xdr:rowOff>190500</xdr:rowOff>
                  </from>
                  <to>
                    <xdr:col>21</xdr:col>
                    <xdr:colOff>292100</xdr:colOff>
                    <xdr:row>26</xdr:row>
                    <xdr:rowOff>31750</xdr:rowOff>
                  </to>
                </anchor>
              </controlPr>
            </control>
          </mc:Choice>
        </mc:AlternateContent>
        <mc:AlternateContent xmlns:mc="http://schemas.openxmlformats.org/markup-compatibility/2006">
          <mc:Choice Requires="x14">
            <control shapeId="139269" r:id="rId8" name="Check Box 5">
              <controlPr defaultSize="0" autoFill="0" autoLine="0" autoPict="0">
                <anchor moveWithCells="1">
                  <from>
                    <xdr:col>21</xdr:col>
                    <xdr:colOff>76200</xdr:colOff>
                    <xdr:row>29</xdr:row>
                    <xdr:rowOff>0</xdr:rowOff>
                  </from>
                  <to>
                    <xdr:col>21</xdr:col>
                    <xdr:colOff>292100</xdr:colOff>
                    <xdr:row>30</xdr:row>
                    <xdr:rowOff>50800</xdr:rowOff>
                  </to>
                </anchor>
              </controlPr>
            </control>
          </mc:Choice>
        </mc:AlternateContent>
        <mc:AlternateContent xmlns:mc="http://schemas.openxmlformats.org/markup-compatibility/2006">
          <mc:Choice Requires="x14">
            <control shapeId="139270" r:id="rId9" name="Check Box 6">
              <controlPr defaultSize="0" autoFill="0" autoLine="0" autoPict="0">
                <anchor moveWithCells="1">
                  <from>
                    <xdr:col>21</xdr:col>
                    <xdr:colOff>69850</xdr:colOff>
                    <xdr:row>30</xdr:row>
                    <xdr:rowOff>190500</xdr:rowOff>
                  </from>
                  <to>
                    <xdr:col>21</xdr:col>
                    <xdr:colOff>292100</xdr:colOff>
                    <xdr:row>32</xdr:row>
                    <xdr:rowOff>31750</xdr:rowOff>
                  </to>
                </anchor>
              </controlPr>
            </control>
          </mc:Choice>
        </mc:AlternateContent>
      </controls>
    </mc:Choice>
  </mc:AlternateConten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8">
    <tabColor rgb="FF0070C0"/>
  </sheetPr>
  <dimension ref="A1:BA114"/>
  <sheetViews>
    <sheetView showGridLines="0" showZeros="0" view="pageLayout" topLeftCell="B22" zoomScale="85" zoomScaleNormal="90" zoomScaleSheetLayoutView="80" zoomScalePageLayoutView="85" workbookViewId="0">
      <selection activeCell="B32" sqref="B32"/>
    </sheetView>
  </sheetViews>
  <sheetFormatPr defaultColWidth="9.140625" defaultRowHeight="13.5"/>
  <cols>
    <col min="1" max="1" width="1.140625" style="2" customWidth="1"/>
    <col min="2" max="2" width="12" style="2" customWidth="1"/>
    <col min="3" max="3" width="27.85546875" style="2" customWidth="1"/>
    <col min="4" max="4" width="21" style="85"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238" customWidth="1"/>
    <col min="14" max="14" width="12.140625" style="2" customWidth="1"/>
    <col min="15" max="16" width="18.85546875" style="2" customWidth="1"/>
    <col min="17" max="17" width="25.85546875" style="2" customWidth="1"/>
    <col min="18" max="18" width="4.85546875" style="2" customWidth="1"/>
    <col min="19" max="19" width="4.42578125" style="2" customWidth="1"/>
    <col min="20" max="21" width="9.140625" style="2" customWidth="1"/>
    <col min="22" max="22" width="11.85546875" style="493" customWidth="1"/>
    <col min="23" max="23" width="9.85546875" style="2" customWidth="1"/>
    <col min="24" max="25" width="9.140625" style="494" customWidth="1"/>
    <col min="26" max="26" width="15.5703125" style="2" customWidth="1"/>
    <col min="27" max="28" width="9.140625" style="2" customWidth="1"/>
    <col min="29" max="29" width="9.140625" style="2"/>
    <col min="30" max="31" width="9.140625" style="2" customWidth="1"/>
    <col min="32" max="16384" width="9.140625" style="2"/>
  </cols>
  <sheetData>
    <row r="1" spans="1:53" s="90" customFormat="1" ht="12.6">
      <c r="B1" s="243" t="s">
        <v>783</v>
      </c>
      <c r="C1" s="478">
        <f>FORM!I20</f>
        <v>45901</v>
      </c>
      <c r="D1" s="242"/>
      <c r="F1" s="173" t="s">
        <v>784</v>
      </c>
      <c r="G1" s="1414" t="s">
        <v>785</v>
      </c>
      <c r="H1" s="1414"/>
      <c r="I1" s="1414"/>
      <c r="J1" s="92"/>
      <c r="K1" s="243" t="s">
        <v>783</v>
      </c>
      <c r="L1" s="478">
        <f>C1</f>
        <v>45901</v>
      </c>
      <c r="M1" s="612"/>
      <c r="O1" s="613"/>
      <c r="P1" s="173" t="s">
        <v>786</v>
      </c>
      <c r="Q1" s="257" t="s">
        <v>787</v>
      </c>
      <c r="V1" s="488"/>
    </row>
    <row r="2" spans="1:53" s="90" customFormat="1" ht="7.5" customHeight="1">
      <c r="C2" s="91"/>
      <c r="D2" s="91"/>
      <c r="K2" s="178"/>
      <c r="L2" s="178"/>
      <c r="M2" s="178"/>
      <c r="N2" s="178"/>
      <c r="O2" s="178"/>
      <c r="P2" s="178"/>
      <c r="Q2" s="178"/>
      <c r="V2" s="488"/>
    </row>
    <row r="3" spans="1:53" s="90" customFormat="1" ht="14.25" customHeight="1">
      <c r="B3" s="1415" t="str">
        <f>'[8]INTERNAL PRICELIST'!AH24</f>
        <v>7% Step-up plus 3% Lumpsum</v>
      </c>
      <c r="C3" s="1415"/>
      <c r="D3" s="1415"/>
      <c r="E3" s="1415"/>
      <c r="F3" s="1415"/>
      <c r="G3" s="1415"/>
      <c r="H3" s="1415"/>
      <c r="I3" s="1415"/>
      <c r="J3" s="489"/>
      <c r="K3" s="1415" t="s">
        <v>788</v>
      </c>
      <c r="L3" s="1415"/>
      <c r="M3" s="1415"/>
      <c r="N3" s="1415"/>
      <c r="O3" s="1415"/>
      <c r="P3" s="1415"/>
      <c r="Q3" s="1415"/>
      <c r="V3" s="488"/>
    </row>
    <row r="4" spans="1:53" s="90" customFormat="1" ht="12.75" customHeight="1">
      <c r="B4" s="1415"/>
      <c r="C4" s="1415"/>
      <c r="D4" s="1415"/>
      <c r="E4" s="1415"/>
      <c r="F4" s="1415"/>
      <c r="G4" s="1415"/>
      <c r="H4" s="1415"/>
      <c r="I4" s="1415"/>
      <c r="J4" s="489"/>
      <c r="K4" s="1415"/>
      <c r="L4" s="1415"/>
      <c r="M4" s="1415"/>
      <c r="N4" s="1415"/>
      <c r="O4" s="1415"/>
      <c r="P4" s="1415"/>
      <c r="Q4" s="1415"/>
      <c r="V4" s="488"/>
    </row>
    <row r="5" spans="1:53" s="90" customFormat="1" ht="12.75" customHeight="1">
      <c r="B5" s="308"/>
      <c r="C5" s="308"/>
      <c r="D5" s="344"/>
      <c r="E5" s="101"/>
      <c r="F5" s="101"/>
      <c r="G5" s="289" t="str">
        <f>IF(OR(FORM!I16="UPPER GROUND",FORM!I16="2nd FLOOR",FORM!I16="3rd FLOOR",FORM!I16="4th FLOOR",FORM!I16="5th FLOOR",FORM!I16="6th FLOOR",FORM!I16="7th FLOOR",FORM!I16="8th FLOOR",FORM!I16="9th FLOOR",FORM!I16="10th FLOOR"),FORM!I18,"")</f>
        <v>2L</v>
      </c>
      <c r="H5" s="101"/>
      <c r="I5" s="101"/>
      <c r="J5" s="308"/>
      <c r="K5" s="490"/>
      <c r="L5" s="491"/>
      <c r="M5" s="492"/>
      <c r="N5" s="491"/>
      <c r="O5" s="491"/>
      <c r="P5" s="491"/>
      <c r="Q5" s="492"/>
      <c r="V5" s="488"/>
    </row>
    <row r="6" spans="1:53">
      <c r="A6" s="112"/>
      <c r="B6" s="365" t="s">
        <v>789</v>
      </c>
      <c r="C6" s="366"/>
      <c r="D6" s="297" t="s">
        <v>741</v>
      </c>
      <c r="E6" s="1416">
        <f>'STANDARD COMP.'!E6:I6</f>
        <v>0</v>
      </c>
      <c r="F6" s="1417"/>
      <c r="G6" s="1417"/>
      <c r="H6" s="1417"/>
      <c r="I6" s="1418"/>
      <c r="J6" s="203"/>
      <c r="K6" s="365" t="s">
        <v>789</v>
      </c>
      <c r="L6" s="370"/>
      <c r="M6" s="197" t="s">
        <v>741</v>
      </c>
      <c r="N6" s="1419">
        <f>E6</f>
        <v>0</v>
      </c>
      <c r="O6" s="1419"/>
      <c r="P6" s="1419"/>
      <c r="Q6" s="1419"/>
      <c r="AM6" s="798"/>
      <c r="AZ6" s="799"/>
      <c r="BA6" s="800"/>
    </row>
    <row r="7" spans="1:53">
      <c r="A7" s="112"/>
      <c r="B7" s="206" t="s">
        <v>740</v>
      </c>
      <c r="C7" s="367"/>
      <c r="D7" s="297" t="s">
        <v>741</v>
      </c>
      <c r="E7" s="1428" t="str">
        <f>'STANDARD COMP.'!E7:F7</f>
        <v>The Southprime Flats</v>
      </c>
      <c r="F7" s="1429"/>
      <c r="G7" s="369" t="str">
        <f>[8]FORM!I14</f>
        <v>B1</v>
      </c>
      <c r="H7" s="369"/>
      <c r="I7" s="217"/>
      <c r="J7" s="203"/>
      <c r="K7" s="206" t="s">
        <v>740</v>
      </c>
      <c r="L7" s="215"/>
      <c r="M7" s="197" t="s">
        <v>741</v>
      </c>
      <c r="N7" s="1419" t="str">
        <f>E7</f>
        <v>The Southprime Flats</v>
      </c>
      <c r="O7" s="1419"/>
      <c r="P7" s="1419"/>
      <c r="Q7" s="1419"/>
      <c r="AM7" s="798"/>
      <c r="AZ7" s="799"/>
      <c r="BA7" s="800"/>
    </row>
    <row r="8" spans="1:53">
      <c r="A8" s="112"/>
      <c r="B8" s="206" t="s">
        <v>790</v>
      </c>
      <c r="C8" s="367"/>
      <c r="D8" s="297" t="s">
        <v>741</v>
      </c>
      <c r="E8" s="1416" t="str">
        <f>'STANDARD COMP.'!E8:I8</f>
        <v>2L</v>
      </c>
      <c r="F8" s="1417"/>
      <c r="G8" s="1417"/>
      <c r="H8" s="1417"/>
      <c r="I8" s="1418"/>
      <c r="J8" s="203"/>
      <c r="K8" s="206" t="s">
        <v>790</v>
      </c>
      <c r="L8" s="215"/>
      <c r="M8" s="197" t="s">
        <v>741</v>
      </c>
      <c r="N8" s="1419" t="str">
        <f>E8</f>
        <v>2L</v>
      </c>
      <c r="O8" s="1419"/>
      <c r="P8" s="1419"/>
      <c r="Q8" s="1419"/>
      <c r="AM8" s="798"/>
      <c r="AZ8" s="799"/>
      <c r="BA8" s="800"/>
    </row>
    <row r="9" spans="1:53" hidden="1">
      <c r="A9" s="112"/>
      <c r="B9" s="206" t="s">
        <v>791</v>
      </c>
      <c r="C9" s="367"/>
      <c r="D9" s="297" t="s">
        <v>741</v>
      </c>
      <c r="E9" s="1416" t="e">
        <f>'[8]STANDARD COMP.'!E9:I9</f>
        <v>#REF!</v>
      </c>
      <c r="F9" s="1417"/>
      <c r="G9" s="1417"/>
      <c r="H9" s="1417"/>
      <c r="I9" s="1418"/>
      <c r="J9" s="203"/>
      <c r="K9" s="206" t="s">
        <v>791</v>
      </c>
      <c r="L9" s="215"/>
      <c r="M9" s="197" t="s">
        <v>741</v>
      </c>
      <c r="N9" s="1419" t="str">
        <f>[6]FORM!I14</f>
        <v>TOWER 1</v>
      </c>
      <c r="O9" s="1419"/>
      <c r="P9" s="1419"/>
      <c r="Q9" s="1419"/>
      <c r="AM9" s="798"/>
      <c r="AZ9" s="799"/>
      <c r="BA9" s="800"/>
    </row>
    <row r="10" spans="1:53">
      <c r="A10" s="112"/>
      <c r="B10" s="206" t="s">
        <v>792</v>
      </c>
      <c r="C10" s="367"/>
      <c r="D10" s="297" t="s">
        <v>741</v>
      </c>
      <c r="E10" s="1416" t="str">
        <f>'STANDARD COMP.'!E10:I10</f>
        <v>Studio</v>
      </c>
      <c r="F10" s="1417"/>
      <c r="G10" s="1417"/>
      <c r="H10" s="1417"/>
      <c r="I10" s="1418"/>
      <c r="J10" s="203"/>
      <c r="K10" s="206" t="s">
        <v>792</v>
      </c>
      <c r="L10" s="215"/>
      <c r="M10" s="197" t="s">
        <v>741</v>
      </c>
      <c r="N10" s="1419" t="str">
        <f>E10</f>
        <v>Studio</v>
      </c>
      <c r="O10" s="1419"/>
      <c r="P10" s="1419"/>
      <c r="Q10" s="1419"/>
      <c r="AM10" s="798"/>
      <c r="AZ10" s="799"/>
      <c r="BA10" s="800"/>
    </row>
    <row r="11" spans="1:53">
      <c r="A11" s="112"/>
      <c r="B11" s="206" t="s">
        <v>793</v>
      </c>
      <c r="C11" s="367"/>
      <c r="D11" s="297" t="s">
        <v>741</v>
      </c>
      <c r="E11" s="1420">
        <f>'STANDARD COMP.'!E11:F11</f>
        <v>22</v>
      </c>
      <c r="F11" s="1421"/>
      <c r="G11" s="1422" t="s">
        <v>794</v>
      </c>
      <c r="H11" s="1422"/>
      <c r="I11" s="1423"/>
      <c r="J11" s="203"/>
      <c r="K11" s="206" t="s">
        <v>793</v>
      </c>
      <c r="L11" s="215"/>
      <c r="M11" s="197" t="s">
        <v>741</v>
      </c>
      <c r="N11" s="1424">
        <f>E11</f>
        <v>22</v>
      </c>
      <c r="O11" s="1425"/>
      <c r="P11" s="1426" t="s">
        <v>794</v>
      </c>
      <c r="Q11" s="1427"/>
      <c r="AM11" s="798"/>
      <c r="AZ11" s="799"/>
      <c r="BA11" s="800"/>
    </row>
    <row r="12" spans="1:53">
      <c r="A12" s="112"/>
      <c r="B12" s="215" t="s">
        <v>795</v>
      </c>
      <c r="C12" s="367"/>
      <c r="D12" s="297" t="s">
        <v>741</v>
      </c>
      <c r="E12" s="1420">
        <f>'STANDARD COMP.'!E12:F12</f>
        <v>0</v>
      </c>
      <c r="F12" s="1421"/>
      <c r="G12" s="1422" t="s">
        <v>794</v>
      </c>
      <c r="H12" s="1422"/>
      <c r="I12" s="1423"/>
      <c r="J12" s="203"/>
      <c r="K12" s="215" t="s">
        <v>795</v>
      </c>
      <c r="L12" s="215"/>
      <c r="M12" s="197" t="s">
        <v>741</v>
      </c>
      <c r="N12" s="1430">
        <f>E12</f>
        <v>0</v>
      </c>
      <c r="O12" s="1431"/>
      <c r="P12" s="1426" t="s">
        <v>794</v>
      </c>
      <c r="Q12" s="1427"/>
      <c r="AM12" s="798"/>
      <c r="AZ12" s="799"/>
      <c r="BA12" s="800"/>
    </row>
    <row r="13" spans="1:53">
      <c r="A13" s="112"/>
      <c r="B13" s="384" t="s">
        <v>796</v>
      </c>
      <c r="C13" s="122"/>
      <c r="D13" s="297" t="s">
        <v>741</v>
      </c>
      <c r="E13" s="1420">
        <f>'STANDARD COMP.'!E13:F13</f>
        <v>22</v>
      </c>
      <c r="F13" s="1421"/>
      <c r="G13" s="1422" t="s">
        <v>794</v>
      </c>
      <c r="H13" s="1422"/>
      <c r="I13" s="1423"/>
      <c r="J13" s="203"/>
      <c r="K13" s="384" t="s">
        <v>796</v>
      </c>
      <c r="L13" s="160"/>
      <c r="M13" s="197" t="s">
        <v>741</v>
      </c>
      <c r="N13" s="1430">
        <f>E13</f>
        <v>22</v>
      </c>
      <c r="O13" s="1431"/>
      <c r="P13" s="1426" t="s">
        <v>794</v>
      </c>
      <c r="Q13" s="1427"/>
      <c r="AM13" s="798"/>
      <c r="AZ13" s="799"/>
      <c r="BA13" s="800"/>
    </row>
    <row r="14" spans="1:53">
      <c r="A14" s="111"/>
      <c r="B14" s="112"/>
      <c r="C14" s="112"/>
      <c r="D14" s="297"/>
      <c r="E14" s="112"/>
      <c r="F14" s="112"/>
      <c r="G14" s="112"/>
      <c r="H14" s="112"/>
      <c r="I14" s="112"/>
    </row>
    <row r="15" spans="1:53" ht="14.1">
      <c r="A15" s="111"/>
      <c r="B15" s="201" t="s">
        <v>797</v>
      </c>
      <c r="C15" s="366"/>
      <c r="D15" s="127" t="s">
        <v>741</v>
      </c>
      <c r="E15" s="580"/>
      <c r="F15" s="1432">
        <f>'STANDARD COMP.'!F15:I15</f>
        <v>3379693.0676632621</v>
      </c>
      <c r="G15" s="1432"/>
      <c r="H15" s="1432"/>
      <c r="I15" s="1433"/>
      <c r="J15" s="245"/>
      <c r="K15" s="1434" t="s">
        <v>798</v>
      </c>
      <c r="L15" s="1434"/>
      <c r="M15" s="1435" t="s">
        <v>709</v>
      </c>
      <c r="N15" s="1434" t="s">
        <v>712</v>
      </c>
      <c r="O15" s="1434"/>
      <c r="P15" s="1436" t="s">
        <v>458</v>
      </c>
      <c r="Q15" s="1437"/>
    </row>
    <row r="16" spans="1:53" s="245" customFormat="1" ht="14.1">
      <c r="A16" s="3"/>
      <c r="B16" s="206" t="s">
        <v>799</v>
      </c>
      <c r="C16" s="215"/>
      <c r="D16" s="297" t="s">
        <v>741</v>
      </c>
      <c r="E16" s="581"/>
      <c r="F16" s="1432">
        <f>'STANDARD COMP.'!F16:I16</f>
        <v>0</v>
      </c>
      <c r="G16" s="1432"/>
      <c r="H16" s="1432"/>
      <c r="I16" s="1433"/>
      <c r="J16" s="2"/>
      <c r="K16" s="1434"/>
      <c r="L16" s="1434"/>
      <c r="M16" s="1435"/>
      <c r="N16" s="1434"/>
      <c r="O16" s="1434"/>
      <c r="P16" s="1438"/>
      <c r="Q16" s="1439"/>
      <c r="V16" s="801"/>
      <c r="W16" s="245">
        <f>SUM(F29:F31)</f>
        <v>0</v>
      </c>
      <c r="X16" s="802"/>
      <c r="Y16" s="802"/>
    </row>
    <row r="17" spans="1:36" s="24" customFormat="1" ht="12.6">
      <c r="B17" s="165" t="s">
        <v>800</v>
      </c>
      <c r="C17" s="122"/>
      <c r="D17" s="127" t="s">
        <v>741</v>
      </c>
      <c r="E17" s="584"/>
      <c r="F17" s="1440">
        <f>F15-F16</f>
        <v>3379693.0676632621</v>
      </c>
      <c r="G17" s="1432"/>
      <c r="H17" s="1432"/>
      <c r="I17" s="1433"/>
      <c r="J17" s="803"/>
      <c r="K17" s="1419" t="s">
        <v>758</v>
      </c>
      <c r="L17" s="1419"/>
      <c r="M17" s="378">
        <f>C1</f>
        <v>45901</v>
      </c>
      <c r="N17" s="1441">
        <f>F25</f>
        <v>30000</v>
      </c>
      <c r="O17" s="1441"/>
      <c r="P17" s="1755"/>
      <c r="Q17" s="1757"/>
      <c r="T17" s="1653" t="s">
        <v>801</v>
      </c>
      <c r="U17" s="1654"/>
      <c r="V17" s="804">
        <f>C1</f>
        <v>45901</v>
      </c>
      <c r="W17" s="805">
        <f>EDATE(V17,W16)</f>
        <v>45901</v>
      </c>
      <c r="X17" s="78"/>
      <c r="Y17" s="78"/>
    </row>
    <row r="18" spans="1:36" s="803" customFormat="1" ht="12.6">
      <c r="B18" s="212"/>
      <c r="C18" s="112"/>
      <c r="D18" s="297"/>
      <c r="E18" s="369"/>
      <c r="F18" s="586"/>
      <c r="G18" s="586"/>
      <c r="H18" s="586"/>
      <c r="I18" s="467"/>
      <c r="J18" s="24"/>
      <c r="K18" s="1419" t="e">
        <f t="shared" ref="K18:K58" si="0">IF(N18&gt;1,T18,0)</f>
        <v>#DIV/0!</v>
      </c>
      <c r="L18" s="1419"/>
      <c r="M18" s="496" t="e">
        <f t="shared" ref="M18:M58" si="1">IF(N18&gt;1,V18,"")</f>
        <v>#DIV/0!</v>
      </c>
      <c r="N18" s="1446" t="e">
        <f>G29</f>
        <v>#DIV/0!</v>
      </c>
      <c r="O18" s="1446"/>
      <c r="P18" s="1755"/>
      <c r="Q18" s="1757"/>
      <c r="T18" s="1693" t="s">
        <v>802</v>
      </c>
      <c r="U18" s="1693"/>
      <c r="V18" s="806">
        <f>IF(DAY(V17)=31,X21,Z21)</f>
        <v>45935</v>
      </c>
      <c r="X18" s="260"/>
      <c r="Y18" s="260"/>
    </row>
    <row r="19" spans="1:36" s="24" customFormat="1" ht="12.6">
      <c r="B19" s="215" t="s">
        <v>803</v>
      </c>
      <c r="C19" s="215"/>
      <c r="D19" s="297" t="s">
        <v>741</v>
      </c>
      <c r="E19" s="216">
        <v>0.12</v>
      </c>
      <c r="F19" s="1453">
        <f>'STANDARD COMP.'!F19:I19</f>
        <v>0</v>
      </c>
      <c r="G19" s="1454"/>
      <c r="H19" s="1454"/>
      <c r="I19" s="1455"/>
      <c r="K19" s="1419" t="e">
        <f t="shared" si="0"/>
        <v>#DIV/0!</v>
      </c>
      <c r="L19" s="1419"/>
      <c r="M19" s="496" t="e">
        <f t="shared" si="1"/>
        <v>#DIV/0!</v>
      </c>
      <c r="N19" s="1446" t="e">
        <f>N18</f>
        <v>#DIV/0!</v>
      </c>
      <c r="O19" s="1446"/>
      <c r="P19" s="1755"/>
      <c r="Q19" s="1757"/>
      <c r="T19" s="1755" t="s">
        <v>804</v>
      </c>
      <c r="U19" s="1757"/>
      <c r="V19" s="807">
        <f t="shared" ref="V19:V59" si="2">IF(AND(DAY(V18)&gt;=6,DAY(V18)&lt;=20),DATE(YEAR(V18),MONTH(V18)+1,DAY(20)),IF(AND(DAY(V18)&gt;=21,DAY(V18)&lt;=30),DATE(YEAR(V18),MONTH(V18)+1,IF(DAY(EOMONTH(V18,1))&lt;30,DAY(EOMONTH(V18,1)),DAY(30))),DATE(YEAR(V18),MONTH(V18)+1,DAY(5))))</f>
        <v>45966</v>
      </c>
      <c r="X19" s="1585" t="s">
        <v>805</v>
      </c>
      <c r="Y19" s="1585"/>
      <c r="AD19" s="1755"/>
      <c r="AE19" s="1757"/>
    </row>
    <row r="20" spans="1:36" s="24" customFormat="1" ht="12.6">
      <c r="B20" s="384" t="s">
        <v>806</v>
      </c>
      <c r="C20" s="160"/>
      <c r="D20" s="297" t="s">
        <v>741</v>
      </c>
      <c r="E20" s="589"/>
      <c r="F20" s="1451">
        <f>'STANDARD COMP.'!F20:I20</f>
        <v>464707.79680369853</v>
      </c>
      <c r="G20" s="1451"/>
      <c r="H20" s="1451"/>
      <c r="I20" s="1452"/>
      <c r="K20" s="1419" t="e">
        <f t="shared" si="0"/>
        <v>#DIV/0!</v>
      </c>
      <c r="L20" s="1419"/>
      <c r="M20" s="496" t="e">
        <f t="shared" si="1"/>
        <v>#DIV/0!</v>
      </c>
      <c r="N20" s="1446" t="e">
        <f t="shared" ref="N20:N22" si="3">N19</f>
        <v>#DIV/0!</v>
      </c>
      <c r="O20" s="1446"/>
      <c r="P20" s="1755"/>
      <c r="Q20" s="1757"/>
      <c r="T20" s="1693" t="s">
        <v>807</v>
      </c>
      <c r="U20" s="1693"/>
      <c r="V20" s="807">
        <f t="shared" si="2"/>
        <v>45996</v>
      </c>
      <c r="W20" s="60" t="s">
        <v>37</v>
      </c>
      <c r="X20" s="1583" t="b">
        <f>IF(DAY(V17)=31,DATE(YEAR(W17),MONTH(W17)+2,DAY(5)))</f>
        <v>0</v>
      </c>
      <c r="Y20" s="1584"/>
      <c r="Z20" s="495">
        <f>IF(AND(DAY(W17)&gt;=6,DAY(W17)&lt;=20),DATE(YEAR(W17),MONTH(W17)+1,DAY(20)),IF(AND(DAY(W17)&gt;=21,DAY(W17)&lt;=31),DATE(YEAR(W17),MONTH(W17)+1,IF(DAY(EOMONTH(W17,1))&lt;30,DAY(EOMONTH(W17,1)),DAY(30))),DATE(YEAR(W17),MONTH(W17)+1,DAY(5))))</f>
        <v>45935</v>
      </c>
      <c r="AD20" s="1755"/>
      <c r="AE20" s="1757"/>
    </row>
    <row r="21" spans="1:36" s="24" customFormat="1" ht="12.6">
      <c r="B21" s="212"/>
      <c r="C21" s="112"/>
      <c r="D21" s="297"/>
      <c r="E21" s="592"/>
      <c r="F21" s="593"/>
      <c r="G21" s="594"/>
      <c r="H21" s="594"/>
      <c r="I21" s="217"/>
      <c r="K21" s="1419" t="e">
        <f t="shared" si="0"/>
        <v>#DIV/0!</v>
      </c>
      <c r="L21" s="1419"/>
      <c r="M21" s="496" t="e">
        <f t="shared" si="1"/>
        <v>#DIV/0!</v>
      </c>
      <c r="N21" s="1446" t="e">
        <f t="shared" si="3"/>
        <v>#DIV/0!</v>
      </c>
      <c r="O21" s="1446"/>
      <c r="P21" s="1755"/>
      <c r="Q21" s="1757"/>
      <c r="T21" s="1693" t="s">
        <v>808</v>
      </c>
      <c r="U21" s="1693"/>
      <c r="V21" s="807">
        <f t="shared" si="2"/>
        <v>46027</v>
      </c>
      <c r="W21" s="60" t="s">
        <v>809</v>
      </c>
      <c r="X21" s="1583" t="b">
        <f>IF(DAY(V17)=31,DATE(YEAR(V17),MONTH(V17)+2,DAY(5)))</f>
        <v>0</v>
      </c>
      <c r="Y21" s="1584"/>
      <c r="Z21" s="495">
        <f>IF(AND(DAY(V17)&gt;=6,DAY(V17)&lt;=20),DATE(YEAR(V17),MONTH(V17)+1,DAY(20)),IF(AND(DAY(V17)&gt;=21,DAY(V17)&lt;=30),DATE(YEAR(V17),MONTH(V17)+1,IF(DAY(EOMONTH(V17,1))&lt;31,DAY(EOMONTH(V17,1)),DAY(30))),DATE(YEAR(V17),MONTH(V17)+1,DAY(5))))</f>
        <v>45935</v>
      </c>
      <c r="AD21" s="1755"/>
      <c r="AE21" s="1757"/>
    </row>
    <row r="22" spans="1:36" s="24" customFormat="1" ht="12.6">
      <c r="B22" s="165" t="s">
        <v>810</v>
      </c>
      <c r="C22" s="122"/>
      <c r="D22" s="127" t="s">
        <v>741</v>
      </c>
      <c r="E22" s="465"/>
      <c r="F22" s="1474">
        <f>SUM(F19:I20,F17)</f>
        <v>3844400.8644669605</v>
      </c>
      <c r="G22" s="1475"/>
      <c r="H22" s="1475"/>
      <c r="I22" s="1476"/>
      <c r="K22" s="1419" t="e">
        <f t="shared" si="0"/>
        <v>#DIV/0!</v>
      </c>
      <c r="L22" s="1419"/>
      <c r="M22" s="496" t="e">
        <f t="shared" si="1"/>
        <v>#DIV/0!</v>
      </c>
      <c r="N22" s="1446" t="e">
        <f t="shared" si="3"/>
        <v>#DIV/0!</v>
      </c>
      <c r="O22" s="1446"/>
      <c r="P22" s="1755"/>
      <c r="Q22" s="1757"/>
      <c r="T22" s="1693" t="s">
        <v>811</v>
      </c>
      <c r="U22" s="1693"/>
      <c r="V22" s="807">
        <f t="shared" si="2"/>
        <v>46058</v>
      </c>
      <c r="X22" s="1585"/>
      <c r="Y22" s="1585"/>
      <c r="AD22" s="1755"/>
      <c r="AE22" s="1757"/>
      <c r="AF22" s="462">
        <f>'[8]STANDARD COMP.'!AF22</f>
        <v>0</v>
      </c>
      <c r="AG22" s="1440">
        <f>AG20*AF22</f>
        <v>0</v>
      </c>
      <c r="AH22" s="1432"/>
      <c r="AI22" s="1432"/>
      <c r="AJ22" s="1433"/>
    </row>
    <row r="23" spans="1:36" s="24" customFormat="1" ht="12.6">
      <c r="A23" s="803"/>
      <c r="B23" s="212"/>
      <c r="C23" s="112"/>
      <c r="D23" s="297"/>
      <c r="E23" s="197"/>
      <c r="F23" s="214"/>
      <c r="G23" s="214"/>
      <c r="H23" s="214"/>
      <c r="I23" s="112"/>
      <c r="J23" s="803"/>
      <c r="K23" s="1419" t="e">
        <f t="shared" ref="K23" si="4">IF(N23&gt;1,T23,0)</f>
        <v>#DIV/0!</v>
      </c>
      <c r="L23" s="1419"/>
      <c r="M23" s="496" t="e">
        <f t="shared" si="1"/>
        <v>#DIV/0!</v>
      </c>
      <c r="N23" s="1446" t="e">
        <f>N22</f>
        <v>#DIV/0!</v>
      </c>
      <c r="O23" s="1446"/>
      <c r="P23" s="1755"/>
      <c r="Q23" s="1757"/>
      <c r="T23" s="1693" t="s">
        <v>812</v>
      </c>
      <c r="U23" s="1693"/>
      <c r="V23" s="807">
        <f t="shared" si="2"/>
        <v>46086</v>
      </c>
      <c r="X23" s="1585"/>
      <c r="Y23" s="1585"/>
      <c r="AD23" s="1755"/>
      <c r="AE23" s="1757"/>
      <c r="AF23" s="388"/>
      <c r="AG23" s="1453">
        <f>'[8]STANDARD COMP.'!AG23</f>
        <v>0</v>
      </c>
      <c r="AH23" s="1454"/>
      <c r="AI23" s="1454"/>
      <c r="AJ23" s="1455"/>
    </row>
    <row r="24" spans="1:36" s="803" customFormat="1" ht="12.6">
      <c r="A24" s="24"/>
      <c r="B24" s="165" t="s">
        <v>813</v>
      </c>
      <c r="C24" s="366"/>
      <c r="D24" s="127" t="s">
        <v>741</v>
      </c>
      <c r="E24" s="462">
        <v>0.1</v>
      </c>
      <c r="F24" s="1440">
        <f>F22*E24</f>
        <v>384440.08644669608</v>
      </c>
      <c r="G24" s="1432"/>
      <c r="H24" s="1432"/>
      <c r="I24" s="1433"/>
      <c r="J24" s="24"/>
      <c r="K24" s="1419" t="e">
        <f t="shared" ref="K24" si="5">IF(N24&gt;1,T24,0)</f>
        <v>#DIV/0!</v>
      </c>
      <c r="L24" s="1419"/>
      <c r="M24" s="496" t="e">
        <f t="shared" si="1"/>
        <v>#DIV/0!</v>
      </c>
      <c r="N24" s="1446" t="e">
        <f>N23</f>
        <v>#DIV/0!</v>
      </c>
      <c r="O24" s="1446"/>
      <c r="P24" s="1755"/>
      <c r="Q24" s="1757"/>
      <c r="T24" s="1693" t="s">
        <v>814</v>
      </c>
      <c r="U24" s="1693"/>
      <c r="V24" s="807">
        <f t="shared" si="2"/>
        <v>46117</v>
      </c>
      <c r="X24" s="1585"/>
      <c r="Y24" s="1585"/>
      <c r="AD24" s="1755"/>
      <c r="AE24" s="1757"/>
      <c r="AF24" s="388"/>
      <c r="AG24" s="1440">
        <f>AG22-AG23</f>
        <v>0</v>
      </c>
      <c r="AH24" s="1432"/>
      <c r="AI24" s="1432"/>
      <c r="AJ24" s="1433"/>
    </row>
    <row r="25" spans="1:36" s="24" customFormat="1" ht="12.6">
      <c r="B25" s="206" t="s">
        <v>815</v>
      </c>
      <c r="C25" s="215"/>
      <c r="D25" s="297" t="s">
        <v>741</v>
      </c>
      <c r="E25" s="388"/>
      <c r="F25" s="1453">
        <f>'STANDARD COMP.'!F25</f>
        <v>30000</v>
      </c>
      <c r="G25" s="1454"/>
      <c r="H25" s="1454"/>
      <c r="I25" s="1455"/>
      <c r="K25" s="1419" t="e">
        <f t="shared" si="0"/>
        <v>#DIV/0!</v>
      </c>
      <c r="L25" s="1419"/>
      <c r="M25" s="496" t="e">
        <f t="shared" si="1"/>
        <v>#DIV/0!</v>
      </c>
      <c r="N25" s="1446" t="e">
        <f>N24</f>
        <v>#DIV/0!</v>
      </c>
      <c r="O25" s="1446"/>
      <c r="P25" s="1755"/>
      <c r="Q25" s="1757"/>
      <c r="T25" s="1693" t="s">
        <v>816</v>
      </c>
      <c r="U25" s="1693"/>
      <c r="V25" s="807">
        <f t="shared" si="2"/>
        <v>46147</v>
      </c>
      <c r="X25" s="1585"/>
      <c r="Y25" s="1585"/>
      <c r="AD25" s="1755"/>
      <c r="AE25" s="1757"/>
      <c r="AF25" s="808">
        <v>0.7</v>
      </c>
      <c r="AG25" s="1440">
        <f>AG24*AF25</f>
        <v>0</v>
      </c>
      <c r="AH25" s="1432"/>
      <c r="AI25" s="1432"/>
      <c r="AJ25" s="1433"/>
    </row>
    <row r="26" spans="1:36" s="24" customFormat="1" ht="12.6">
      <c r="A26" s="803"/>
      <c r="B26" s="165" t="s">
        <v>817</v>
      </c>
      <c r="C26" s="122"/>
      <c r="D26" s="127" t="s">
        <v>741</v>
      </c>
      <c r="E26" s="388"/>
      <c r="F26" s="1440">
        <f>F24-F25</f>
        <v>354440.08644669608</v>
      </c>
      <c r="G26" s="1432"/>
      <c r="H26" s="1432"/>
      <c r="I26" s="1433"/>
      <c r="J26" s="803"/>
      <c r="K26" s="1419" t="e">
        <f t="shared" si="0"/>
        <v>#DIV/0!</v>
      </c>
      <c r="L26" s="1419"/>
      <c r="M26" s="496" t="e">
        <f t="shared" si="1"/>
        <v>#DIV/0!</v>
      </c>
      <c r="N26" s="1446" t="e">
        <f>N25</f>
        <v>#DIV/0!</v>
      </c>
      <c r="O26" s="1446"/>
      <c r="P26" s="1755"/>
      <c r="Q26" s="1757"/>
      <c r="T26" s="1693" t="s">
        <v>818</v>
      </c>
      <c r="U26" s="1693"/>
      <c r="V26" s="807">
        <f t="shared" si="2"/>
        <v>46178</v>
      </c>
      <c r="X26" s="1585"/>
      <c r="Y26" s="1585"/>
      <c r="AD26" s="1755"/>
      <c r="AE26" s="1757"/>
      <c r="AF26" s="808">
        <v>0.3</v>
      </c>
      <c r="AG26" s="1440">
        <f>AG24*AF26</f>
        <v>0</v>
      </c>
      <c r="AH26" s="1432"/>
      <c r="AI26" s="1432"/>
      <c r="AJ26" s="1433"/>
    </row>
    <row r="27" spans="1:36" s="803" customFormat="1" ht="12.6">
      <c r="B27" s="212"/>
      <c r="C27" s="112"/>
      <c r="D27" s="297"/>
      <c r="E27" s="809"/>
      <c r="F27" s="810">
        <f>(F26*0.3)/3</f>
        <v>35444.008644669608</v>
      </c>
      <c r="G27" s="214"/>
      <c r="H27" s="214"/>
      <c r="I27" s="114"/>
      <c r="J27" s="811"/>
      <c r="K27" s="1419" t="e">
        <f t="shared" si="0"/>
        <v>#DIV/0!</v>
      </c>
      <c r="L27" s="1419"/>
      <c r="M27" s="496" t="e">
        <f t="shared" si="1"/>
        <v>#DIV/0!</v>
      </c>
      <c r="N27" s="1446" t="e">
        <f t="shared" ref="N27:N30" si="6">N26</f>
        <v>#DIV/0!</v>
      </c>
      <c r="O27" s="1446"/>
      <c r="P27" s="1755"/>
      <c r="Q27" s="1757"/>
      <c r="R27" s="803" t="s">
        <v>757</v>
      </c>
      <c r="T27" s="1693" t="s">
        <v>819</v>
      </c>
      <c r="U27" s="1693"/>
      <c r="V27" s="807">
        <f t="shared" si="2"/>
        <v>46208</v>
      </c>
      <c r="X27" s="1585"/>
      <c r="Y27" s="1585"/>
      <c r="AD27" s="1755"/>
      <c r="AE27" s="1757"/>
    </row>
    <row r="28" spans="1:36" s="803" customFormat="1" ht="12.6">
      <c r="B28" s="1461" t="s">
        <v>820</v>
      </c>
      <c r="C28" s="1461"/>
      <c r="D28" s="127"/>
      <c r="E28" s="596" t="s">
        <v>771</v>
      </c>
      <c r="F28" s="597" t="s">
        <v>770</v>
      </c>
      <c r="G28" s="1462" t="s">
        <v>821</v>
      </c>
      <c r="H28" s="1462"/>
      <c r="I28" s="1462"/>
      <c r="K28" s="1419" t="s">
        <v>1004</v>
      </c>
      <c r="L28" s="1419"/>
      <c r="M28" s="496" t="e">
        <f t="shared" si="1"/>
        <v>#DIV/0!</v>
      </c>
      <c r="N28" s="1446" t="e">
        <f>N27+G32</f>
        <v>#DIV/0!</v>
      </c>
      <c r="O28" s="1446"/>
      <c r="P28" s="1755"/>
      <c r="Q28" s="1757"/>
      <c r="T28" s="1693" t="s">
        <v>822</v>
      </c>
      <c r="U28" s="1693"/>
      <c r="V28" s="807">
        <f t="shared" si="2"/>
        <v>46239</v>
      </c>
      <c r="X28" s="1585"/>
      <c r="Y28" s="1585"/>
      <c r="AD28" s="1755"/>
      <c r="AE28" s="1757"/>
    </row>
    <row r="29" spans="1:36" s="803" customFormat="1" ht="12.6">
      <c r="A29" s="24"/>
      <c r="B29" s="1846">
        <f>'Corrected and Updated TSF 2'!FC25</f>
        <v>0</v>
      </c>
      <c r="C29" s="1846"/>
      <c r="D29" s="127" t="s">
        <v>741</v>
      </c>
      <c r="E29" s="598">
        <f>[8]FORM!T39</f>
        <v>0.25</v>
      </c>
      <c r="F29" s="599">
        <f>'Corrected and Updated TSF 2'!FB25</f>
        <v>0</v>
      </c>
      <c r="G29" s="1460" t="e">
        <f>((F$26*70%*E29)/F29)</f>
        <v>#DIV/0!</v>
      </c>
      <c r="H29" s="1460"/>
      <c r="I29" s="1460"/>
      <c r="J29" s="24"/>
      <c r="K29" s="1419" t="e">
        <f t="shared" ref="K29" si="7">IF(N29&gt;1,T29,0)</f>
        <v>#DIV/0!</v>
      </c>
      <c r="L29" s="1419"/>
      <c r="M29" s="496" t="e">
        <f t="shared" si="1"/>
        <v>#DIV/0!</v>
      </c>
      <c r="N29" s="1446" t="e">
        <f>G30</f>
        <v>#DIV/0!</v>
      </c>
      <c r="O29" s="1446"/>
      <c r="P29" s="1755"/>
      <c r="Q29" s="1757"/>
      <c r="T29" s="1693" t="s">
        <v>823</v>
      </c>
      <c r="U29" s="1693"/>
      <c r="V29" s="807">
        <f t="shared" si="2"/>
        <v>46270</v>
      </c>
      <c r="X29" s="1585"/>
      <c r="Y29" s="1585"/>
      <c r="AD29" s="1755"/>
      <c r="AE29" s="1757"/>
    </row>
    <row r="30" spans="1:36" s="24" customFormat="1" ht="12.6">
      <c r="A30" s="803"/>
      <c r="B30" s="1846">
        <f>'Corrected and Updated TSF 2'!FC26</f>
        <v>0</v>
      </c>
      <c r="C30" s="1846"/>
      <c r="D30" s="127" t="s">
        <v>741</v>
      </c>
      <c r="E30" s="598">
        <f>[8]FORM!T40</f>
        <v>0.35</v>
      </c>
      <c r="F30" s="599">
        <f>'Corrected and Updated TSF 2'!FB26</f>
        <v>0</v>
      </c>
      <c r="G30" s="1460" t="e">
        <f>((F$26*70%*E30)/F30)</f>
        <v>#DIV/0!</v>
      </c>
      <c r="H30" s="1460"/>
      <c r="I30" s="1460"/>
      <c r="J30" s="803"/>
      <c r="K30" s="1419" t="e">
        <f t="shared" si="0"/>
        <v>#DIV/0!</v>
      </c>
      <c r="L30" s="1419"/>
      <c r="M30" s="496" t="e">
        <f t="shared" si="1"/>
        <v>#DIV/0!</v>
      </c>
      <c r="N30" s="1446" t="e">
        <f t="shared" si="6"/>
        <v>#DIV/0!</v>
      </c>
      <c r="O30" s="1446"/>
      <c r="P30" s="1755"/>
      <c r="Q30" s="1757"/>
      <c r="R30" s="803"/>
      <c r="S30" s="803"/>
      <c r="T30" s="1693" t="s">
        <v>824</v>
      </c>
      <c r="U30" s="1693"/>
      <c r="V30" s="807">
        <f t="shared" si="2"/>
        <v>46300</v>
      </c>
      <c r="X30" s="1585"/>
      <c r="Y30" s="1585"/>
      <c r="AD30" s="1755"/>
      <c r="AE30" s="1757"/>
    </row>
    <row r="31" spans="1:36" s="803" customFormat="1" ht="12.6">
      <c r="A31" s="24"/>
      <c r="B31" s="1846">
        <f>'Corrected and Updated TSF 2'!FC27</f>
        <v>0</v>
      </c>
      <c r="C31" s="1846"/>
      <c r="D31" s="127" t="s">
        <v>741</v>
      </c>
      <c r="E31" s="598">
        <f>[8]FORM!T41</f>
        <v>0.4</v>
      </c>
      <c r="F31" s="599">
        <f>'Corrected and Updated TSF 2'!FB27</f>
        <v>0</v>
      </c>
      <c r="G31" s="1460" t="e">
        <f>((F$26*70%*E31)/F31)</f>
        <v>#DIV/0!</v>
      </c>
      <c r="H31" s="1460"/>
      <c r="I31" s="1460"/>
      <c r="J31" s="24"/>
      <c r="K31" s="1419" t="e">
        <f t="shared" ref="K31" si="8">IF(N31&gt;1,T31,0)</f>
        <v>#DIV/0!</v>
      </c>
      <c r="L31" s="1419"/>
      <c r="M31" s="496" t="e">
        <f t="shared" si="1"/>
        <v>#DIV/0!</v>
      </c>
      <c r="N31" s="1446" t="e">
        <f>N30</f>
        <v>#DIV/0!</v>
      </c>
      <c r="O31" s="1446"/>
      <c r="P31" s="1755"/>
      <c r="Q31" s="1757"/>
      <c r="T31" s="1693" t="s">
        <v>825</v>
      </c>
      <c r="U31" s="1693"/>
      <c r="V31" s="807">
        <f t="shared" si="2"/>
        <v>46331</v>
      </c>
      <c r="X31" s="1585"/>
      <c r="Y31" s="1585"/>
      <c r="AD31" s="1755"/>
      <c r="AE31" s="1757"/>
    </row>
    <row r="32" spans="1:36" s="24" customFormat="1" ht="12.6">
      <c r="A32" s="803"/>
      <c r="B32" s="120" t="str">
        <f>'Corrected and Updated TSF 2'!FC29</f>
        <v>Lumpsum payment of the 12th and 24th</v>
      </c>
      <c r="C32" s="120"/>
      <c r="D32" s="127"/>
      <c r="E32" s="598"/>
      <c r="F32" s="599">
        <v>3</v>
      </c>
      <c r="G32" s="1460">
        <f>F27</f>
        <v>35444.008644669608</v>
      </c>
      <c r="H32" s="1460"/>
      <c r="I32" s="1460"/>
      <c r="J32" s="803"/>
      <c r="K32" s="1419" t="e">
        <f t="shared" si="0"/>
        <v>#DIV/0!</v>
      </c>
      <c r="L32" s="1419"/>
      <c r="M32" s="496" t="e">
        <f t="shared" si="1"/>
        <v>#DIV/0!</v>
      </c>
      <c r="N32" s="1446" t="e">
        <f>N31</f>
        <v>#DIV/0!</v>
      </c>
      <c r="O32" s="1446"/>
      <c r="P32" s="1755"/>
      <c r="Q32" s="1757"/>
      <c r="R32" s="803"/>
      <c r="S32" s="803"/>
      <c r="T32" s="1693" t="s">
        <v>826</v>
      </c>
      <c r="U32" s="1693"/>
      <c r="V32" s="807">
        <f t="shared" si="2"/>
        <v>46361</v>
      </c>
      <c r="X32" s="1585"/>
      <c r="Y32" s="1585"/>
      <c r="AD32" s="1755"/>
      <c r="AE32" s="1757"/>
    </row>
    <row r="33" spans="1:31" s="803" customFormat="1" ht="12.95">
      <c r="A33" s="24"/>
      <c r="B33" s="309" t="s">
        <v>1005</v>
      </c>
      <c r="C33" s="309"/>
      <c r="D33" s="297"/>
      <c r="E33" s="197"/>
      <c r="F33" s="600">
        <f>SUM(F29:F31)</f>
        <v>0</v>
      </c>
      <c r="G33" s="278"/>
      <c r="H33" s="278"/>
      <c r="I33" s="112"/>
      <c r="J33" s="24"/>
      <c r="K33" s="1419" t="e">
        <f t="shared" ref="K33:K38" si="9">IF(N33&gt;1,T33,0)</f>
        <v>#DIV/0!</v>
      </c>
      <c r="L33" s="1419"/>
      <c r="M33" s="496" t="e">
        <f t="shared" si="1"/>
        <v>#DIV/0!</v>
      </c>
      <c r="N33" s="1446" t="e">
        <f>N32</f>
        <v>#DIV/0!</v>
      </c>
      <c r="O33" s="1446"/>
      <c r="P33" s="1755"/>
      <c r="Q33" s="1757"/>
      <c r="T33" s="1693" t="s">
        <v>828</v>
      </c>
      <c r="U33" s="1693"/>
      <c r="V33" s="807">
        <f t="shared" si="2"/>
        <v>46392</v>
      </c>
      <c r="X33" s="1585"/>
      <c r="Y33" s="1585"/>
      <c r="AD33" s="1755"/>
      <c r="AE33" s="1757"/>
    </row>
    <row r="34" spans="1:31" s="24" customFormat="1" ht="12.95">
      <c r="B34" s="309" t="s">
        <v>1005</v>
      </c>
      <c r="C34" s="309"/>
      <c r="D34" s="297"/>
      <c r="E34" s="197"/>
      <c r="F34" s="600"/>
      <c r="G34" s="278"/>
      <c r="H34" s="278"/>
      <c r="I34" s="112"/>
      <c r="K34" s="1419" t="e">
        <f t="shared" si="9"/>
        <v>#DIV/0!</v>
      </c>
      <c r="L34" s="1419"/>
      <c r="M34" s="496" t="e">
        <f t="shared" si="1"/>
        <v>#DIV/0!</v>
      </c>
      <c r="N34" s="1446" t="e">
        <f t="shared" ref="N34:N38" si="10">N33</f>
        <v>#DIV/0!</v>
      </c>
      <c r="O34" s="1446"/>
      <c r="P34" s="1755"/>
      <c r="Q34" s="1757"/>
      <c r="T34" s="1693" t="s">
        <v>829</v>
      </c>
      <c r="U34" s="1693"/>
      <c r="V34" s="807">
        <f t="shared" si="2"/>
        <v>46423</v>
      </c>
      <c r="X34" s="1585"/>
      <c r="Y34" s="1585"/>
      <c r="AD34" s="1755"/>
      <c r="AE34" s="1757"/>
    </row>
    <row r="35" spans="1:31" s="24" customFormat="1" ht="12.6">
      <c r="A35" s="803"/>
      <c r="B35" s="165" t="s">
        <v>827</v>
      </c>
      <c r="C35" s="122"/>
      <c r="D35" s="127" t="s">
        <v>741</v>
      </c>
      <c r="E35" s="462">
        <f>100%-E24</f>
        <v>0.9</v>
      </c>
      <c r="F35" s="1440">
        <f>F22*E35</f>
        <v>3459960.7780202646</v>
      </c>
      <c r="G35" s="1432"/>
      <c r="H35" s="1432"/>
      <c r="I35" s="1433"/>
      <c r="J35" s="803"/>
      <c r="K35" s="1419" t="e">
        <f t="shared" si="9"/>
        <v>#DIV/0!</v>
      </c>
      <c r="L35" s="1419"/>
      <c r="M35" s="496" t="e">
        <f t="shared" si="1"/>
        <v>#DIV/0!</v>
      </c>
      <c r="N35" s="1446" t="e">
        <f t="shared" si="10"/>
        <v>#DIV/0!</v>
      </c>
      <c r="O35" s="1446"/>
      <c r="P35" s="1755"/>
      <c r="Q35" s="1757"/>
      <c r="T35" s="1693" t="s">
        <v>831</v>
      </c>
      <c r="U35" s="1693"/>
      <c r="V35" s="807">
        <f t="shared" si="2"/>
        <v>46451</v>
      </c>
      <c r="X35" s="1585"/>
      <c r="Y35" s="1585"/>
      <c r="AD35" s="1755"/>
      <c r="AE35" s="1757"/>
    </row>
    <row r="36" spans="1:31" s="803" customFormat="1" ht="12.6">
      <c r="A36" s="24"/>
      <c r="B36" s="212"/>
      <c r="C36" s="112"/>
      <c r="D36" s="297"/>
      <c r="E36" s="105"/>
      <c r="F36" s="105"/>
      <c r="G36" s="105"/>
      <c r="H36" s="105"/>
      <c r="I36" s="105"/>
      <c r="J36" s="24"/>
      <c r="K36" s="1419" t="e">
        <f t="shared" si="9"/>
        <v>#DIV/0!</v>
      </c>
      <c r="L36" s="1419"/>
      <c r="M36" s="496" t="e">
        <f t="shared" si="1"/>
        <v>#DIV/0!</v>
      </c>
      <c r="N36" s="1446" t="e">
        <f t="shared" si="10"/>
        <v>#DIV/0!</v>
      </c>
      <c r="O36" s="1446"/>
      <c r="P36" s="1755"/>
      <c r="Q36" s="1757"/>
      <c r="T36" s="1693" t="s">
        <v>832</v>
      </c>
      <c r="U36" s="1693"/>
      <c r="V36" s="807">
        <f t="shared" si="2"/>
        <v>46482</v>
      </c>
      <c r="X36" s="1585"/>
      <c r="Y36" s="1585"/>
      <c r="AD36" s="1755"/>
      <c r="AE36" s="1757"/>
    </row>
    <row r="37" spans="1:31" s="24" customFormat="1" ht="12.6">
      <c r="B37" s="122" t="s">
        <v>830</v>
      </c>
      <c r="C37" s="122"/>
      <c r="D37" s="812"/>
      <c r="E37" s="812"/>
      <c r="F37" s="812"/>
      <c r="G37" s="812"/>
      <c r="H37" s="812"/>
      <c r="I37" s="812"/>
      <c r="K37" s="1419" t="e">
        <f t="shared" si="9"/>
        <v>#DIV/0!</v>
      </c>
      <c r="L37" s="1419"/>
      <c r="M37" s="496" t="e">
        <f t="shared" si="1"/>
        <v>#DIV/0!</v>
      </c>
      <c r="N37" s="1446" t="e">
        <f t="shared" si="10"/>
        <v>#DIV/0!</v>
      </c>
      <c r="O37" s="1446"/>
      <c r="P37" s="1755"/>
      <c r="Q37" s="1757"/>
      <c r="T37" s="1693" t="s">
        <v>837</v>
      </c>
      <c r="U37" s="1693"/>
      <c r="V37" s="807">
        <f t="shared" si="2"/>
        <v>46512</v>
      </c>
      <c r="X37" s="1585"/>
      <c r="Y37" s="1585"/>
      <c r="AD37" s="1755"/>
      <c r="AE37" s="1757"/>
    </row>
    <row r="38" spans="1:31" s="24" customFormat="1" ht="12.6">
      <c r="B38" s="309"/>
      <c r="C38" s="309"/>
      <c r="D38" s="812"/>
      <c r="E38" s="812"/>
      <c r="F38" s="812"/>
      <c r="G38" s="812"/>
      <c r="H38" s="812"/>
      <c r="I38" s="812"/>
      <c r="K38" s="1419" t="e">
        <f t="shared" si="9"/>
        <v>#DIV/0!</v>
      </c>
      <c r="L38" s="1419"/>
      <c r="M38" s="496" t="e">
        <f t="shared" si="1"/>
        <v>#DIV/0!</v>
      </c>
      <c r="N38" s="1446" t="e">
        <f t="shared" si="10"/>
        <v>#DIV/0!</v>
      </c>
      <c r="O38" s="1446"/>
      <c r="P38" s="1755"/>
      <c r="Q38" s="1757"/>
      <c r="T38" s="1693" t="s">
        <v>838</v>
      </c>
      <c r="U38" s="1693"/>
      <c r="V38" s="807">
        <f t="shared" si="2"/>
        <v>46543</v>
      </c>
      <c r="X38" s="1585"/>
      <c r="Y38" s="1585"/>
      <c r="AD38" s="1755"/>
      <c r="AE38" s="1757"/>
    </row>
    <row r="39" spans="1:31" s="24" customFormat="1" ht="12.6">
      <c r="B39" s="719" t="s">
        <v>833</v>
      </c>
      <c r="C39" s="719" t="s">
        <v>352</v>
      </c>
      <c r="D39" s="1467" t="s">
        <v>834</v>
      </c>
      <c r="E39" s="1467"/>
      <c r="F39" s="719" t="s">
        <v>835</v>
      </c>
      <c r="G39" s="1468" t="s">
        <v>836</v>
      </c>
      <c r="H39" s="1469"/>
      <c r="I39" s="1470"/>
      <c r="K39" s="1419" t="s">
        <v>1006</v>
      </c>
      <c r="L39" s="1419"/>
      <c r="M39" s="496" t="e">
        <f t="shared" si="1"/>
        <v>#DIV/0!</v>
      </c>
      <c r="N39" s="1446" t="e">
        <f>G30+G32</f>
        <v>#DIV/0!</v>
      </c>
      <c r="O39" s="1446"/>
      <c r="P39" s="1755"/>
      <c r="Q39" s="1757"/>
      <c r="T39" s="1693" t="s">
        <v>839</v>
      </c>
      <c r="U39" s="1693"/>
      <c r="V39" s="807">
        <f t="shared" si="2"/>
        <v>46573</v>
      </c>
      <c r="X39" s="1585"/>
      <c r="Y39" s="1585"/>
      <c r="AD39" s="1755"/>
      <c r="AE39" s="1757"/>
    </row>
    <row r="40" spans="1:31" s="24" customFormat="1" ht="12.6">
      <c r="B40" s="601">
        <v>5</v>
      </c>
      <c r="C40" s="602">
        <v>0.08</v>
      </c>
      <c r="D40" s="1463">
        <f>PMT(C40/12,B40*12,-1)</f>
        <v>2.0276394288413678E-2</v>
      </c>
      <c r="E40" s="1463"/>
      <c r="F40" s="603">
        <f>D40*F35</f>
        <v>70155.52895758544</v>
      </c>
      <c r="G40" s="1464">
        <f>F40/0.33</f>
        <v>212592.51199268314</v>
      </c>
      <c r="H40" s="1465"/>
      <c r="I40" s="1466"/>
      <c r="K40" s="1419" t="e">
        <f t="shared" si="0"/>
        <v>#DIV/0!</v>
      </c>
      <c r="L40" s="1419"/>
      <c r="M40" s="496" t="e">
        <f t="shared" si="1"/>
        <v>#DIV/0!</v>
      </c>
      <c r="N40" s="1446" t="e">
        <f>G31</f>
        <v>#DIV/0!</v>
      </c>
      <c r="O40" s="1446"/>
      <c r="P40" s="1755"/>
      <c r="Q40" s="1757"/>
      <c r="T40" s="1693" t="s">
        <v>840</v>
      </c>
      <c r="U40" s="1693"/>
      <c r="V40" s="807">
        <f t="shared" si="2"/>
        <v>46604</v>
      </c>
      <c r="X40" s="1585"/>
      <c r="Y40" s="1585"/>
      <c r="AD40" s="1755"/>
      <c r="AE40" s="1757"/>
    </row>
    <row r="41" spans="1:31" s="24" customFormat="1" ht="12.6">
      <c r="B41" s="601">
        <v>10</v>
      </c>
      <c r="C41" s="543">
        <v>0.08</v>
      </c>
      <c r="D41" s="1463">
        <f>PMT(C41/12,B41*12,-1)</f>
        <v>1.2132759435535692E-2</v>
      </c>
      <c r="E41" s="1463"/>
      <c r="F41" s="603">
        <f>D41*F35</f>
        <v>41978.871776108783</v>
      </c>
      <c r="G41" s="1464">
        <f>F41/0.33</f>
        <v>127208.7023518448</v>
      </c>
      <c r="H41" s="1465"/>
      <c r="I41" s="1466"/>
      <c r="K41" s="1419" t="e">
        <f t="shared" ref="K41:K46" si="11">IF(N41&gt;1,T41,0)</f>
        <v>#DIV/0!</v>
      </c>
      <c r="L41" s="1419"/>
      <c r="M41" s="496" t="e">
        <f t="shared" si="1"/>
        <v>#DIV/0!</v>
      </c>
      <c r="N41" s="1471" t="e">
        <f>N40</f>
        <v>#DIV/0!</v>
      </c>
      <c r="O41" s="1471"/>
      <c r="P41" s="1755"/>
      <c r="Q41" s="1757"/>
      <c r="T41" s="1693" t="s">
        <v>841</v>
      </c>
      <c r="U41" s="1693"/>
      <c r="V41" s="807">
        <f t="shared" si="2"/>
        <v>46635</v>
      </c>
      <c r="X41" s="1585"/>
      <c r="Y41" s="1585"/>
      <c r="AD41" s="1755"/>
      <c r="AE41" s="1757"/>
    </row>
    <row r="42" spans="1:31" s="24" customFormat="1" ht="12.6">
      <c r="B42" s="601">
        <v>15</v>
      </c>
      <c r="C42" s="543">
        <v>0.08</v>
      </c>
      <c r="D42" s="1463">
        <f>PMT(C42/12,B42*12,-1)</f>
        <v>9.5565208433035145E-3</v>
      </c>
      <c r="E42" s="1463"/>
      <c r="F42" s="603">
        <f>D42*F35</f>
        <v>33065.187292163304</v>
      </c>
      <c r="G42" s="1464">
        <f>F42/0.33</f>
        <v>100197.5372489797</v>
      </c>
      <c r="H42" s="1465"/>
      <c r="I42" s="1466"/>
      <c r="K42" s="1419" t="e">
        <f t="shared" si="11"/>
        <v>#DIV/0!</v>
      </c>
      <c r="L42" s="1419"/>
      <c r="M42" s="813" t="e">
        <f t="shared" si="1"/>
        <v>#DIV/0!</v>
      </c>
      <c r="N42" s="1471" t="e">
        <f t="shared" ref="N42:N46" si="12">N41</f>
        <v>#DIV/0!</v>
      </c>
      <c r="O42" s="1471"/>
      <c r="P42" s="1755"/>
      <c r="Q42" s="1757"/>
      <c r="T42" s="1693" t="s">
        <v>842</v>
      </c>
      <c r="U42" s="1693"/>
      <c r="V42" s="807">
        <f t="shared" si="2"/>
        <v>46665</v>
      </c>
      <c r="X42" s="1585"/>
      <c r="Y42" s="1585"/>
      <c r="AD42" s="1755"/>
      <c r="AE42" s="1757"/>
    </row>
    <row r="43" spans="1:31" s="24" customFormat="1" ht="12.6">
      <c r="B43" s="601">
        <v>20</v>
      </c>
      <c r="C43" s="543">
        <v>0.08</v>
      </c>
      <c r="D43" s="1472">
        <f>PMT(C43/12,B43*12,-1)</f>
        <v>8.3644006899346278E-3</v>
      </c>
      <c r="E43" s="1472"/>
      <c r="F43" s="603">
        <f>D43*F35</f>
        <v>28940.498318819453</v>
      </c>
      <c r="G43" s="1464">
        <f>F43/0.33</f>
        <v>87698.479753998341</v>
      </c>
      <c r="H43" s="1465"/>
      <c r="I43" s="1466"/>
      <c r="K43" s="1419" t="e">
        <f t="shared" si="11"/>
        <v>#DIV/0!</v>
      </c>
      <c r="L43" s="1419"/>
      <c r="M43" s="813" t="e">
        <f t="shared" si="1"/>
        <v>#DIV/0!</v>
      </c>
      <c r="N43" s="1471" t="e">
        <f t="shared" si="12"/>
        <v>#DIV/0!</v>
      </c>
      <c r="O43" s="1471"/>
      <c r="P43" s="1755"/>
      <c r="Q43" s="1757"/>
      <c r="T43" s="1693" t="s">
        <v>843</v>
      </c>
      <c r="U43" s="1693"/>
      <c r="V43" s="807">
        <f t="shared" si="2"/>
        <v>46696</v>
      </c>
      <c r="X43" s="1585"/>
      <c r="Y43" s="1585"/>
      <c r="AD43" s="1755"/>
      <c r="AE43" s="1757"/>
    </row>
    <row r="44" spans="1:31" s="24" customFormat="1" ht="12.6">
      <c r="B44" s="814" t="s">
        <v>1007</v>
      </c>
      <c r="G44" s="26"/>
      <c r="K44" s="1419" t="e">
        <f t="shared" si="11"/>
        <v>#DIV/0!</v>
      </c>
      <c r="L44" s="1419"/>
      <c r="M44" s="813" t="e">
        <f t="shared" si="1"/>
        <v>#DIV/0!</v>
      </c>
      <c r="N44" s="1471" t="e">
        <f t="shared" si="12"/>
        <v>#DIV/0!</v>
      </c>
      <c r="O44" s="1471"/>
      <c r="P44" s="1755"/>
      <c r="Q44" s="1757"/>
      <c r="T44" s="1693" t="s">
        <v>845</v>
      </c>
      <c r="U44" s="1693"/>
      <c r="V44" s="807">
        <f t="shared" si="2"/>
        <v>46726</v>
      </c>
      <c r="X44" s="1585"/>
      <c r="Y44" s="1585"/>
      <c r="AD44" s="1755"/>
      <c r="AE44" s="1757"/>
    </row>
    <row r="45" spans="1:31" s="24" customFormat="1" ht="12.6">
      <c r="B45" s="814" t="s">
        <v>1008</v>
      </c>
      <c r="C45" s="815"/>
      <c r="D45" s="796"/>
      <c r="K45" s="1419" t="e">
        <f t="shared" si="11"/>
        <v>#DIV/0!</v>
      </c>
      <c r="L45" s="1419"/>
      <c r="M45" s="813" t="e">
        <f t="shared" si="1"/>
        <v>#DIV/0!</v>
      </c>
      <c r="N45" s="1471" t="e">
        <f t="shared" si="12"/>
        <v>#DIV/0!</v>
      </c>
      <c r="O45" s="1471"/>
      <c r="P45" s="1755"/>
      <c r="Q45" s="1757"/>
      <c r="T45" s="1693" t="s">
        <v>847</v>
      </c>
      <c r="U45" s="1693"/>
      <c r="V45" s="807">
        <f t="shared" si="2"/>
        <v>46757</v>
      </c>
      <c r="X45" s="1585"/>
      <c r="Y45" s="1585"/>
      <c r="AD45" s="1755"/>
      <c r="AE45" s="1757"/>
    </row>
    <row r="46" spans="1:31" s="24" customFormat="1" ht="12.6">
      <c r="B46" s="816" t="s">
        <v>844</v>
      </c>
      <c r="D46" s="796"/>
      <c r="K46" s="1419" t="e">
        <f t="shared" si="11"/>
        <v>#DIV/0!</v>
      </c>
      <c r="L46" s="1419"/>
      <c r="M46" s="813" t="e">
        <f t="shared" si="1"/>
        <v>#DIV/0!</v>
      </c>
      <c r="N46" s="1471" t="e">
        <f t="shared" si="12"/>
        <v>#DIV/0!</v>
      </c>
      <c r="O46" s="1471"/>
      <c r="P46" s="1755"/>
      <c r="Q46" s="1757"/>
      <c r="T46" s="1693" t="s">
        <v>848</v>
      </c>
      <c r="U46" s="1693"/>
      <c r="V46" s="807">
        <f t="shared" si="2"/>
        <v>46788</v>
      </c>
      <c r="X46" s="1585"/>
      <c r="Y46" s="1585"/>
      <c r="AD46" s="1755"/>
      <c r="AE46" s="1757"/>
    </row>
    <row r="47" spans="1:31" s="24" customFormat="1" ht="12.6">
      <c r="B47" s="816" t="s">
        <v>846</v>
      </c>
      <c r="C47" s="815"/>
      <c r="D47" s="796"/>
      <c r="K47" s="1419" t="e">
        <f t="shared" ref="K47:K49" si="13">IF(N47&gt;1,T47,0)</f>
        <v>#DIV/0!</v>
      </c>
      <c r="L47" s="1419"/>
      <c r="M47" s="813" t="e">
        <f t="shared" si="1"/>
        <v>#DIV/0!</v>
      </c>
      <c r="N47" s="1471" t="e">
        <f t="shared" ref="N47:N49" si="14">N46</f>
        <v>#DIV/0!</v>
      </c>
      <c r="O47" s="1471"/>
      <c r="P47" s="1755"/>
      <c r="Q47" s="1757"/>
      <c r="T47" s="1693" t="s">
        <v>850</v>
      </c>
      <c r="U47" s="1693"/>
      <c r="V47" s="807">
        <f t="shared" si="2"/>
        <v>46817</v>
      </c>
      <c r="X47" s="1585"/>
      <c r="Y47" s="1585"/>
      <c r="AD47" s="1755"/>
      <c r="AE47" s="1757"/>
    </row>
    <row r="48" spans="1:31" s="24" customFormat="1" ht="12.6">
      <c r="D48" s="796"/>
      <c r="K48" s="1419" t="e">
        <f t="shared" si="13"/>
        <v>#DIV/0!</v>
      </c>
      <c r="L48" s="1419"/>
      <c r="M48" s="813" t="e">
        <f t="shared" si="1"/>
        <v>#DIV/0!</v>
      </c>
      <c r="N48" s="1471" t="e">
        <f t="shared" si="14"/>
        <v>#DIV/0!</v>
      </c>
      <c r="O48" s="1471"/>
      <c r="P48" s="1755"/>
      <c r="Q48" s="1757"/>
      <c r="T48" s="1693" t="s">
        <v>851</v>
      </c>
      <c r="U48" s="1693"/>
      <c r="V48" s="807">
        <f t="shared" si="2"/>
        <v>46848</v>
      </c>
      <c r="X48" s="1585"/>
      <c r="Y48" s="1585"/>
      <c r="AD48" s="1755"/>
      <c r="AE48" s="1757"/>
    </row>
    <row r="49" spans="1:25" s="24" customFormat="1" ht="12.6">
      <c r="A49" s="111"/>
      <c r="B49" s="110" t="s">
        <v>864</v>
      </c>
      <c r="C49" s="275"/>
      <c r="D49" s="803"/>
      <c r="E49" s="803"/>
      <c r="F49" s="803"/>
      <c r="G49" s="803"/>
      <c r="H49" s="803"/>
      <c r="I49" s="803"/>
      <c r="K49" s="1419" t="e">
        <f t="shared" si="13"/>
        <v>#DIV/0!</v>
      </c>
      <c r="L49" s="1419"/>
      <c r="M49" s="813" t="e">
        <f t="shared" si="1"/>
        <v>#DIV/0!</v>
      </c>
      <c r="N49" s="1471" t="e">
        <f t="shared" si="14"/>
        <v>#DIV/0!</v>
      </c>
      <c r="O49" s="1471"/>
      <c r="P49" s="1755"/>
      <c r="Q49" s="1757"/>
      <c r="T49" s="1693" t="s">
        <v>853</v>
      </c>
      <c r="U49" s="1693"/>
      <c r="V49" s="807">
        <f t="shared" si="2"/>
        <v>46878</v>
      </c>
      <c r="X49" s="1847"/>
      <c r="Y49" s="1847"/>
    </row>
    <row r="50" spans="1:25">
      <c r="A50" s="24"/>
      <c r="B50" s="803"/>
      <c r="C50" s="803"/>
      <c r="D50" s="803"/>
      <c r="E50" s="803"/>
      <c r="F50" s="803"/>
      <c r="G50" s="803"/>
      <c r="H50" s="803"/>
      <c r="I50" s="803"/>
      <c r="K50" s="1419" t="s">
        <v>1009</v>
      </c>
      <c r="L50" s="1419"/>
      <c r="M50" s="813" t="e">
        <f t="shared" si="1"/>
        <v>#DIV/0!</v>
      </c>
      <c r="N50" s="1471" t="e">
        <f>N49+G32</f>
        <v>#DIV/0!</v>
      </c>
      <c r="O50" s="1471"/>
      <c r="P50" s="1755"/>
      <c r="Q50" s="1757"/>
      <c r="T50" s="1693" t="s">
        <v>854</v>
      </c>
      <c r="U50" s="1693"/>
      <c r="V50" s="807">
        <f t="shared" si="2"/>
        <v>46909</v>
      </c>
    </row>
    <row r="51" spans="1:25" s="24" customFormat="1" ht="12.6">
      <c r="B51" s="1434" t="s">
        <v>753</v>
      </c>
      <c r="C51" s="1434"/>
      <c r="D51" s="1434" t="s">
        <v>754</v>
      </c>
      <c r="E51" s="1434"/>
      <c r="F51" s="1434"/>
      <c r="G51" s="1434" t="s">
        <v>868</v>
      </c>
      <c r="H51" s="1434"/>
      <c r="I51" s="1434"/>
      <c r="K51" s="1419"/>
      <c r="L51" s="1419"/>
      <c r="M51" s="813" t="str">
        <f t="shared" si="1"/>
        <v/>
      </c>
      <c r="N51" s="1848"/>
      <c r="O51" s="1848"/>
      <c r="P51" s="1755"/>
      <c r="Q51" s="1757"/>
      <c r="T51" s="1693" t="s">
        <v>856</v>
      </c>
      <c r="U51" s="1693"/>
      <c r="V51" s="807">
        <f t="shared" si="2"/>
        <v>46939</v>
      </c>
      <c r="X51" s="78"/>
      <c r="Y51" s="78"/>
    </row>
    <row r="52" spans="1:25" s="24" customFormat="1" ht="11.45">
      <c r="B52" s="1552">
        <f>[8]FORM!O19</f>
        <v>0</v>
      </c>
      <c r="C52" s="1553"/>
      <c r="D52" s="1552">
        <f>[8]FORM!S19</f>
        <v>0</v>
      </c>
      <c r="E52" s="1556"/>
      <c r="F52" s="1553"/>
      <c r="G52" s="1558">
        <f>[8]FORM!V19</f>
        <v>0</v>
      </c>
      <c r="H52" s="1559"/>
      <c r="I52" s="1560"/>
      <c r="K52" s="1693">
        <f t="shared" si="0"/>
        <v>0</v>
      </c>
      <c r="L52" s="1693"/>
      <c r="M52" s="813" t="str">
        <f t="shared" si="1"/>
        <v/>
      </c>
      <c r="N52" s="1848"/>
      <c r="O52" s="1848"/>
      <c r="P52" s="1755"/>
      <c r="Q52" s="1757"/>
      <c r="T52" s="1693" t="s">
        <v>857</v>
      </c>
      <c r="U52" s="1693"/>
      <c r="V52" s="807">
        <f t="shared" si="2"/>
        <v>46970</v>
      </c>
      <c r="X52" s="78"/>
      <c r="Y52" s="78"/>
    </row>
    <row r="53" spans="1:25" s="24" customFormat="1" ht="12.6">
      <c r="B53" s="1554"/>
      <c r="C53" s="1555"/>
      <c r="D53" s="1554"/>
      <c r="E53" s="1557"/>
      <c r="F53" s="1555"/>
      <c r="G53" s="1561"/>
      <c r="H53" s="1562"/>
      <c r="I53" s="1563"/>
      <c r="K53" s="1419"/>
      <c r="L53" s="1419"/>
      <c r="M53" s="813" t="str">
        <f t="shared" si="1"/>
        <v/>
      </c>
      <c r="N53" s="1848"/>
      <c r="O53" s="1848"/>
      <c r="P53" s="1755"/>
      <c r="Q53" s="1757"/>
      <c r="T53" s="1693" t="s">
        <v>858</v>
      </c>
      <c r="U53" s="1693"/>
      <c r="V53" s="807">
        <f t="shared" si="2"/>
        <v>47001</v>
      </c>
      <c r="X53" s="78"/>
      <c r="Y53" s="78"/>
    </row>
    <row r="54" spans="1:25" s="24" customFormat="1" ht="11.45">
      <c r="B54" s="1552">
        <f>[8]FORM!O21</f>
        <v>0</v>
      </c>
      <c r="C54" s="1553"/>
      <c r="D54" s="1552">
        <f>[8]FORM!S21</f>
        <v>0</v>
      </c>
      <c r="E54" s="1556"/>
      <c r="F54" s="1553"/>
      <c r="G54" s="1558">
        <f>[8]FORM!V21</f>
        <v>0</v>
      </c>
      <c r="H54" s="1559"/>
      <c r="I54" s="1560"/>
      <c r="K54" s="1693">
        <f t="shared" si="0"/>
        <v>0</v>
      </c>
      <c r="L54" s="1693"/>
      <c r="M54" s="813" t="str">
        <f t="shared" si="1"/>
        <v/>
      </c>
      <c r="N54" s="1848"/>
      <c r="O54" s="1848"/>
      <c r="P54" s="1755"/>
      <c r="Q54" s="1757"/>
      <c r="T54" s="1693" t="s">
        <v>859</v>
      </c>
      <c r="U54" s="1693"/>
      <c r="V54" s="807">
        <f t="shared" si="2"/>
        <v>47031</v>
      </c>
      <c r="X54" s="78"/>
      <c r="Y54" s="78"/>
    </row>
    <row r="55" spans="1:25" s="24" customFormat="1" ht="12.6">
      <c r="B55" s="1554"/>
      <c r="C55" s="1555"/>
      <c r="D55" s="1554"/>
      <c r="E55" s="1557"/>
      <c r="F55" s="1555"/>
      <c r="G55" s="1561"/>
      <c r="H55" s="1562"/>
      <c r="I55" s="1563"/>
      <c r="K55" s="1419">
        <f t="shared" si="0"/>
        <v>0</v>
      </c>
      <c r="L55" s="1419"/>
      <c r="M55" s="496" t="str">
        <f t="shared" si="1"/>
        <v/>
      </c>
      <c r="N55" s="1477"/>
      <c r="O55" s="1478"/>
      <c r="P55" s="1755"/>
      <c r="Q55" s="1757"/>
      <c r="T55" s="1693" t="s">
        <v>860</v>
      </c>
      <c r="U55" s="1693"/>
      <c r="V55" s="807">
        <f t="shared" si="2"/>
        <v>47062</v>
      </c>
      <c r="X55" s="78"/>
      <c r="Y55" s="78"/>
    </row>
    <row r="56" spans="1:25" s="24" customFormat="1" ht="12.6">
      <c r="B56" s="1552">
        <f>[8]FORM!O25</f>
        <v>0</v>
      </c>
      <c r="C56" s="1553"/>
      <c r="D56" s="1552">
        <f>[8]FORM!S25</f>
        <v>0</v>
      </c>
      <c r="E56" s="1556"/>
      <c r="F56" s="1553"/>
      <c r="G56" s="1558">
        <f>[8]FORM!V25</f>
        <v>0</v>
      </c>
      <c r="H56" s="1559"/>
      <c r="I56" s="1560"/>
      <c r="K56" s="1419">
        <f t="shared" si="0"/>
        <v>0</v>
      </c>
      <c r="L56" s="1419"/>
      <c r="M56" s="496" t="str">
        <f t="shared" si="1"/>
        <v/>
      </c>
      <c r="N56" s="1477"/>
      <c r="O56" s="1478"/>
      <c r="P56" s="1755"/>
      <c r="Q56" s="1757"/>
      <c r="T56" s="1693" t="s">
        <v>862</v>
      </c>
      <c r="U56" s="1693"/>
      <c r="V56" s="807">
        <f t="shared" si="2"/>
        <v>47092</v>
      </c>
      <c r="X56" s="78"/>
      <c r="Y56" s="78"/>
    </row>
    <row r="57" spans="1:25" s="24" customFormat="1" ht="12.6">
      <c r="B57" s="1554"/>
      <c r="C57" s="1555"/>
      <c r="D57" s="1554"/>
      <c r="E57" s="1557"/>
      <c r="F57" s="1555"/>
      <c r="G57" s="1561"/>
      <c r="H57" s="1562"/>
      <c r="I57" s="1563"/>
      <c r="J57" s="24" t="s">
        <v>757</v>
      </c>
      <c r="K57" s="1419">
        <f t="shared" si="0"/>
        <v>0</v>
      </c>
      <c r="L57" s="1419"/>
      <c r="M57" s="496" t="str">
        <f t="shared" si="1"/>
        <v/>
      </c>
      <c r="N57" s="1471"/>
      <c r="O57" s="1471"/>
      <c r="P57" s="1755"/>
      <c r="Q57" s="1757"/>
      <c r="T57" s="1693" t="s">
        <v>863</v>
      </c>
      <c r="U57" s="1693"/>
      <c r="V57" s="807">
        <f t="shared" si="2"/>
        <v>47123</v>
      </c>
      <c r="X57" s="78"/>
      <c r="Y57" s="78"/>
    </row>
    <row r="58" spans="1:25" s="24" customFormat="1" ht="12.6">
      <c r="B58" s="1479">
        <f>[8]FORM!O27</f>
        <v>0</v>
      </c>
      <c r="C58" s="1481"/>
      <c r="D58" s="1479">
        <f>[8]FORM!S27</f>
        <v>0</v>
      </c>
      <c r="E58" s="1480"/>
      <c r="F58" s="1481"/>
      <c r="G58" s="1485">
        <f>[8]FORM!V27</f>
        <v>0</v>
      </c>
      <c r="H58" s="1486"/>
      <c r="I58" s="1487"/>
      <c r="K58" s="1419">
        <f t="shared" si="0"/>
        <v>0</v>
      </c>
      <c r="L58" s="1419"/>
      <c r="M58" s="496" t="str">
        <f t="shared" si="1"/>
        <v/>
      </c>
      <c r="N58" s="1471"/>
      <c r="O58" s="1471"/>
      <c r="P58" s="1755"/>
      <c r="Q58" s="1757"/>
      <c r="T58" s="1693" t="s">
        <v>865</v>
      </c>
      <c r="U58" s="1693"/>
      <c r="V58" s="807">
        <f t="shared" si="2"/>
        <v>47154</v>
      </c>
      <c r="X58" s="78"/>
      <c r="Y58" s="78"/>
    </row>
    <row r="59" spans="1:25" s="24" customFormat="1" ht="12.6">
      <c r="B59" s="1482"/>
      <c r="C59" s="1484"/>
      <c r="D59" s="1482"/>
      <c r="E59" s="1483"/>
      <c r="F59" s="1484"/>
      <c r="G59" s="1488"/>
      <c r="H59" s="1489"/>
      <c r="I59" s="1490"/>
      <c r="K59" s="1419" t="s">
        <v>866</v>
      </c>
      <c r="L59" s="1419"/>
      <c r="M59" s="496">
        <f>IF(DAY(M17)=31,X20,Z20)</f>
        <v>45935</v>
      </c>
      <c r="N59" s="1491">
        <f>F35</f>
        <v>3459960.7780202646</v>
      </c>
      <c r="O59" s="1491"/>
      <c r="P59" s="1755"/>
      <c r="Q59" s="1757"/>
      <c r="T59" s="1693" t="s">
        <v>867</v>
      </c>
      <c r="U59" s="1693"/>
      <c r="V59" s="807">
        <f t="shared" si="2"/>
        <v>47182</v>
      </c>
      <c r="X59" s="78"/>
      <c r="Y59" s="78"/>
    </row>
    <row r="60" spans="1:25" s="24" customFormat="1" ht="11.45">
      <c r="B60" s="1479">
        <f>[8]FORM!O31</f>
        <v>0</v>
      </c>
      <c r="C60" s="1481"/>
      <c r="D60" s="1479">
        <f>[8]FORM!S31</f>
        <v>0</v>
      </c>
      <c r="E60" s="1480"/>
      <c r="F60" s="1481"/>
      <c r="G60" s="1485">
        <f>[8]FORM!V31</f>
        <v>0</v>
      </c>
      <c r="H60" s="1486"/>
      <c r="I60" s="1487"/>
      <c r="K60" s="817"/>
      <c r="M60" s="818"/>
      <c r="O60" s="819" t="e">
        <f>F22-SUM(N17:O59)</f>
        <v>#DIV/0!</v>
      </c>
      <c r="V60" s="820"/>
      <c r="X60" s="78"/>
      <c r="Y60" s="78"/>
    </row>
    <row r="61" spans="1:25" s="24" customFormat="1" ht="12.6">
      <c r="B61" s="1482"/>
      <c r="C61" s="1484"/>
      <c r="D61" s="1482"/>
      <c r="E61" s="1483"/>
      <c r="F61" s="1484"/>
      <c r="G61" s="1488"/>
      <c r="H61" s="1489"/>
      <c r="I61" s="1490"/>
      <c r="K61" s="607"/>
      <c r="L61" s="111"/>
      <c r="M61" s="279"/>
      <c r="N61" s="111"/>
      <c r="O61" s="111"/>
      <c r="P61" s="111"/>
      <c r="Q61" s="111"/>
      <c r="V61" s="805"/>
      <c r="X61" s="78"/>
      <c r="Y61" s="78"/>
    </row>
    <row r="62" spans="1:25" s="24" customFormat="1" ht="12.6">
      <c r="B62" s="1479">
        <f>[8]FORM!O33</f>
        <v>0</v>
      </c>
      <c r="C62" s="1481"/>
      <c r="D62" s="1479">
        <f>[8]FORM!S33</f>
        <v>0</v>
      </c>
      <c r="E62" s="1480"/>
      <c r="F62" s="1481"/>
      <c r="G62" s="1485">
        <f>[8]FORM!V33</f>
        <v>0</v>
      </c>
      <c r="H62" s="1486"/>
      <c r="I62" s="1487"/>
      <c r="K62" s="111"/>
      <c r="L62" s="111"/>
      <c r="M62" s="279"/>
      <c r="N62" s="111"/>
      <c r="O62" s="111"/>
      <c r="P62" s="111"/>
      <c r="Q62" s="111"/>
      <c r="V62" s="805"/>
      <c r="X62" s="78"/>
      <c r="Y62" s="78"/>
    </row>
    <row r="63" spans="1:25" s="24" customFormat="1" ht="12.6">
      <c r="B63" s="1482"/>
      <c r="C63" s="1484"/>
      <c r="D63" s="1482"/>
      <c r="E63" s="1483"/>
      <c r="F63" s="1484"/>
      <c r="G63" s="1488"/>
      <c r="H63" s="1489"/>
      <c r="I63" s="1490"/>
      <c r="K63" s="3" t="s">
        <v>869</v>
      </c>
      <c r="L63" s="3"/>
      <c r="M63" s="3"/>
      <c r="N63" s="3"/>
      <c r="O63" s="111"/>
      <c r="P63" s="3" t="s">
        <v>870</v>
      </c>
      <c r="Q63" s="3"/>
      <c r="V63" s="805"/>
      <c r="X63" s="78"/>
      <c r="Y63" s="78"/>
    </row>
    <row r="64" spans="1:25" s="24" customFormat="1">
      <c r="A64" s="2"/>
      <c r="B64" s="111"/>
      <c r="C64" s="111"/>
      <c r="D64" s="170"/>
      <c r="E64" s="111"/>
      <c r="F64" s="111"/>
      <c r="G64" s="111"/>
      <c r="H64" s="111"/>
      <c r="I64" s="111"/>
      <c r="K64" s="111"/>
      <c r="L64" s="111"/>
      <c r="M64" s="170"/>
      <c r="N64" s="111"/>
      <c r="O64" s="111"/>
      <c r="P64" s="111"/>
      <c r="Q64" s="111"/>
      <c r="V64" s="805"/>
      <c r="X64" s="78"/>
      <c r="Y64" s="78"/>
    </row>
    <row r="65" spans="2:17">
      <c r="B65" s="403"/>
      <c r="C65" s="250" t="s">
        <v>872</v>
      </c>
      <c r="D65" s="1493"/>
      <c r="E65" s="1493"/>
      <c r="F65" s="1493"/>
      <c r="G65" s="111"/>
      <c r="H65" s="111"/>
      <c r="I65" s="111"/>
      <c r="K65" s="111"/>
      <c r="L65" s="111"/>
      <c r="M65" s="170"/>
      <c r="N65" s="111"/>
      <c r="O65" s="111"/>
      <c r="P65" s="111"/>
      <c r="Q65" s="111"/>
    </row>
    <row r="66" spans="2:17">
      <c r="B66" s="609"/>
      <c r="C66" s="112"/>
      <c r="D66" s="112"/>
      <c r="E66" s="112"/>
      <c r="F66" s="114"/>
      <c r="G66" s="111"/>
      <c r="H66" s="111"/>
      <c r="I66" s="111"/>
      <c r="K66" s="1492" t="str">
        <f>B69</f>
        <v xml:space="preserve">agent </v>
      </c>
      <c r="L66" s="1492"/>
      <c r="M66" s="1492"/>
      <c r="N66" s="111"/>
      <c r="O66" s="111"/>
      <c r="P66" s="1492" t="str">
        <f>F69</f>
        <v>buyer</v>
      </c>
      <c r="Q66" s="1492"/>
    </row>
    <row r="67" spans="2:17">
      <c r="B67" s="3" t="s">
        <v>869</v>
      </c>
      <c r="C67" s="3"/>
      <c r="D67" s="3"/>
      <c r="E67" s="3"/>
      <c r="F67" s="3" t="s">
        <v>870</v>
      </c>
      <c r="G67" s="3"/>
      <c r="H67" s="3"/>
      <c r="I67" s="111"/>
      <c r="K67" s="611" t="s">
        <v>871</v>
      </c>
      <c r="L67" s="611"/>
      <c r="M67" s="298"/>
      <c r="N67" s="111"/>
      <c r="O67" s="111"/>
      <c r="P67" s="611" t="s">
        <v>871</v>
      </c>
      <c r="Q67" s="611"/>
    </row>
    <row r="68" spans="2:17">
      <c r="B68" s="111"/>
      <c r="C68" s="111"/>
      <c r="D68" s="170"/>
      <c r="E68" s="111"/>
      <c r="F68" s="111"/>
      <c r="G68" s="111"/>
      <c r="H68" s="111"/>
      <c r="I68" s="111"/>
      <c r="M68" s="2"/>
    </row>
    <row r="69" spans="2:17">
      <c r="B69" s="1492" t="str">
        <f>'[8]STANDARD COMP.'!B69:D69</f>
        <v xml:space="preserve">agent </v>
      </c>
      <c r="C69" s="1492"/>
      <c r="D69" s="610"/>
      <c r="E69" s="111"/>
      <c r="F69" s="1492" t="str">
        <f>'[8]STANDARD COMP.'!F69:I69</f>
        <v>buyer</v>
      </c>
      <c r="G69" s="1492"/>
      <c r="H69" s="111"/>
      <c r="I69" s="111"/>
      <c r="M69" s="2"/>
    </row>
    <row r="70" spans="2:17">
      <c r="B70" s="611" t="s">
        <v>871</v>
      </c>
      <c r="C70" s="611"/>
      <c r="D70" s="170"/>
      <c r="E70" s="111"/>
      <c r="F70" s="611" t="s">
        <v>871</v>
      </c>
      <c r="G70" s="611"/>
      <c r="H70" s="111"/>
      <c r="I70" s="111"/>
    </row>
    <row r="71" spans="2:17">
      <c r="B71" s="111"/>
      <c r="C71" s="111"/>
      <c r="D71" s="170"/>
      <c r="E71" s="111"/>
      <c r="F71" s="111"/>
      <c r="G71" s="111"/>
      <c r="H71" s="111"/>
      <c r="I71" s="111"/>
    </row>
    <row r="72" spans="2:17">
      <c r="B72" s="111"/>
      <c r="C72" s="111"/>
      <c r="D72" s="170"/>
      <c r="E72" s="111"/>
      <c r="F72" s="111"/>
      <c r="G72" s="111"/>
      <c r="H72" s="111"/>
      <c r="I72" s="111"/>
    </row>
    <row r="114" spans="1:1">
      <c r="A114" s="497">
        <f>F17*12%</f>
        <v>405563.16811959143</v>
      </c>
    </row>
  </sheetData>
  <sheetProtection formatCells="0" formatColumns="0" formatRows="0"/>
  <mergeCells count="322">
    <mergeCell ref="T58:U58"/>
    <mergeCell ref="K59:L59"/>
    <mergeCell ref="N59:O59"/>
    <mergeCell ref="P59:Q59"/>
    <mergeCell ref="T59:U59"/>
    <mergeCell ref="B60:C61"/>
    <mergeCell ref="D60:F61"/>
    <mergeCell ref="G60:I61"/>
    <mergeCell ref="B58:C59"/>
    <mergeCell ref="D58:F59"/>
    <mergeCell ref="G58:I59"/>
    <mergeCell ref="K58:L58"/>
    <mergeCell ref="N58:O58"/>
    <mergeCell ref="P58:Q58"/>
    <mergeCell ref="B69:C69"/>
    <mergeCell ref="F69:G69"/>
    <mergeCell ref="B62:C63"/>
    <mergeCell ref="D62:F63"/>
    <mergeCell ref="G62:I63"/>
    <mergeCell ref="D65:F65"/>
    <mergeCell ref="K66:M66"/>
    <mergeCell ref="P66:Q66"/>
    <mergeCell ref="B56:C57"/>
    <mergeCell ref="D56:F57"/>
    <mergeCell ref="G56:I57"/>
    <mergeCell ref="K56:L56"/>
    <mergeCell ref="N56:O56"/>
    <mergeCell ref="P56:Q56"/>
    <mergeCell ref="T56:U56"/>
    <mergeCell ref="K57:L57"/>
    <mergeCell ref="N57:O57"/>
    <mergeCell ref="P57:Q57"/>
    <mergeCell ref="T57:U57"/>
    <mergeCell ref="B54:C55"/>
    <mergeCell ref="D54:F55"/>
    <mergeCell ref="G54:I55"/>
    <mergeCell ref="K54:L54"/>
    <mergeCell ref="N54:O54"/>
    <mergeCell ref="P54:Q54"/>
    <mergeCell ref="T54:U54"/>
    <mergeCell ref="K55:L55"/>
    <mergeCell ref="N55:O55"/>
    <mergeCell ref="P55:Q55"/>
    <mergeCell ref="T55:U55"/>
    <mergeCell ref="T51:U51"/>
    <mergeCell ref="B52:C53"/>
    <mergeCell ref="D52:F53"/>
    <mergeCell ref="G52:I53"/>
    <mergeCell ref="K52:L52"/>
    <mergeCell ref="N52:O52"/>
    <mergeCell ref="P52:Q52"/>
    <mergeCell ref="T52:U52"/>
    <mergeCell ref="K53:L53"/>
    <mergeCell ref="N53:O53"/>
    <mergeCell ref="B51:C51"/>
    <mergeCell ref="D51:F51"/>
    <mergeCell ref="G51:I51"/>
    <mergeCell ref="K51:L51"/>
    <mergeCell ref="N51:O51"/>
    <mergeCell ref="P51:Q51"/>
    <mergeCell ref="P53:Q53"/>
    <mergeCell ref="T53:U53"/>
    <mergeCell ref="K49:L49"/>
    <mergeCell ref="N49:O49"/>
    <mergeCell ref="P49:Q49"/>
    <mergeCell ref="T49:U49"/>
    <mergeCell ref="X49:Y49"/>
    <mergeCell ref="K50:L50"/>
    <mergeCell ref="N50:O50"/>
    <mergeCell ref="P50:Q50"/>
    <mergeCell ref="T50:U50"/>
    <mergeCell ref="K48:L48"/>
    <mergeCell ref="N48:O48"/>
    <mergeCell ref="P48:Q48"/>
    <mergeCell ref="T48:U48"/>
    <mergeCell ref="X48:Y48"/>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K45:L45"/>
    <mergeCell ref="N45:O45"/>
    <mergeCell ref="P45:Q45"/>
    <mergeCell ref="T45:U45"/>
    <mergeCell ref="X45:Y45"/>
    <mergeCell ref="AD45:AE45"/>
    <mergeCell ref="X43:Y43"/>
    <mergeCell ref="AD43:AE43"/>
    <mergeCell ref="K44:L44"/>
    <mergeCell ref="N44:O44"/>
    <mergeCell ref="P44:Q44"/>
    <mergeCell ref="T44:U44"/>
    <mergeCell ref="X44:Y44"/>
    <mergeCell ref="AD44:AE44"/>
    <mergeCell ref="D43:E43"/>
    <mergeCell ref="G43:I43"/>
    <mergeCell ref="K43:L43"/>
    <mergeCell ref="N43:O43"/>
    <mergeCell ref="P43:Q43"/>
    <mergeCell ref="T43:U43"/>
    <mergeCell ref="X41:Y41"/>
    <mergeCell ref="AD41:AE41"/>
    <mergeCell ref="D42:E42"/>
    <mergeCell ref="G42:I42"/>
    <mergeCell ref="K42:L42"/>
    <mergeCell ref="N42:O42"/>
    <mergeCell ref="P42:Q42"/>
    <mergeCell ref="T42:U42"/>
    <mergeCell ref="X42:Y42"/>
    <mergeCell ref="AD42:AE42"/>
    <mergeCell ref="D41:E41"/>
    <mergeCell ref="G41:I41"/>
    <mergeCell ref="K41:L41"/>
    <mergeCell ref="N41:O41"/>
    <mergeCell ref="P41:Q41"/>
    <mergeCell ref="T41:U41"/>
    <mergeCell ref="X39:Y39"/>
    <mergeCell ref="AD39:AE39"/>
    <mergeCell ref="D40:E40"/>
    <mergeCell ref="G40:I40"/>
    <mergeCell ref="K40:L40"/>
    <mergeCell ref="N40:O40"/>
    <mergeCell ref="P40:Q40"/>
    <mergeCell ref="T40:U40"/>
    <mergeCell ref="X40:Y40"/>
    <mergeCell ref="AD40:AE40"/>
    <mergeCell ref="D39:E39"/>
    <mergeCell ref="G39:I39"/>
    <mergeCell ref="K39:L39"/>
    <mergeCell ref="N39:O39"/>
    <mergeCell ref="P39:Q39"/>
    <mergeCell ref="T39:U39"/>
    <mergeCell ref="K38:L38"/>
    <mergeCell ref="N38:O38"/>
    <mergeCell ref="P38:Q38"/>
    <mergeCell ref="T38:U38"/>
    <mergeCell ref="X38:Y38"/>
    <mergeCell ref="AD38:AE38"/>
    <mergeCell ref="K37:L37"/>
    <mergeCell ref="N37:O37"/>
    <mergeCell ref="P37:Q37"/>
    <mergeCell ref="T37:U37"/>
    <mergeCell ref="X37:Y37"/>
    <mergeCell ref="AD37:AE37"/>
    <mergeCell ref="AD35:AE35"/>
    <mergeCell ref="K36:L36"/>
    <mergeCell ref="N36:O36"/>
    <mergeCell ref="P36:Q36"/>
    <mergeCell ref="T36:U36"/>
    <mergeCell ref="X36:Y36"/>
    <mergeCell ref="AD36:AE36"/>
    <mergeCell ref="F35:I35"/>
    <mergeCell ref="K35:L35"/>
    <mergeCell ref="N35:O35"/>
    <mergeCell ref="P35:Q35"/>
    <mergeCell ref="T35:U35"/>
    <mergeCell ref="X35:Y35"/>
    <mergeCell ref="K34:L34"/>
    <mergeCell ref="N34:O34"/>
    <mergeCell ref="P34:Q34"/>
    <mergeCell ref="T34:U34"/>
    <mergeCell ref="X34:Y34"/>
    <mergeCell ref="AD34:AE34"/>
    <mergeCell ref="AD32:AE32"/>
    <mergeCell ref="K33:L33"/>
    <mergeCell ref="N33:O33"/>
    <mergeCell ref="P33:Q33"/>
    <mergeCell ref="T33:U33"/>
    <mergeCell ref="X33:Y33"/>
    <mergeCell ref="AD33:AE33"/>
    <mergeCell ref="G32:I32"/>
    <mergeCell ref="K32:L32"/>
    <mergeCell ref="N32:O32"/>
    <mergeCell ref="P32:Q32"/>
    <mergeCell ref="T32:U32"/>
    <mergeCell ref="X32:Y32"/>
    <mergeCell ref="X30:Y30"/>
    <mergeCell ref="AD30:AE30"/>
    <mergeCell ref="B31:C31"/>
    <mergeCell ref="G31:I31"/>
    <mergeCell ref="K31:L31"/>
    <mergeCell ref="N31:O31"/>
    <mergeCell ref="P31:Q31"/>
    <mergeCell ref="T31:U31"/>
    <mergeCell ref="X31:Y31"/>
    <mergeCell ref="AD31:AE31"/>
    <mergeCell ref="B30:C30"/>
    <mergeCell ref="G30:I30"/>
    <mergeCell ref="K30:L30"/>
    <mergeCell ref="N30:O30"/>
    <mergeCell ref="P30:Q30"/>
    <mergeCell ref="T30:U30"/>
    <mergeCell ref="X28:Y28"/>
    <mergeCell ref="AD28:AE28"/>
    <mergeCell ref="B29:C29"/>
    <mergeCell ref="G29:I29"/>
    <mergeCell ref="K29:L29"/>
    <mergeCell ref="N29:O29"/>
    <mergeCell ref="P29:Q29"/>
    <mergeCell ref="T29:U29"/>
    <mergeCell ref="X29:Y29"/>
    <mergeCell ref="AD29:AE29"/>
    <mergeCell ref="B28:C28"/>
    <mergeCell ref="G28:I28"/>
    <mergeCell ref="K28:L28"/>
    <mergeCell ref="N28:O28"/>
    <mergeCell ref="P28:Q28"/>
    <mergeCell ref="T28:U28"/>
    <mergeCell ref="AD26:AE26"/>
    <mergeCell ref="AG26:AJ26"/>
    <mergeCell ref="K27:L27"/>
    <mergeCell ref="N27:O27"/>
    <mergeCell ref="P27:Q27"/>
    <mergeCell ref="T27:U27"/>
    <mergeCell ref="X27:Y27"/>
    <mergeCell ref="AD27:AE27"/>
    <mergeCell ref="F26:I26"/>
    <mergeCell ref="K26:L26"/>
    <mergeCell ref="N26:O26"/>
    <mergeCell ref="P26:Q26"/>
    <mergeCell ref="T26:U26"/>
    <mergeCell ref="X26:Y26"/>
    <mergeCell ref="AD24:AE24"/>
    <mergeCell ref="AG24:AJ24"/>
    <mergeCell ref="F25:I25"/>
    <mergeCell ref="K25:L25"/>
    <mergeCell ref="N25:O25"/>
    <mergeCell ref="P25:Q25"/>
    <mergeCell ref="T25:U25"/>
    <mergeCell ref="X25:Y25"/>
    <mergeCell ref="AD25:AE25"/>
    <mergeCell ref="AG25:AJ25"/>
    <mergeCell ref="F24:I24"/>
    <mergeCell ref="K24:L24"/>
    <mergeCell ref="N24:O24"/>
    <mergeCell ref="P24:Q24"/>
    <mergeCell ref="T24:U24"/>
    <mergeCell ref="X24:Y24"/>
    <mergeCell ref="AD22:AE22"/>
    <mergeCell ref="AG22:AJ22"/>
    <mergeCell ref="K23:L23"/>
    <mergeCell ref="N23:O23"/>
    <mergeCell ref="P23:Q23"/>
    <mergeCell ref="T23:U23"/>
    <mergeCell ref="X23:Y23"/>
    <mergeCell ref="AD23:AE23"/>
    <mergeCell ref="AG23:AJ23"/>
    <mergeCell ref="F22:I22"/>
    <mergeCell ref="K22:L22"/>
    <mergeCell ref="N22:O22"/>
    <mergeCell ref="P22:Q22"/>
    <mergeCell ref="T22:U22"/>
    <mergeCell ref="X22:Y22"/>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17:I17"/>
    <mergeCell ref="K17:L17"/>
    <mergeCell ref="N17:O17"/>
    <mergeCell ref="P17:Q17"/>
    <mergeCell ref="T17:U17"/>
    <mergeCell ref="K18:L18"/>
    <mergeCell ref="N18:O18"/>
    <mergeCell ref="P18:Q18"/>
    <mergeCell ref="T18:U18"/>
    <mergeCell ref="E13:F13"/>
    <mergeCell ref="G13:I13"/>
    <mergeCell ref="N13:O13"/>
    <mergeCell ref="P13:Q13"/>
    <mergeCell ref="F15:I15"/>
    <mergeCell ref="K15:L16"/>
    <mergeCell ref="M15:M16"/>
    <mergeCell ref="N15:O16"/>
    <mergeCell ref="P15:Q16"/>
    <mergeCell ref="F16:I16"/>
    <mergeCell ref="E12:F12"/>
    <mergeCell ref="G12:I12"/>
    <mergeCell ref="N12:O12"/>
    <mergeCell ref="P12:Q12"/>
    <mergeCell ref="E8:I8"/>
    <mergeCell ref="N8:Q8"/>
    <mergeCell ref="E9:I9"/>
    <mergeCell ref="N9:Q9"/>
    <mergeCell ref="E10:I10"/>
    <mergeCell ref="N10:Q10"/>
    <mergeCell ref="G1:I1"/>
    <mergeCell ref="B3:I4"/>
    <mergeCell ref="K3:Q4"/>
    <mergeCell ref="E6:I6"/>
    <mergeCell ref="N6:Q6"/>
    <mergeCell ref="E7:F7"/>
    <mergeCell ref="N7:Q7"/>
    <mergeCell ref="E11:F11"/>
    <mergeCell ref="G11:I11"/>
    <mergeCell ref="N11:O11"/>
    <mergeCell ref="P11:Q11"/>
  </mergeCells>
  <pageMargins left="0.59055118110236227" right="0.59055118110236227" top="0.78740157480314965" bottom="0.74803149606299213" header="0.31496062992125984" footer="0.31496062992125984"/>
  <pageSetup paperSize="14" scale="65"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9"/>
  <dimension ref="A1:BM114"/>
  <sheetViews>
    <sheetView showGridLines="0" showZeros="0" showRuler="0" view="pageLayout" topLeftCell="F7" zoomScale="85" zoomScaleNormal="90" zoomScaleSheetLayoutView="80" zoomScalePageLayoutView="85" workbookViewId="0">
      <selection activeCell="M23" sqref="M23"/>
    </sheetView>
  </sheetViews>
  <sheetFormatPr defaultColWidth="9.140625" defaultRowHeight="13.5"/>
  <cols>
    <col min="1" max="1" width="1.140625" style="15" customWidth="1"/>
    <col min="2" max="2" width="12" style="15" customWidth="1"/>
    <col min="3" max="3" width="28.140625" style="15" customWidth="1"/>
    <col min="4" max="4" width="21" style="21" customWidth="1"/>
    <col min="5" max="5" width="19.85546875" style="15" customWidth="1"/>
    <col min="6" max="6" width="17.140625" style="15" customWidth="1"/>
    <col min="7" max="7" width="18.85546875" style="15" customWidth="1"/>
    <col min="8" max="8" width="11.140625" style="15" customWidth="1"/>
    <col min="9" max="9" width="7" style="15" customWidth="1"/>
    <col min="10" max="10" width="0.85546875" style="15" customWidth="1"/>
    <col min="11" max="11" width="9.140625" style="15"/>
    <col min="12" max="12" width="26" style="15" customWidth="1"/>
    <col min="13" max="13" width="22.140625" style="339" customWidth="1"/>
    <col min="14" max="14" width="12.140625" style="15" customWidth="1"/>
    <col min="15" max="15" width="16.5703125" style="15" customWidth="1"/>
    <col min="16" max="16" width="21.140625" style="15" customWidth="1"/>
    <col min="17" max="17" width="27.140625" style="15" customWidth="1"/>
    <col min="18" max="18" width="0.140625" style="15" customWidth="1"/>
    <col min="19" max="19" width="0.85546875" style="15" customWidth="1"/>
    <col min="20" max="20" width="7.85546875" style="15" customWidth="1"/>
    <col min="21" max="21" width="24" style="15" customWidth="1"/>
    <col min="22" max="22" width="4.5703125" style="15" customWidth="1"/>
    <col min="23" max="23" width="18.42578125" style="15" customWidth="1"/>
    <col min="24" max="24" width="8.140625" style="15" customWidth="1"/>
    <col min="25" max="25" width="9.85546875" style="15" customWidth="1"/>
    <col min="26" max="26" width="14.42578125" style="15" customWidth="1"/>
    <col min="27" max="27" width="7.5703125" style="15" customWidth="1"/>
    <col min="28" max="28" width="17.85546875" style="15" customWidth="1"/>
    <col min="29" max="29" width="18.42578125" style="15" customWidth="1"/>
    <col min="30" max="30" width="3" style="15" customWidth="1"/>
    <col min="31" max="31" width="4.42578125" style="15" customWidth="1"/>
    <col min="32" max="34" width="9.140625" style="15"/>
    <col min="35" max="35" width="9.140625" style="15" customWidth="1"/>
    <col min="36" max="37" width="9.140625" style="15" hidden="1" customWidth="1"/>
    <col min="38" max="16384" width="9.140625" style="15"/>
  </cols>
  <sheetData>
    <row r="1" spans="1:65" s="19" customFormat="1" ht="12.6">
      <c r="B1" s="243" t="s">
        <v>783</v>
      </c>
      <c r="C1" s="478">
        <f>FORM!I20</f>
        <v>45901</v>
      </c>
      <c r="D1" s="242"/>
      <c r="E1" s="90"/>
      <c r="F1" s="173" t="s">
        <v>784</v>
      </c>
      <c r="G1" s="1414" t="s">
        <v>986</v>
      </c>
      <c r="H1" s="1414"/>
      <c r="I1" s="1414"/>
      <c r="J1" s="17"/>
      <c r="K1" s="712" t="s">
        <v>783</v>
      </c>
      <c r="L1" s="713">
        <f>C1</f>
        <v>45901</v>
      </c>
      <c r="M1" s="714"/>
      <c r="O1" s="715"/>
      <c r="P1" s="716" t="s">
        <v>786</v>
      </c>
      <c r="Q1" s="326" t="s">
        <v>987</v>
      </c>
      <c r="S1" s="1787" t="s">
        <v>783</v>
      </c>
      <c r="T1" s="1787"/>
      <c r="U1" s="1788">
        <f>L1</f>
        <v>45901</v>
      </c>
      <c r="V1" s="1788"/>
      <c r="W1" s="717"/>
      <c r="Y1" s="715"/>
      <c r="Z1" s="1789" t="s">
        <v>786</v>
      </c>
      <c r="AA1" s="1789"/>
      <c r="AB1" s="1788" t="s">
        <v>988</v>
      </c>
      <c r="AC1" s="1788"/>
      <c r="AD1" s="1788"/>
    </row>
    <row r="2" spans="1:65" s="19" customFormat="1" ht="7.5" customHeight="1">
      <c r="B2" s="90"/>
      <c r="C2" s="91"/>
      <c r="D2" s="91"/>
      <c r="E2" s="90"/>
      <c r="F2" s="90"/>
      <c r="G2" s="90"/>
      <c r="H2" s="90"/>
      <c r="I2" s="90"/>
      <c r="K2" s="327"/>
      <c r="L2" s="327"/>
      <c r="M2" s="327"/>
      <c r="N2" s="327"/>
      <c r="O2" s="327"/>
      <c r="P2" s="327"/>
      <c r="Q2" s="327"/>
    </row>
    <row r="3" spans="1:65" s="19" customFormat="1" ht="14.25" customHeight="1">
      <c r="B3" s="1415" t="s">
        <v>1010</v>
      </c>
      <c r="C3" s="1415"/>
      <c r="D3" s="1415"/>
      <c r="E3" s="1415"/>
      <c r="F3" s="1415"/>
      <c r="G3" s="1415"/>
      <c r="H3" s="1415"/>
      <c r="I3" s="1415"/>
      <c r="J3" s="328"/>
      <c r="K3" s="1790" t="s">
        <v>788</v>
      </c>
      <c r="L3" s="1790"/>
      <c r="M3" s="1790"/>
      <c r="N3" s="1790"/>
      <c r="O3" s="1790"/>
      <c r="P3" s="1790"/>
      <c r="Q3" s="1790"/>
      <c r="S3" s="1790" t="s">
        <v>990</v>
      </c>
      <c r="T3" s="1790"/>
      <c r="U3" s="1790"/>
      <c r="V3" s="1790"/>
      <c r="W3" s="1790"/>
      <c r="X3" s="1790"/>
      <c r="Y3" s="1790"/>
      <c r="Z3" s="1790"/>
      <c r="AA3" s="1790"/>
      <c r="AB3" s="1790"/>
      <c r="AC3" s="1790"/>
      <c r="AD3" s="1790"/>
    </row>
    <row r="4" spans="1:65" s="19" customFormat="1" ht="12.75" customHeight="1">
      <c r="B4" s="1415"/>
      <c r="C4" s="1415"/>
      <c r="D4" s="1415"/>
      <c r="E4" s="1415"/>
      <c r="F4" s="1415"/>
      <c r="G4" s="1415"/>
      <c r="H4" s="1415"/>
      <c r="I4" s="1415"/>
      <c r="J4" s="328"/>
      <c r="K4" s="1790"/>
      <c r="L4" s="1790"/>
      <c r="M4" s="1790"/>
      <c r="N4" s="1790"/>
      <c r="O4" s="1790"/>
      <c r="P4" s="1790"/>
      <c r="Q4" s="1790"/>
      <c r="S4" s="1790"/>
      <c r="T4" s="1790"/>
      <c r="U4" s="1790"/>
      <c r="V4" s="1790"/>
      <c r="W4" s="1790"/>
      <c r="X4" s="1790"/>
      <c r="Y4" s="1790"/>
      <c r="Z4" s="1790"/>
      <c r="AA4" s="1790"/>
      <c r="AB4" s="1790"/>
      <c r="AC4" s="1790"/>
      <c r="AD4" s="1790"/>
    </row>
    <row r="5" spans="1:65" s="19" customFormat="1" ht="12.75" customHeight="1">
      <c r="B5" s="308"/>
      <c r="C5" s="308"/>
      <c r="D5" s="344"/>
      <c r="E5" s="101"/>
      <c r="F5" s="101"/>
      <c r="G5" s="101"/>
      <c r="H5" s="101"/>
      <c r="I5" s="101"/>
      <c r="J5" s="329"/>
      <c r="K5" s="330"/>
      <c r="L5" s="331"/>
      <c r="M5" s="332"/>
      <c r="N5" s="331"/>
      <c r="O5" s="331"/>
      <c r="P5" s="331"/>
      <c r="Q5" s="332"/>
    </row>
    <row r="6" spans="1:65" s="18" customFormat="1" ht="12.6">
      <c r="A6" s="16"/>
      <c r="B6" s="365" t="s">
        <v>789</v>
      </c>
      <c r="C6" s="366"/>
      <c r="D6" s="197" t="s">
        <v>741</v>
      </c>
      <c r="E6" s="1416">
        <f>FORM!I26</f>
        <v>0</v>
      </c>
      <c r="F6" s="1417"/>
      <c r="G6" s="1417"/>
      <c r="H6" s="1417"/>
      <c r="I6" s="1418"/>
      <c r="J6" s="4"/>
      <c r="K6" s="333" t="s">
        <v>789</v>
      </c>
      <c r="L6" s="334"/>
      <c r="M6" s="13" t="s">
        <v>741</v>
      </c>
      <c r="N6" s="1783">
        <f>E6</f>
        <v>0</v>
      </c>
      <c r="O6" s="1783"/>
      <c r="P6" s="1783"/>
      <c r="Q6" s="1783"/>
      <c r="S6" s="333" t="s">
        <v>789</v>
      </c>
      <c r="T6" s="333"/>
      <c r="U6" s="333"/>
      <c r="V6" s="333"/>
      <c r="W6" s="632" t="s">
        <v>741</v>
      </c>
      <c r="X6" s="1784">
        <f t="shared" ref="X6:X13" si="0">N6</f>
        <v>0</v>
      </c>
      <c r="Y6" s="1785"/>
      <c r="Z6" s="1785"/>
      <c r="AA6" s="1785"/>
      <c r="AB6" s="1785"/>
      <c r="AC6" s="1785"/>
      <c r="AD6" s="1786"/>
      <c r="AY6" s="633"/>
      <c r="BL6" s="634"/>
      <c r="BM6" s="635"/>
    </row>
    <row r="7" spans="1:65" s="18" customFormat="1" ht="12.6">
      <c r="A7" s="16"/>
      <c r="B7" s="206" t="s">
        <v>740</v>
      </c>
      <c r="C7" s="367"/>
      <c r="D7" s="197" t="s">
        <v>741</v>
      </c>
      <c r="E7" s="1428" t="str">
        <f>FORM!I11</f>
        <v>The Southprime Flats</v>
      </c>
      <c r="F7" s="1429"/>
      <c r="G7" s="369" t="str">
        <f>FORM!I14</f>
        <v>B2</v>
      </c>
      <c r="H7" s="369"/>
      <c r="I7" s="217"/>
      <c r="J7" s="4"/>
      <c r="K7" s="335" t="s">
        <v>740</v>
      </c>
      <c r="L7" s="336"/>
      <c r="M7" s="13" t="s">
        <v>741</v>
      </c>
      <c r="N7" s="1783" t="str">
        <f>E7</f>
        <v>The Southprime Flats</v>
      </c>
      <c r="O7" s="1783"/>
      <c r="P7" s="1783"/>
      <c r="Q7" s="1783"/>
      <c r="S7" s="333" t="s">
        <v>740</v>
      </c>
      <c r="T7" s="333"/>
      <c r="U7" s="333"/>
      <c r="V7" s="333"/>
      <c r="W7" s="632" t="s">
        <v>741</v>
      </c>
      <c r="X7" s="1784" t="str">
        <f t="shared" si="0"/>
        <v>The Southprime Flats</v>
      </c>
      <c r="Y7" s="1785"/>
      <c r="Z7" s="1785"/>
      <c r="AA7" s="1785"/>
      <c r="AB7" s="1785"/>
      <c r="AC7" s="1785"/>
      <c r="AD7" s="1786"/>
      <c r="AY7" s="633"/>
      <c r="BL7" s="634"/>
      <c r="BM7" s="635"/>
    </row>
    <row r="8" spans="1:65" s="18" customFormat="1" ht="12.6">
      <c r="A8" s="16"/>
      <c r="B8" s="206" t="s">
        <v>790</v>
      </c>
      <c r="C8" s="367"/>
      <c r="D8" s="197" t="s">
        <v>741</v>
      </c>
      <c r="E8" s="1416" t="str">
        <f>'STANDARD COMP.'!E8</f>
        <v>2L</v>
      </c>
      <c r="F8" s="1417"/>
      <c r="G8" s="1417"/>
      <c r="H8" s="1417"/>
      <c r="I8" s="1418"/>
      <c r="J8" s="4"/>
      <c r="K8" s="335" t="s">
        <v>790</v>
      </c>
      <c r="L8" s="336"/>
      <c r="M8" s="13" t="s">
        <v>741</v>
      </c>
      <c r="N8" s="1783" t="str">
        <f>E8</f>
        <v>2L</v>
      </c>
      <c r="O8" s="1783"/>
      <c r="P8" s="1783"/>
      <c r="Q8" s="1783"/>
      <c r="S8" s="333" t="s">
        <v>790</v>
      </c>
      <c r="T8" s="333"/>
      <c r="U8" s="333"/>
      <c r="V8" s="333"/>
      <c r="W8" s="632" t="s">
        <v>741</v>
      </c>
      <c r="X8" s="1784" t="str">
        <f t="shared" si="0"/>
        <v>2L</v>
      </c>
      <c r="Y8" s="1785"/>
      <c r="Z8" s="1785"/>
      <c r="AA8" s="1785"/>
      <c r="AB8" s="1785"/>
      <c r="AC8" s="1785"/>
      <c r="AD8" s="1786"/>
      <c r="AY8" s="633"/>
      <c r="BL8" s="634"/>
      <c r="BM8" s="635"/>
    </row>
    <row r="9" spans="1:65" s="18" customFormat="1" ht="12.6" hidden="1">
      <c r="A9" s="16"/>
      <c r="B9" s="206" t="s">
        <v>791</v>
      </c>
      <c r="C9" s="367"/>
      <c r="D9" s="197" t="s">
        <v>741</v>
      </c>
      <c r="E9" s="1416" t="e">
        <f>FORM!#REF!</f>
        <v>#REF!</v>
      </c>
      <c r="F9" s="1417"/>
      <c r="G9" s="1417"/>
      <c r="H9" s="1417"/>
      <c r="I9" s="1418"/>
      <c r="J9" s="4"/>
      <c r="K9" s="335" t="s">
        <v>791</v>
      </c>
      <c r="L9" s="336"/>
      <c r="M9" s="13" t="s">
        <v>741</v>
      </c>
      <c r="N9" s="1783" t="e">
        <f>FORM!#REF!</f>
        <v>#REF!</v>
      </c>
      <c r="O9" s="1783"/>
      <c r="P9" s="1783"/>
      <c r="Q9" s="1783"/>
      <c r="S9" s="333" t="s">
        <v>791</v>
      </c>
      <c r="T9" s="333"/>
      <c r="U9" s="333"/>
      <c r="V9" s="333"/>
      <c r="W9" s="632" t="s">
        <v>741</v>
      </c>
      <c r="X9" s="1784" t="e">
        <f t="shared" si="0"/>
        <v>#REF!</v>
      </c>
      <c r="Y9" s="1785"/>
      <c r="Z9" s="1785"/>
      <c r="AA9" s="1785"/>
      <c r="AB9" s="1785"/>
      <c r="AC9" s="1785"/>
      <c r="AD9" s="1786"/>
      <c r="AY9" s="633"/>
      <c r="BL9" s="634"/>
      <c r="BM9" s="635"/>
    </row>
    <row r="10" spans="1:65" s="18" customFormat="1" ht="12.6">
      <c r="A10" s="16"/>
      <c r="B10" s="206" t="s">
        <v>792</v>
      </c>
      <c r="C10" s="367"/>
      <c r="D10" s="197" t="s">
        <v>741</v>
      </c>
      <c r="E10" s="1416" t="str">
        <f>'STANDARD COMP.'!E10</f>
        <v>Studio</v>
      </c>
      <c r="F10" s="1417"/>
      <c r="G10" s="1417"/>
      <c r="H10" s="1417"/>
      <c r="I10" s="1418"/>
      <c r="J10" s="4"/>
      <c r="K10" s="335" t="s">
        <v>792</v>
      </c>
      <c r="L10" s="336"/>
      <c r="M10" s="13" t="s">
        <v>741</v>
      </c>
      <c r="N10" s="1783" t="str">
        <f>E10</f>
        <v>Studio</v>
      </c>
      <c r="O10" s="1783"/>
      <c r="P10" s="1783"/>
      <c r="Q10" s="1783"/>
      <c r="S10" s="333" t="s">
        <v>792</v>
      </c>
      <c r="T10" s="333"/>
      <c r="U10" s="333"/>
      <c r="V10" s="333"/>
      <c r="W10" s="632" t="s">
        <v>741</v>
      </c>
      <c r="X10" s="1784" t="str">
        <f t="shared" si="0"/>
        <v>Studio</v>
      </c>
      <c r="Y10" s="1785"/>
      <c r="Z10" s="1785"/>
      <c r="AA10" s="1785"/>
      <c r="AB10" s="1785"/>
      <c r="AC10" s="1785"/>
      <c r="AD10" s="1786"/>
      <c r="AY10" s="633"/>
      <c r="BL10" s="634"/>
      <c r="BM10" s="635"/>
    </row>
    <row r="11" spans="1:65" s="18" customFormat="1" ht="12.6">
      <c r="A11" s="16"/>
      <c r="B11" s="206" t="s">
        <v>793</v>
      </c>
      <c r="C11" s="367"/>
      <c r="D11" s="197" t="s">
        <v>741</v>
      </c>
      <c r="E11" s="1420">
        <f>'STANDARD COMP.'!E11:F11</f>
        <v>22</v>
      </c>
      <c r="F11" s="1421"/>
      <c r="G11" s="1422" t="s">
        <v>794</v>
      </c>
      <c r="H11" s="1422"/>
      <c r="I11" s="1423"/>
      <c r="J11" s="4"/>
      <c r="K11" s="335" t="s">
        <v>793</v>
      </c>
      <c r="L11" s="336"/>
      <c r="M11" s="13" t="s">
        <v>741</v>
      </c>
      <c r="N11" s="1791">
        <f>E11</f>
        <v>22</v>
      </c>
      <c r="O11" s="1792"/>
      <c r="P11" s="1793" t="s">
        <v>794</v>
      </c>
      <c r="Q11" s="1794"/>
      <c r="S11" s="333" t="s">
        <v>793</v>
      </c>
      <c r="T11" s="333"/>
      <c r="U11" s="333"/>
      <c r="V11" s="333"/>
      <c r="W11" s="632" t="s">
        <v>741</v>
      </c>
      <c r="X11" s="1791">
        <f t="shared" si="0"/>
        <v>22</v>
      </c>
      <c r="Y11" s="1795"/>
      <c r="Z11" s="636" t="s">
        <v>794</v>
      </c>
      <c r="AA11" s="636"/>
      <c r="AB11" s="637"/>
      <c r="AC11" s="637"/>
      <c r="AD11" s="638"/>
      <c r="AY11" s="633"/>
      <c r="BL11" s="634"/>
      <c r="BM11" s="635"/>
    </row>
    <row r="12" spans="1:65" s="18" customFormat="1" ht="12.6">
      <c r="A12" s="16"/>
      <c r="B12" s="215" t="s">
        <v>795</v>
      </c>
      <c r="C12" s="367"/>
      <c r="D12" s="197" t="s">
        <v>741</v>
      </c>
      <c r="E12" s="1589">
        <f>'STANDARD COMP.'!E12:F12</f>
        <v>0</v>
      </c>
      <c r="F12" s="1590"/>
      <c r="G12" s="1422" t="s">
        <v>794</v>
      </c>
      <c r="H12" s="1422"/>
      <c r="I12" s="1423"/>
      <c r="J12" s="4"/>
      <c r="K12" s="336" t="s">
        <v>795</v>
      </c>
      <c r="L12" s="336"/>
      <c r="M12" s="13" t="s">
        <v>741</v>
      </c>
      <c r="N12" s="1803">
        <f>E12</f>
        <v>0</v>
      </c>
      <c r="O12" s="1804"/>
      <c r="P12" s="1793" t="s">
        <v>794</v>
      </c>
      <c r="Q12" s="1794"/>
      <c r="S12" s="333" t="s">
        <v>795</v>
      </c>
      <c r="T12" s="333"/>
      <c r="U12" s="333"/>
      <c r="V12" s="333"/>
      <c r="W12" s="632" t="s">
        <v>741</v>
      </c>
      <c r="X12" s="1791">
        <f t="shared" si="0"/>
        <v>0</v>
      </c>
      <c r="Y12" s="1795"/>
      <c r="Z12" s="636" t="s">
        <v>794</v>
      </c>
      <c r="AA12" s="636"/>
      <c r="AB12" s="637"/>
      <c r="AC12" s="637"/>
      <c r="AD12" s="638"/>
      <c r="AY12" s="633"/>
      <c r="BL12" s="634"/>
      <c r="BM12" s="635"/>
    </row>
    <row r="13" spans="1:65" s="18" customFormat="1" ht="12.6">
      <c r="A13" s="16"/>
      <c r="B13" s="384" t="s">
        <v>796</v>
      </c>
      <c r="C13" s="122"/>
      <c r="D13" s="197" t="s">
        <v>741</v>
      </c>
      <c r="E13" s="1589">
        <f>'STANDARD COMP.'!E13:F13</f>
        <v>22</v>
      </c>
      <c r="F13" s="1590"/>
      <c r="G13" s="1422" t="s">
        <v>794</v>
      </c>
      <c r="H13" s="1422"/>
      <c r="I13" s="1423"/>
      <c r="J13" s="4"/>
      <c r="K13" s="337" t="s">
        <v>796</v>
      </c>
      <c r="L13" s="338"/>
      <c r="M13" s="13" t="s">
        <v>741</v>
      </c>
      <c r="N13" s="1803">
        <f>E13</f>
        <v>22</v>
      </c>
      <c r="O13" s="1804"/>
      <c r="P13" s="1793" t="s">
        <v>794</v>
      </c>
      <c r="Q13" s="1794"/>
      <c r="S13" s="333" t="s">
        <v>796</v>
      </c>
      <c r="T13" s="333"/>
      <c r="U13" s="333"/>
      <c r="V13" s="333"/>
      <c r="W13" s="632" t="s">
        <v>741</v>
      </c>
      <c r="X13" s="1791">
        <f t="shared" si="0"/>
        <v>22</v>
      </c>
      <c r="Y13" s="1795"/>
      <c r="Z13" s="636" t="s">
        <v>794</v>
      </c>
      <c r="AA13" s="636"/>
      <c r="AB13" s="637"/>
      <c r="AC13" s="637"/>
      <c r="AD13" s="638"/>
      <c r="AY13" s="633"/>
      <c r="BL13" s="634"/>
      <c r="BM13" s="635"/>
    </row>
    <row r="14" spans="1:65" s="18" customFormat="1" ht="12.6">
      <c r="B14" s="16"/>
      <c r="C14" s="16"/>
      <c r="D14" s="13"/>
      <c r="E14" s="16"/>
      <c r="F14" s="16"/>
      <c r="G14" s="16"/>
      <c r="H14" s="16"/>
      <c r="I14" s="16"/>
      <c r="M14" s="639"/>
    </row>
    <row r="15" spans="1:65" s="18" customFormat="1" ht="12.6">
      <c r="B15" s="640" t="s">
        <v>797</v>
      </c>
      <c r="C15" s="641"/>
      <c r="D15" s="4" t="s">
        <v>741</v>
      </c>
      <c r="E15" s="642"/>
      <c r="F15" s="1807">
        <f>'STANDARD COMP.'!F15</f>
        <v>3379693.0676632621</v>
      </c>
      <c r="G15" s="1808"/>
      <c r="H15" s="1808"/>
      <c r="I15" s="1809"/>
      <c r="J15" s="340"/>
      <c r="K15" s="1789" t="s">
        <v>798</v>
      </c>
      <c r="L15" s="1789"/>
      <c r="M15" s="1810" t="s">
        <v>709</v>
      </c>
      <c r="N15" s="1789" t="s">
        <v>712</v>
      </c>
      <c r="O15" s="1789"/>
      <c r="P15" s="1796" t="s">
        <v>458</v>
      </c>
      <c r="Q15" s="1797"/>
      <c r="S15" s="1800" t="s">
        <v>991</v>
      </c>
      <c r="T15" s="1801"/>
      <c r="U15" s="1801"/>
      <c r="V15" s="1801"/>
      <c r="W15" s="1801"/>
      <c r="X15" s="1801"/>
      <c r="Y15" s="1801"/>
      <c r="Z15" s="1801"/>
      <c r="AA15" s="1801"/>
      <c r="AB15" s="1801"/>
      <c r="AC15" s="1801"/>
      <c r="AD15" s="1802"/>
    </row>
    <row r="16" spans="1:65" s="340" customFormat="1" ht="12.6">
      <c r="B16" s="1634" t="s">
        <v>959</v>
      </c>
      <c r="C16" s="1634"/>
      <c r="D16" s="4"/>
      <c r="E16" s="642"/>
      <c r="F16" s="1805">
        <f>(F15-F17)*E25*E16</f>
        <v>0</v>
      </c>
      <c r="G16" s="1805"/>
      <c r="H16" s="1805"/>
      <c r="I16" s="1806"/>
      <c r="J16" s="18"/>
      <c r="K16" s="1789"/>
      <c r="L16" s="1789"/>
      <c r="M16" s="1810"/>
      <c r="N16" s="1789"/>
      <c r="O16" s="1789"/>
      <c r="P16" s="1798"/>
      <c r="Q16" s="1799"/>
      <c r="S16" s="341" t="s">
        <v>992</v>
      </c>
      <c r="T16" s="342"/>
      <c r="U16" s="643"/>
      <c r="V16" s="643"/>
      <c r="W16" s="643"/>
      <c r="X16" s="342" t="s">
        <v>993</v>
      </c>
      <c r="Y16" s="643"/>
      <c r="Z16" s="643"/>
      <c r="AA16" s="643"/>
      <c r="AB16" s="643"/>
      <c r="AC16" s="643"/>
      <c r="AD16" s="644"/>
    </row>
    <row r="17" spans="1:43" s="18" customFormat="1" ht="12.6">
      <c r="B17" s="335" t="s">
        <v>799</v>
      </c>
      <c r="C17" s="336"/>
      <c r="D17" s="13" t="s">
        <v>741</v>
      </c>
      <c r="E17" s="645"/>
      <c r="F17" s="1805">
        <f>'STANDARD COMP.'!F16:I16</f>
        <v>0</v>
      </c>
      <c r="G17" s="1805"/>
      <c r="H17" s="1805"/>
      <c r="I17" s="1806"/>
      <c r="J17" s="340"/>
      <c r="K17" s="1783" t="s">
        <v>758</v>
      </c>
      <c r="L17" s="1783"/>
      <c r="M17" s="646">
        <f>C1</f>
        <v>45901</v>
      </c>
      <c r="N17" s="1446">
        <f>F26</f>
        <v>30000</v>
      </c>
      <c r="O17" s="1446"/>
      <c r="P17" s="647"/>
      <c r="Q17" s="648"/>
      <c r="S17" s="649"/>
      <c r="T17" s="650"/>
      <c r="U17" s="650"/>
      <c r="V17" s="650"/>
      <c r="W17" s="650"/>
      <c r="X17" s="650"/>
      <c r="Y17" s="650"/>
      <c r="Z17" s="650"/>
      <c r="AA17" s="650"/>
      <c r="AB17" s="650"/>
      <c r="AC17" s="650"/>
      <c r="AD17" s="651"/>
    </row>
    <row r="18" spans="1:43" s="340" customFormat="1" ht="12.6">
      <c r="B18" s="652" t="s">
        <v>800</v>
      </c>
      <c r="C18" s="653"/>
      <c r="D18" s="4" t="s">
        <v>741</v>
      </c>
      <c r="E18" s="654"/>
      <c r="F18" s="1807">
        <f>F15-F17-F16</f>
        <v>3379693.0676632621</v>
      </c>
      <c r="G18" s="1808"/>
      <c r="H18" s="1808"/>
      <c r="I18" s="1809"/>
      <c r="J18" s="18"/>
      <c r="K18" s="1783" t="s">
        <v>802</v>
      </c>
      <c r="L18" s="1783"/>
      <c r="M18" s="475">
        <f>'STANDARD COMP.'!M18</f>
        <v>45935</v>
      </c>
      <c r="N18" s="1446"/>
      <c r="O18" s="1446"/>
      <c r="P18" s="647"/>
      <c r="Q18" s="648"/>
      <c r="S18" s="655"/>
      <c r="T18" s="18"/>
      <c r="U18" s="18"/>
      <c r="V18" s="18"/>
      <c r="W18" s="656" t="s">
        <v>994</v>
      </c>
      <c r="X18" s="657"/>
      <c r="Y18" s="657"/>
      <c r="Z18" s="657"/>
      <c r="AA18" s="657"/>
      <c r="AB18" s="657"/>
      <c r="AC18" s="657"/>
      <c r="AD18" s="658"/>
      <c r="AJ18" s="659"/>
      <c r="AK18" s="659"/>
    </row>
    <row r="19" spans="1:43" s="18" customFormat="1" ht="12.95">
      <c r="B19" s="660"/>
      <c r="C19" s="16"/>
      <c r="D19" s="13"/>
      <c r="E19" s="661"/>
      <c r="F19" s="662"/>
      <c r="G19" s="662"/>
      <c r="H19" s="662"/>
      <c r="I19" s="663"/>
      <c r="K19" s="1783" t="s">
        <v>804</v>
      </c>
      <c r="L19" s="1783"/>
      <c r="M19" s="475">
        <f>'STANDARD COMP.'!M19</f>
        <v>45966</v>
      </c>
      <c r="N19" s="1446"/>
      <c r="O19" s="1446"/>
      <c r="P19" s="647"/>
      <c r="Q19" s="648"/>
      <c r="S19" s="655"/>
      <c r="W19" s="656"/>
      <c r="X19" s="664"/>
      <c r="Y19" s="664"/>
      <c r="Z19" s="664"/>
      <c r="AA19" s="664"/>
      <c r="AB19" s="657"/>
      <c r="AC19" s="664"/>
      <c r="AD19" s="658"/>
      <c r="AJ19" s="1814" t="s">
        <v>945</v>
      </c>
      <c r="AK19" s="1814"/>
      <c r="AP19" s="1783"/>
      <c r="AQ19" s="1783"/>
    </row>
    <row r="20" spans="1:43" s="18" customFormat="1" ht="12.95">
      <c r="B20" s="336" t="s">
        <v>803</v>
      </c>
      <c r="C20" s="336"/>
      <c r="D20" s="13" t="s">
        <v>741</v>
      </c>
      <c r="E20" s="665">
        <v>0.12</v>
      </c>
      <c r="F20" s="1815"/>
      <c r="G20" s="1805"/>
      <c r="H20" s="1805"/>
      <c r="I20" s="1806"/>
      <c r="K20" s="1783" t="s">
        <v>807</v>
      </c>
      <c r="L20" s="1783"/>
      <c r="M20" s="475">
        <f>'STANDARD COMP.'!M20</f>
        <v>45996</v>
      </c>
      <c r="N20" s="1446"/>
      <c r="O20" s="1446"/>
      <c r="P20" s="647"/>
      <c r="Q20" s="648"/>
      <c r="S20" s="655"/>
      <c r="T20" s="1816"/>
      <c r="U20" s="1816"/>
      <c r="W20" s="18" t="s">
        <v>995</v>
      </c>
      <c r="X20" s="657"/>
      <c r="Y20" s="657"/>
      <c r="Z20" s="657"/>
      <c r="AA20" s="657"/>
      <c r="AB20" s="657"/>
      <c r="AC20" s="657"/>
      <c r="AD20" s="658"/>
      <c r="AJ20" s="1814" t="s">
        <v>804</v>
      </c>
      <c r="AK20" s="1814"/>
      <c r="AL20" s="18" t="s">
        <v>757</v>
      </c>
      <c r="AP20" s="1783"/>
      <c r="AQ20" s="1783"/>
    </row>
    <row r="21" spans="1:43" s="18" customFormat="1" ht="12.95">
      <c r="B21" s="337" t="s">
        <v>806</v>
      </c>
      <c r="C21" s="338"/>
      <c r="D21" s="13" t="s">
        <v>741</v>
      </c>
      <c r="E21" s="890">
        <f>10%+2.75%</f>
        <v>0.1275</v>
      </c>
      <c r="F21" s="1811">
        <f>F15*E21</f>
        <v>430910.86612706591</v>
      </c>
      <c r="G21" s="1811"/>
      <c r="H21" s="1811"/>
      <c r="I21" s="1812"/>
      <c r="K21" s="1783" t="s">
        <v>808</v>
      </c>
      <c r="L21" s="1783"/>
      <c r="M21" s="475">
        <f>'STANDARD COMP.'!M21</f>
        <v>46027</v>
      </c>
      <c r="N21" s="1446"/>
      <c r="O21" s="1446"/>
      <c r="P21" s="647"/>
      <c r="Q21" s="648"/>
      <c r="S21" s="666"/>
      <c r="T21" s="1813" t="s">
        <v>996</v>
      </c>
      <c r="U21" s="1813"/>
      <c r="V21" s="667"/>
      <c r="W21" s="340"/>
      <c r="X21" s="668" t="s">
        <v>757</v>
      </c>
      <c r="Y21" s="668"/>
      <c r="Z21" s="668"/>
      <c r="AA21" s="668"/>
      <c r="AD21" s="669"/>
      <c r="AJ21" s="1814" t="s">
        <v>807</v>
      </c>
      <c r="AK21" s="1814"/>
      <c r="AP21" s="1783"/>
      <c r="AQ21" s="1783"/>
    </row>
    <row r="22" spans="1:43" s="18" customFormat="1" ht="12.95">
      <c r="B22" s="660"/>
      <c r="C22" s="16"/>
      <c r="D22" s="13"/>
      <c r="E22" s="670"/>
      <c r="F22" s="671"/>
      <c r="G22" s="672"/>
      <c r="H22" s="672"/>
      <c r="I22" s="673"/>
      <c r="K22" s="1783" t="s">
        <v>811</v>
      </c>
      <c r="L22" s="1783"/>
      <c r="M22" s="475">
        <f>'STANDARD COMP.'!M22</f>
        <v>46058</v>
      </c>
      <c r="N22" s="1446"/>
      <c r="O22" s="1446"/>
      <c r="P22" s="647"/>
      <c r="Q22" s="648"/>
      <c r="S22" s="674" t="s">
        <v>997</v>
      </c>
      <c r="T22" s="675"/>
      <c r="U22" s="676"/>
      <c r="V22" s="676"/>
      <c r="W22" s="643"/>
      <c r="X22" s="342" t="s">
        <v>993</v>
      </c>
      <c r="Y22" s="643"/>
      <c r="Z22" s="643"/>
      <c r="AA22" s="643"/>
      <c r="AB22" s="643"/>
      <c r="AC22" s="643"/>
      <c r="AD22" s="644"/>
      <c r="AJ22" s="1814" t="s">
        <v>808</v>
      </c>
      <c r="AK22" s="1814"/>
      <c r="AP22" s="1783"/>
      <c r="AQ22" s="1783"/>
    </row>
    <row r="23" spans="1:43" s="18" customFormat="1" ht="12.95">
      <c r="A23" s="340"/>
      <c r="B23" s="652" t="s">
        <v>810</v>
      </c>
      <c r="C23" s="653"/>
      <c r="D23" s="4" t="s">
        <v>741</v>
      </c>
      <c r="E23" s="677"/>
      <c r="F23" s="1817">
        <f>SUM(F20:I21,F18)</f>
        <v>3810603.933790328</v>
      </c>
      <c r="G23" s="1817"/>
      <c r="H23" s="1817"/>
      <c r="I23" s="1818"/>
      <c r="J23" s="340"/>
      <c r="K23" s="1783" t="s">
        <v>812</v>
      </c>
      <c r="L23" s="1783"/>
      <c r="M23" s="475">
        <f>'STANDARD COMP.'!M23</f>
        <v>46086</v>
      </c>
      <c r="N23" s="1446"/>
      <c r="O23" s="1446"/>
      <c r="P23" s="647"/>
      <c r="Q23" s="648"/>
      <c r="S23" s="655"/>
      <c r="X23" s="678"/>
      <c r="Y23" s="678"/>
      <c r="Z23" s="678"/>
      <c r="AA23" s="678"/>
      <c r="AB23" s="678"/>
      <c r="AC23" s="678"/>
      <c r="AD23" s="658"/>
      <c r="AJ23" s="1814" t="s">
        <v>811</v>
      </c>
      <c r="AK23" s="1814"/>
      <c r="AP23" s="1783"/>
      <c r="AQ23" s="1783"/>
    </row>
    <row r="24" spans="1:43" s="340" customFormat="1" ht="12.95">
      <c r="A24" s="18"/>
      <c r="B24" s="660"/>
      <c r="C24" s="16"/>
      <c r="D24" s="13"/>
      <c r="E24" s="13"/>
      <c r="F24" s="679"/>
      <c r="G24" s="679"/>
      <c r="H24" s="679"/>
      <c r="I24" s="16"/>
      <c r="J24" s="18"/>
      <c r="K24" s="1783" t="s">
        <v>814</v>
      </c>
      <c r="L24" s="1783"/>
      <c r="M24" s="475">
        <f>'STANDARD COMP.'!M24</f>
        <v>46117</v>
      </c>
      <c r="N24" s="1446"/>
      <c r="O24" s="1446"/>
      <c r="P24" s="647"/>
      <c r="Q24" s="648"/>
      <c r="S24" s="655"/>
      <c r="T24" s="18"/>
      <c r="U24" s="18"/>
      <c r="V24" s="18"/>
      <c r="W24" s="656" t="s">
        <v>994</v>
      </c>
      <c r="X24" s="657"/>
      <c r="Y24" s="657"/>
      <c r="Z24" s="657"/>
      <c r="AA24" s="657"/>
      <c r="AB24" s="657"/>
      <c r="AC24" s="657"/>
      <c r="AD24" s="658"/>
      <c r="AJ24" s="1814" t="s">
        <v>812</v>
      </c>
      <c r="AK24" s="1814"/>
      <c r="AP24" s="1783"/>
      <c r="AQ24" s="1783"/>
    </row>
    <row r="25" spans="1:43" s="18" customFormat="1" ht="12.95">
      <c r="B25" s="652" t="s">
        <v>813</v>
      </c>
      <c r="C25" s="641"/>
      <c r="D25" s="4" t="s">
        <v>741</v>
      </c>
      <c r="E25" s="680">
        <v>0.15</v>
      </c>
      <c r="F25" s="1807">
        <f>F23*E25</f>
        <v>571590.59006854915</v>
      </c>
      <c r="G25" s="1808"/>
      <c r="H25" s="1808"/>
      <c r="I25" s="1809"/>
      <c r="K25" s="1783" t="s">
        <v>816</v>
      </c>
      <c r="L25" s="1783"/>
      <c r="M25" s="475">
        <f>'STANDARD COMP.'!M25</f>
        <v>46147</v>
      </c>
      <c r="N25" s="1446"/>
      <c r="O25" s="1446"/>
      <c r="P25" s="647"/>
      <c r="Q25" s="648"/>
      <c r="S25" s="666"/>
      <c r="T25" s="340"/>
      <c r="U25" s="340"/>
      <c r="V25" s="340"/>
      <c r="W25" s="656"/>
      <c r="X25" s="657"/>
      <c r="Y25" s="657"/>
      <c r="Z25" s="657"/>
      <c r="AA25" s="657"/>
      <c r="AB25" s="657"/>
      <c r="AC25" s="657"/>
      <c r="AD25" s="669"/>
      <c r="AJ25" s="1814" t="s">
        <v>814</v>
      </c>
      <c r="AK25" s="1814"/>
      <c r="AP25" s="1783"/>
      <c r="AQ25" s="1783"/>
    </row>
    <row r="26" spans="1:43" s="18" customFormat="1" ht="12.95">
      <c r="A26" s="340"/>
      <c r="B26" s="335" t="s">
        <v>815</v>
      </c>
      <c r="C26" s="336"/>
      <c r="D26" s="13" t="s">
        <v>741</v>
      </c>
      <c r="E26" s="681"/>
      <c r="F26" s="1815">
        <f>'STANDARD COMP.'!F25</f>
        <v>30000</v>
      </c>
      <c r="G26" s="1805"/>
      <c r="H26" s="1805"/>
      <c r="I26" s="1806"/>
      <c r="J26" s="340"/>
      <c r="K26" s="1783" t="s">
        <v>818</v>
      </c>
      <c r="L26" s="1783"/>
      <c r="M26" s="475">
        <f>'STANDARD COMP.'!M26</f>
        <v>46178</v>
      </c>
      <c r="N26" s="1446"/>
      <c r="O26" s="1446"/>
      <c r="P26" s="647"/>
      <c r="Q26" s="648"/>
      <c r="S26" s="655"/>
      <c r="T26" s="1816"/>
      <c r="U26" s="1816"/>
      <c r="W26" s="18" t="s">
        <v>995</v>
      </c>
      <c r="X26" s="657"/>
      <c r="Y26" s="657"/>
      <c r="Z26" s="657"/>
      <c r="AA26" s="657"/>
      <c r="AB26" s="657"/>
      <c r="AC26" s="657"/>
      <c r="AD26" s="658"/>
      <c r="AJ26" s="1814" t="s">
        <v>816</v>
      </c>
      <c r="AK26" s="1814"/>
      <c r="AP26" s="1783"/>
      <c r="AQ26" s="1783"/>
    </row>
    <row r="27" spans="1:43" s="340" customFormat="1" ht="12.95">
      <c r="B27" s="335" t="s">
        <v>998</v>
      </c>
      <c r="C27" s="631"/>
      <c r="D27" s="13"/>
      <c r="E27" s="618">
        <v>2.5000000000000001E-2</v>
      </c>
      <c r="F27" s="682">
        <f>F23*E27</f>
        <v>95265.098344758211</v>
      </c>
      <c r="G27" s="683"/>
      <c r="H27" s="683"/>
      <c r="I27" s="684"/>
      <c r="J27" s="666"/>
      <c r="K27" s="1783" t="s">
        <v>819</v>
      </c>
      <c r="L27" s="1783"/>
      <c r="M27" s="475">
        <f>'STANDARD COMP.'!M27</f>
        <v>46208</v>
      </c>
      <c r="N27" s="1446"/>
      <c r="O27" s="1446"/>
      <c r="P27" s="647"/>
      <c r="Q27" s="648"/>
      <c r="R27" s="340" t="s">
        <v>757</v>
      </c>
      <c r="S27" s="685"/>
      <c r="T27" s="1813" t="s">
        <v>999</v>
      </c>
      <c r="U27" s="1813"/>
      <c r="V27" s="686"/>
      <c r="W27" s="668"/>
      <c r="X27" s="687"/>
      <c r="Y27" s="687"/>
      <c r="Z27" s="687"/>
      <c r="AA27" s="687"/>
      <c r="AB27" s="668"/>
      <c r="AC27" s="668"/>
      <c r="AD27" s="688"/>
      <c r="AJ27" s="1814" t="s">
        <v>818</v>
      </c>
      <c r="AK27" s="1814"/>
      <c r="AP27" s="1783"/>
      <c r="AQ27" s="1783"/>
    </row>
    <row r="28" spans="1:43" s="340" customFormat="1" ht="12.95">
      <c r="B28" s="652" t="s">
        <v>817</v>
      </c>
      <c r="C28" s="653"/>
      <c r="D28" s="4" t="s">
        <v>741</v>
      </c>
      <c r="E28" s="689"/>
      <c r="F28" s="1807">
        <f>F25-F26-F27</f>
        <v>446325.49172379094</v>
      </c>
      <c r="G28" s="1808"/>
      <c r="H28" s="1808"/>
      <c r="I28" s="1809"/>
      <c r="K28" s="1783" t="s">
        <v>822</v>
      </c>
      <c r="L28" s="1783"/>
      <c r="M28" s="475">
        <f>'STANDARD COMP.'!M28</f>
        <v>46239</v>
      </c>
      <c r="N28" s="1446"/>
      <c r="O28" s="1446"/>
      <c r="P28" s="647"/>
      <c r="Q28" s="648"/>
      <c r="S28" s="674" t="s">
        <v>997</v>
      </c>
      <c r="T28" s="675"/>
      <c r="U28" s="676"/>
      <c r="V28" s="676"/>
      <c r="W28" s="643"/>
      <c r="X28" s="342" t="s">
        <v>993</v>
      </c>
      <c r="Y28" s="643"/>
      <c r="Z28" s="643"/>
      <c r="AA28" s="643"/>
      <c r="AB28" s="643"/>
      <c r="AC28" s="643"/>
      <c r="AD28" s="644"/>
      <c r="AJ28" s="1814" t="s">
        <v>819</v>
      </c>
      <c r="AK28" s="1814"/>
      <c r="AP28" s="1783"/>
      <c r="AQ28" s="1783"/>
    </row>
    <row r="29" spans="1:43" s="340" customFormat="1" ht="12.95">
      <c r="A29" s="18"/>
      <c r="B29" s="660"/>
      <c r="C29" s="16"/>
      <c r="D29" s="13"/>
      <c r="E29" s="13"/>
      <c r="F29" s="679"/>
      <c r="G29" s="679"/>
      <c r="H29" s="679"/>
      <c r="I29" s="690"/>
      <c r="J29" s="18"/>
      <c r="K29" s="1783" t="s">
        <v>823</v>
      </c>
      <c r="L29" s="1783"/>
      <c r="M29" s="475">
        <f>'STANDARD COMP.'!M29</f>
        <v>46270</v>
      </c>
      <c r="N29" s="1446"/>
      <c r="O29" s="1446"/>
      <c r="P29" s="647"/>
      <c r="Q29" s="648"/>
      <c r="S29" s="655"/>
      <c r="T29" s="18"/>
      <c r="U29" s="18"/>
      <c r="V29" s="18"/>
      <c r="W29" s="18"/>
      <c r="X29" s="678"/>
      <c r="Y29" s="678"/>
      <c r="Z29" s="678"/>
      <c r="AA29" s="678"/>
      <c r="AB29" s="678"/>
      <c r="AC29" s="678"/>
      <c r="AD29" s="658"/>
      <c r="AJ29" s="1814" t="s">
        <v>822</v>
      </c>
      <c r="AK29" s="1814"/>
      <c r="AP29" s="1783"/>
      <c r="AQ29" s="1783"/>
    </row>
    <row r="30" spans="1:43" s="18" customFormat="1" ht="12.95">
      <c r="A30" s="340"/>
      <c r="B30" s="1461" t="s">
        <v>820</v>
      </c>
      <c r="C30" s="1461"/>
      <c r="D30" s="4"/>
      <c r="E30" s="691" t="s">
        <v>771</v>
      </c>
      <c r="F30" s="692" t="s">
        <v>770</v>
      </c>
      <c r="G30" s="1820" t="s">
        <v>821</v>
      </c>
      <c r="H30" s="1820"/>
      <c r="I30" s="1820"/>
      <c r="J30" s="340"/>
      <c r="K30" s="1783" t="s">
        <v>824</v>
      </c>
      <c r="L30" s="1783"/>
      <c r="M30" s="475">
        <f>'STANDARD COMP.'!M30</f>
        <v>46300</v>
      </c>
      <c r="N30" s="1446"/>
      <c r="O30" s="1446"/>
      <c r="P30" s="647"/>
      <c r="Q30" s="648"/>
      <c r="R30" s="340"/>
      <c r="S30" s="655"/>
      <c r="W30" s="656" t="s">
        <v>994</v>
      </c>
      <c r="X30" s="657"/>
      <c r="Y30" s="657"/>
      <c r="Z30" s="657"/>
      <c r="AA30" s="657"/>
      <c r="AB30" s="657"/>
      <c r="AC30" s="657"/>
      <c r="AD30" s="658"/>
      <c r="AE30" s="340"/>
      <c r="AJ30" s="1814" t="s">
        <v>823</v>
      </c>
      <c r="AK30" s="1814"/>
      <c r="AP30" s="1783"/>
      <c r="AQ30" s="1783"/>
    </row>
    <row r="31" spans="1:43" s="340" customFormat="1" ht="12.95">
      <c r="A31" s="18"/>
      <c r="B31" s="1461">
        <f>'Corrected and Updated TSF 2'!FC25</f>
        <v>0</v>
      </c>
      <c r="C31" s="1461"/>
      <c r="D31" s="4" t="s">
        <v>741</v>
      </c>
      <c r="E31" s="693">
        <v>0.25</v>
      </c>
      <c r="F31" s="694"/>
      <c r="G31" s="1819" t="e">
        <f>F28*E31/F31</f>
        <v>#DIV/0!</v>
      </c>
      <c r="H31" s="1819"/>
      <c r="I31" s="1819"/>
      <c r="J31" s="18"/>
      <c r="K31" s="1783" t="s">
        <v>825</v>
      </c>
      <c r="L31" s="1783"/>
      <c r="M31" s="475">
        <f>'STANDARD COMP.'!M31</f>
        <v>46331</v>
      </c>
      <c r="N31" s="1446"/>
      <c r="O31" s="1446"/>
      <c r="P31" s="647"/>
      <c r="Q31" s="648"/>
      <c r="S31" s="666"/>
      <c r="W31" s="656"/>
      <c r="X31" s="657"/>
      <c r="Y31" s="657"/>
      <c r="Z31" s="657"/>
      <c r="AA31" s="657"/>
      <c r="AB31" s="657"/>
      <c r="AC31" s="657"/>
      <c r="AD31" s="669"/>
      <c r="AJ31" s="1814" t="s">
        <v>824</v>
      </c>
      <c r="AK31" s="1814"/>
      <c r="AP31" s="1783"/>
      <c r="AQ31" s="1783"/>
    </row>
    <row r="32" spans="1:43" s="18" customFormat="1" ht="12.95">
      <c r="A32" s="340"/>
      <c r="B32" s="1461">
        <f>'Corrected and Updated TSF 2'!FC26</f>
        <v>0</v>
      </c>
      <c r="C32" s="1461"/>
      <c r="D32" s="4" t="s">
        <v>741</v>
      </c>
      <c r="E32" s="693">
        <v>0.35</v>
      </c>
      <c r="F32" s="694"/>
      <c r="G32" s="1821" t="e">
        <f>F28*E32/F32</f>
        <v>#DIV/0!</v>
      </c>
      <c r="H32" s="1821"/>
      <c r="I32" s="1821"/>
      <c r="J32" s="340"/>
      <c r="K32" s="1783" t="s">
        <v>826</v>
      </c>
      <c r="L32" s="1783"/>
      <c r="M32" s="475">
        <f>'STANDARD COMP.'!M32</f>
        <v>46361</v>
      </c>
      <c r="N32" s="1446"/>
      <c r="O32" s="1446"/>
      <c r="P32" s="647"/>
      <c r="Q32" s="648"/>
      <c r="R32" s="340"/>
      <c r="S32" s="655"/>
      <c r="T32" s="1816"/>
      <c r="U32" s="1816"/>
      <c r="W32" s="18" t="s">
        <v>995</v>
      </c>
      <c r="X32" s="657"/>
      <c r="Y32" s="657"/>
      <c r="Z32" s="657"/>
      <c r="AA32" s="657"/>
      <c r="AB32" s="657"/>
      <c r="AC32" s="657"/>
      <c r="AD32" s="658"/>
      <c r="AE32" s="340"/>
      <c r="AJ32" s="1814" t="s">
        <v>825</v>
      </c>
      <c r="AK32" s="1814"/>
      <c r="AP32" s="1783"/>
      <c r="AQ32" s="1783"/>
    </row>
    <row r="33" spans="1:43" s="340" customFormat="1" ht="12.95">
      <c r="A33" s="18"/>
      <c r="B33" s="1461">
        <f>'Corrected and Updated TSF 2'!FC27</f>
        <v>0</v>
      </c>
      <c r="C33" s="1461"/>
      <c r="D33" s="4" t="s">
        <v>741</v>
      </c>
      <c r="E33" s="693">
        <v>0.4</v>
      </c>
      <c r="F33" s="694"/>
      <c r="G33" s="1821" t="e">
        <f>F28*E33/F33</f>
        <v>#DIV/0!</v>
      </c>
      <c r="H33" s="1821"/>
      <c r="I33" s="1821"/>
      <c r="J33" s="18"/>
      <c r="K33" s="1783" t="s">
        <v>828</v>
      </c>
      <c r="L33" s="1783"/>
      <c r="M33" s="475">
        <f>'STANDARD COMP.'!M33</f>
        <v>46392</v>
      </c>
      <c r="N33" s="1446"/>
      <c r="O33" s="1446"/>
      <c r="P33" s="647"/>
      <c r="Q33" s="648"/>
      <c r="S33" s="685"/>
      <c r="T33" s="1813" t="s">
        <v>1003</v>
      </c>
      <c r="U33" s="1813"/>
      <c r="V33" s="686"/>
      <c r="W33" s="668"/>
      <c r="X33" s="687"/>
      <c r="Y33" s="687"/>
      <c r="Z33" s="687"/>
      <c r="AA33" s="687"/>
      <c r="AB33" s="668"/>
      <c r="AC33" s="668"/>
      <c r="AD33" s="688"/>
      <c r="AJ33" s="1814" t="s">
        <v>826</v>
      </c>
      <c r="AK33" s="1814"/>
      <c r="AP33" s="1783"/>
      <c r="AQ33" s="1783"/>
    </row>
    <row r="34" spans="1:43" s="18" customFormat="1" ht="12.95">
      <c r="B34" s="309"/>
      <c r="C34" s="309"/>
      <c r="D34" s="13"/>
      <c r="E34" s="13"/>
      <c r="F34" s="695"/>
      <c r="G34" s="695"/>
      <c r="H34" s="695"/>
      <c r="I34" s="16"/>
      <c r="K34" s="1783" t="s">
        <v>829</v>
      </c>
      <c r="L34" s="1783"/>
      <c r="M34" s="475">
        <f>'STANDARD COMP.'!M34</f>
        <v>46423</v>
      </c>
      <c r="N34" s="1446"/>
      <c r="O34" s="1446"/>
      <c r="P34" s="647"/>
      <c r="Q34" s="648"/>
      <c r="AJ34" s="1814" t="s">
        <v>828</v>
      </c>
      <c r="AK34" s="1814"/>
      <c r="AP34" s="1783"/>
      <c r="AQ34" s="1783"/>
    </row>
    <row r="35" spans="1:43" s="18" customFormat="1" ht="12.95">
      <c r="A35" s="340"/>
      <c r="B35" s="652" t="s">
        <v>827</v>
      </c>
      <c r="C35" s="653"/>
      <c r="D35" s="4" t="s">
        <v>741</v>
      </c>
      <c r="E35" s="680">
        <f>100%-E25</f>
        <v>0.85</v>
      </c>
      <c r="F35" s="1807">
        <f>F23*E35</f>
        <v>3239013.3437217786</v>
      </c>
      <c r="G35" s="1808"/>
      <c r="H35" s="1808"/>
      <c r="I35" s="1809"/>
      <c r="J35" s="340"/>
      <c r="K35" s="1783" t="s">
        <v>831</v>
      </c>
      <c r="L35" s="1783"/>
      <c r="M35" s="475">
        <f>'STANDARD COMP.'!M35</f>
        <v>46451</v>
      </c>
      <c r="N35" s="1446"/>
      <c r="O35" s="1446"/>
      <c r="P35" s="647"/>
      <c r="Q35" s="648"/>
      <c r="AJ35" s="1814" t="s">
        <v>829</v>
      </c>
      <c r="AK35" s="1814"/>
      <c r="AP35" s="1783"/>
      <c r="AQ35" s="1783"/>
    </row>
    <row r="36" spans="1:43" s="340" customFormat="1" ht="12.95">
      <c r="A36" s="18"/>
      <c r="B36" s="660"/>
      <c r="C36" s="16"/>
      <c r="D36" s="13"/>
      <c r="E36" s="16"/>
      <c r="F36" s="16"/>
      <c r="G36" s="16"/>
      <c r="H36" s="16"/>
      <c r="I36" s="16"/>
      <c r="J36" s="18"/>
      <c r="K36" s="1783" t="s">
        <v>832</v>
      </c>
      <c r="L36" s="1783"/>
      <c r="M36" s="475" t="str">
        <f>'STANDARD COMP.'!M36</f>
        <v/>
      </c>
      <c r="N36" s="1446"/>
      <c r="O36" s="1446"/>
      <c r="P36" s="647"/>
      <c r="Q36" s="648"/>
      <c r="S36" s="18"/>
      <c r="T36" s="18"/>
      <c r="U36" s="18"/>
      <c r="V36" s="18"/>
      <c r="W36" s="18"/>
      <c r="X36" s="18"/>
      <c r="Y36" s="18"/>
      <c r="Z36" s="18"/>
      <c r="AA36" s="18"/>
      <c r="AB36" s="18"/>
      <c r="AC36" s="18"/>
      <c r="AD36" s="18"/>
      <c r="AJ36" s="1814" t="s">
        <v>831</v>
      </c>
      <c r="AK36" s="1814"/>
      <c r="AP36" s="1783"/>
      <c r="AQ36" s="1783"/>
    </row>
    <row r="37" spans="1:43" s="18" customFormat="1" ht="12.95">
      <c r="B37" s="653" t="s">
        <v>830</v>
      </c>
      <c r="C37" s="653"/>
      <c r="D37" s="696"/>
      <c r="E37" s="696"/>
      <c r="F37" s="696"/>
      <c r="G37" s="696"/>
      <c r="H37" s="696"/>
      <c r="I37" s="696"/>
      <c r="K37" s="1783" t="s">
        <v>837</v>
      </c>
      <c r="L37" s="1783"/>
      <c r="M37" s="475" t="str">
        <f>'STANDARD COMP.'!M37</f>
        <v/>
      </c>
      <c r="N37" s="1446"/>
      <c r="O37" s="1446"/>
      <c r="P37" s="647"/>
      <c r="Q37" s="648"/>
      <c r="AJ37" s="1814" t="s">
        <v>832</v>
      </c>
      <c r="AK37" s="1814"/>
      <c r="AP37" s="1783"/>
      <c r="AQ37" s="1783"/>
    </row>
    <row r="38" spans="1:43" s="18" customFormat="1" ht="12.95">
      <c r="B38" s="697" t="s">
        <v>833</v>
      </c>
      <c r="C38" s="689" t="s">
        <v>352</v>
      </c>
      <c r="D38" s="1822" t="s">
        <v>834</v>
      </c>
      <c r="E38" s="1822"/>
      <c r="F38" s="689" t="s">
        <v>835</v>
      </c>
      <c r="G38" s="1823" t="s">
        <v>836</v>
      </c>
      <c r="H38" s="1824"/>
      <c r="I38" s="1825"/>
      <c r="K38" s="1783" t="s">
        <v>838</v>
      </c>
      <c r="L38" s="1783"/>
      <c r="M38" s="475" t="str">
        <f>'STANDARD COMP.'!M38</f>
        <v/>
      </c>
      <c r="N38" s="1446"/>
      <c r="O38" s="1446"/>
      <c r="P38" s="647"/>
      <c r="Q38" s="648"/>
      <c r="AJ38" s="1814" t="s">
        <v>837</v>
      </c>
      <c r="AK38" s="1814"/>
      <c r="AP38" s="1783"/>
      <c r="AQ38" s="1783"/>
    </row>
    <row r="39" spans="1:43" s="18" customFormat="1" ht="12.95">
      <c r="B39" s="698">
        <v>5</v>
      </c>
      <c r="C39" s="699">
        <f>'STANDARD COMP.'!C35</f>
        <v>7.0000000000000007E-2</v>
      </c>
      <c r="D39" s="1826">
        <f>PMT(C39/12,B39*12,-1)</f>
        <v>1.9801198540349535E-2</v>
      </c>
      <c r="E39" s="1826"/>
      <c r="F39" s="700">
        <f>D39*F35</f>
        <v>64136.346293876348</v>
      </c>
      <c r="G39" s="1827">
        <f>F39/0.3</f>
        <v>213787.82097958782</v>
      </c>
      <c r="H39" s="1828"/>
      <c r="I39" s="1829"/>
      <c r="K39" s="1783" t="s">
        <v>839</v>
      </c>
      <c r="L39" s="1783"/>
      <c r="M39" s="475" t="str">
        <f>'STANDARD COMP.'!M39</f>
        <v/>
      </c>
      <c r="N39" s="1446"/>
      <c r="O39" s="1446"/>
      <c r="P39" s="647"/>
      <c r="Q39" s="648"/>
      <c r="AJ39" s="1814" t="s">
        <v>838</v>
      </c>
      <c r="AK39" s="1814"/>
      <c r="AP39" s="1783"/>
      <c r="AQ39" s="1783"/>
    </row>
    <row r="40" spans="1:43" s="18" customFormat="1" ht="12.95">
      <c r="B40" s="698">
        <v>10</v>
      </c>
      <c r="C40" s="699">
        <f>'STANDARD COMP.'!C36</f>
        <v>7.0000000000000007E-2</v>
      </c>
      <c r="D40" s="1826">
        <f>PMT(C40/12,B40*12,-1)</f>
        <v>1.1610847921862406E-2</v>
      </c>
      <c r="E40" s="1826"/>
      <c r="F40" s="700">
        <f>D40*F35</f>
        <v>37607.69135083662</v>
      </c>
      <c r="G40" s="1827">
        <f>F40/0.3</f>
        <v>125358.9711694554</v>
      </c>
      <c r="H40" s="1828"/>
      <c r="I40" s="1829"/>
      <c r="K40" s="1783"/>
      <c r="L40" s="1783"/>
      <c r="M40" s="475"/>
      <c r="N40" s="1446"/>
      <c r="O40" s="1446"/>
      <c r="P40" s="647"/>
      <c r="Q40" s="648"/>
      <c r="AJ40" s="1814" t="s">
        <v>839</v>
      </c>
      <c r="AK40" s="1814"/>
      <c r="AP40" s="1783"/>
      <c r="AQ40" s="1783"/>
    </row>
    <row r="41" spans="1:43" s="18" customFormat="1" ht="12.95">
      <c r="B41" s="698">
        <v>15</v>
      </c>
      <c r="C41" s="699">
        <f>'STANDARD COMP.'!C37</f>
        <v>7.0000000000000007E-2</v>
      </c>
      <c r="D41" s="1826">
        <f>PMT(C41/12,B41*12,-1)</f>
        <v>8.988282708524269E-3</v>
      </c>
      <c r="E41" s="1826"/>
      <c r="F41" s="700">
        <f>D41*F35</f>
        <v>29113.167630053838</v>
      </c>
      <c r="G41" s="1827">
        <f>F41/0.3</f>
        <v>97043.892100179466</v>
      </c>
      <c r="H41" s="1828"/>
      <c r="I41" s="1829"/>
      <c r="K41" s="1783"/>
      <c r="L41" s="1783"/>
      <c r="M41" s="475"/>
      <c r="N41" s="1471"/>
      <c r="O41" s="1471"/>
      <c r="P41" s="647"/>
      <c r="Q41" s="648"/>
      <c r="AJ41" s="1814" t="s">
        <v>840</v>
      </c>
      <c r="AK41" s="1814"/>
      <c r="AP41" s="1783"/>
      <c r="AQ41" s="1783"/>
    </row>
    <row r="42" spans="1:43" s="18" customFormat="1" ht="12.95">
      <c r="B42" s="698">
        <v>20</v>
      </c>
      <c r="C42" s="699">
        <f>'STANDARD COMP.'!C38</f>
        <v>7.0000000000000007E-2</v>
      </c>
      <c r="D42" s="1830">
        <f>PMT(C42/12,B42*12,-1)</f>
        <v>7.7529893561887461E-3</v>
      </c>
      <c r="E42" s="1830"/>
      <c r="F42" s="700">
        <f>D42*F35</f>
        <v>25112.03597842827</v>
      </c>
      <c r="G42" s="1827">
        <f>F42/0.3</f>
        <v>83706.78659476091</v>
      </c>
      <c r="H42" s="1828"/>
      <c r="I42" s="1829"/>
      <c r="K42" s="1783"/>
      <c r="L42" s="1783"/>
      <c r="M42" s="475"/>
      <c r="N42" s="1471"/>
      <c r="O42" s="1471"/>
      <c r="P42" s="647"/>
      <c r="Q42" s="648"/>
      <c r="AJ42" s="1814" t="s">
        <v>841</v>
      </c>
      <c r="AK42" s="1814"/>
      <c r="AP42" s="1783"/>
      <c r="AQ42" s="1783"/>
    </row>
    <row r="43" spans="1:43" s="18" customFormat="1" ht="12.95">
      <c r="B43" s="476" t="str">
        <f>'STANDARD COMP.'!B39</f>
        <v>Fixed for three (3) years</v>
      </c>
      <c r="G43" s="701"/>
      <c r="K43" s="1783"/>
      <c r="L43" s="1783"/>
      <c r="M43" s="475"/>
      <c r="N43" s="1471"/>
      <c r="O43" s="1471"/>
      <c r="P43" s="647"/>
      <c r="Q43" s="648"/>
      <c r="AJ43" s="1814" t="s">
        <v>842</v>
      </c>
      <c r="AK43" s="1814"/>
      <c r="AP43" s="1783"/>
      <c r="AQ43" s="1783"/>
    </row>
    <row r="44" spans="1:43" s="18" customFormat="1" ht="12.95">
      <c r="B44" s="476" t="str">
        <f>'STANDARD COMP.'!B40</f>
        <v>Sample Computation for Interest rate is at 7% fixed for three (3) years only</v>
      </c>
      <c r="C44" s="702"/>
      <c r="D44" s="632"/>
      <c r="K44" s="1783"/>
      <c r="L44" s="1783"/>
      <c r="M44" s="475"/>
      <c r="N44" s="1471"/>
      <c r="O44" s="1471"/>
      <c r="P44" s="647"/>
      <c r="Q44" s="648"/>
      <c r="AJ44" s="1814" t="s">
        <v>843</v>
      </c>
      <c r="AK44" s="1814"/>
      <c r="AP44" s="1783"/>
      <c r="AQ44" s="1783"/>
    </row>
    <row r="45" spans="1:43" s="18" customFormat="1" ht="12.95">
      <c r="B45" s="703" t="s">
        <v>844</v>
      </c>
      <c r="D45" s="632"/>
      <c r="K45" s="1783"/>
      <c r="L45" s="1783"/>
      <c r="M45" s="475"/>
      <c r="N45" s="1471"/>
      <c r="O45" s="1471"/>
      <c r="P45" s="647"/>
      <c r="Q45" s="648"/>
      <c r="AJ45" s="1814" t="s">
        <v>845</v>
      </c>
      <c r="AK45" s="1814"/>
      <c r="AP45" s="1783"/>
      <c r="AQ45" s="1783"/>
    </row>
    <row r="46" spans="1:43" s="18" customFormat="1" ht="12.95">
      <c r="B46" s="703" t="s">
        <v>846</v>
      </c>
      <c r="C46" s="702"/>
      <c r="D46" s="632"/>
      <c r="K46" s="1783"/>
      <c r="L46" s="1783"/>
      <c r="M46" s="475"/>
      <c r="N46" s="1471"/>
      <c r="O46" s="1471"/>
      <c r="P46" s="647"/>
      <c r="Q46" s="648"/>
      <c r="AJ46" s="1814" t="s">
        <v>847</v>
      </c>
      <c r="AK46" s="1814"/>
      <c r="AP46" s="1783"/>
      <c r="AQ46" s="1783"/>
    </row>
    <row r="47" spans="1:43" s="18" customFormat="1" ht="12.95">
      <c r="D47" s="632"/>
      <c r="K47" s="1783"/>
      <c r="L47" s="1783"/>
      <c r="M47" s="475"/>
      <c r="N47" s="1471"/>
      <c r="O47" s="1471"/>
      <c r="P47" s="647"/>
      <c r="Q47" s="648"/>
      <c r="AJ47" s="1814" t="s">
        <v>848</v>
      </c>
      <c r="AK47" s="1814"/>
      <c r="AP47" s="1783"/>
      <c r="AQ47" s="1783"/>
    </row>
    <row r="48" spans="1:43" s="18" customFormat="1" ht="12.95">
      <c r="B48" s="653" t="s">
        <v>864</v>
      </c>
      <c r="C48" s="704"/>
      <c r="D48" s="340"/>
      <c r="E48" s="340"/>
      <c r="F48" s="340"/>
      <c r="G48" s="340"/>
      <c r="H48" s="340"/>
      <c r="I48" s="340"/>
      <c r="K48" s="1783"/>
      <c r="L48" s="1783"/>
      <c r="M48" s="475"/>
      <c r="N48" s="1471"/>
      <c r="O48" s="1471"/>
      <c r="P48" s="647"/>
      <c r="Q48" s="648"/>
      <c r="AJ48" s="1814" t="s">
        <v>850</v>
      </c>
      <c r="AK48" s="1814"/>
      <c r="AP48" s="1783"/>
      <c r="AQ48" s="1783"/>
    </row>
    <row r="49" spans="2:37" s="18" customFormat="1" ht="12.95">
      <c r="B49" s="340"/>
      <c r="C49" s="340"/>
      <c r="D49" s="340"/>
      <c r="E49" s="340"/>
      <c r="F49" s="340"/>
      <c r="G49" s="340"/>
      <c r="H49" s="340"/>
      <c r="I49" s="340"/>
      <c r="K49" s="1783"/>
      <c r="L49" s="1783"/>
      <c r="M49" s="475"/>
      <c r="N49" s="1471"/>
      <c r="O49" s="1471"/>
      <c r="P49" s="647"/>
      <c r="Q49" s="648"/>
      <c r="AJ49" s="1831" t="s">
        <v>851</v>
      </c>
      <c r="AK49" s="1831"/>
    </row>
    <row r="50" spans="2:37" s="18" customFormat="1" ht="12.6">
      <c r="B50" s="1789" t="s">
        <v>753</v>
      </c>
      <c r="C50" s="1789"/>
      <c r="D50" s="1789" t="s">
        <v>754</v>
      </c>
      <c r="E50" s="1789"/>
      <c r="F50" s="1789"/>
      <c r="G50" s="1789" t="s">
        <v>868</v>
      </c>
      <c r="H50" s="1789"/>
      <c r="I50" s="1789"/>
      <c r="K50" s="1783"/>
      <c r="L50" s="1783"/>
      <c r="M50" s="475"/>
      <c r="N50" s="1471"/>
      <c r="O50" s="1471"/>
      <c r="P50" s="647"/>
      <c r="Q50" s="648"/>
    </row>
    <row r="51" spans="2:37" s="18" customFormat="1" ht="12.6">
      <c r="B51" s="1832">
        <f>FORM!O19</f>
        <v>0</v>
      </c>
      <c r="C51" s="1833"/>
      <c r="D51" s="1832">
        <f>FORM!S19</f>
        <v>0</v>
      </c>
      <c r="E51" s="1836"/>
      <c r="F51" s="1833"/>
      <c r="G51" s="1838">
        <f>FORM!V19</f>
        <v>0</v>
      </c>
      <c r="H51" s="1839"/>
      <c r="I51" s="1840"/>
      <c r="K51" s="1783"/>
      <c r="L51" s="1783"/>
      <c r="M51" s="475"/>
      <c r="N51" s="1471"/>
      <c r="O51" s="1471"/>
      <c r="P51" s="647"/>
      <c r="Q51" s="648"/>
    </row>
    <row r="52" spans="2:37" s="18" customFormat="1" ht="12.6">
      <c r="B52" s="1834"/>
      <c r="C52" s="1835"/>
      <c r="D52" s="1834"/>
      <c r="E52" s="1837"/>
      <c r="F52" s="1835"/>
      <c r="G52" s="1841"/>
      <c r="H52" s="1842"/>
      <c r="I52" s="1843"/>
      <c r="K52" s="1783"/>
      <c r="L52" s="1783"/>
      <c r="M52" s="475"/>
      <c r="N52" s="1471"/>
      <c r="O52" s="1471"/>
      <c r="P52" s="647"/>
      <c r="Q52" s="648"/>
    </row>
    <row r="53" spans="2:37" s="18" customFormat="1" ht="12.6">
      <c r="B53" s="1832">
        <f>FORM!O21</f>
        <v>0</v>
      </c>
      <c r="C53" s="1833"/>
      <c r="D53" s="1832">
        <f>FORM!S21</f>
        <v>0</v>
      </c>
      <c r="E53" s="1836"/>
      <c r="F53" s="1833"/>
      <c r="G53" s="1838">
        <f>FORM!V21</f>
        <v>0</v>
      </c>
      <c r="H53" s="1839"/>
      <c r="I53" s="1840"/>
      <c r="K53" s="1783"/>
      <c r="L53" s="1783"/>
      <c r="M53" s="475"/>
      <c r="N53" s="1471"/>
      <c r="O53" s="1471"/>
      <c r="P53" s="647"/>
      <c r="Q53" s="648"/>
    </row>
    <row r="54" spans="2:37" s="18" customFormat="1" ht="12.6">
      <c r="B54" s="1834"/>
      <c r="C54" s="1835"/>
      <c r="D54" s="1834"/>
      <c r="E54" s="1837"/>
      <c r="F54" s="1835"/>
      <c r="G54" s="1841"/>
      <c r="H54" s="1842"/>
      <c r="I54" s="1843"/>
      <c r="K54" s="1783"/>
      <c r="L54" s="1783"/>
      <c r="M54" s="475"/>
      <c r="N54" s="1471"/>
      <c r="O54" s="1471"/>
      <c r="P54" s="647"/>
      <c r="Q54" s="648"/>
    </row>
    <row r="55" spans="2:37" s="18" customFormat="1" ht="12.6">
      <c r="B55" s="1832">
        <f>FORM!O25</f>
        <v>0</v>
      </c>
      <c r="C55" s="1833"/>
      <c r="D55" s="1832">
        <f>FORM!S25</f>
        <v>0</v>
      </c>
      <c r="E55" s="1836"/>
      <c r="F55" s="1833"/>
      <c r="G55" s="1838">
        <f>FORM!V25</f>
        <v>0</v>
      </c>
      <c r="H55" s="1839"/>
      <c r="I55" s="1840"/>
      <c r="K55" s="1783"/>
      <c r="L55" s="1783"/>
      <c r="M55" s="475" t="str">
        <f>'STANDARD COMP.'!M55</f>
        <v/>
      </c>
      <c r="N55" s="1471"/>
      <c r="O55" s="1471"/>
      <c r="P55" s="647"/>
      <c r="Q55" s="648"/>
    </row>
    <row r="56" spans="2:37" s="18" customFormat="1" ht="12.6">
      <c r="B56" s="1834"/>
      <c r="C56" s="1835"/>
      <c r="D56" s="1834"/>
      <c r="E56" s="1837"/>
      <c r="F56" s="1835"/>
      <c r="G56" s="1841"/>
      <c r="H56" s="1842"/>
      <c r="I56" s="1843"/>
      <c r="K56" s="1783"/>
      <c r="L56" s="1783"/>
      <c r="M56" s="475"/>
      <c r="N56" s="1471"/>
      <c r="O56" s="1471"/>
      <c r="P56" s="647"/>
      <c r="Q56" s="648"/>
    </row>
    <row r="57" spans="2:37" s="18" customFormat="1" ht="12.6">
      <c r="B57" s="1832">
        <f>FORM!O27</f>
        <v>0</v>
      </c>
      <c r="C57" s="1833"/>
      <c r="D57" s="1832">
        <f>FORM!S27</f>
        <v>0</v>
      </c>
      <c r="E57" s="1836"/>
      <c r="F57" s="1833"/>
      <c r="G57" s="1838">
        <f>FORM!V27</f>
        <v>0</v>
      </c>
      <c r="H57" s="1839"/>
      <c r="I57" s="1840"/>
      <c r="J57" s="18" t="s">
        <v>757</v>
      </c>
      <c r="K57" s="1783" t="s">
        <v>866</v>
      </c>
      <c r="L57" s="1783"/>
      <c r="M57" s="475">
        <f>'STANDARD COMP.'!M64</f>
        <v>46482</v>
      </c>
      <c r="N57" s="1845">
        <f>F35</f>
        <v>3239013.3437217786</v>
      </c>
      <c r="O57" s="1845"/>
      <c r="P57" s="647"/>
      <c r="Q57" s="648"/>
    </row>
    <row r="58" spans="2:37" s="18" customFormat="1" ht="12.6">
      <c r="B58" s="1834"/>
      <c r="C58" s="1835"/>
      <c r="D58" s="1834"/>
      <c r="E58" s="1837"/>
      <c r="F58" s="1835"/>
      <c r="G58" s="1841"/>
      <c r="H58" s="1842"/>
      <c r="I58" s="1843"/>
      <c r="K58" s="705"/>
      <c r="M58" s="639"/>
    </row>
    <row r="59" spans="2:37" s="18" customFormat="1" ht="12.6">
      <c r="B59" s="1832">
        <f>FORM!O31</f>
        <v>0</v>
      </c>
      <c r="C59" s="1833"/>
      <c r="D59" s="1832">
        <f>FORM!S31</f>
        <v>0</v>
      </c>
      <c r="E59" s="1836"/>
      <c r="F59" s="1833"/>
      <c r="G59" s="1838">
        <f>FORM!V31</f>
        <v>0</v>
      </c>
      <c r="H59" s="1839"/>
      <c r="I59" s="1840"/>
      <c r="K59" s="705"/>
      <c r="M59" s="639"/>
    </row>
    <row r="60" spans="2:37" s="18" customFormat="1" ht="12.6">
      <c r="B60" s="1834"/>
      <c r="C60" s="1835"/>
      <c r="D60" s="1834"/>
      <c r="E60" s="1837"/>
      <c r="F60" s="1835"/>
      <c r="G60" s="1841"/>
      <c r="H60" s="1842"/>
      <c r="I60" s="1843"/>
      <c r="M60" s="639"/>
    </row>
    <row r="61" spans="2:37" s="18" customFormat="1" ht="12.6">
      <c r="B61" s="1832">
        <f>FORM!O33</f>
        <v>0</v>
      </c>
      <c r="C61" s="1833"/>
      <c r="D61" s="1832">
        <f>FORM!S33</f>
        <v>0</v>
      </c>
      <c r="E61" s="1836"/>
      <c r="F61" s="1833"/>
      <c r="G61" s="1838">
        <f>FORM!V33</f>
        <v>0</v>
      </c>
      <c r="H61" s="1839"/>
      <c r="I61" s="1840"/>
      <c r="K61" s="340" t="s">
        <v>869</v>
      </c>
      <c r="L61" s="340"/>
      <c r="M61" s="340"/>
      <c r="N61" s="340"/>
      <c r="P61" s="340" t="s">
        <v>870</v>
      </c>
      <c r="Q61" s="340"/>
    </row>
    <row r="62" spans="2:37" s="18" customFormat="1" ht="12.6">
      <c r="B62" s="1834"/>
      <c r="C62" s="1835"/>
      <c r="D62" s="1834"/>
      <c r="E62" s="1837"/>
      <c r="F62" s="1835"/>
      <c r="G62" s="1841"/>
      <c r="H62" s="1842"/>
      <c r="I62" s="1843"/>
      <c r="M62" s="632"/>
    </row>
    <row r="63" spans="2:37" s="18" customFormat="1" ht="12.6">
      <c r="D63" s="632"/>
      <c r="M63" s="632"/>
    </row>
    <row r="64" spans="2:37" s="18" customFormat="1" ht="12.6">
      <c r="B64" s="706"/>
      <c r="C64" s="707" t="s">
        <v>872</v>
      </c>
      <c r="D64" s="1547"/>
      <c r="E64" s="1547"/>
      <c r="F64" s="1547"/>
      <c r="K64" s="1844">
        <f>FORM!I28</f>
        <v>0</v>
      </c>
      <c r="L64" s="1844"/>
      <c r="M64" s="1844"/>
      <c r="P64" s="1844">
        <f>FORM!I26</f>
        <v>0</v>
      </c>
      <c r="Q64" s="1844"/>
    </row>
    <row r="65" spans="2:17" s="18" customFormat="1" ht="12.6">
      <c r="B65" s="708"/>
      <c r="C65" s="16"/>
      <c r="D65" s="16"/>
      <c r="E65" s="16"/>
      <c r="F65" s="690"/>
      <c r="K65" s="709" t="s">
        <v>871</v>
      </c>
      <c r="L65" s="709"/>
      <c r="M65" s="710"/>
      <c r="P65" s="709" t="s">
        <v>871</v>
      </c>
      <c r="Q65" s="709"/>
    </row>
    <row r="66" spans="2:17" s="18" customFormat="1" ht="12.6">
      <c r="B66" s="340" t="s">
        <v>869</v>
      </c>
      <c r="C66" s="340"/>
      <c r="D66" s="340"/>
      <c r="E66" s="340"/>
      <c r="F66" s="340" t="s">
        <v>870</v>
      </c>
      <c r="G66" s="340"/>
      <c r="H66" s="340"/>
    </row>
    <row r="67" spans="2:17" s="18" customFormat="1" ht="12.6">
      <c r="D67" s="632"/>
    </row>
    <row r="68" spans="2:17" s="18" customFormat="1" ht="12.6">
      <c r="B68" s="1844">
        <f>FORM!I28</f>
        <v>0</v>
      </c>
      <c r="C68" s="1844"/>
      <c r="D68" s="711"/>
      <c r="F68" s="1844">
        <f>FORM!I26</f>
        <v>0</v>
      </c>
      <c r="G68" s="1844"/>
      <c r="M68" s="639"/>
    </row>
    <row r="69" spans="2:17" s="18" customFormat="1" ht="12.6">
      <c r="B69" s="709" t="s">
        <v>871</v>
      </c>
      <c r="C69" s="709"/>
      <c r="D69" s="632"/>
      <c r="F69" s="709" t="s">
        <v>871</v>
      </c>
      <c r="G69" s="709"/>
      <c r="M69" s="639"/>
    </row>
    <row r="70" spans="2:17" s="18" customFormat="1" ht="12.6">
      <c r="D70" s="632"/>
      <c r="M70" s="639"/>
    </row>
    <row r="114" spans="1:1">
      <c r="A114" s="343">
        <f>F18*12%</f>
        <v>405563.16811959143</v>
      </c>
    </row>
  </sheetData>
  <sheetProtection selectLockedCells="1"/>
  <mergeCells count="248">
    <mergeCell ref="B53:C54"/>
    <mergeCell ref="B55:C56"/>
    <mergeCell ref="D55:F56"/>
    <mergeCell ref="G55:I56"/>
    <mergeCell ref="B57:C58"/>
    <mergeCell ref="D57:F58"/>
    <mergeCell ref="G57:I58"/>
    <mergeCell ref="B59:C60"/>
    <mergeCell ref="D59:F60"/>
    <mergeCell ref="G59:I60"/>
    <mergeCell ref="AP48:AQ48"/>
    <mergeCell ref="AP19:AQ19"/>
    <mergeCell ref="AP38:AQ38"/>
    <mergeCell ref="AP39:AQ39"/>
    <mergeCell ref="AP40:AQ40"/>
    <mergeCell ref="AP41:AQ41"/>
    <mergeCell ref="AP42:AQ42"/>
    <mergeCell ref="AP43:AQ43"/>
    <mergeCell ref="AP44:AQ44"/>
    <mergeCell ref="AP45:AQ45"/>
    <mergeCell ref="AP46:AQ46"/>
    <mergeCell ref="AP29:AQ29"/>
    <mergeCell ref="AP30:AQ30"/>
    <mergeCell ref="AP31:AQ31"/>
    <mergeCell ref="AP32:AQ32"/>
    <mergeCell ref="AP33:AQ33"/>
    <mergeCell ref="AP34:AQ34"/>
    <mergeCell ref="AP35:AQ35"/>
    <mergeCell ref="AP36:AQ36"/>
    <mergeCell ref="AP47:AQ47"/>
    <mergeCell ref="AP20:AQ20"/>
    <mergeCell ref="AP21:AQ21"/>
    <mergeCell ref="AP22:AQ22"/>
    <mergeCell ref="AP23:AQ23"/>
    <mergeCell ref="AP37:AQ37"/>
    <mergeCell ref="T27:U27"/>
    <mergeCell ref="F23:I23"/>
    <mergeCell ref="K23:L23"/>
    <mergeCell ref="N23:O23"/>
    <mergeCell ref="AJ23:AK23"/>
    <mergeCell ref="K24:L24"/>
    <mergeCell ref="N24:O24"/>
    <mergeCell ref="AJ24:AK24"/>
    <mergeCell ref="K25:L25"/>
    <mergeCell ref="N25:O25"/>
    <mergeCell ref="AJ25:AK25"/>
    <mergeCell ref="AJ29:AK29"/>
    <mergeCell ref="F25:I25"/>
    <mergeCell ref="K26:L26"/>
    <mergeCell ref="N26:O26"/>
    <mergeCell ref="G30:I30"/>
    <mergeCell ref="N29:O29"/>
    <mergeCell ref="AP24:AQ24"/>
    <mergeCell ref="AP25:AQ25"/>
    <mergeCell ref="AP26:AQ26"/>
    <mergeCell ref="AP27:AQ27"/>
    <mergeCell ref="AP28:AQ28"/>
    <mergeCell ref="AJ36:AK36"/>
    <mergeCell ref="AJ20:AK20"/>
    <mergeCell ref="T20:U20"/>
    <mergeCell ref="G31:I31"/>
    <mergeCell ref="G32:I32"/>
    <mergeCell ref="G33:I33"/>
    <mergeCell ref="K29:L29"/>
    <mergeCell ref="K30:L30"/>
    <mergeCell ref="N30:O30"/>
    <mergeCell ref="AJ31:AK31"/>
    <mergeCell ref="T32:U32"/>
    <mergeCell ref="F26:I26"/>
    <mergeCell ref="AJ30:AK30"/>
    <mergeCell ref="T26:U26"/>
    <mergeCell ref="N27:O27"/>
    <mergeCell ref="N32:O32"/>
    <mergeCell ref="K31:L31"/>
    <mergeCell ref="N31:O31"/>
    <mergeCell ref="F21:I21"/>
    <mergeCell ref="K21:L21"/>
    <mergeCell ref="N21:O21"/>
    <mergeCell ref="AJ21:AK21"/>
    <mergeCell ref="AJ22:AK22"/>
    <mergeCell ref="AJ34:AK34"/>
    <mergeCell ref="K33:L33"/>
    <mergeCell ref="N33:O33"/>
    <mergeCell ref="AJ33:AK33"/>
    <mergeCell ref="AJ35:AK35"/>
    <mergeCell ref="K32:L32"/>
    <mergeCell ref="AJ32:AK32"/>
    <mergeCell ref="T33:U33"/>
    <mergeCell ref="G11:I11"/>
    <mergeCell ref="N11:O11"/>
    <mergeCell ref="P11:Q11"/>
    <mergeCell ref="F18:I18"/>
    <mergeCell ref="K18:L18"/>
    <mergeCell ref="F20:I20"/>
    <mergeCell ref="AJ28:AK28"/>
    <mergeCell ref="AJ26:AK26"/>
    <mergeCell ref="AJ27:AK27"/>
    <mergeCell ref="AJ19:AK19"/>
    <mergeCell ref="K17:L17"/>
    <mergeCell ref="K22:L22"/>
    <mergeCell ref="N22:O22"/>
    <mergeCell ref="K28:L28"/>
    <mergeCell ref="N28:O28"/>
    <mergeCell ref="K27:L27"/>
    <mergeCell ref="AJ40:AK40"/>
    <mergeCell ref="K35:L35"/>
    <mergeCell ref="N35:O35"/>
    <mergeCell ref="N45:O45"/>
    <mergeCell ref="AJ45:AK45"/>
    <mergeCell ref="K41:L41"/>
    <mergeCell ref="N41:O41"/>
    <mergeCell ref="AJ41:AK41"/>
    <mergeCell ref="K38:L38"/>
    <mergeCell ref="N38:O38"/>
    <mergeCell ref="AJ38:AK38"/>
    <mergeCell ref="K44:L44"/>
    <mergeCell ref="N44:O44"/>
    <mergeCell ref="AJ44:AK44"/>
    <mergeCell ref="K39:L39"/>
    <mergeCell ref="N39:O39"/>
    <mergeCell ref="AJ39:AK39"/>
    <mergeCell ref="N42:O42"/>
    <mergeCell ref="AJ42:AK42"/>
    <mergeCell ref="AJ43:AK43"/>
    <mergeCell ref="AJ37:AK37"/>
    <mergeCell ref="N40:O40"/>
    <mergeCell ref="K36:L36"/>
    <mergeCell ref="N36:O36"/>
    <mergeCell ref="AJ48:AK48"/>
    <mergeCell ref="K57:L57"/>
    <mergeCell ref="N57:O57"/>
    <mergeCell ref="AJ49:AK49"/>
    <mergeCell ref="K43:L43"/>
    <mergeCell ref="N43:O43"/>
    <mergeCell ref="K46:L46"/>
    <mergeCell ref="N46:O46"/>
    <mergeCell ref="AJ46:AK46"/>
    <mergeCell ref="K49:L49"/>
    <mergeCell ref="N49:O49"/>
    <mergeCell ref="AJ47:AK47"/>
    <mergeCell ref="K45:L45"/>
    <mergeCell ref="N47:O47"/>
    <mergeCell ref="K48:L48"/>
    <mergeCell ref="N48:O48"/>
    <mergeCell ref="K56:L56"/>
    <mergeCell ref="N56:O56"/>
    <mergeCell ref="K47:L47"/>
    <mergeCell ref="K51:L51"/>
    <mergeCell ref="N51:O51"/>
    <mergeCell ref="K53:L53"/>
    <mergeCell ref="N53:O53"/>
    <mergeCell ref="K54:L54"/>
    <mergeCell ref="N6:Q6"/>
    <mergeCell ref="G1:I1"/>
    <mergeCell ref="N17:O17"/>
    <mergeCell ref="T21:U21"/>
    <mergeCell ref="E12:F12"/>
    <mergeCell ref="F28:I28"/>
    <mergeCell ref="S15:AD15"/>
    <mergeCell ref="E13:F13"/>
    <mergeCell ref="K15:L16"/>
    <mergeCell ref="N10:Q10"/>
    <mergeCell ref="E11:F11"/>
    <mergeCell ref="Z1:AA1"/>
    <mergeCell ref="N7:Q7"/>
    <mergeCell ref="E8:I8"/>
    <mergeCell ref="N8:Q8"/>
    <mergeCell ref="AB1:AD1"/>
    <mergeCell ref="X13:Y13"/>
    <mergeCell ref="X6:AD6"/>
    <mergeCell ref="X7:AD7"/>
    <mergeCell ref="X8:AD8"/>
    <mergeCell ref="X9:AD9"/>
    <mergeCell ref="F16:I16"/>
    <mergeCell ref="G13:I13"/>
    <mergeCell ref="N13:O13"/>
    <mergeCell ref="S3:AD4"/>
    <mergeCell ref="S1:T1"/>
    <mergeCell ref="U1:V1"/>
    <mergeCell ref="K52:L52"/>
    <mergeCell ref="E9:I9"/>
    <mergeCell ref="N9:Q9"/>
    <mergeCell ref="N15:O16"/>
    <mergeCell ref="G12:I12"/>
    <mergeCell ref="N12:O12"/>
    <mergeCell ref="P12:Q12"/>
    <mergeCell ref="E10:I10"/>
    <mergeCell ref="P15:Q16"/>
    <mergeCell ref="K50:L50"/>
    <mergeCell ref="N50:O50"/>
    <mergeCell ref="K19:L19"/>
    <mergeCell ref="N19:O19"/>
    <mergeCell ref="N18:O18"/>
    <mergeCell ref="G38:I38"/>
    <mergeCell ref="K42:L42"/>
    <mergeCell ref="D39:E39"/>
    <mergeCell ref="D42:E42"/>
    <mergeCell ref="B3:I4"/>
    <mergeCell ref="K3:Q4"/>
    <mergeCell ref="E6:I6"/>
    <mergeCell ref="E7:F7"/>
    <mergeCell ref="B68:C68"/>
    <mergeCell ref="D64:F64"/>
    <mergeCell ref="D38:E38"/>
    <mergeCell ref="B50:C50"/>
    <mergeCell ref="D50:F50"/>
    <mergeCell ref="F68:G68"/>
    <mergeCell ref="X10:AD10"/>
    <mergeCell ref="X11:Y11"/>
    <mergeCell ref="X12:Y12"/>
    <mergeCell ref="G40:I40"/>
    <mergeCell ref="G41:I41"/>
    <mergeCell ref="B16:C16"/>
    <mergeCell ref="M15:M16"/>
    <mergeCell ref="P13:Q13"/>
    <mergeCell ref="F15:I15"/>
    <mergeCell ref="F17:I17"/>
    <mergeCell ref="K20:L20"/>
    <mergeCell ref="N20:O20"/>
    <mergeCell ref="B61:C62"/>
    <mergeCell ref="D61:F62"/>
    <mergeCell ref="G61:I62"/>
    <mergeCell ref="G51:I52"/>
    <mergeCell ref="G53:I54"/>
    <mergeCell ref="P64:Q64"/>
    <mergeCell ref="K64:M64"/>
    <mergeCell ref="B30:C30"/>
    <mergeCell ref="B31:C31"/>
    <mergeCell ref="B33:C33"/>
    <mergeCell ref="B32:C32"/>
    <mergeCell ref="N54:O54"/>
    <mergeCell ref="K55:L55"/>
    <mergeCell ref="N55:O55"/>
    <mergeCell ref="G50:I50"/>
    <mergeCell ref="F35:I35"/>
    <mergeCell ref="K37:L37"/>
    <mergeCell ref="N37:O37"/>
    <mergeCell ref="B51:C52"/>
    <mergeCell ref="D51:F52"/>
    <mergeCell ref="N52:O52"/>
    <mergeCell ref="D41:E41"/>
    <mergeCell ref="D40:E40"/>
    <mergeCell ref="K40:L40"/>
    <mergeCell ref="G39:I39"/>
    <mergeCell ref="G42:I42"/>
    <mergeCell ref="K34:L34"/>
    <mergeCell ref="N34:O34"/>
    <mergeCell ref="D53:F54"/>
  </mergeCells>
  <phoneticPr fontId="28" type="noConversion"/>
  <pageMargins left="0.59055118110236227" right="0.59055118110236227" top="1.1811023622047245" bottom="0.74803149606299213" header="0.31496062992125984" footer="0.31496062992125984"/>
  <pageSetup paperSize="14" scale="68"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21</xdr:col>
                    <xdr:colOff>76200</xdr:colOff>
                    <xdr:row>17</xdr:row>
                    <xdr:rowOff>0</xdr:rowOff>
                  </from>
                  <to>
                    <xdr:col>21</xdr:col>
                    <xdr:colOff>298450</xdr:colOff>
                    <xdr:row>18</xdr:row>
                    <xdr:rowOff>50800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21</xdr:col>
                    <xdr:colOff>76200</xdr:colOff>
                    <xdr:row>18</xdr:row>
                    <xdr:rowOff>190500</xdr:rowOff>
                  </from>
                  <to>
                    <xdr:col>21</xdr:col>
                    <xdr:colOff>298450</xdr:colOff>
                    <xdr:row>20</xdr:row>
                    <xdr:rowOff>31750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76200</xdr:colOff>
                    <xdr:row>23</xdr:row>
                    <xdr:rowOff>0</xdr:rowOff>
                  </from>
                  <to>
                    <xdr:col>21</xdr:col>
                    <xdr:colOff>292100</xdr:colOff>
                    <xdr:row>24</xdr:row>
                    <xdr:rowOff>50800</xdr:rowOff>
                  </to>
                </anchor>
              </controlPr>
            </control>
          </mc:Choice>
        </mc:AlternateContent>
        <mc:AlternateContent xmlns:mc="http://schemas.openxmlformats.org/markup-compatibility/2006">
          <mc:Choice Requires="x14">
            <control shapeId="9222" r:id="rId7" name="Check Box 6">
              <controlPr defaultSize="0" autoFill="0" autoLine="0" autoPict="0">
                <anchor moveWithCells="1">
                  <from>
                    <xdr:col>21</xdr:col>
                    <xdr:colOff>69850</xdr:colOff>
                    <xdr:row>24</xdr:row>
                    <xdr:rowOff>190500</xdr:rowOff>
                  </from>
                  <to>
                    <xdr:col>21</xdr:col>
                    <xdr:colOff>292100</xdr:colOff>
                    <xdr:row>26</xdr:row>
                    <xdr:rowOff>31750</xdr:rowOff>
                  </to>
                </anchor>
              </controlPr>
            </control>
          </mc:Choice>
        </mc:AlternateContent>
        <mc:AlternateContent xmlns:mc="http://schemas.openxmlformats.org/markup-compatibility/2006">
          <mc:Choice Requires="x14">
            <control shapeId="9223" r:id="rId8" name="Check Box 7">
              <controlPr defaultSize="0" autoFill="0" autoLine="0" autoPict="0">
                <anchor moveWithCells="1">
                  <from>
                    <xdr:col>21</xdr:col>
                    <xdr:colOff>76200</xdr:colOff>
                    <xdr:row>29</xdr:row>
                    <xdr:rowOff>0</xdr:rowOff>
                  </from>
                  <to>
                    <xdr:col>21</xdr:col>
                    <xdr:colOff>292100</xdr:colOff>
                    <xdr:row>30</xdr:row>
                    <xdr:rowOff>50800</xdr:rowOff>
                  </to>
                </anchor>
              </controlPr>
            </control>
          </mc:Choice>
        </mc:AlternateContent>
        <mc:AlternateContent xmlns:mc="http://schemas.openxmlformats.org/markup-compatibility/2006">
          <mc:Choice Requires="x14">
            <control shapeId="9224" r:id="rId9" name="Check Box 8">
              <controlPr defaultSize="0" autoFill="0" autoLine="0" autoPict="0">
                <anchor moveWithCells="1">
                  <from>
                    <xdr:col>21</xdr:col>
                    <xdr:colOff>69850</xdr:colOff>
                    <xdr:row>30</xdr:row>
                    <xdr:rowOff>190500</xdr:rowOff>
                  </from>
                  <to>
                    <xdr:col>21</xdr:col>
                    <xdr:colOff>292100</xdr:colOff>
                    <xdr:row>32</xdr:row>
                    <xdr:rowOff>31750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1"/>
  <dimension ref="A1:U123"/>
  <sheetViews>
    <sheetView showGridLines="0" showZeros="0" view="pageLayout" topLeftCell="A40" zoomScaleNormal="100" zoomScaleSheetLayoutView="85" workbookViewId="0">
      <selection activeCell="O40" sqref="O40:R40"/>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5"/>
      <c r="H1" s="55"/>
      <c r="I1" s="55"/>
      <c r="J1" s="55"/>
      <c r="K1" s="55"/>
      <c r="L1" s="55"/>
      <c r="M1" s="55"/>
      <c r="N1" s="55"/>
      <c r="O1" s="55"/>
      <c r="P1" s="55"/>
      <c r="Q1" s="55"/>
      <c r="R1" s="55"/>
      <c r="S1" s="55"/>
      <c r="T1" s="55"/>
    </row>
    <row r="2" spans="1:21" ht="14.25" customHeight="1">
      <c r="U2" s="56"/>
    </row>
    <row r="3" spans="1:21">
      <c r="A3" s="24" t="s">
        <v>873</v>
      </c>
      <c r="B3" s="24"/>
      <c r="C3" s="78"/>
      <c r="D3" s="1495">
        <f>FORM!I26</f>
        <v>0</v>
      </c>
      <c r="E3" s="1495"/>
      <c r="F3" s="1495"/>
      <c r="G3" s="1495"/>
      <c r="H3" s="1495"/>
      <c r="I3" s="1495"/>
      <c r="J3" s="1495"/>
      <c r="K3" s="1495"/>
      <c r="L3" s="1495"/>
      <c r="M3" s="1495"/>
      <c r="N3" s="1495"/>
      <c r="O3" s="1495"/>
      <c r="P3" s="1495"/>
      <c r="Q3" s="1495"/>
      <c r="R3" s="24"/>
      <c r="S3" s="24"/>
      <c r="T3" s="24"/>
      <c r="U3" s="26" t="s">
        <v>874</v>
      </c>
    </row>
    <row r="4" spans="1:21">
      <c r="A4" s="1496">
        <f>FORM!I30</f>
        <v>0</v>
      </c>
      <c r="B4" s="1496"/>
      <c r="C4" s="1496"/>
      <c r="D4" s="1496"/>
      <c r="E4" s="1496"/>
      <c r="F4" s="1496"/>
      <c r="G4" s="1496"/>
      <c r="H4" s="1496"/>
      <c r="I4" s="1496"/>
      <c r="J4" s="1496"/>
      <c r="K4" s="1496"/>
      <c r="L4" s="1496"/>
      <c r="M4" s="1496"/>
      <c r="N4" s="1496"/>
      <c r="O4" s="1496"/>
      <c r="P4" s="1496"/>
      <c r="Q4" s="1496"/>
      <c r="R4" s="24"/>
      <c r="S4" s="24"/>
      <c r="T4" s="24"/>
      <c r="U4" s="26" t="s">
        <v>875</v>
      </c>
    </row>
    <row r="5" spans="1:21" ht="16.5" customHeight="1">
      <c r="A5" s="1497" t="s">
        <v>876</v>
      </c>
      <c r="B5" s="1497"/>
      <c r="C5" s="1497"/>
      <c r="D5" s="1497"/>
      <c r="E5" s="1497"/>
      <c r="F5" s="1497"/>
      <c r="G5" s="1497"/>
      <c r="H5" s="1497"/>
      <c r="I5" s="1497"/>
      <c r="J5" s="1497"/>
      <c r="K5" s="1497"/>
      <c r="L5" s="1497"/>
      <c r="M5" s="1497"/>
      <c r="N5" s="1497"/>
      <c r="O5" s="1497"/>
      <c r="P5" s="1497"/>
      <c r="Q5" s="1497"/>
      <c r="R5" s="1497"/>
      <c r="S5" s="1497"/>
      <c r="T5" s="1497"/>
      <c r="U5" s="1497"/>
    </row>
    <row r="6" spans="1:21">
      <c r="A6" s="1497"/>
      <c r="B6" s="1497"/>
      <c r="C6" s="1497"/>
      <c r="D6" s="1497"/>
      <c r="E6" s="1497"/>
      <c r="F6" s="1497"/>
      <c r="G6" s="1497"/>
      <c r="H6" s="1497"/>
      <c r="I6" s="1497"/>
      <c r="J6" s="1497"/>
      <c r="K6" s="1497"/>
      <c r="L6" s="1497"/>
      <c r="M6" s="1497"/>
      <c r="N6" s="1497"/>
      <c r="O6" s="1497"/>
      <c r="P6" s="1497"/>
      <c r="Q6" s="1497"/>
      <c r="R6" s="1497"/>
      <c r="S6" s="1497"/>
      <c r="T6" s="1497"/>
      <c r="U6" s="1497"/>
    </row>
    <row r="7" spans="1:21" ht="9" customHeight="1">
      <c r="A7" s="24"/>
      <c r="B7" s="24"/>
      <c r="C7" s="24"/>
      <c r="D7" s="24"/>
      <c r="E7" s="24"/>
      <c r="F7" s="24"/>
      <c r="G7" s="24"/>
      <c r="H7" s="24"/>
      <c r="I7" s="24"/>
      <c r="J7" s="24"/>
      <c r="K7" s="24"/>
      <c r="L7" s="24"/>
      <c r="M7" s="24"/>
      <c r="N7" s="24"/>
      <c r="O7" s="24"/>
      <c r="P7" s="24"/>
      <c r="Q7" s="24"/>
      <c r="R7" s="24"/>
      <c r="S7" s="24"/>
      <c r="T7" s="24"/>
      <c r="U7" s="24"/>
    </row>
    <row r="8" spans="1:21" ht="16.5" customHeight="1">
      <c r="A8" s="24" t="s">
        <v>877</v>
      </c>
      <c r="B8" s="24"/>
      <c r="C8" s="24"/>
      <c r="D8" s="24"/>
      <c r="E8" s="24"/>
      <c r="F8" s="24"/>
      <c r="G8" s="24"/>
      <c r="H8" s="1495" t="str">
        <f>FORM!AB11</f>
        <v>Iloilo Southprime Developers Inc.</v>
      </c>
      <c r="I8" s="1495"/>
      <c r="J8" s="1495"/>
      <c r="K8" s="1495"/>
      <c r="L8" s="1495"/>
      <c r="M8" s="1495"/>
      <c r="N8" s="1495"/>
      <c r="O8" s="1495"/>
      <c r="P8" s="24"/>
      <c r="Q8" s="24"/>
      <c r="R8" s="24"/>
      <c r="S8" s="24"/>
      <c r="T8" s="24"/>
      <c r="U8" s="26" t="s">
        <v>878</v>
      </c>
    </row>
    <row r="9" spans="1:21">
      <c r="A9" s="1498" t="s">
        <v>879</v>
      </c>
      <c r="B9" s="1498"/>
      <c r="C9" s="1498"/>
      <c r="D9" s="1498"/>
      <c r="E9" s="1498"/>
      <c r="F9" s="1498"/>
      <c r="G9" s="1498"/>
      <c r="H9" s="1498"/>
      <c r="I9" s="1498"/>
      <c r="J9" s="1498"/>
      <c r="K9" s="1498"/>
      <c r="L9" s="1498"/>
      <c r="M9" s="1498"/>
      <c r="N9" s="1498"/>
      <c r="O9" s="1498"/>
      <c r="P9" s="1498"/>
      <c r="Q9" s="1498"/>
      <c r="R9" s="1498"/>
      <c r="S9" s="1498"/>
      <c r="T9" s="1498"/>
      <c r="U9" s="1498"/>
    </row>
    <row r="10" spans="1:21">
      <c r="A10" s="1494" t="str">
        <f>FORM!AB12</f>
        <v>Avancena St Brgy. Avancena Molo Iloilo City</v>
      </c>
      <c r="B10" s="1494"/>
      <c r="C10" s="1494"/>
      <c r="D10" s="1494"/>
      <c r="E10" s="1494"/>
      <c r="F10" s="1494"/>
      <c r="G10" s="1494"/>
      <c r="H10" s="1494"/>
      <c r="I10" s="1494"/>
      <c r="J10" s="1494"/>
      <c r="K10" s="1494"/>
      <c r="L10" s="1494"/>
      <c r="M10" s="1494"/>
      <c r="N10" s="1494"/>
      <c r="O10" s="1494"/>
      <c r="P10" s="1494"/>
      <c r="Q10" s="24"/>
      <c r="R10" s="24"/>
      <c r="S10" s="24"/>
      <c r="T10" s="24"/>
      <c r="U10" s="26" t="s">
        <v>880</v>
      </c>
    </row>
    <row r="11" spans="1:21">
      <c r="A11" s="24" t="s">
        <v>881</v>
      </c>
      <c r="B11" s="24"/>
      <c r="C11" s="24"/>
      <c r="D11" s="24"/>
      <c r="E11" s="24"/>
      <c r="F11" s="24"/>
      <c r="G11" s="24"/>
      <c r="H11" s="24"/>
      <c r="I11" s="1496" t="str">
        <f>FORM!I11</f>
        <v>The Southprime Flats</v>
      </c>
      <c r="J11" s="1496"/>
      <c r="K11" s="1496"/>
      <c r="L11" s="1496"/>
      <c r="M11" s="1496"/>
      <c r="N11" s="1496"/>
      <c r="O11" s="1496"/>
      <c r="P11" s="1496"/>
      <c r="Q11" s="1496"/>
      <c r="R11" s="1496"/>
      <c r="S11" s="1496"/>
      <c r="T11" s="1496"/>
      <c r="U11" s="1496"/>
    </row>
    <row r="12" spans="1:21">
      <c r="A12" s="24" t="s">
        <v>882</v>
      </c>
      <c r="B12" s="24"/>
      <c r="C12" s="24"/>
      <c r="D12" s="24"/>
      <c r="E12" s="24"/>
      <c r="F12" s="24"/>
      <c r="G12" s="24"/>
      <c r="H12" s="24"/>
      <c r="I12" s="24"/>
      <c r="J12" s="24"/>
      <c r="K12" s="24"/>
      <c r="L12" s="24"/>
      <c r="M12" s="1499" t="str">
        <f>FORM!AB13</f>
        <v>Abeto Street, Brgy. Abeto-Mirasol, Mandurriao, Iloilo City</v>
      </c>
      <c r="N12" s="1499"/>
      <c r="O12" s="1499"/>
      <c r="P12" s="1499"/>
      <c r="Q12" s="1499"/>
      <c r="R12" s="1499"/>
      <c r="S12" s="1499"/>
      <c r="T12" s="1499"/>
      <c r="U12" s="1499"/>
    </row>
    <row r="13" spans="1:21">
      <c r="A13" s="24" t="s">
        <v>883</v>
      </c>
      <c r="B13" s="24"/>
      <c r="C13" s="24"/>
      <c r="D13" s="24"/>
      <c r="E13" s="24"/>
      <c r="F13" s="24"/>
      <c r="G13" s="24"/>
      <c r="H13" s="24"/>
      <c r="I13" s="24"/>
      <c r="J13" s="24"/>
      <c r="K13" s="1500" t="str">
        <f>'STANDARD COMP.'!E10</f>
        <v>Studio</v>
      </c>
      <c r="L13" s="1496"/>
      <c r="M13" s="1496"/>
      <c r="N13" s="1496"/>
      <c r="O13" s="1496"/>
      <c r="P13" s="1496"/>
      <c r="Q13" s="1496"/>
      <c r="R13" s="1496"/>
      <c r="S13" s="1496"/>
      <c r="T13" s="1496"/>
      <c r="U13" s="1496"/>
    </row>
    <row r="14" spans="1:21" ht="13.5" customHeight="1">
      <c r="A14" s="24" t="s">
        <v>884</v>
      </c>
      <c r="B14" s="24"/>
      <c r="C14" s="24"/>
      <c r="D14" s="24"/>
      <c r="E14" s="24"/>
      <c r="F14" s="24"/>
      <c r="G14" s="24"/>
      <c r="H14" s="24"/>
      <c r="I14" s="24"/>
      <c r="J14" s="24"/>
      <c r="K14" s="24"/>
      <c r="L14" s="24"/>
      <c r="M14" s="24"/>
      <c r="N14" s="24"/>
      <c r="O14" s="24"/>
      <c r="P14" s="24"/>
      <c r="Q14" s="24"/>
      <c r="R14" s="24"/>
      <c r="S14" s="24"/>
      <c r="T14" s="24"/>
      <c r="U14" s="24"/>
    </row>
    <row r="15" spans="1:21">
      <c r="A15" s="24"/>
      <c r="B15" s="24"/>
      <c r="C15" s="24"/>
      <c r="D15" s="24"/>
      <c r="E15" s="24"/>
      <c r="F15" s="24"/>
      <c r="G15" s="24"/>
      <c r="H15" s="24"/>
      <c r="I15" s="24"/>
      <c r="J15" s="24"/>
      <c r="K15" s="24"/>
      <c r="L15" s="24"/>
      <c r="M15" s="24"/>
      <c r="N15" s="24"/>
      <c r="O15" s="24"/>
      <c r="P15" s="24"/>
      <c r="Q15" s="24"/>
      <c r="R15" s="24"/>
      <c r="S15" s="24"/>
      <c r="T15" s="24"/>
      <c r="U15" s="24"/>
    </row>
    <row r="16" spans="1:21">
      <c r="A16" s="28" t="s">
        <v>885</v>
      </c>
      <c r="B16" s="29"/>
      <c r="C16" s="29"/>
      <c r="D16" s="27"/>
      <c r="E16" s="1499" t="str">
        <f>FORM!I11</f>
        <v>The Southprime Flats</v>
      </c>
      <c r="F16" s="1499"/>
      <c r="G16" s="1499"/>
      <c r="H16" s="1499"/>
      <c r="I16" s="1499"/>
      <c r="J16" s="1499"/>
      <c r="K16" s="1499"/>
      <c r="L16" s="1499"/>
      <c r="M16" s="1499"/>
      <c r="N16" s="1499"/>
      <c r="O16" s="1499"/>
      <c r="P16" s="1499"/>
      <c r="Q16" s="1499"/>
      <c r="R16" s="1499"/>
      <c r="S16" s="1499"/>
      <c r="T16" s="1499"/>
      <c r="U16" s="60"/>
    </row>
    <row r="17" spans="1:21" ht="14.1">
      <c r="A17" s="30" t="s">
        <v>886</v>
      </c>
      <c r="B17" s="31"/>
      <c r="C17" s="31"/>
      <c r="D17" s="32"/>
      <c r="E17" s="33" t="s">
        <v>887</v>
      </c>
      <c r="F17" s="32"/>
      <c r="G17" s="32"/>
      <c r="H17" s="32"/>
      <c r="I17" s="32"/>
      <c r="J17" s="32"/>
      <c r="K17" s="32"/>
      <c r="L17" s="58" t="s">
        <v>888</v>
      </c>
      <c r="M17" s="32"/>
      <c r="N17" s="32"/>
      <c r="O17" s="32"/>
      <c r="P17" s="32"/>
      <c r="Q17" s="32"/>
      <c r="R17" s="32"/>
      <c r="S17" s="32"/>
      <c r="T17" s="33" t="s">
        <v>889</v>
      </c>
      <c r="U17" s="57"/>
    </row>
    <row r="18" spans="1:21" ht="14.1">
      <c r="A18" s="34"/>
      <c r="B18" s="5"/>
      <c r="C18" s="5"/>
      <c r="D18" s="5"/>
      <c r="E18" s="35" t="s">
        <v>890</v>
      </c>
      <c r="F18" s="5"/>
      <c r="G18" s="5"/>
      <c r="H18" s="5"/>
      <c r="I18" s="5"/>
      <c r="J18" s="5"/>
      <c r="K18" s="5"/>
      <c r="L18" s="35" t="s">
        <v>891</v>
      </c>
      <c r="M18" s="5"/>
      <c r="N18" s="5"/>
      <c r="O18" s="5"/>
      <c r="P18" s="5"/>
      <c r="Q18" s="5"/>
      <c r="R18" s="5"/>
      <c r="S18" s="5"/>
      <c r="T18" s="35" t="s">
        <v>892</v>
      </c>
      <c r="U18" s="36"/>
    </row>
    <row r="19" spans="1:21">
      <c r="T19" s="2" t="s">
        <v>757</v>
      </c>
    </row>
    <row r="20" spans="1:21" ht="14.1">
      <c r="A20" s="1501" t="s">
        <v>893</v>
      </c>
      <c r="B20" s="1502"/>
      <c r="C20" s="1502"/>
      <c r="D20" s="1502"/>
      <c r="E20" s="1502"/>
      <c r="F20" s="1503"/>
      <c r="G20" s="1501" t="s">
        <v>894</v>
      </c>
      <c r="H20" s="1502"/>
      <c r="I20" s="1502"/>
      <c r="J20" s="1502"/>
      <c r="K20" s="1502"/>
      <c r="L20" s="1503"/>
      <c r="M20" s="1501" t="s">
        <v>895</v>
      </c>
      <c r="N20" s="1502"/>
      <c r="O20" s="1502"/>
      <c r="P20" s="1502"/>
      <c r="Q20" s="1503"/>
      <c r="R20" s="1501" t="s">
        <v>891</v>
      </c>
      <c r="S20" s="1502"/>
      <c r="T20" s="1502"/>
      <c r="U20" s="1503"/>
    </row>
    <row r="21" spans="1:21" ht="14.1">
      <c r="A21" s="41" t="s">
        <v>896</v>
      </c>
      <c r="B21" s="42"/>
      <c r="C21" s="42"/>
      <c r="D21" s="1504" t="str">
        <f>FORM!I14</f>
        <v>B2</v>
      </c>
      <c r="E21" s="1505"/>
      <c r="F21" s="1506"/>
      <c r="G21" s="41" t="s">
        <v>896</v>
      </c>
      <c r="H21" s="42"/>
      <c r="I21" s="43"/>
      <c r="J21" s="1507"/>
      <c r="K21" s="1508"/>
      <c r="L21" s="1509"/>
      <c r="M21" s="41" t="s">
        <v>897</v>
      </c>
      <c r="N21" s="42"/>
      <c r="O21" s="43"/>
      <c r="P21" s="1510"/>
      <c r="Q21" s="1511"/>
      <c r="R21" s="82" t="s">
        <v>896</v>
      </c>
      <c r="S21" s="83"/>
      <c r="T21" s="1512"/>
      <c r="U21" s="1513"/>
    </row>
    <row r="22" spans="1:21" ht="14.1">
      <c r="A22" s="39" t="s">
        <v>898</v>
      </c>
      <c r="B22" s="40"/>
      <c r="C22" s="40"/>
      <c r="D22" s="1504" t="str">
        <f>FORM!I16</f>
        <v>2nd Floor</v>
      </c>
      <c r="E22" s="1505"/>
      <c r="F22" s="1506"/>
      <c r="G22" s="41" t="s">
        <v>899</v>
      </c>
      <c r="H22" s="42"/>
      <c r="I22" s="43"/>
      <c r="J22" s="1507"/>
      <c r="K22" s="1508"/>
      <c r="L22" s="1509"/>
      <c r="M22" s="41" t="s">
        <v>900</v>
      </c>
      <c r="N22" s="42"/>
      <c r="O22" s="43"/>
      <c r="P22" s="1510"/>
      <c r="Q22" s="1511"/>
      <c r="R22" s="82" t="s">
        <v>901</v>
      </c>
      <c r="S22" s="83"/>
      <c r="T22" s="1512"/>
      <c r="U22" s="1513"/>
    </row>
    <row r="23" spans="1:21" ht="14.1">
      <c r="A23" s="41" t="s">
        <v>901</v>
      </c>
      <c r="B23" s="42"/>
      <c r="C23" s="43"/>
      <c r="D23" s="1504" t="str">
        <f>FORM!I18</f>
        <v>2L</v>
      </c>
      <c r="E23" s="1505"/>
      <c r="F23" s="1506"/>
      <c r="G23" s="41" t="s">
        <v>902</v>
      </c>
      <c r="H23" s="42"/>
      <c r="I23" s="43"/>
      <c r="J23" s="1507"/>
      <c r="K23" s="1508"/>
      <c r="L23" s="1509"/>
      <c r="M23" s="41" t="s">
        <v>903</v>
      </c>
      <c r="N23" s="42"/>
      <c r="O23" s="43"/>
      <c r="P23" s="1510"/>
      <c r="Q23" s="1511"/>
      <c r="R23" s="82" t="s">
        <v>904</v>
      </c>
      <c r="S23" s="83"/>
      <c r="T23" s="1512"/>
      <c r="U23" s="1513"/>
    </row>
    <row r="24" spans="1:21" ht="16.5" customHeight="1">
      <c r="A24" s="39" t="s">
        <v>905</v>
      </c>
      <c r="B24" s="40"/>
      <c r="C24" s="40"/>
      <c r="D24" s="1517">
        <f>'STANDARD COMP.'!E13</f>
        <v>22</v>
      </c>
      <c r="E24" s="1518"/>
      <c r="F24" s="1519"/>
      <c r="G24" s="41" t="s">
        <v>904</v>
      </c>
      <c r="H24" s="42"/>
      <c r="I24" s="43"/>
      <c r="J24" s="1507"/>
      <c r="K24" s="1508"/>
      <c r="L24" s="1509"/>
      <c r="M24" s="39" t="s">
        <v>906</v>
      </c>
      <c r="N24" s="40"/>
      <c r="O24" s="40"/>
      <c r="P24" s="1510"/>
      <c r="Q24" s="1511"/>
      <c r="R24" s="1520" t="s">
        <v>907</v>
      </c>
      <c r="S24" s="1521"/>
      <c r="T24" s="1524"/>
      <c r="U24" s="1525"/>
    </row>
    <row r="25" spans="1:21" ht="14.1">
      <c r="A25" s="41" t="s">
        <v>908</v>
      </c>
      <c r="B25" s="42"/>
      <c r="C25" s="43"/>
      <c r="D25" s="1528" t="str">
        <f>K13</f>
        <v>Studio</v>
      </c>
      <c r="E25" s="1505"/>
      <c r="F25" s="1506"/>
      <c r="G25" s="41" t="s">
        <v>909</v>
      </c>
      <c r="H25" s="42"/>
      <c r="I25" s="43"/>
      <c r="J25" s="1507"/>
      <c r="K25" s="1508"/>
      <c r="L25" s="1509"/>
      <c r="M25" s="41" t="s">
        <v>910</v>
      </c>
      <c r="N25" s="42"/>
      <c r="O25" s="43"/>
      <c r="P25" s="1504"/>
      <c r="Q25" s="1506"/>
      <c r="R25" s="1522"/>
      <c r="S25" s="1523"/>
      <c r="T25" s="1526"/>
      <c r="U25" s="1527"/>
    </row>
    <row r="27" spans="1:21" ht="14.1">
      <c r="A27" s="41" t="s">
        <v>911</v>
      </c>
      <c r="B27" s="42"/>
      <c r="C27" s="42"/>
      <c r="D27" s="42"/>
      <c r="E27" s="42"/>
      <c r="F27" s="42"/>
      <c r="G27" s="42"/>
      <c r="H27" s="43"/>
      <c r="I27" s="1671">
        <f>'SPECIAL PACKAGE'!F15</f>
        <v>3379693.0676632621</v>
      </c>
      <c r="J27" s="1672"/>
      <c r="K27" s="1672"/>
      <c r="L27" s="1672"/>
      <c r="M27" s="1672"/>
      <c r="N27" s="1672"/>
      <c r="O27" s="1672"/>
      <c r="P27" s="1672"/>
      <c r="Q27" s="1672"/>
      <c r="R27" s="1672"/>
      <c r="S27" s="1672"/>
      <c r="T27" s="1672"/>
      <c r="U27" s="1673"/>
    </row>
    <row r="28" spans="1:21" ht="14.1">
      <c r="A28" s="41" t="s">
        <v>912</v>
      </c>
      <c r="B28" s="42"/>
      <c r="C28" s="44"/>
      <c r="D28" s="44"/>
      <c r="E28" s="44"/>
      <c r="F28" s="44"/>
      <c r="G28" s="44"/>
      <c r="H28" s="45"/>
      <c r="I28" s="1671">
        <f>'SPECIAL PACKAGE'!F17</f>
        <v>0</v>
      </c>
      <c r="J28" s="1672"/>
      <c r="K28" s="1672"/>
      <c r="L28" s="1672"/>
      <c r="M28" s="1672"/>
      <c r="N28" s="1672"/>
      <c r="O28" s="1672"/>
      <c r="P28" s="1672"/>
      <c r="Q28" s="1672"/>
      <c r="R28" s="1672"/>
      <c r="S28" s="1672"/>
      <c r="T28" s="1672"/>
      <c r="U28" s="1673"/>
    </row>
    <row r="29" spans="1:21" ht="14.1">
      <c r="A29" s="51" t="s">
        <v>913</v>
      </c>
      <c r="B29" s="52"/>
      <c r="C29" s="53"/>
      <c r="D29" s="53"/>
      <c r="E29" s="53"/>
      <c r="F29" s="53"/>
      <c r="G29" s="53"/>
      <c r="H29" s="50"/>
      <c r="I29" s="1671">
        <f>'SPECIAL PACKAGE'!F18</f>
        <v>3379693.0676632621</v>
      </c>
      <c r="J29" s="1672"/>
      <c r="K29" s="1672"/>
      <c r="L29" s="1672"/>
      <c r="M29" s="1672"/>
      <c r="N29" s="1672"/>
      <c r="O29" s="1672"/>
      <c r="P29" s="1672"/>
      <c r="Q29" s="1672"/>
      <c r="R29" s="1672"/>
      <c r="S29" s="1672"/>
      <c r="T29" s="1672"/>
      <c r="U29" s="1673"/>
    </row>
    <row r="30" spans="1:21" ht="14.1">
      <c r="A30" s="41" t="s">
        <v>914</v>
      </c>
      <c r="B30" s="42"/>
      <c r="C30" s="44"/>
      <c r="D30" s="44"/>
      <c r="E30" s="44"/>
      <c r="F30" s="44"/>
      <c r="G30" s="44"/>
      <c r="H30" s="45"/>
      <c r="I30" s="1671">
        <f>'SPECIAL PACKAGE'!F21</f>
        <v>430910.86612706591</v>
      </c>
      <c r="J30" s="1672"/>
      <c r="K30" s="1672"/>
      <c r="L30" s="1672"/>
      <c r="M30" s="1672"/>
      <c r="N30" s="1672"/>
      <c r="O30" s="1672"/>
      <c r="P30" s="1672"/>
      <c r="Q30" s="1672"/>
      <c r="R30" s="1672"/>
      <c r="S30" s="1672"/>
      <c r="T30" s="1672"/>
      <c r="U30" s="1673"/>
    </row>
    <row r="31" spans="1:21" ht="14.1">
      <c r="A31" s="41" t="s">
        <v>915</v>
      </c>
      <c r="B31" s="42"/>
      <c r="C31" s="44"/>
      <c r="D31" s="44"/>
      <c r="E31" s="44"/>
      <c r="F31" s="44"/>
      <c r="G31" s="44"/>
      <c r="H31" s="45"/>
      <c r="I31" s="1671">
        <f>'SPECIAL PACKAGE'!F20</f>
        <v>0</v>
      </c>
      <c r="J31" s="1672"/>
      <c r="K31" s="1672"/>
      <c r="L31" s="1672"/>
      <c r="M31" s="1672"/>
      <c r="N31" s="1672"/>
      <c r="O31" s="1672"/>
      <c r="P31" s="1672"/>
      <c r="Q31" s="1672"/>
      <c r="R31" s="1672"/>
      <c r="S31" s="1672"/>
      <c r="T31" s="1672"/>
      <c r="U31" s="1673"/>
    </row>
    <row r="32" spans="1:21" ht="14.1">
      <c r="A32" s="41" t="s">
        <v>77</v>
      </c>
      <c r="B32" s="42"/>
      <c r="C32" s="44"/>
      <c r="D32" s="44"/>
      <c r="E32" s="44"/>
      <c r="F32" s="44"/>
      <c r="G32" s="44"/>
      <c r="H32" s="45"/>
      <c r="I32" s="1671">
        <f>'SPECIAL PACKAGE'!F23</f>
        <v>3810603.933790328</v>
      </c>
      <c r="J32" s="1672"/>
      <c r="K32" s="1672"/>
      <c r="L32" s="1672"/>
      <c r="M32" s="1672"/>
      <c r="N32" s="1672"/>
      <c r="O32" s="1672"/>
      <c r="P32" s="1672"/>
      <c r="Q32" s="1672"/>
      <c r="R32" s="1672"/>
      <c r="S32" s="1672"/>
      <c r="T32" s="1672"/>
      <c r="U32" s="1673"/>
    </row>
    <row r="34" spans="1:21">
      <c r="A34" s="72" t="s">
        <v>916</v>
      </c>
      <c r="B34" s="46"/>
      <c r="C34" s="46"/>
      <c r="D34" s="46"/>
      <c r="E34" s="46"/>
      <c r="F34" s="46"/>
      <c r="G34" s="47"/>
      <c r="H34" s="47"/>
      <c r="I34" s="47"/>
      <c r="J34" s="47"/>
      <c r="K34" s="47"/>
      <c r="L34" s="47"/>
      <c r="M34" s="47"/>
      <c r="N34" s="47"/>
      <c r="O34" s="47"/>
      <c r="P34" s="47"/>
      <c r="Q34" s="47"/>
      <c r="R34" s="47"/>
      <c r="S34" s="47"/>
      <c r="T34" s="47"/>
      <c r="U34" s="48"/>
    </row>
    <row r="35" spans="1:21" ht="4.5" customHeight="1">
      <c r="A35" s="37"/>
      <c r="B35" s="20"/>
      <c r="C35" s="20"/>
      <c r="D35" s="20"/>
      <c r="E35" s="20"/>
      <c r="F35" s="20"/>
      <c r="G35" s="20"/>
      <c r="H35" s="20"/>
      <c r="I35" s="20"/>
      <c r="J35" s="20"/>
      <c r="K35" s="20"/>
      <c r="L35" s="20"/>
      <c r="M35" s="20"/>
      <c r="N35" s="20"/>
      <c r="O35" s="20"/>
      <c r="P35" s="20"/>
      <c r="Q35" s="20"/>
      <c r="R35" s="20"/>
      <c r="S35" s="20"/>
      <c r="T35" s="20"/>
      <c r="U35" s="38"/>
    </row>
    <row r="36" spans="1:21" ht="14.1">
      <c r="A36" s="37"/>
      <c r="B36" s="20"/>
      <c r="C36" s="20"/>
      <c r="D36" s="20" t="s">
        <v>917</v>
      </c>
      <c r="E36" s="20"/>
      <c r="F36" s="20"/>
      <c r="G36" s="20"/>
      <c r="H36" s="20"/>
      <c r="I36" s="20"/>
      <c r="J36" s="20"/>
      <c r="K36" s="20"/>
      <c r="L36" s="20"/>
      <c r="M36" s="20" t="s">
        <v>918</v>
      </c>
      <c r="O36" s="20"/>
      <c r="P36" s="20"/>
      <c r="Q36" s="20"/>
      <c r="R36" s="20"/>
      <c r="S36" s="20" t="s">
        <v>919</v>
      </c>
      <c r="T36" s="20"/>
      <c r="U36" s="38"/>
    </row>
    <row r="37" spans="1:21" ht="4.5" customHeight="1">
      <c r="A37" s="73"/>
      <c r="B37" s="35"/>
      <c r="C37" s="35"/>
      <c r="D37" s="35"/>
      <c r="E37" s="35"/>
      <c r="F37" s="35"/>
      <c r="G37" s="35"/>
      <c r="H37" s="35"/>
      <c r="I37" s="35"/>
      <c r="J37" s="35"/>
      <c r="K37" s="35"/>
      <c r="L37" s="35"/>
      <c r="M37" s="35"/>
      <c r="N37" s="35"/>
      <c r="O37" s="35"/>
      <c r="P37" s="35"/>
      <c r="Q37" s="35"/>
      <c r="R37" s="35"/>
      <c r="S37" s="35"/>
      <c r="T37" s="35"/>
      <c r="U37" s="74"/>
    </row>
    <row r="38" spans="1:21" ht="11.25" customHeight="1"/>
    <row r="39" spans="1:21" ht="14.45">
      <c r="A39" s="3" t="s">
        <v>920</v>
      </c>
      <c r="T39"/>
    </row>
    <row r="40" spans="1:21" ht="13.5" customHeight="1">
      <c r="A40" s="77" t="s">
        <v>921</v>
      </c>
      <c r="C40" s="1531" t="s">
        <v>922</v>
      </c>
      <c r="D40" s="1531"/>
      <c r="E40" s="1531"/>
      <c r="F40" s="1531"/>
      <c r="G40" s="1531"/>
      <c r="H40" s="1531"/>
      <c r="I40" s="1531"/>
      <c r="J40" s="1531"/>
      <c r="K40" s="1531"/>
      <c r="L40" s="1531"/>
      <c r="M40" s="1531"/>
      <c r="N40" s="1531"/>
      <c r="O40" s="1532"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"&amp;PROPER(IF(LEN(LEFT(TRIM(MID(SUBSTITUTE([7]Sheet1!A2,".",REPT(" ",255)),255,200)),2))=1,CHOOSE(1*LEFT(TRIM(MID(SUBSTITUTE([7]Sheet1!A2,".",REPT(" ",255)),255,200)),2),"ten","twenty","thirty","forty","fifty","sixty","seventy","eighty","ninety")&amp;" cents","")&amp;CONCATENATE(CHOOSE(MID(TEXT(INT(LEFT(TRIM(MID(SUBSTITUTE([7]Sheet1!A2,".",REPT(" ",255)),255,200)),2)),REPT(0,12)),11,1)+1,"",CHOOSE(MID(TEXT(INT(LEFT(TRIM(MID(SUBSTITUTE([7]Sheet1!A2,".",REPT(" ",255)),255,200)),2)),REPT(0,12)),12,1)+1,"ten","eleven","twelve","thirteen","fourteen","fifteen","sixteen","seventeen","eighteen","nineteen")&amp;" cents","twenty","thirty","forty","fifty","sixty","seventy","eighty","ninety"),IF(VALUE(MID(TEXT(INT(LEFT(TRIM(MID(SUBSTITUTE([7]Sheet1!A2,".",REPT(" ",255)),255,200)),2)),REPT(0,12)),11,1))&gt;1,CHOOSE(MID(TEXT(INT(LEFT(TRIM(MID(SUBSTITUTE([7]Sheet1!A2,".",REPT(" ",255)),255,200)),2)),REPT(0,12)),12,1)+1,"","-one","-two","-three","-four","-five","-six","-seven","-eight","-nine")&amp;" cents",IF(LEFT(TRIM(MID(SUBSTITUTE([7]Sheet1!A2,".",REPT(" ",255)),255,200)),2)="01","one cent",IF(LEFT(TRIM(MID(SUBSTITUTE([7]Sheet1!A2,".",REPT(" ",255)),255,200)),1)="0",CHOOSE(MID(TEXT(INT(LEFT(TRIM(MID(SUBSTITUTE([7]Sheet1!A2,".",REPT(" ",255)),255,200)),2)),REPT(0,12)),12,1)+1,"","one","two","three","four","five","six","seven","eight","nine")&amp;" cents","")))))))</f>
        <v>Thirty Thousand  Pesos</v>
      </c>
      <c r="P40" s="1532"/>
      <c r="Q40" s="1532"/>
      <c r="R40" s="1532"/>
      <c r="S40" s="81" t="s">
        <v>923</v>
      </c>
      <c r="T40" s="538">
        <f>FORM!I22</f>
        <v>30000</v>
      </c>
      <c r="U40" s="84" t="s">
        <v>924</v>
      </c>
    </row>
    <row r="41" spans="1:21" ht="13.5" customHeight="1">
      <c r="A41" s="75"/>
      <c r="B41" s="76"/>
      <c r="C41" s="76"/>
      <c r="D41" s="76"/>
      <c r="E41" s="76"/>
      <c r="F41" s="76"/>
      <c r="G41" s="76"/>
      <c r="H41" s="76"/>
      <c r="I41" s="76"/>
      <c r="J41" s="76"/>
      <c r="K41" s="76"/>
      <c r="L41" s="76"/>
      <c r="M41" s="76"/>
      <c r="N41" s="76"/>
      <c r="O41" s="79"/>
      <c r="P41" s="79"/>
      <c r="Q41" s="79"/>
      <c r="R41" s="79"/>
      <c r="S41" s="59"/>
      <c r="T41" s="80"/>
      <c r="U41" s="59"/>
    </row>
    <row r="42" spans="1:21" ht="13.5" customHeight="1">
      <c r="A42" s="75"/>
      <c r="B42" s="76"/>
      <c r="C42" s="76"/>
      <c r="D42" s="76"/>
      <c r="E42" s="76"/>
      <c r="F42" s="76"/>
      <c r="G42" s="76"/>
      <c r="H42" s="76"/>
      <c r="I42" s="76"/>
      <c r="J42" s="76"/>
      <c r="K42" s="76"/>
      <c r="L42" s="76"/>
      <c r="M42" s="76"/>
      <c r="N42" s="76"/>
      <c r="O42" s="79"/>
      <c r="P42" s="79"/>
      <c r="Q42" s="79"/>
      <c r="R42" s="79"/>
      <c r="S42" s="59"/>
      <c r="T42" s="80"/>
      <c r="U42" s="59"/>
    </row>
    <row r="43" spans="1:21" ht="13.5" customHeight="1">
      <c r="A43" s="75"/>
      <c r="B43" s="76"/>
      <c r="C43" s="76"/>
      <c r="D43" s="76"/>
      <c r="E43" s="76"/>
      <c r="F43" s="76"/>
      <c r="G43" s="76"/>
      <c r="H43" s="76"/>
      <c r="I43" s="76"/>
      <c r="J43" s="76"/>
      <c r="K43" s="76"/>
      <c r="L43" s="76"/>
      <c r="M43" s="76"/>
      <c r="N43" s="76"/>
      <c r="O43" s="79"/>
      <c r="P43" s="79"/>
      <c r="Q43" s="79"/>
      <c r="R43" s="79"/>
      <c r="S43" s="59"/>
      <c r="T43" s="80"/>
      <c r="U43" s="59"/>
    </row>
    <row r="44" spans="1:21" ht="13.5" customHeight="1">
      <c r="A44" s="75"/>
      <c r="B44" s="76"/>
      <c r="C44" s="76"/>
      <c r="D44" s="76"/>
      <c r="E44" s="76" t="s">
        <v>757</v>
      </c>
      <c r="F44" s="76"/>
      <c r="G44" s="76"/>
      <c r="H44" s="76"/>
      <c r="I44" s="76"/>
      <c r="J44" s="76"/>
      <c r="K44" s="76"/>
      <c r="L44" s="76"/>
      <c r="M44" s="76"/>
      <c r="N44" s="76"/>
      <c r="O44" s="79"/>
      <c r="P44" s="79"/>
      <c r="Q44" s="79"/>
      <c r="R44" s="79"/>
      <c r="S44" s="59"/>
      <c r="T44" s="80"/>
      <c r="U44" s="59"/>
    </row>
    <row r="45" spans="1:21" ht="13.5" customHeight="1">
      <c r="A45" s="75"/>
      <c r="B45" s="76"/>
      <c r="C45" s="76"/>
      <c r="D45" s="76"/>
      <c r="E45" s="76"/>
      <c r="F45" s="76"/>
      <c r="G45" s="76"/>
      <c r="H45" s="76"/>
      <c r="I45" s="76"/>
      <c r="J45" s="76"/>
      <c r="K45" s="76"/>
      <c r="L45" s="76"/>
      <c r="M45" s="76"/>
      <c r="N45" s="76"/>
      <c r="O45" s="79"/>
      <c r="P45" s="79"/>
      <c r="Q45" s="79"/>
      <c r="R45" s="79"/>
      <c r="S45" s="59"/>
      <c r="T45" s="80"/>
      <c r="U45" s="59"/>
    </row>
    <row r="46" spans="1:21" ht="13.5" customHeight="1">
      <c r="A46" s="75"/>
      <c r="B46" s="76"/>
      <c r="C46" s="76"/>
      <c r="D46" s="76"/>
      <c r="E46" s="76"/>
      <c r="F46" s="76"/>
      <c r="G46" s="76"/>
      <c r="H46" s="76"/>
      <c r="I46" s="76"/>
      <c r="J46" s="76"/>
      <c r="K46" s="76"/>
      <c r="L46" s="76"/>
      <c r="M46" s="76"/>
      <c r="N46" s="76"/>
      <c r="O46" s="79"/>
      <c r="P46" s="79"/>
      <c r="Q46" s="79"/>
      <c r="R46" s="79"/>
      <c r="S46" s="59"/>
      <c r="T46" s="80"/>
      <c r="U46" s="59"/>
    </row>
    <row r="47" spans="1:21" ht="13.5" customHeight="1">
      <c r="A47" s="75"/>
      <c r="B47" s="76"/>
      <c r="C47" s="76"/>
      <c r="D47" s="76"/>
      <c r="E47" s="76"/>
      <c r="F47" s="76"/>
      <c r="G47" s="76"/>
      <c r="H47" s="76"/>
      <c r="I47" s="76"/>
      <c r="J47" s="76"/>
      <c r="K47" s="76"/>
      <c r="L47" s="76"/>
      <c r="M47" s="76"/>
      <c r="N47" s="76"/>
      <c r="O47" s="79"/>
      <c r="P47" s="79"/>
      <c r="Q47" s="79"/>
      <c r="R47" s="79"/>
      <c r="S47" s="59"/>
      <c r="T47" s="80"/>
      <c r="U47" s="59"/>
    </row>
    <row r="48" spans="1:21" ht="13.5" customHeight="1">
      <c r="A48" s="75"/>
      <c r="B48" s="76"/>
      <c r="C48" s="76"/>
      <c r="D48" s="76"/>
      <c r="E48" s="76"/>
      <c r="F48" s="76"/>
      <c r="G48" s="76"/>
      <c r="H48" s="76"/>
      <c r="I48" s="76"/>
      <c r="J48" s="76"/>
      <c r="K48" s="76"/>
      <c r="L48" s="76"/>
      <c r="M48" s="76"/>
      <c r="N48" s="76"/>
      <c r="O48" s="79"/>
      <c r="P48" s="79"/>
      <c r="Q48" s="79"/>
      <c r="R48" s="79"/>
      <c r="S48" s="59"/>
      <c r="T48" s="80"/>
      <c r="U48" s="59"/>
    </row>
    <row r="49" spans="1:21" ht="13.5" customHeight="1">
      <c r="A49" s="75"/>
      <c r="B49" s="76"/>
      <c r="C49" s="76"/>
      <c r="D49" s="76"/>
      <c r="E49" s="76"/>
      <c r="F49" s="76"/>
      <c r="G49" s="76"/>
      <c r="H49" s="76"/>
      <c r="I49" s="76"/>
      <c r="J49" s="76"/>
      <c r="K49" s="76"/>
      <c r="L49" s="76"/>
      <c r="M49" s="76"/>
      <c r="N49" s="76"/>
      <c r="O49" s="79"/>
      <c r="P49" s="79"/>
      <c r="Q49" s="79"/>
      <c r="R49" s="79"/>
      <c r="S49" s="59"/>
      <c r="T49" s="80"/>
      <c r="U49" s="59"/>
    </row>
    <row r="50" spans="1:21" ht="13.5" customHeight="1">
      <c r="A50" s="75"/>
      <c r="B50" s="76"/>
      <c r="C50" s="76"/>
      <c r="D50" s="76"/>
      <c r="E50" s="76"/>
      <c r="F50" s="76"/>
      <c r="G50" s="76"/>
      <c r="H50" s="76"/>
      <c r="I50" s="76"/>
      <c r="J50" s="76"/>
      <c r="K50" s="76"/>
      <c r="L50" s="76"/>
      <c r="M50" s="76"/>
      <c r="N50" s="76"/>
      <c r="O50" s="79"/>
      <c r="P50" s="79"/>
      <c r="Q50" s="79"/>
      <c r="R50" s="79"/>
      <c r="S50" s="59"/>
      <c r="T50" s="80"/>
      <c r="U50" s="59"/>
    </row>
    <row r="51" spans="1:21" ht="13.5" customHeight="1">
      <c r="A51" s="75"/>
      <c r="B51" s="76"/>
      <c r="C51" s="76"/>
      <c r="D51" s="76"/>
      <c r="E51" s="76"/>
      <c r="F51" s="76"/>
      <c r="G51" s="76"/>
      <c r="H51" s="76"/>
      <c r="I51" s="76"/>
      <c r="J51" s="76"/>
      <c r="K51" s="76"/>
      <c r="L51" s="76"/>
      <c r="M51" s="76"/>
      <c r="N51" s="76"/>
      <c r="O51" s="79"/>
      <c r="P51" s="79"/>
      <c r="Q51" s="79"/>
      <c r="R51" s="79"/>
      <c r="S51" s="59"/>
      <c r="T51" s="80"/>
      <c r="U51" s="59"/>
    </row>
    <row r="52" spans="1:21" ht="13.5" customHeight="1">
      <c r="A52" s="75"/>
      <c r="B52" s="76"/>
      <c r="C52" s="76"/>
      <c r="D52" s="76"/>
      <c r="E52" s="76"/>
      <c r="F52" s="76"/>
      <c r="G52" s="76"/>
      <c r="H52" s="76"/>
      <c r="I52" s="76"/>
      <c r="J52" s="76"/>
      <c r="K52" s="76"/>
      <c r="L52" s="76"/>
      <c r="M52" s="76"/>
      <c r="N52" s="76"/>
      <c r="O52" s="79"/>
      <c r="P52" s="79"/>
      <c r="Q52" s="79"/>
      <c r="R52" s="79"/>
      <c r="S52" s="59"/>
      <c r="T52" s="80"/>
      <c r="U52" s="59"/>
    </row>
    <row r="53" spans="1:21" ht="13.5" customHeight="1">
      <c r="A53" s="75"/>
      <c r="B53" s="76"/>
      <c r="C53" s="76"/>
      <c r="D53" s="76"/>
      <c r="E53" s="76"/>
      <c r="F53" s="76"/>
      <c r="G53" s="76"/>
      <c r="H53" s="76"/>
      <c r="I53" s="76"/>
      <c r="J53" s="76"/>
      <c r="K53" s="76"/>
      <c r="L53" s="76"/>
      <c r="M53" s="76"/>
      <c r="N53" s="76"/>
      <c r="O53" s="79"/>
      <c r="P53" s="79"/>
      <c r="Q53" s="79"/>
      <c r="R53" s="79"/>
      <c r="S53" s="59"/>
      <c r="T53" s="80"/>
      <c r="U53" s="59"/>
    </row>
    <row r="54" spans="1:21" ht="13.5" customHeight="1">
      <c r="A54" s="75"/>
      <c r="B54" s="76"/>
      <c r="C54" s="76"/>
      <c r="D54" s="76"/>
      <c r="E54" s="76"/>
      <c r="F54" s="76"/>
      <c r="G54" s="76"/>
      <c r="H54" s="76"/>
      <c r="I54" s="76"/>
      <c r="J54" s="76"/>
      <c r="K54" s="76"/>
      <c r="L54" s="76"/>
      <c r="M54" s="76"/>
      <c r="N54" s="76"/>
      <c r="O54" s="79"/>
      <c r="P54" s="79"/>
      <c r="Q54" s="79"/>
      <c r="R54" s="79"/>
      <c r="S54" s="59"/>
      <c r="T54" s="80"/>
      <c r="U54" s="59"/>
    </row>
    <row r="55" spans="1:21" ht="13.5" customHeight="1">
      <c r="A55" s="75"/>
      <c r="B55" s="76"/>
      <c r="C55" s="76"/>
      <c r="D55" s="76"/>
      <c r="E55" s="76"/>
      <c r="F55" s="76"/>
      <c r="G55" s="76"/>
      <c r="H55" s="76"/>
      <c r="I55" s="76"/>
      <c r="J55" s="76"/>
      <c r="K55" s="76"/>
      <c r="L55" s="76"/>
      <c r="M55" s="76"/>
      <c r="N55" s="76"/>
      <c r="O55" s="79"/>
      <c r="P55" s="79"/>
      <c r="Q55" s="79"/>
      <c r="R55" s="79"/>
      <c r="S55" s="59"/>
      <c r="T55" s="80"/>
      <c r="U55" s="59"/>
    </row>
    <row r="56" spans="1:21" ht="13.5" customHeight="1">
      <c r="A56" s="75"/>
      <c r="B56" s="76"/>
      <c r="C56" s="76"/>
      <c r="D56" s="76"/>
      <c r="E56" s="76"/>
      <c r="F56" s="76"/>
      <c r="G56" s="76"/>
      <c r="H56" s="76"/>
      <c r="I56" s="76"/>
      <c r="J56" s="76"/>
      <c r="K56" s="76"/>
      <c r="L56" s="76"/>
      <c r="M56" s="76"/>
      <c r="N56" s="76"/>
      <c r="O56" s="79"/>
      <c r="P56" s="79"/>
      <c r="Q56" s="79"/>
      <c r="R56" s="79"/>
      <c r="S56" s="59"/>
      <c r="T56" s="80"/>
      <c r="U56" s="59"/>
    </row>
    <row r="57" spans="1:21" ht="13.5" customHeight="1">
      <c r="A57" s="75"/>
      <c r="B57" s="76"/>
      <c r="C57" s="76"/>
      <c r="D57" s="76"/>
      <c r="E57" s="76"/>
      <c r="F57" s="76"/>
      <c r="G57" s="76"/>
      <c r="H57" s="76"/>
      <c r="I57" s="76"/>
      <c r="J57" s="76"/>
      <c r="K57" s="76"/>
      <c r="L57" s="76"/>
      <c r="M57" s="76"/>
      <c r="N57" s="76"/>
      <c r="O57" s="79"/>
      <c r="P57" s="79"/>
      <c r="Q57" s="79"/>
      <c r="R57" s="79"/>
      <c r="S57" s="59"/>
      <c r="T57" s="80"/>
      <c r="U57" s="59"/>
    </row>
    <row r="58" spans="1:21" ht="13.5" customHeight="1">
      <c r="A58" s="75"/>
      <c r="B58" s="76"/>
      <c r="C58" s="76"/>
      <c r="D58" s="76"/>
      <c r="E58" s="76"/>
      <c r="F58" s="76"/>
      <c r="G58" s="76"/>
      <c r="H58" s="76"/>
      <c r="I58" s="76"/>
      <c r="J58" s="76"/>
      <c r="K58" s="76"/>
      <c r="L58" s="76"/>
      <c r="M58" s="76"/>
      <c r="N58" s="76"/>
      <c r="O58" s="79"/>
      <c r="P58" s="79"/>
      <c r="Q58" s="79"/>
      <c r="R58" s="79"/>
      <c r="S58" s="59"/>
      <c r="T58" s="80"/>
      <c r="U58" s="59"/>
    </row>
    <row r="59" spans="1:21" ht="13.5" customHeight="1">
      <c r="A59" s="75"/>
      <c r="B59" s="76"/>
      <c r="C59" s="76"/>
      <c r="D59" s="76"/>
      <c r="E59" s="76"/>
      <c r="F59" s="76"/>
      <c r="G59" s="76"/>
      <c r="H59" s="76"/>
      <c r="I59" s="76"/>
      <c r="J59" s="76"/>
      <c r="K59" s="76"/>
      <c r="L59" s="76"/>
      <c r="M59" s="76"/>
      <c r="N59" s="76"/>
      <c r="O59" s="79"/>
      <c r="P59" s="79"/>
      <c r="Q59" s="79"/>
      <c r="R59" s="79"/>
      <c r="S59" s="59"/>
      <c r="T59" s="80"/>
      <c r="U59" s="59"/>
    </row>
    <row r="60" spans="1:21" ht="13.5" customHeight="1">
      <c r="A60" s="75"/>
      <c r="B60" s="76"/>
      <c r="C60" s="76"/>
      <c r="D60" s="76"/>
      <c r="E60" s="76"/>
      <c r="F60" s="76"/>
      <c r="G60" s="76"/>
      <c r="H60" s="76"/>
      <c r="I60" s="76"/>
      <c r="J60" s="76"/>
      <c r="K60" s="76"/>
      <c r="L60" s="76"/>
      <c r="M60" s="76"/>
      <c r="N60" s="76"/>
      <c r="O60" s="79"/>
      <c r="P60" s="79"/>
      <c r="Q60" s="79"/>
      <c r="R60" s="79"/>
      <c r="S60" s="59"/>
      <c r="T60" s="80"/>
      <c r="U60" s="59"/>
    </row>
    <row r="61" spans="1:21" ht="13.5" customHeight="1">
      <c r="A61" s="75"/>
      <c r="B61" s="76"/>
      <c r="C61" s="76"/>
      <c r="D61" s="76"/>
      <c r="E61" s="76"/>
      <c r="F61" s="76"/>
      <c r="G61" s="76"/>
      <c r="H61" s="76"/>
      <c r="I61" s="76"/>
      <c r="J61" s="76"/>
      <c r="K61" s="76"/>
      <c r="L61" s="76"/>
      <c r="M61" s="76"/>
      <c r="N61" s="76"/>
      <c r="O61" s="79"/>
      <c r="P61" s="79"/>
      <c r="Q61" s="79"/>
      <c r="R61" s="79"/>
      <c r="S61" s="59"/>
      <c r="T61" s="80"/>
      <c r="U61" s="59"/>
    </row>
    <row r="62" spans="1:21" ht="13.5" customHeight="1">
      <c r="A62" s="75"/>
      <c r="B62" s="76"/>
      <c r="C62" s="76"/>
      <c r="D62" s="76"/>
      <c r="E62" s="76"/>
      <c r="F62" s="76"/>
      <c r="G62" s="76"/>
      <c r="H62" s="76"/>
      <c r="I62" s="76"/>
      <c r="J62" s="76"/>
      <c r="K62" s="76"/>
      <c r="L62" s="76"/>
      <c r="M62" s="76"/>
      <c r="N62" s="76"/>
      <c r="O62" s="79"/>
      <c r="P62" s="79"/>
      <c r="Q62" s="79"/>
      <c r="R62" s="79"/>
      <c r="S62" s="59"/>
      <c r="T62" s="80"/>
      <c r="U62" s="59"/>
    </row>
    <row r="63" spans="1:21" ht="13.5" customHeight="1">
      <c r="A63" s="75"/>
      <c r="B63" s="76"/>
      <c r="C63" s="76"/>
      <c r="D63" s="76"/>
      <c r="E63" s="76"/>
      <c r="F63" s="76"/>
      <c r="G63" s="76"/>
      <c r="H63" s="76"/>
      <c r="I63" s="76"/>
      <c r="J63" s="76"/>
      <c r="K63" s="76"/>
      <c r="L63" s="76"/>
      <c r="M63" s="76"/>
      <c r="N63" s="76"/>
      <c r="O63" s="79"/>
      <c r="P63" s="79"/>
      <c r="Q63" s="79"/>
      <c r="R63" s="79"/>
      <c r="S63" s="59"/>
      <c r="T63" s="80"/>
      <c r="U63" s="59"/>
    </row>
    <row r="64" spans="1:21" ht="13.5" customHeight="1">
      <c r="A64" s="75"/>
      <c r="B64" s="76"/>
      <c r="C64" s="76"/>
      <c r="D64" s="76"/>
      <c r="E64" s="76"/>
      <c r="F64" s="76"/>
      <c r="G64" s="76"/>
      <c r="H64" s="76"/>
      <c r="I64" s="76"/>
      <c r="J64" s="76"/>
      <c r="K64" s="76"/>
      <c r="L64" s="76"/>
      <c r="M64" s="76"/>
      <c r="N64" s="76"/>
      <c r="O64" s="79"/>
      <c r="P64" s="79"/>
      <c r="Q64" s="79"/>
      <c r="R64" s="79"/>
      <c r="S64" s="59"/>
      <c r="T64" s="80"/>
      <c r="U64" s="59"/>
    </row>
    <row r="65" spans="1:21" ht="13.5" customHeight="1">
      <c r="A65" s="75"/>
      <c r="B65" s="76"/>
      <c r="C65" s="76"/>
      <c r="D65" s="76"/>
      <c r="E65" s="76"/>
      <c r="F65" s="76"/>
      <c r="G65" s="76"/>
      <c r="H65" s="76"/>
      <c r="I65" s="76"/>
      <c r="J65" s="76"/>
      <c r="K65" s="76"/>
      <c r="L65" s="76"/>
      <c r="M65" s="76"/>
      <c r="N65" s="76"/>
      <c r="O65" s="79"/>
      <c r="P65" s="79"/>
      <c r="Q65" s="79"/>
      <c r="R65" s="79"/>
      <c r="S65" s="59"/>
      <c r="T65" s="80"/>
      <c r="U65" s="59"/>
    </row>
    <row r="66" spans="1:21" ht="13.5" customHeight="1">
      <c r="A66" s="75"/>
      <c r="B66" s="76"/>
      <c r="C66" s="76"/>
      <c r="D66" s="76"/>
      <c r="E66" s="76"/>
      <c r="F66" s="76"/>
      <c r="G66" s="76"/>
      <c r="H66" s="76"/>
      <c r="I66" s="76"/>
      <c r="J66" s="76"/>
      <c r="K66" s="76"/>
      <c r="L66" s="76"/>
      <c r="M66" s="76"/>
      <c r="N66" s="76"/>
      <c r="O66" s="79"/>
      <c r="P66" s="79"/>
      <c r="Q66" s="79"/>
      <c r="R66" s="79"/>
      <c r="S66" s="59"/>
      <c r="T66" s="80"/>
      <c r="U66" s="59"/>
    </row>
    <row r="67" spans="1:21" ht="13.5" customHeight="1">
      <c r="A67" s="75"/>
      <c r="B67" s="76"/>
      <c r="C67" s="76"/>
      <c r="D67" s="76"/>
      <c r="E67" s="76"/>
      <c r="F67" s="76"/>
      <c r="G67" s="76"/>
      <c r="H67" s="76"/>
      <c r="I67" s="76"/>
      <c r="J67" s="76"/>
      <c r="K67" s="76"/>
      <c r="L67" s="76"/>
      <c r="M67" s="76"/>
      <c r="N67" s="76"/>
      <c r="O67" s="79"/>
      <c r="P67" s="79"/>
      <c r="Q67" s="79"/>
      <c r="R67" s="79"/>
      <c r="S67" s="59"/>
      <c r="T67" s="80"/>
      <c r="U67" s="59"/>
    </row>
    <row r="68" spans="1:21" ht="13.5" customHeight="1">
      <c r="A68" s="75"/>
      <c r="B68" s="76"/>
      <c r="C68" s="76"/>
      <c r="D68" s="76"/>
      <c r="E68" s="76"/>
      <c r="F68" s="76"/>
      <c r="G68" s="76"/>
      <c r="H68" s="76"/>
      <c r="I68" s="76"/>
      <c r="J68" s="76"/>
      <c r="K68" s="76"/>
      <c r="L68" s="76"/>
      <c r="M68" s="76"/>
      <c r="N68" s="76"/>
      <c r="O68" s="79"/>
      <c r="P68" s="79"/>
      <c r="Q68" s="79"/>
      <c r="R68" s="79"/>
      <c r="S68" s="59"/>
      <c r="T68" s="80"/>
      <c r="U68" s="59"/>
    </row>
    <row r="69" spans="1:21" ht="13.5" customHeight="1">
      <c r="A69" s="75"/>
      <c r="B69" s="76"/>
      <c r="C69" s="76"/>
      <c r="D69" s="76"/>
      <c r="E69" s="76"/>
      <c r="F69" s="76"/>
      <c r="G69" s="76"/>
      <c r="H69" s="76"/>
      <c r="I69" s="76"/>
      <c r="J69" s="76"/>
      <c r="K69" s="76"/>
      <c r="L69" s="76"/>
      <c r="M69" s="76"/>
      <c r="N69" s="76"/>
      <c r="O69" s="79"/>
      <c r="P69" s="79"/>
      <c r="Q69" s="79"/>
      <c r="R69" s="79"/>
      <c r="S69" s="59"/>
      <c r="T69" s="80"/>
      <c r="U69" s="59"/>
    </row>
    <row r="70" spans="1:21" ht="13.5" customHeight="1">
      <c r="A70" s="75"/>
      <c r="B70" s="76"/>
      <c r="C70" s="76"/>
      <c r="D70" s="76"/>
      <c r="E70" s="76"/>
      <c r="F70" s="76"/>
      <c r="G70" s="76"/>
      <c r="H70" s="76"/>
      <c r="I70" s="76"/>
      <c r="J70" s="76"/>
      <c r="K70" s="76"/>
      <c r="L70" s="76"/>
      <c r="M70" s="76"/>
      <c r="N70" s="76"/>
      <c r="O70" s="79"/>
      <c r="P70" s="79"/>
      <c r="Q70" s="79"/>
      <c r="R70" s="79"/>
      <c r="S70" s="59"/>
      <c r="T70" s="80"/>
      <c r="U70" s="59"/>
    </row>
    <row r="71" spans="1:21" ht="13.5" customHeight="1">
      <c r="A71" s="75"/>
      <c r="B71" s="76"/>
      <c r="C71" s="76"/>
      <c r="D71" s="76"/>
      <c r="E71" s="76"/>
      <c r="F71" s="76"/>
      <c r="G71" s="76"/>
      <c r="H71" s="76"/>
      <c r="I71" s="76"/>
      <c r="J71" s="76"/>
      <c r="K71" s="76"/>
      <c r="L71" s="76"/>
      <c r="M71" s="76"/>
      <c r="N71" s="76"/>
      <c r="O71" s="79"/>
      <c r="P71" s="79"/>
      <c r="Q71" s="79"/>
      <c r="R71" s="79"/>
      <c r="S71" s="59"/>
      <c r="T71" s="80"/>
      <c r="U71" s="59"/>
    </row>
    <row r="72" spans="1:21" ht="13.5" customHeight="1">
      <c r="A72" s="75"/>
      <c r="B72" s="76"/>
      <c r="C72" s="76"/>
      <c r="D72" s="76"/>
      <c r="E72" s="76"/>
      <c r="F72" s="76"/>
      <c r="G72" s="76"/>
      <c r="H72" s="76"/>
      <c r="I72" s="76"/>
      <c r="J72" s="76"/>
      <c r="K72" s="76"/>
      <c r="L72" s="76"/>
      <c r="M72" s="76"/>
      <c r="N72" s="76"/>
      <c r="O72" s="79"/>
      <c r="P72" s="79"/>
      <c r="Q72" s="79"/>
      <c r="R72" s="79"/>
      <c r="S72" s="59"/>
      <c r="T72" s="80"/>
      <c r="U72" s="59"/>
    </row>
    <row r="73" spans="1:21" ht="13.5" customHeight="1">
      <c r="A73" s="75"/>
      <c r="B73" s="76"/>
      <c r="C73" s="76"/>
      <c r="D73" s="76"/>
      <c r="E73" s="76"/>
      <c r="F73" s="76"/>
      <c r="G73" s="76"/>
      <c r="H73" s="76"/>
      <c r="I73" s="76"/>
      <c r="J73" s="76"/>
      <c r="K73" s="76"/>
      <c r="L73" s="76"/>
      <c r="M73" s="76"/>
      <c r="N73" s="76"/>
      <c r="O73" s="79"/>
      <c r="P73" s="79"/>
      <c r="Q73" s="79"/>
      <c r="R73" s="79"/>
      <c r="S73" s="59"/>
      <c r="T73" s="80"/>
      <c r="U73" s="59"/>
    </row>
    <row r="74" spans="1:21" ht="13.5" customHeight="1">
      <c r="A74" s="75"/>
      <c r="B74" s="76"/>
      <c r="C74" s="76"/>
      <c r="D74" s="76"/>
      <c r="E74" s="76"/>
      <c r="F74" s="76"/>
      <c r="G74" s="76"/>
      <c r="H74" s="76"/>
      <c r="I74" s="76"/>
      <c r="J74" s="76"/>
      <c r="K74" s="76"/>
      <c r="L74" s="76"/>
      <c r="M74" s="76"/>
      <c r="N74" s="76"/>
      <c r="O74" s="79"/>
      <c r="P74" s="79"/>
      <c r="Q74" s="79"/>
      <c r="R74" s="79"/>
      <c r="S74" s="59"/>
      <c r="T74" s="80"/>
      <c r="U74" s="59"/>
    </row>
    <row r="75" spans="1:21" ht="13.5" customHeight="1">
      <c r="A75" s="75"/>
      <c r="B75" s="76"/>
      <c r="C75" s="76"/>
      <c r="D75" s="76"/>
      <c r="E75" s="76"/>
      <c r="F75" s="76"/>
      <c r="G75" s="76"/>
      <c r="H75" s="76"/>
      <c r="I75" s="76"/>
      <c r="J75" s="76"/>
      <c r="K75" s="76"/>
      <c r="L75" s="76"/>
      <c r="M75" s="76"/>
      <c r="N75" s="76"/>
      <c r="O75" s="79"/>
      <c r="P75" s="79"/>
      <c r="Q75" s="79"/>
      <c r="R75" s="79"/>
      <c r="S75" s="59"/>
      <c r="T75" s="80"/>
      <c r="U75" s="59"/>
    </row>
    <row r="76" spans="1:21" ht="13.5" customHeight="1">
      <c r="A76" s="75"/>
      <c r="B76" s="76"/>
      <c r="C76" s="76"/>
      <c r="D76" s="76"/>
      <c r="E76" s="76"/>
      <c r="F76" s="76"/>
      <c r="G76" s="76"/>
      <c r="H76" s="76"/>
      <c r="I76" s="76"/>
      <c r="J76" s="76"/>
      <c r="K76" s="76"/>
      <c r="L76" s="76"/>
      <c r="M76" s="76"/>
      <c r="N76" s="76"/>
      <c r="O76" s="79"/>
      <c r="P76" s="79"/>
      <c r="Q76" s="79"/>
      <c r="R76" s="79"/>
      <c r="S76" s="59"/>
      <c r="T76" s="80"/>
      <c r="U76" s="59"/>
    </row>
    <row r="77" spans="1:21" ht="13.5" customHeight="1">
      <c r="A77" s="75"/>
      <c r="B77" s="76"/>
      <c r="C77" s="76"/>
      <c r="D77" s="76"/>
      <c r="E77" s="76"/>
      <c r="F77" s="76"/>
      <c r="G77" s="76"/>
      <c r="H77" s="76"/>
      <c r="I77" s="76"/>
      <c r="J77" s="76"/>
      <c r="K77" s="76"/>
      <c r="L77" s="76"/>
      <c r="M77" s="76"/>
      <c r="N77" s="76"/>
      <c r="O77" s="79"/>
      <c r="P77" s="79"/>
      <c r="Q77" s="79"/>
      <c r="R77" s="79"/>
      <c r="S77" s="59"/>
      <c r="T77" s="80"/>
      <c r="U77" s="59"/>
    </row>
    <row r="78" spans="1:21" ht="13.5" customHeight="1">
      <c r="A78" s="75"/>
      <c r="B78" s="76"/>
      <c r="C78" s="76"/>
      <c r="D78" s="76"/>
      <c r="E78" s="76"/>
      <c r="F78" s="76"/>
      <c r="G78" s="76"/>
      <c r="H78" s="76"/>
      <c r="I78" s="76"/>
      <c r="J78" s="76"/>
      <c r="K78" s="76"/>
      <c r="L78" s="76"/>
      <c r="M78" s="76"/>
      <c r="N78" s="76"/>
      <c r="O78" s="79"/>
      <c r="P78" s="79"/>
      <c r="Q78" s="79"/>
      <c r="R78" s="79"/>
      <c r="S78" s="59"/>
      <c r="T78" s="80"/>
      <c r="U78" s="59"/>
    </row>
    <row r="79" spans="1:21" ht="13.5" customHeight="1">
      <c r="A79" s="75"/>
      <c r="B79" s="76"/>
      <c r="C79" s="76"/>
      <c r="D79" s="76"/>
      <c r="E79" s="76"/>
      <c r="F79" s="76"/>
      <c r="G79" s="76"/>
      <c r="H79" s="76"/>
      <c r="I79" s="76"/>
      <c r="J79" s="76"/>
      <c r="K79" s="76"/>
      <c r="L79" s="76"/>
      <c r="M79" s="76"/>
      <c r="N79" s="76"/>
      <c r="O79" s="79"/>
      <c r="P79" s="79"/>
      <c r="Q79" s="79"/>
      <c r="R79" s="79"/>
      <c r="S79" s="59"/>
      <c r="T79" s="80"/>
      <c r="U79" s="59"/>
    </row>
    <row r="80" spans="1:21" ht="13.5" customHeight="1">
      <c r="A80" s="75"/>
      <c r="B80" s="76"/>
      <c r="C80" s="76"/>
      <c r="D80" s="76"/>
      <c r="E80" s="76"/>
      <c r="F80" s="76"/>
      <c r="G80" s="76"/>
      <c r="H80" s="76"/>
      <c r="I80" s="76"/>
      <c r="J80" s="76"/>
      <c r="K80" s="76"/>
      <c r="L80" s="76"/>
      <c r="M80" s="76"/>
      <c r="N80" s="76"/>
      <c r="O80" s="79"/>
      <c r="P80" s="79"/>
      <c r="Q80" s="79"/>
      <c r="R80" s="79"/>
      <c r="S80" s="59"/>
      <c r="T80" s="80"/>
      <c r="U80" s="59"/>
    </row>
    <row r="81" spans="1:21" ht="13.5" customHeight="1">
      <c r="A81" s="75"/>
      <c r="B81" s="76"/>
      <c r="C81" s="76"/>
      <c r="D81" s="76"/>
      <c r="E81" s="76"/>
      <c r="F81" s="76"/>
      <c r="G81" s="76"/>
      <c r="H81" s="76"/>
      <c r="I81" s="76"/>
      <c r="J81" s="76"/>
      <c r="K81" s="76"/>
      <c r="L81" s="76"/>
      <c r="M81" s="76"/>
      <c r="N81" s="76"/>
      <c r="O81" s="79"/>
      <c r="P81" s="79"/>
      <c r="Q81" s="79"/>
      <c r="R81" s="79"/>
      <c r="S81" s="59"/>
      <c r="T81" s="80"/>
      <c r="U81" s="59"/>
    </row>
    <row r="82" spans="1:21" ht="13.5" customHeight="1">
      <c r="A82" s="75"/>
      <c r="B82" s="76"/>
      <c r="C82" s="76"/>
      <c r="D82" s="76"/>
      <c r="E82" s="76"/>
      <c r="F82" s="76"/>
      <c r="G82" s="76"/>
      <c r="H82" s="76"/>
      <c r="I82" s="76"/>
      <c r="J82" s="76"/>
      <c r="K82" s="76"/>
      <c r="L82" s="76"/>
      <c r="M82" s="76"/>
      <c r="N82" s="76"/>
      <c r="O82" s="79"/>
      <c r="P82" s="79"/>
      <c r="Q82" s="79"/>
      <c r="R82" s="79"/>
      <c r="S82" s="59"/>
      <c r="T82" s="80"/>
      <c r="U82" s="59"/>
    </row>
    <row r="83" spans="1:21" ht="13.5" customHeight="1">
      <c r="A83" s="75"/>
      <c r="B83" s="76"/>
      <c r="C83" s="76"/>
      <c r="D83" s="76"/>
      <c r="E83" s="76"/>
      <c r="F83" s="76"/>
      <c r="G83" s="76"/>
      <c r="H83" s="76"/>
      <c r="I83" s="76"/>
      <c r="J83" s="76"/>
      <c r="K83" s="76"/>
      <c r="L83" s="76"/>
      <c r="M83" s="76"/>
      <c r="N83" s="76"/>
      <c r="O83" s="79"/>
      <c r="P83" s="79"/>
      <c r="Q83" s="79"/>
      <c r="R83" s="79"/>
      <c r="S83" s="59"/>
      <c r="T83" s="80"/>
      <c r="U83" s="59"/>
    </row>
    <row r="84" spans="1:21" ht="13.5" customHeight="1">
      <c r="A84" s="75"/>
      <c r="B84" s="76"/>
      <c r="C84" s="76"/>
      <c r="D84" s="76"/>
      <c r="E84" s="76"/>
      <c r="F84" s="76"/>
      <c r="G84" s="76"/>
      <c r="H84" s="76"/>
      <c r="I84" s="76"/>
      <c r="J84" s="76"/>
      <c r="K84" s="76"/>
      <c r="L84" s="76"/>
      <c r="M84" s="76"/>
      <c r="N84" s="76"/>
      <c r="O84" s="79"/>
      <c r="P84" s="79"/>
      <c r="Q84" s="79"/>
      <c r="R84" s="79"/>
      <c r="S84" s="59"/>
      <c r="T84" s="80"/>
      <c r="U84" s="59"/>
    </row>
    <row r="85" spans="1:21" ht="13.5" customHeight="1">
      <c r="A85" s="75"/>
      <c r="B85" s="76"/>
      <c r="C85" s="76"/>
      <c r="D85" s="76"/>
      <c r="E85" s="76"/>
      <c r="F85" s="76"/>
      <c r="G85" s="76"/>
      <c r="H85" s="76"/>
      <c r="I85" s="76"/>
      <c r="J85" s="76"/>
      <c r="K85" s="76"/>
      <c r="L85" s="76"/>
      <c r="M85" s="76"/>
      <c r="N85" s="76"/>
      <c r="O85" s="79"/>
      <c r="P85" s="79"/>
      <c r="Q85" s="79"/>
      <c r="R85" s="79"/>
      <c r="S85" s="59"/>
      <c r="T85" s="80"/>
      <c r="U85" s="59"/>
    </row>
    <row r="86" spans="1:21" ht="6.75" customHeight="1">
      <c r="A86" s="49"/>
      <c r="B86" s="49"/>
      <c r="C86" s="49"/>
      <c r="D86" s="49"/>
      <c r="E86" s="49"/>
      <c r="F86" s="49"/>
      <c r="G86" s="49"/>
      <c r="H86" s="49"/>
      <c r="I86" s="49"/>
      <c r="J86" s="49"/>
      <c r="K86" s="49"/>
      <c r="L86" s="49"/>
      <c r="M86" s="49"/>
      <c r="N86" s="49"/>
      <c r="O86" s="49"/>
      <c r="P86" s="49"/>
      <c r="Q86" s="49"/>
      <c r="R86" s="49"/>
      <c r="S86" s="49"/>
      <c r="T86" s="49"/>
      <c r="U86" s="49"/>
    </row>
    <row r="87" spans="1:21" ht="14.1">
      <c r="A87" s="62"/>
      <c r="B87" s="63" t="s">
        <v>925</v>
      </c>
      <c r="C87" s="64"/>
      <c r="D87" s="64"/>
      <c r="E87" s="64"/>
      <c r="F87" s="64"/>
      <c r="G87" s="64"/>
      <c r="H87" s="64"/>
      <c r="I87" s="64"/>
      <c r="J87" s="64"/>
      <c r="K87" s="64"/>
      <c r="L87" s="64"/>
      <c r="M87" s="64"/>
      <c r="N87" s="64"/>
      <c r="O87" s="64"/>
      <c r="P87" s="64"/>
      <c r="Q87" s="64"/>
      <c r="R87" s="64"/>
      <c r="S87" s="64"/>
      <c r="T87" s="64"/>
      <c r="U87" s="65"/>
    </row>
    <row r="88" spans="1:21" ht="6.75" customHeight="1">
      <c r="A88" s="66"/>
      <c r="B88" s="61"/>
      <c r="C88" s="61"/>
      <c r="D88" s="61"/>
      <c r="E88" s="61"/>
      <c r="F88" s="61"/>
      <c r="G88" s="61"/>
      <c r="H88" s="61"/>
      <c r="I88" s="61"/>
      <c r="J88" s="61"/>
      <c r="K88" s="61"/>
      <c r="L88" s="61"/>
      <c r="M88" s="61"/>
      <c r="N88" s="61"/>
      <c r="O88" s="61"/>
      <c r="P88" s="61"/>
      <c r="Q88" s="61"/>
      <c r="R88" s="61"/>
      <c r="S88" s="61"/>
      <c r="T88" s="61"/>
      <c r="U88" s="67"/>
    </row>
    <row r="89" spans="1:21" ht="14.1">
      <c r="A89" s="66"/>
      <c r="B89" s="61"/>
      <c r="C89" s="68" t="s">
        <v>926</v>
      </c>
      <c r="D89" s="61"/>
      <c r="E89" s="61"/>
      <c r="F89" s="61"/>
      <c r="G89" s="61"/>
      <c r="H89" s="61"/>
      <c r="I89" s="61"/>
      <c r="J89" s="61"/>
      <c r="K89" s="68" t="s">
        <v>927</v>
      </c>
      <c r="L89" s="61"/>
      <c r="M89" s="61"/>
      <c r="N89" s="61"/>
      <c r="O89" s="61"/>
      <c r="P89" s="61"/>
      <c r="Q89" s="61"/>
      <c r="R89" s="68" t="s">
        <v>928</v>
      </c>
      <c r="S89" s="68"/>
      <c r="T89" s="68"/>
      <c r="U89" s="67"/>
    </row>
    <row r="90" spans="1:21" ht="14.1">
      <c r="A90" s="323"/>
      <c r="B90" s="324"/>
      <c r="C90" s="61" t="s">
        <v>929</v>
      </c>
      <c r="D90" s="325"/>
      <c r="E90" s="1533"/>
      <c r="F90" s="1533"/>
      <c r="G90" s="1533"/>
      <c r="H90" s="325"/>
      <c r="I90" s="325"/>
      <c r="J90" s="324"/>
      <c r="K90" s="61" t="s">
        <v>930</v>
      </c>
      <c r="L90" s="325"/>
      <c r="M90" s="1533"/>
      <c r="N90" s="1533"/>
      <c r="O90" s="1533"/>
      <c r="P90" s="325"/>
      <c r="Q90" s="324"/>
      <c r="R90" s="61" t="s">
        <v>931</v>
      </c>
      <c r="S90" s="1533"/>
      <c r="T90" s="1533"/>
      <c r="U90" s="67"/>
    </row>
    <row r="91" spans="1:21" ht="14.1">
      <c r="A91" s="323"/>
      <c r="B91" s="324"/>
      <c r="C91" s="61" t="s">
        <v>932</v>
      </c>
      <c r="D91" s="325"/>
      <c r="E91" s="1533"/>
      <c r="F91" s="1533"/>
      <c r="G91" s="1533"/>
      <c r="H91" s="325"/>
      <c r="I91" s="325"/>
      <c r="J91" s="324"/>
      <c r="K91" s="61" t="s">
        <v>933</v>
      </c>
      <c r="L91" s="325"/>
      <c r="M91" s="1533"/>
      <c r="N91" s="1533"/>
      <c r="O91" s="1533"/>
      <c r="P91" s="325"/>
      <c r="Q91" s="324"/>
      <c r="R91" s="61" t="s">
        <v>934</v>
      </c>
      <c r="S91" s="1534"/>
      <c r="T91" s="1534"/>
      <c r="U91" s="67"/>
    </row>
    <row r="92" spans="1:21" ht="14.1">
      <c r="A92" s="323"/>
      <c r="B92" s="325"/>
      <c r="C92" s="325"/>
      <c r="D92" s="325"/>
      <c r="E92" s="325"/>
      <c r="F92" s="325"/>
      <c r="G92" s="325"/>
      <c r="H92" s="325"/>
      <c r="I92" s="325"/>
      <c r="J92" s="325"/>
      <c r="K92" s="325"/>
      <c r="L92" s="325"/>
      <c r="M92" s="325"/>
      <c r="N92" s="325"/>
      <c r="O92" s="325"/>
      <c r="P92" s="325"/>
      <c r="Q92" s="324"/>
      <c r="R92" s="61" t="s">
        <v>935</v>
      </c>
      <c r="S92" s="1534"/>
      <c r="T92" s="1534"/>
      <c r="U92" s="67"/>
    </row>
    <row r="93" spans="1:21" ht="6" customHeight="1">
      <c r="A93" s="69"/>
      <c r="B93" s="70"/>
      <c r="C93" s="70"/>
      <c r="D93" s="70"/>
      <c r="E93" s="70"/>
      <c r="F93" s="70"/>
      <c r="G93" s="70"/>
      <c r="H93" s="70"/>
      <c r="I93" s="70"/>
      <c r="J93" s="70"/>
      <c r="K93" s="70"/>
      <c r="L93" s="70"/>
      <c r="M93" s="70"/>
      <c r="N93" s="70"/>
      <c r="O93" s="70"/>
      <c r="P93" s="70"/>
      <c r="Q93" s="70"/>
      <c r="R93" s="70"/>
      <c r="S93" s="70"/>
      <c r="T93" s="70"/>
      <c r="U93" s="71"/>
    </row>
    <row r="95" spans="1:21">
      <c r="A95" s="1535" t="s">
        <v>936</v>
      </c>
      <c r="B95" s="1536"/>
      <c r="C95" s="1536"/>
      <c r="D95" s="1536"/>
      <c r="E95" s="1536"/>
      <c r="F95" s="1536"/>
      <c r="G95" s="1536"/>
      <c r="H95" s="1536"/>
      <c r="I95" s="1536"/>
      <c r="J95" s="1536"/>
      <c r="K95" s="1536"/>
      <c r="L95" s="1536"/>
      <c r="M95" s="1536"/>
      <c r="N95" s="1536"/>
      <c r="O95" s="1536"/>
      <c r="P95" s="1536"/>
      <c r="Q95" s="1536"/>
      <c r="R95" s="1536"/>
      <c r="S95" s="1536"/>
      <c r="T95" s="1536"/>
      <c r="U95" s="1537"/>
    </row>
    <row r="96" spans="1:21">
      <c r="A96" s="1529" t="s">
        <v>776</v>
      </c>
      <c r="B96" s="1529"/>
      <c r="C96" s="1529"/>
      <c r="D96" s="1529"/>
      <c r="E96" s="1529"/>
      <c r="F96" s="1529"/>
      <c r="G96" s="1529"/>
      <c r="H96" s="1529"/>
      <c r="I96" s="1529" t="s">
        <v>937</v>
      </c>
      <c r="J96" s="1529"/>
      <c r="K96" s="1529"/>
      <c r="L96" s="1529"/>
      <c r="M96" s="1529"/>
      <c r="N96" s="1529"/>
      <c r="O96" s="1529"/>
      <c r="P96" s="1530" t="s">
        <v>778</v>
      </c>
      <c r="Q96" s="1530"/>
      <c r="R96" s="1530"/>
      <c r="S96" s="1530"/>
      <c r="T96" s="1530"/>
      <c r="U96" s="1530"/>
    </row>
    <row r="97" spans="1:21" ht="14.1">
      <c r="A97" s="1360" t="str">
        <f>FORM!I46</f>
        <v>Brokerage/Realty</v>
      </c>
      <c r="B97" s="1360"/>
      <c r="C97" s="1360"/>
      <c r="D97" s="1360"/>
      <c r="E97" s="1360"/>
      <c r="F97" s="1360"/>
      <c r="G97" s="1360"/>
      <c r="H97" s="1360"/>
      <c r="I97" s="1361">
        <f>FORM!M46</f>
        <v>0</v>
      </c>
      <c r="J97" s="1361"/>
      <c r="K97" s="1361"/>
      <c r="L97" s="1361"/>
      <c r="M97" s="1361"/>
      <c r="N97" s="1361"/>
      <c r="O97" s="1361"/>
      <c r="P97" s="1361">
        <f>FORM!T46</f>
        <v>0</v>
      </c>
      <c r="Q97" s="1361"/>
      <c r="R97" s="1361"/>
      <c r="S97" s="1361"/>
      <c r="T97" s="1361"/>
      <c r="U97" s="1361"/>
    </row>
    <row r="98" spans="1:21" ht="14.1">
      <c r="A98" s="1360" t="str">
        <f>FORM!I47</f>
        <v>Broker Head/AVP</v>
      </c>
      <c r="B98" s="1360"/>
      <c r="C98" s="1360"/>
      <c r="D98" s="1360"/>
      <c r="E98" s="1360"/>
      <c r="F98" s="1360"/>
      <c r="G98" s="1360"/>
      <c r="H98" s="1360"/>
      <c r="I98" s="1361">
        <f>FORM!M47</f>
        <v>0</v>
      </c>
      <c r="J98" s="1361"/>
      <c r="K98" s="1361"/>
      <c r="L98" s="1361"/>
      <c r="M98" s="1361"/>
      <c r="N98" s="1361"/>
      <c r="O98" s="1361"/>
      <c r="P98" s="1361">
        <f>FORM!T47</f>
        <v>0</v>
      </c>
      <c r="Q98" s="1361"/>
      <c r="R98" s="1361"/>
      <c r="S98" s="1361"/>
      <c r="T98" s="1361"/>
      <c r="U98" s="1361"/>
    </row>
    <row r="99" spans="1:21" ht="14.1">
      <c r="A99" s="1360" t="str">
        <f>FORM!I48</f>
        <v>Sales Manager</v>
      </c>
      <c r="B99" s="1360"/>
      <c r="C99" s="1360"/>
      <c r="D99" s="1360"/>
      <c r="E99" s="1360"/>
      <c r="F99" s="1360"/>
      <c r="G99" s="1360"/>
      <c r="H99" s="1360"/>
      <c r="I99" s="1361">
        <f>FORM!M48</f>
        <v>0</v>
      </c>
      <c r="J99" s="1361"/>
      <c r="K99" s="1361"/>
      <c r="L99" s="1361"/>
      <c r="M99" s="1361"/>
      <c r="N99" s="1361"/>
      <c r="O99" s="1361"/>
      <c r="P99" s="1361">
        <f>FORM!T48</f>
        <v>0</v>
      </c>
      <c r="Q99" s="1361"/>
      <c r="R99" s="1361"/>
      <c r="S99" s="1361"/>
      <c r="T99" s="1361"/>
      <c r="U99" s="1361"/>
    </row>
    <row r="100" spans="1:21" ht="14.1">
      <c r="A100" s="1360" t="str">
        <f>FORM!I49</f>
        <v xml:space="preserve">Sales Agent/Property Consultant </v>
      </c>
      <c r="B100" s="1360"/>
      <c r="C100" s="1360"/>
      <c r="D100" s="1360"/>
      <c r="E100" s="1360"/>
      <c r="F100" s="1360"/>
      <c r="G100" s="1360"/>
      <c r="H100" s="1360"/>
      <c r="I100" s="1361">
        <f>FORM!M49</f>
        <v>0</v>
      </c>
      <c r="J100" s="1361"/>
      <c r="K100" s="1361"/>
      <c r="L100" s="1361"/>
      <c r="M100" s="1361"/>
      <c r="N100" s="1361"/>
      <c r="O100" s="1361"/>
      <c r="P100" s="1361">
        <f>FORM!T49</f>
        <v>0</v>
      </c>
      <c r="Q100" s="1361"/>
      <c r="R100" s="1361"/>
      <c r="S100" s="1361"/>
      <c r="T100" s="1361"/>
      <c r="U100" s="1361"/>
    </row>
    <row r="102" spans="1:21" ht="14.1">
      <c r="A102" s="1538" t="s">
        <v>938</v>
      </c>
      <c r="B102" s="1539"/>
      <c r="C102" s="1539"/>
      <c r="D102" s="1539"/>
      <c r="E102" s="1539"/>
      <c r="F102" s="1539"/>
      <c r="G102" s="1539"/>
      <c r="H102" s="1539"/>
      <c r="I102" s="1539"/>
      <c r="J102" s="1539"/>
      <c r="K102" s="1539"/>
      <c r="L102" s="1539"/>
      <c r="M102" s="1539"/>
      <c r="N102" s="1539"/>
      <c r="O102" s="1539"/>
      <c r="P102" s="1539"/>
      <c r="Q102" s="1539"/>
      <c r="R102" s="1539"/>
      <c r="S102" s="1539"/>
      <c r="T102" s="1539"/>
      <c r="U102" s="1539"/>
    </row>
    <row r="112" spans="1:21">
      <c r="G112" s="24"/>
      <c r="H112" s="1494">
        <f>D3</f>
        <v>0</v>
      </c>
      <c r="I112" s="1494"/>
      <c r="J112" s="1494"/>
      <c r="K112" s="1494"/>
      <c r="L112" s="1494"/>
      <c r="M112" s="1494"/>
      <c r="N112" s="1494"/>
      <c r="O112" s="1494"/>
      <c r="P112" s="1494"/>
      <c r="Q112" s="1494"/>
    </row>
    <row r="113" spans="1:21" ht="25.5" customHeight="1">
      <c r="A113" s="1540" t="s">
        <v>939</v>
      </c>
      <c r="B113" s="1540"/>
      <c r="C113" s="1540"/>
      <c r="D113" s="1540"/>
      <c r="E113" s="1540"/>
      <c r="F113" s="1540"/>
      <c r="G113" s="1540"/>
      <c r="H113" s="1540"/>
      <c r="I113" s="1540"/>
      <c r="J113" s="1540"/>
      <c r="K113" s="1540"/>
      <c r="L113" s="1540"/>
      <c r="M113" s="1540"/>
      <c r="N113" s="1540"/>
      <c r="O113" s="1540"/>
      <c r="P113" s="1540"/>
      <c r="Q113" s="1540"/>
      <c r="R113" s="1540"/>
      <c r="S113" s="1540"/>
      <c r="T113" s="1540"/>
      <c r="U113" s="1540"/>
    </row>
    <row r="114" spans="1:21">
      <c r="A114" s="24"/>
      <c r="B114" s="24"/>
      <c r="C114" s="24"/>
      <c r="D114" s="24"/>
      <c r="E114" s="24"/>
      <c r="F114" s="24"/>
      <c r="G114" s="24"/>
      <c r="H114" s="24"/>
      <c r="I114" s="24"/>
      <c r="J114" s="24"/>
      <c r="K114" s="24"/>
      <c r="L114" s="24"/>
      <c r="M114" s="24"/>
      <c r="N114" s="24"/>
      <c r="O114" s="24"/>
      <c r="P114" s="24"/>
      <c r="Q114" s="24"/>
      <c r="R114" s="24"/>
      <c r="S114" s="24"/>
      <c r="T114" s="24"/>
      <c r="U114" s="24"/>
    </row>
    <row r="115" spans="1:21">
      <c r="A115" s="24"/>
      <c r="B115" s="24"/>
      <c r="C115" s="24"/>
      <c r="D115" s="24"/>
      <c r="E115" s="24"/>
      <c r="F115" s="24"/>
      <c r="G115" s="24"/>
      <c r="H115" s="24"/>
      <c r="I115" s="24"/>
      <c r="J115" s="24"/>
      <c r="K115" s="24"/>
      <c r="L115" s="24"/>
      <c r="M115" s="24"/>
      <c r="N115" s="24"/>
      <c r="O115" s="24"/>
      <c r="P115" s="24"/>
      <c r="Q115" s="24"/>
      <c r="R115" s="24"/>
      <c r="S115" s="24"/>
      <c r="T115" s="24"/>
      <c r="U115" s="24"/>
    </row>
    <row r="116" spans="1:21">
      <c r="A116" s="1541" t="s">
        <v>940</v>
      </c>
      <c r="B116" s="1541"/>
      <c r="C116" s="1541"/>
      <c r="D116" s="1541"/>
      <c r="E116" s="1541"/>
      <c r="F116" s="1541"/>
      <c r="G116" s="1541"/>
      <c r="H116" s="1541"/>
      <c r="I116" s="1541"/>
      <c r="J116" s="1541"/>
      <c r="K116" s="1541"/>
      <c r="L116" s="1541"/>
      <c r="M116" s="1541"/>
      <c r="N116" s="1541"/>
      <c r="O116" s="1541"/>
      <c r="P116" s="1541"/>
      <c r="Q116" s="1541"/>
      <c r="R116" s="1541"/>
      <c r="S116" s="1541"/>
      <c r="T116" s="1541"/>
      <c r="U116" s="1541"/>
    </row>
    <row r="117" spans="1:21" ht="21.75" customHeight="1">
      <c r="A117" s="1542" t="str">
        <f>H8</f>
        <v>Iloilo Southprime Developers Inc.</v>
      </c>
      <c r="B117" s="1542"/>
      <c r="C117" s="1542"/>
      <c r="D117" s="1542"/>
      <c r="E117" s="1542"/>
      <c r="F117" s="1542"/>
      <c r="G117" s="1542"/>
      <c r="H117" s="1542"/>
      <c r="I117" s="1542"/>
      <c r="J117" s="1542"/>
      <c r="K117" s="1542"/>
      <c r="L117" s="1542"/>
      <c r="M117" s="1542"/>
      <c r="N117" s="1542"/>
      <c r="O117" s="1542"/>
      <c r="P117" s="1542"/>
      <c r="Q117" s="1542"/>
      <c r="R117" s="1542"/>
      <c r="S117" s="1542"/>
      <c r="T117" s="1542"/>
      <c r="U117" s="1542"/>
    </row>
    <row r="118" spans="1:21">
      <c r="A118" s="24"/>
      <c r="B118" s="24"/>
      <c r="C118" s="24"/>
      <c r="D118" s="24"/>
      <c r="E118" s="24"/>
      <c r="F118" s="24"/>
      <c r="G118" s="24"/>
      <c r="H118" s="24"/>
      <c r="I118" s="24"/>
      <c r="J118" s="24"/>
      <c r="K118" s="24"/>
      <c r="L118" s="24"/>
      <c r="M118" s="24"/>
      <c r="N118" s="24"/>
      <c r="O118" s="24"/>
      <c r="P118" s="24"/>
      <c r="Q118" s="24"/>
      <c r="R118" s="24"/>
      <c r="S118" s="24"/>
      <c r="T118" s="24"/>
      <c r="U118" s="24"/>
    </row>
    <row r="119" spans="1:21">
      <c r="A119" s="24"/>
      <c r="B119" s="24"/>
      <c r="C119" s="24"/>
      <c r="D119" s="24"/>
      <c r="E119" s="24"/>
      <c r="F119" s="24"/>
      <c r="G119" s="24"/>
      <c r="H119" s="25"/>
      <c r="I119" s="25"/>
      <c r="J119" s="25"/>
      <c r="K119" s="25"/>
      <c r="L119" s="25"/>
      <c r="M119" s="25"/>
      <c r="N119" s="25"/>
      <c r="O119" s="25"/>
      <c r="P119" s="25"/>
      <c r="Q119" s="25"/>
      <c r="R119" s="24"/>
      <c r="S119" s="24"/>
      <c r="T119" s="24"/>
      <c r="U119" s="24"/>
    </row>
    <row r="123" spans="1:21">
      <c r="I123" s="54"/>
    </row>
  </sheetData>
  <sheetProtection algorithmName="SHA-512" hashValue="akKVTijd4txyn9T76iIzNwbd+k2y+cbm6xRuF4wMXBOVmV15W9RDZZewDDMgVZ8OEcm+k0QXcM9tiobL+i1tWA==" saltValue="voyxQ0z+GS0jKv0k2Hds1Q==" spinCount="100000" sheet="1" selectLockedCells="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475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4754"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475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475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475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475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475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476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4761"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4762"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476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476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476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476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476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476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476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477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477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5966ea1-fe58-4218-b628-0018c859dab0">
      <Terms xmlns="http://schemas.microsoft.com/office/infopath/2007/PartnerControls"/>
    </lcf76f155ced4ddcb4097134ff3c332f>
    <TaxCatchAll xmlns="48c94ed0-3c20-4b8e-8119-053507d1e0d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F9A57D1AED29941ACBF21D8C4A8CB3E" ma:contentTypeVersion="12" ma:contentTypeDescription="Create a new document." ma:contentTypeScope="" ma:versionID="aeee2e3529a51bdf47f9e0ca66f3fd99">
  <xsd:schema xmlns:xsd="http://www.w3.org/2001/XMLSchema" xmlns:xs="http://www.w3.org/2001/XMLSchema" xmlns:p="http://schemas.microsoft.com/office/2006/metadata/properties" xmlns:ns2="55966ea1-fe58-4218-b628-0018c859dab0" xmlns:ns3="48c94ed0-3c20-4b8e-8119-053507d1e0d0" targetNamespace="http://schemas.microsoft.com/office/2006/metadata/properties" ma:root="true" ma:fieldsID="a03ef8fd52fb47337656b0f69de359df" ns2:_="" ns3:_="">
    <xsd:import namespace="55966ea1-fe58-4218-b628-0018c859dab0"/>
    <xsd:import namespace="48c94ed0-3c20-4b8e-8119-053507d1e0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966ea1-fe58-4218-b628-0018c859da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3ecd6dd-7a73-4453-9500-d28893ef669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8c94ed0-3c20-4b8e-8119-053507d1e0d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3de1ab-db7a-47b7-8840-27a09ebaf4c1}" ma:internalName="TaxCatchAll" ma:showField="CatchAllData" ma:web="48c94ed0-3c20-4b8e-8119-053507d1e0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8227248-AEA2-4B94-B5FF-D08FF0F41EDE}"/>
</file>

<file path=customXml/itemProps2.xml><?xml version="1.0" encoding="utf-8"?>
<ds:datastoreItem xmlns:ds="http://schemas.openxmlformats.org/officeDocument/2006/customXml" ds:itemID="{B1EB002E-368B-4F0D-B691-DB005F12AAB4}"/>
</file>

<file path=customXml/itemProps3.xml><?xml version="1.0" encoding="utf-8"?>
<ds:datastoreItem xmlns:ds="http://schemas.openxmlformats.org/officeDocument/2006/customXml" ds:itemID="{C7F2355C-B869-4046-A34B-5E819D314020}"/>
</file>

<file path=docProps/app.xml><?xml version="1.0" encoding="utf-8"?>
<Properties xmlns="http://schemas.openxmlformats.org/officeDocument/2006/extended-properties" xmlns:vt="http://schemas.openxmlformats.org/officeDocument/2006/docPropsVTypes">
  <Application>Microsoft Excel Online</Application>
  <Manager/>
  <Company>Excel-4-Business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Randy Austin</dc:creator>
  <cp:keywords/>
  <dc:description/>
  <cp:lastModifiedBy>Sheena Grace Dais</cp:lastModifiedBy>
  <cp:revision/>
  <dcterms:created xsi:type="dcterms:W3CDTF">2017-11-07T00:37:58Z</dcterms:created>
  <dcterms:modified xsi:type="dcterms:W3CDTF">2025-09-02T05:05:26Z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0x010100BF9A57D1AED29941ACBF21D8C4A8CB3E</vt:lpwstr>
  </property>
  <property fmtid="{D5CDD505-2E9C-101B-9397-08002B2CF9AE}" pid="3" name="MediaServiceImageTags">
    <vt:lpwstr/>
  </property>
</Properties>
</file>